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D:\Users\Luz Maria\Desktop\Formatos G.O.I\MACY´S\2020\Junio\CHILDRENS APPAREL &amp; ACC\"/>
    </mc:Choice>
  </mc:AlternateContent>
  <bookViews>
    <workbookView xWindow="0" yWindow="0" windowWidth="20490" windowHeight="7755"/>
  </bookViews>
  <sheets>
    <sheet name="12469939" sheetId="28" r:id="rId1"/>
    <sheet name="12469979" sheetId="27" r:id="rId2"/>
    <sheet name="12486748" sheetId="26" r:id="rId3"/>
    <sheet name="12486869" sheetId="25" r:id="rId4"/>
    <sheet name="12488793" sheetId="24" r:id="rId5"/>
    <sheet name="12508450" sheetId="23" r:id="rId6"/>
    <sheet name="12488911" sheetId="22" r:id="rId7"/>
    <sheet name="12407310" sheetId="21" r:id="rId8"/>
    <sheet name="12410531" sheetId="20" r:id="rId9"/>
    <sheet name="12410915" sheetId="19" r:id="rId10"/>
    <sheet name="12413919" sheetId="18" r:id="rId11"/>
    <sheet name="12414060" sheetId="17" r:id="rId12"/>
    <sheet name="12416476" sheetId="16" r:id="rId13"/>
    <sheet name="12429317" sheetId="15" r:id="rId14"/>
    <sheet name="12431680" sheetId="14" r:id="rId15"/>
    <sheet name="12434450" sheetId="13" r:id="rId16"/>
    <sheet name="12436307" sheetId="12" r:id="rId17"/>
    <sheet name="12447001" sheetId="11" r:id="rId18"/>
    <sheet name="12448790" sheetId="10" r:id="rId19"/>
    <sheet name="12449080" sheetId="9" r:id="rId20"/>
    <sheet name="12450553" sheetId="8" r:id="rId21"/>
    <sheet name="12465859" sheetId="7" r:id="rId22"/>
    <sheet name="12488851" sheetId="6" r:id="rId23"/>
    <sheet name="12498408" sheetId="5" r:id="rId24"/>
    <sheet name="12506978" sheetId="4" r:id="rId25"/>
    <sheet name="12512702" sheetId="3" r:id="rId26"/>
    <sheet name="12515344" sheetId="2" r:id="rId27"/>
    <sheet name="12516398" sheetId="1" r:id="rId28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M146" i="28" l="1"/>
  <c r="M145" i="28"/>
  <c r="M144" i="28"/>
  <c r="M143" i="28"/>
  <c r="M142" i="28"/>
  <c r="M141" i="28"/>
  <c r="M140" i="28"/>
  <c r="M139" i="28"/>
  <c r="M138" i="28"/>
  <c r="M137" i="28"/>
  <c r="M136" i="28"/>
  <c r="M135" i="28"/>
  <c r="M134" i="28"/>
  <c r="M133" i="28"/>
  <c r="M132" i="28"/>
  <c r="M131" i="28"/>
  <c r="M130" i="28"/>
  <c r="M129" i="28"/>
  <c r="M128" i="28"/>
  <c r="M127" i="28"/>
  <c r="M126" i="28"/>
  <c r="M125" i="28"/>
  <c r="M124" i="28"/>
  <c r="M123" i="28"/>
  <c r="M122" i="28"/>
  <c r="M121" i="28"/>
  <c r="M120" i="28"/>
  <c r="M119" i="28"/>
  <c r="M118" i="28"/>
  <c r="M117" i="28"/>
  <c r="M116" i="28"/>
  <c r="M115" i="28"/>
  <c r="M114" i="28"/>
  <c r="M113" i="28"/>
  <c r="M112" i="28"/>
  <c r="M111" i="28"/>
  <c r="M110" i="28"/>
  <c r="M109" i="28"/>
  <c r="M108" i="28"/>
  <c r="M107" i="28"/>
  <c r="M106" i="28"/>
  <c r="M105" i="28"/>
  <c r="M104" i="28"/>
  <c r="M103" i="28"/>
  <c r="M102" i="28"/>
  <c r="M101" i="28"/>
  <c r="M100" i="28"/>
  <c r="M99" i="28"/>
  <c r="M98" i="28"/>
  <c r="M97" i="28"/>
  <c r="M96" i="28"/>
  <c r="M95" i="28"/>
  <c r="M94" i="28"/>
  <c r="M93" i="28"/>
  <c r="M92" i="28"/>
  <c r="M91" i="28"/>
  <c r="M90" i="28"/>
  <c r="M89" i="28"/>
  <c r="M88" i="28"/>
  <c r="M87" i="28"/>
  <c r="M86" i="28"/>
  <c r="M85" i="28"/>
  <c r="M84" i="28"/>
  <c r="M83" i="28"/>
  <c r="M82" i="28"/>
  <c r="M81" i="28"/>
  <c r="M80" i="28"/>
  <c r="M79" i="28"/>
  <c r="M78" i="28"/>
  <c r="M77" i="28"/>
  <c r="M76" i="28"/>
  <c r="M75" i="28"/>
  <c r="M74" i="28"/>
  <c r="M73" i="28"/>
  <c r="M72" i="28"/>
  <c r="M71" i="28"/>
  <c r="M70" i="28"/>
  <c r="M69" i="28"/>
  <c r="M68" i="28"/>
  <c r="M67" i="28"/>
  <c r="M66" i="28"/>
  <c r="M65" i="28"/>
  <c r="M64" i="28"/>
  <c r="M63" i="28"/>
  <c r="M62" i="28"/>
  <c r="M61" i="28"/>
  <c r="M60" i="28"/>
  <c r="M59" i="28"/>
  <c r="M58" i="28"/>
  <c r="M57" i="28"/>
  <c r="M56" i="28"/>
  <c r="M55" i="28"/>
  <c r="M54" i="28"/>
  <c r="M53" i="28"/>
  <c r="M52" i="28"/>
  <c r="M51" i="28"/>
  <c r="M50" i="28"/>
  <c r="M49" i="28"/>
  <c r="M48" i="28"/>
  <c r="M47" i="28"/>
  <c r="M46" i="28"/>
  <c r="M45" i="28"/>
  <c r="M44" i="28"/>
  <c r="M43" i="28"/>
  <c r="M42" i="28"/>
  <c r="M41" i="28"/>
  <c r="M40" i="28"/>
  <c r="M39" i="28"/>
  <c r="M38" i="28"/>
  <c r="M37" i="28"/>
  <c r="M36" i="28"/>
  <c r="M35" i="28"/>
  <c r="M34" i="28"/>
  <c r="M33" i="28"/>
  <c r="M32" i="28"/>
  <c r="M31" i="28"/>
  <c r="M30" i="28"/>
  <c r="M29" i="28"/>
  <c r="M28" i="28"/>
  <c r="M27" i="28"/>
  <c r="M26" i="28"/>
  <c r="M25" i="28"/>
  <c r="M24" i="28"/>
  <c r="M23" i="28"/>
  <c r="M22" i="28"/>
  <c r="M21" i="28"/>
  <c r="M20" i="28"/>
  <c r="M19" i="28"/>
  <c r="M18" i="28"/>
  <c r="M17" i="28"/>
  <c r="M16" i="28"/>
  <c r="M15" i="28"/>
  <c r="M14" i="28"/>
  <c r="M13" i="28"/>
  <c r="M12" i="28"/>
  <c r="M11" i="28"/>
  <c r="M10" i="28"/>
  <c r="M9" i="28"/>
  <c r="M178" i="27"/>
  <c r="M177" i="27"/>
  <c r="M176" i="27"/>
  <c r="M175" i="27"/>
  <c r="M174" i="27"/>
  <c r="M173" i="27"/>
  <c r="M172" i="27"/>
  <c r="M171" i="27"/>
  <c r="M170" i="27"/>
  <c r="M169" i="27"/>
  <c r="M168" i="27"/>
  <c r="M167" i="27"/>
  <c r="M166" i="27"/>
  <c r="M165" i="27"/>
  <c r="M164" i="27"/>
  <c r="M163" i="27"/>
  <c r="M162" i="27"/>
  <c r="M161" i="27"/>
  <c r="M160" i="27"/>
  <c r="M159" i="27"/>
  <c r="M158" i="27"/>
  <c r="M157" i="27"/>
  <c r="M156" i="27"/>
  <c r="M155" i="27"/>
  <c r="M154" i="27"/>
  <c r="M153" i="27"/>
  <c r="M152" i="27"/>
  <c r="M151" i="27"/>
  <c r="M150" i="27"/>
  <c r="M149" i="27"/>
  <c r="M148" i="27"/>
  <c r="M147" i="27"/>
  <c r="M146" i="27"/>
  <c r="M145" i="27"/>
  <c r="M144" i="27"/>
  <c r="M143" i="27"/>
  <c r="M142" i="27"/>
  <c r="M141" i="27"/>
  <c r="M140" i="27"/>
  <c r="M139" i="27"/>
  <c r="M138" i="27"/>
  <c r="M137" i="27"/>
  <c r="M136" i="27"/>
  <c r="M135" i="27"/>
  <c r="M134" i="27"/>
  <c r="M133" i="27"/>
  <c r="M132" i="27"/>
  <c r="M131" i="27"/>
  <c r="M130" i="27"/>
  <c r="M129" i="27"/>
  <c r="M128" i="27"/>
  <c r="M127" i="27"/>
  <c r="M126" i="27"/>
  <c r="M125" i="27"/>
  <c r="M124" i="27"/>
  <c r="M123" i="27"/>
  <c r="M122" i="27"/>
  <c r="M121" i="27"/>
  <c r="M120" i="27"/>
  <c r="M119" i="27"/>
  <c r="M118" i="27"/>
  <c r="M117" i="27"/>
  <c r="M116" i="27"/>
  <c r="M115" i="27"/>
  <c r="M114" i="27"/>
  <c r="M113" i="27"/>
  <c r="M112" i="27"/>
  <c r="M111" i="27"/>
  <c r="M110" i="27"/>
  <c r="M109" i="27"/>
  <c r="M108" i="27"/>
  <c r="M107" i="27"/>
  <c r="M106" i="27"/>
  <c r="M105" i="27"/>
  <c r="M104" i="27"/>
  <c r="M103" i="27"/>
  <c r="M102" i="27"/>
  <c r="M101" i="27"/>
  <c r="M100" i="27"/>
  <c r="M99" i="27"/>
  <c r="M98" i="27"/>
  <c r="M97" i="27"/>
  <c r="M96" i="27"/>
  <c r="M95" i="27"/>
  <c r="M94" i="27"/>
  <c r="M93" i="27"/>
  <c r="M92" i="27"/>
  <c r="M91" i="27"/>
  <c r="M90" i="27"/>
  <c r="M89" i="27"/>
  <c r="M88" i="27"/>
  <c r="M87" i="27"/>
  <c r="M86" i="27"/>
  <c r="M85" i="27"/>
  <c r="M84" i="27"/>
  <c r="M83" i="27"/>
  <c r="M82" i="27"/>
  <c r="M81" i="27"/>
  <c r="M80" i="27"/>
  <c r="M79" i="27"/>
  <c r="M78" i="27"/>
  <c r="M77" i="27"/>
  <c r="M76" i="27"/>
  <c r="M75" i="27"/>
  <c r="M74" i="27"/>
  <c r="M73" i="27"/>
  <c r="M72" i="27"/>
  <c r="M71" i="27"/>
  <c r="M70" i="27"/>
  <c r="M69" i="27"/>
  <c r="M68" i="27"/>
  <c r="M67" i="27"/>
  <c r="M66" i="27"/>
  <c r="M65" i="27"/>
  <c r="M64" i="27"/>
  <c r="M63" i="27"/>
  <c r="M62" i="27"/>
  <c r="M61" i="27"/>
  <c r="M60" i="27"/>
  <c r="M59" i="27"/>
  <c r="M58" i="27"/>
  <c r="M57" i="27"/>
  <c r="M56" i="27"/>
  <c r="M55" i="27"/>
  <c r="M54" i="27"/>
  <c r="M53" i="27"/>
  <c r="M52" i="27"/>
  <c r="M51" i="27"/>
  <c r="M50" i="27"/>
  <c r="M49" i="27"/>
  <c r="M48" i="27"/>
  <c r="M47" i="27"/>
  <c r="M46" i="27"/>
  <c r="M45" i="27"/>
  <c r="M44" i="27"/>
  <c r="M43" i="27"/>
  <c r="M42" i="27"/>
  <c r="M41" i="27"/>
  <c r="M40" i="27"/>
  <c r="M39" i="27"/>
  <c r="M38" i="27"/>
  <c r="M37" i="27"/>
  <c r="M36" i="27"/>
  <c r="M35" i="27"/>
  <c r="M34" i="27"/>
  <c r="M33" i="27"/>
  <c r="M32" i="27"/>
  <c r="M31" i="27"/>
  <c r="M30" i="27"/>
  <c r="M29" i="27"/>
  <c r="M28" i="27"/>
  <c r="M27" i="27"/>
  <c r="M26" i="27"/>
  <c r="M25" i="27"/>
  <c r="M24" i="27"/>
  <c r="M23" i="27"/>
  <c r="M22" i="27"/>
  <c r="M21" i="27"/>
  <c r="M20" i="27"/>
  <c r="M19" i="27"/>
  <c r="M18" i="27"/>
  <c r="M17" i="27"/>
  <c r="M16" i="27"/>
  <c r="M15" i="27"/>
  <c r="M14" i="27"/>
  <c r="M13" i="27"/>
  <c r="M12" i="27"/>
  <c r="M11" i="27"/>
  <c r="M10" i="27"/>
  <c r="M9" i="27"/>
  <c r="M343" i="26"/>
  <c r="M342" i="26"/>
  <c r="M341" i="26"/>
  <c r="M340" i="26"/>
  <c r="M339" i="26"/>
  <c r="M338" i="26"/>
  <c r="M337" i="26"/>
  <c r="M336" i="26"/>
  <c r="M335" i="26"/>
  <c r="M334" i="26"/>
  <c r="M333" i="26"/>
  <c r="M332" i="26"/>
  <c r="M331" i="26"/>
  <c r="M330" i="26"/>
  <c r="M329" i="26"/>
  <c r="M328" i="26"/>
  <c r="M327" i="26"/>
  <c r="M326" i="26"/>
  <c r="M325" i="26"/>
  <c r="M324" i="26"/>
  <c r="M323" i="26"/>
  <c r="M322" i="26"/>
  <c r="M321" i="26"/>
  <c r="M320" i="26"/>
  <c r="M319" i="26"/>
  <c r="M318" i="26"/>
  <c r="M317" i="26"/>
  <c r="M316" i="26"/>
  <c r="M315" i="26"/>
  <c r="M314" i="26"/>
  <c r="M313" i="26"/>
  <c r="M312" i="26"/>
  <c r="M311" i="26"/>
  <c r="M310" i="26"/>
  <c r="M309" i="26"/>
  <c r="M308" i="26"/>
  <c r="M307" i="26"/>
  <c r="M306" i="26"/>
  <c r="M305" i="26"/>
  <c r="M304" i="26"/>
  <c r="M303" i="26"/>
  <c r="M302" i="26"/>
  <c r="M301" i="26"/>
  <c r="M300" i="26"/>
  <c r="M299" i="26"/>
  <c r="M298" i="26"/>
  <c r="M297" i="26"/>
  <c r="M296" i="26"/>
  <c r="M295" i="26"/>
  <c r="M294" i="26"/>
  <c r="M293" i="26"/>
  <c r="M292" i="26"/>
  <c r="M291" i="26"/>
  <c r="M290" i="26"/>
  <c r="M289" i="26"/>
  <c r="M288" i="26"/>
  <c r="M287" i="26"/>
  <c r="M286" i="26"/>
  <c r="M285" i="26"/>
  <c r="M284" i="26"/>
  <c r="M283" i="26"/>
  <c r="M282" i="26"/>
  <c r="M281" i="26"/>
  <c r="M280" i="26"/>
  <c r="M279" i="26"/>
  <c r="M278" i="26"/>
  <c r="M277" i="26"/>
  <c r="M276" i="26"/>
  <c r="M275" i="26"/>
  <c r="M274" i="26"/>
  <c r="M273" i="26"/>
  <c r="M272" i="26"/>
  <c r="M271" i="26"/>
  <c r="M270" i="26"/>
  <c r="M269" i="26"/>
  <c r="M268" i="26"/>
  <c r="M267" i="26"/>
  <c r="M266" i="26"/>
  <c r="M265" i="26"/>
  <c r="M264" i="26"/>
  <c r="M263" i="26"/>
  <c r="M262" i="26"/>
  <c r="M261" i="26"/>
  <c r="M260" i="26"/>
  <c r="M259" i="26"/>
  <c r="M258" i="26"/>
  <c r="M257" i="26"/>
  <c r="M256" i="26"/>
  <c r="M255" i="26"/>
  <c r="M254" i="26"/>
  <c r="M253" i="26"/>
  <c r="M252" i="26"/>
  <c r="M251" i="26"/>
  <c r="M250" i="26"/>
  <c r="M249" i="26"/>
  <c r="M248" i="26"/>
  <c r="M247" i="26"/>
  <c r="M246" i="26"/>
  <c r="M245" i="26"/>
  <c r="M244" i="26"/>
  <c r="M243" i="26"/>
  <c r="M242" i="26"/>
  <c r="M241" i="26"/>
  <c r="M240" i="26"/>
  <c r="M239" i="26"/>
  <c r="M238" i="26"/>
  <c r="M237" i="26"/>
  <c r="M236" i="26"/>
  <c r="M235" i="26"/>
  <c r="M234" i="26"/>
  <c r="M233" i="26"/>
  <c r="M232" i="26"/>
  <c r="M231" i="26"/>
  <c r="M230" i="26"/>
  <c r="M229" i="26"/>
  <c r="M228" i="26"/>
  <c r="M227" i="26"/>
  <c r="M226" i="26"/>
  <c r="M225" i="26"/>
  <c r="M224" i="26"/>
  <c r="M223" i="26"/>
  <c r="M222" i="26"/>
  <c r="M221" i="26"/>
  <c r="M220" i="26"/>
  <c r="M219" i="26"/>
  <c r="M218" i="26"/>
  <c r="M217" i="26"/>
  <c r="M216" i="26"/>
  <c r="M215" i="26"/>
  <c r="M214" i="26"/>
  <c r="M213" i="26"/>
  <c r="M212" i="26"/>
  <c r="M211" i="26"/>
  <c r="M210" i="26"/>
  <c r="M209" i="26"/>
  <c r="M208" i="26"/>
  <c r="M207" i="26"/>
  <c r="M206" i="26"/>
  <c r="M205" i="26"/>
  <c r="M204" i="26"/>
  <c r="M203" i="26"/>
  <c r="M202" i="26"/>
  <c r="M201" i="26"/>
  <c r="M200" i="26"/>
  <c r="M199" i="26"/>
  <c r="M198" i="26"/>
  <c r="M197" i="26"/>
  <c r="M196" i="26"/>
  <c r="M195" i="26"/>
  <c r="M194" i="26"/>
  <c r="M193" i="26"/>
  <c r="M192" i="26"/>
  <c r="M191" i="26"/>
  <c r="M190" i="26"/>
  <c r="M189" i="26"/>
  <c r="M188" i="26"/>
  <c r="M187" i="26"/>
  <c r="M186" i="26"/>
  <c r="M185" i="26"/>
  <c r="M184" i="26"/>
  <c r="M183" i="26"/>
  <c r="M182" i="26"/>
  <c r="M181" i="26"/>
  <c r="M180" i="26"/>
  <c r="M179" i="26"/>
  <c r="M178" i="26"/>
  <c r="M177" i="26"/>
  <c r="M176" i="26"/>
  <c r="M175" i="26"/>
  <c r="M174" i="26"/>
  <c r="M173" i="26"/>
  <c r="M172" i="26"/>
  <c r="M171" i="26"/>
  <c r="M170" i="26"/>
  <c r="M169" i="26"/>
  <c r="M168" i="26"/>
  <c r="M167" i="26"/>
  <c r="M166" i="26"/>
  <c r="M165" i="26"/>
  <c r="M164" i="26"/>
  <c r="M163" i="26"/>
  <c r="M162" i="26"/>
  <c r="M161" i="26"/>
  <c r="M160" i="26"/>
  <c r="M159" i="26"/>
  <c r="M158" i="26"/>
  <c r="M157" i="26"/>
  <c r="M156" i="26"/>
  <c r="M155" i="26"/>
  <c r="M154" i="26"/>
  <c r="M153" i="26"/>
  <c r="M152" i="26"/>
  <c r="M151" i="26"/>
  <c r="M150" i="26"/>
  <c r="M149" i="26"/>
  <c r="M148" i="26"/>
  <c r="M147" i="26"/>
  <c r="M146" i="26"/>
  <c r="M145" i="26"/>
  <c r="M144" i="26"/>
  <c r="M143" i="26"/>
  <c r="M142" i="26"/>
  <c r="M141" i="26"/>
  <c r="M140" i="26"/>
  <c r="M139" i="26"/>
  <c r="M138" i="26"/>
  <c r="M137" i="26"/>
  <c r="M136" i="26"/>
  <c r="M135" i="26"/>
  <c r="M134" i="26"/>
  <c r="M133" i="26"/>
  <c r="M132" i="26"/>
  <c r="M131" i="26"/>
  <c r="M130" i="26"/>
  <c r="M129" i="26"/>
  <c r="M128" i="26"/>
  <c r="M127" i="26"/>
  <c r="M126" i="26"/>
  <c r="M125" i="26"/>
  <c r="M124" i="26"/>
  <c r="M123" i="26"/>
  <c r="M122" i="26"/>
  <c r="M121" i="26"/>
  <c r="M120" i="26"/>
  <c r="M119" i="26"/>
  <c r="M118" i="26"/>
  <c r="M117" i="26"/>
  <c r="M116" i="26"/>
  <c r="M115" i="26"/>
  <c r="M114" i="26"/>
  <c r="M113" i="26"/>
  <c r="M112" i="26"/>
  <c r="M111" i="26"/>
  <c r="M110" i="26"/>
  <c r="M109" i="26"/>
  <c r="M108" i="26"/>
  <c r="M107" i="26"/>
  <c r="M106" i="26"/>
  <c r="M105" i="26"/>
  <c r="M104" i="26"/>
  <c r="M103" i="26"/>
  <c r="M102" i="26"/>
  <c r="M101" i="26"/>
  <c r="M100" i="26"/>
  <c r="M99" i="26"/>
  <c r="M98" i="26"/>
  <c r="M97" i="26"/>
  <c r="M96" i="26"/>
  <c r="M95" i="26"/>
  <c r="M94" i="26"/>
  <c r="M93" i="26"/>
  <c r="M92" i="26"/>
  <c r="M91" i="26"/>
  <c r="M90" i="26"/>
  <c r="M89" i="26"/>
  <c r="M88" i="26"/>
  <c r="M87" i="26"/>
  <c r="M86" i="26"/>
  <c r="M85" i="26"/>
  <c r="M84" i="26"/>
  <c r="M83" i="26"/>
  <c r="M82" i="26"/>
  <c r="M81" i="26"/>
  <c r="M80" i="26"/>
  <c r="M79" i="26"/>
  <c r="M78" i="26"/>
  <c r="M77" i="26"/>
  <c r="M76" i="26"/>
  <c r="M75" i="26"/>
  <c r="M74" i="26"/>
  <c r="M73" i="26"/>
  <c r="M72" i="26"/>
  <c r="M71" i="26"/>
  <c r="M70" i="26"/>
  <c r="M69" i="26"/>
  <c r="M68" i="26"/>
  <c r="M67" i="26"/>
  <c r="M66" i="26"/>
  <c r="M65" i="26"/>
  <c r="M64" i="26"/>
  <c r="M63" i="26"/>
  <c r="M62" i="26"/>
  <c r="M61" i="26"/>
  <c r="M60" i="26"/>
  <c r="M59" i="26"/>
  <c r="M58" i="26"/>
  <c r="M57" i="26"/>
  <c r="M56" i="26"/>
  <c r="M55" i="26"/>
  <c r="M54" i="26"/>
  <c r="M53" i="26"/>
  <c r="M52" i="26"/>
  <c r="M51" i="26"/>
  <c r="M50" i="26"/>
  <c r="M49" i="26"/>
  <c r="M48" i="26"/>
  <c r="M47" i="26"/>
  <c r="M46" i="26"/>
  <c r="M45" i="26"/>
  <c r="M44" i="26"/>
  <c r="M43" i="26"/>
  <c r="M42" i="26"/>
  <c r="M41" i="26"/>
  <c r="M40" i="26"/>
  <c r="M39" i="26"/>
  <c r="M38" i="26"/>
  <c r="M37" i="26"/>
  <c r="M36" i="26"/>
  <c r="M35" i="26"/>
  <c r="M34" i="26"/>
  <c r="M33" i="26"/>
  <c r="M32" i="26"/>
  <c r="M31" i="26"/>
  <c r="M30" i="26"/>
  <c r="M29" i="26"/>
  <c r="M28" i="26"/>
  <c r="M27" i="26"/>
  <c r="M26" i="26"/>
  <c r="M25" i="26"/>
  <c r="M24" i="26"/>
  <c r="M23" i="26"/>
  <c r="M22" i="26"/>
  <c r="M21" i="26"/>
  <c r="M20" i="26"/>
  <c r="M19" i="26"/>
  <c r="M18" i="26"/>
  <c r="M17" i="26"/>
  <c r="M16" i="26"/>
  <c r="M15" i="26"/>
  <c r="M14" i="26"/>
  <c r="M13" i="26"/>
  <c r="M12" i="26"/>
  <c r="M11" i="26"/>
  <c r="M10" i="26"/>
  <c r="M9" i="26"/>
  <c r="M388" i="25"/>
  <c r="M387" i="25"/>
  <c r="M386" i="25"/>
  <c r="M385" i="25"/>
  <c r="M384" i="25"/>
  <c r="M383" i="25"/>
  <c r="M382" i="25"/>
  <c r="M381" i="25"/>
  <c r="M380" i="25"/>
  <c r="M379" i="25"/>
  <c r="M378" i="25"/>
  <c r="M377" i="25"/>
  <c r="M376" i="25"/>
  <c r="M375" i="25"/>
  <c r="M374" i="25"/>
  <c r="M373" i="25"/>
  <c r="M372" i="25"/>
  <c r="M371" i="25"/>
  <c r="M370" i="25"/>
  <c r="M369" i="25"/>
  <c r="M368" i="25"/>
  <c r="M367" i="25"/>
  <c r="M366" i="25"/>
  <c r="M365" i="25"/>
  <c r="M364" i="25"/>
  <c r="M363" i="25"/>
  <c r="M362" i="25"/>
  <c r="M361" i="25"/>
  <c r="M360" i="25"/>
  <c r="M359" i="25"/>
  <c r="M358" i="25"/>
  <c r="M357" i="25"/>
  <c r="M356" i="25"/>
  <c r="M355" i="25"/>
  <c r="M354" i="25"/>
  <c r="M353" i="25"/>
  <c r="M352" i="25"/>
  <c r="M351" i="25"/>
  <c r="M350" i="25"/>
  <c r="M349" i="25"/>
  <c r="M348" i="25"/>
  <c r="M347" i="25"/>
  <c r="M346" i="25"/>
  <c r="M345" i="25"/>
  <c r="M344" i="25"/>
  <c r="M343" i="25"/>
  <c r="M342" i="25"/>
  <c r="M341" i="25"/>
  <c r="M340" i="25"/>
  <c r="M339" i="25"/>
  <c r="M338" i="25"/>
  <c r="M337" i="25"/>
  <c r="M336" i="25"/>
  <c r="M335" i="25"/>
  <c r="M334" i="25"/>
  <c r="M333" i="25"/>
  <c r="M332" i="25"/>
  <c r="M331" i="25"/>
  <c r="M330" i="25"/>
  <c r="M329" i="25"/>
  <c r="M328" i="25"/>
  <c r="M327" i="25"/>
  <c r="M326" i="25"/>
  <c r="M325" i="25"/>
  <c r="M324" i="25"/>
  <c r="M323" i="25"/>
  <c r="M322" i="25"/>
  <c r="M321" i="25"/>
  <c r="M320" i="25"/>
  <c r="M319" i="25"/>
  <c r="M318" i="25"/>
  <c r="M317" i="25"/>
  <c r="M316" i="25"/>
  <c r="M315" i="25"/>
  <c r="M314" i="25"/>
  <c r="M313" i="25"/>
  <c r="M312" i="25"/>
  <c r="M311" i="25"/>
  <c r="M310" i="25"/>
  <c r="M309" i="25"/>
  <c r="M308" i="25"/>
  <c r="M307" i="25"/>
  <c r="M306" i="25"/>
  <c r="M305" i="25"/>
  <c r="M304" i="25"/>
  <c r="M303" i="25"/>
  <c r="M302" i="25"/>
  <c r="M301" i="25"/>
  <c r="M300" i="25"/>
  <c r="M299" i="25"/>
  <c r="M298" i="25"/>
  <c r="M297" i="25"/>
  <c r="M296" i="25"/>
  <c r="M295" i="25"/>
  <c r="M294" i="25"/>
  <c r="M293" i="25"/>
  <c r="M292" i="25"/>
  <c r="M291" i="25"/>
  <c r="M290" i="25"/>
  <c r="M289" i="25"/>
  <c r="M288" i="25"/>
  <c r="M287" i="25"/>
  <c r="M286" i="25"/>
  <c r="M285" i="25"/>
  <c r="M284" i="25"/>
  <c r="M283" i="25"/>
  <c r="M282" i="25"/>
  <c r="M281" i="25"/>
  <c r="M280" i="25"/>
  <c r="M279" i="25"/>
  <c r="M278" i="25"/>
  <c r="M277" i="25"/>
  <c r="M276" i="25"/>
  <c r="M275" i="25"/>
  <c r="M274" i="25"/>
  <c r="M273" i="25"/>
  <c r="M272" i="25"/>
  <c r="M271" i="25"/>
  <c r="M270" i="25"/>
  <c r="M269" i="25"/>
  <c r="M268" i="25"/>
  <c r="M267" i="25"/>
  <c r="M266" i="25"/>
  <c r="M265" i="25"/>
  <c r="M264" i="25"/>
  <c r="M263" i="25"/>
  <c r="M262" i="25"/>
  <c r="M261" i="25"/>
  <c r="M260" i="25"/>
  <c r="M259" i="25"/>
  <c r="M258" i="25"/>
  <c r="M257" i="25"/>
  <c r="M256" i="25"/>
  <c r="M255" i="25"/>
  <c r="M254" i="25"/>
  <c r="M253" i="25"/>
  <c r="M252" i="25"/>
  <c r="M251" i="25"/>
  <c r="M250" i="25"/>
  <c r="M249" i="25"/>
  <c r="M248" i="25"/>
  <c r="M247" i="25"/>
  <c r="M246" i="25"/>
  <c r="M245" i="25"/>
  <c r="M244" i="25"/>
  <c r="M243" i="25"/>
  <c r="M242" i="25"/>
  <c r="M241" i="25"/>
  <c r="M240" i="25"/>
  <c r="M239" i="25"/>
  <c r="M238" i="25"/>
  <c r="M237" i="25"/>
  <c r="M236" i="25"/>
  <c r="M235" i="25"/>
  <c r="M234" i="25"/>
  <c r="M233" i="25"/>
  <c r="M232" i="25"/>
  <c r="M231" i="25"/>
  <c r="M230" i="25"/>
  <c r="M229" i="25"/>
  <c r="M228" i="25"/>
  <c r="M227" i="25"/>
  <c r="M226" i="25"/>
  <c r="M225" i="25"/>
  <c r="M224" i="25"/>
  <c r="M223" i="25"/>
  <c r="M222" i="25"/>
  <c r="M221" i="25"/>
  <c r="M220" i="25"/>
  <c r="M219" i="25"/>
  <c r="M218" i="25"/>
  <c r="M217" i="25"/>
  <c r="M216" i="25"/>
  <c r="M215" i="25"/>
  <c r="M214" i="25"/>
  <c r="M213" i="25"/>
  <c r="M212" i="25"/>
  <c r="M211" i="25"/>
  <c r="M210" i="25"/>
  <c r="M209" i="25"/>
  <c r="M208" i="25"/>
  <c r="M207" i="25"/>
  <c r="M206" i="25"/>
  <c r="M205" i="25"/>
  <c r="M204" i="25"/>
  <c r="M203" i="25"/>
  <c r="M202" i="25"/>
  <c r="M201" i="25"/>
  <c r="M200" i="25"/>
  <c r="M199" i="25"/>
  <c r="M198" i="25"/>
  <c r="M197" i="25"/>
  <c r="M196" i="25"/>
  <c r="M195" i="25"/>
  <c r="M194" i="25"/>
  <c r="M193" i="25"/>
  <c r="M192" i="25"/>
  <c r="M191" i="25"/>
  <c r="M190" i="25"/>
  <c r="M189" i="25"/>
  <c r="M188" i="25"/>
  <c r="M187" i="25"/>
  <c r="M186" i="25"/>
  <c r="M185" i="25"/>
  <c r="M184" i="25"/>
  <c r="M183" i="25"/>
  <c r="M182" i="25"/>
  <c r="M181" i="25"/>
  <c r="M180" i="25"/>
  <c r="M179" i="25"/>
  <c r="M178" i="25"/>
  <c r="M177" i="25"/>
  <c r="M176" i="25"/>
  <c r="M175" i="25"/>
  <c r="M174" i="25"/>
  <c r="M173" i="25"/>
  <c r="M172" i="25"/>
  <c r="M171" i="25"/>
  <c r="M170" i="25"/>
  <c r="M169" i="25"/>
  <c r="M168" i="25"/>
  <c r="M167" i="25"/>
  <c r="M166" i="25"/>
  <c r="M165" i="25"/>
  <c r="M164" i="25"/>
  <c r="M163" i="25"/>
  <c r="M162" i="25"/>
  <c r="M161" i="25"/>
  <c r="M160" i="25"/>
  <c r="M159" i="25"/>
  <c r="M158" i="25"/>
  <c r="M157" i="25"/>
  <c r="M156" i="25"/>
  <c r="M155" i="25"/>
  <c r="M154" i="25"/>
  <c r="M153" i="25"/>
  <c r="M152" i="25"/>
  <c r="M151" i="25"/>
  <c r="M150" i="25"/>
  <c r="M149" i="25"/>
  <c r="M148" i="25"/>
  <c r="M147" i="25"/>
  <c r="M146" i="25"/>
  <c r="M145" i="25"/>
  <c r="M144" i="25"/>
  <c r="M143" i="25"/>
  <c r="M142" i="25"/>
  <c r="M141" i="25"/>
  <c r="M140" i="25"/>
  <c r="M139" i="25"/>
  <c r="M138" i="25"/>
  <c r="M137" i="25"/>
  <c r="M136" i="25"/>
  <c r="M135" i="25"/>
  <c r="M134" i="25"/>
  <c r="M133" i="25"/>
  <c r="M132" i="25"/>
  <c r="M131" i="25"/>
  <c r="M130" i="25"/>
  <c r="M129" i="25"/>
  <c r="M128" i="25"/>
  <c r="M127" i="25"/>
  <c r="M126" i="25"/>
  <c r="M125" i="25"/>
  <c r="M124" i="25"/>
  <c r="M123" i="25"/>
  <c r="M122" i="25"/>
  <c r="M121" i="25"/>
  <c r="M120" i="25"/>
  <c r="M119" i="25"/>
  <c r="M118" i="25"/>
  <c r="M117" i="25"/>
  <c r="M116" i="25"/>
  <c r="M115" i="25"/>
  <c r="M114" i="25"/>
  <c r="M113" i="25"/>
  <c r="M112" i="25"/>
  <c r="M111" i="25"/>
  <c r="M110" i="25"/>
  <c r="M109" i="25"/>
  <c r="M108" i="25"/>
  <c r="M107" i="25"/>
  <c r="M106" i="25"/>
  <c r="M105" i="25"/>
  <c r="M104" i="25"/>
  <c r="M103" i="25"/>
  <c r="M102" i="25"/>
  <c r="M101" i="25"/>
  <c r="M100" i="25"/>
  <c r="M99" i="25"/>
  <c r="M98" i="25"/>
  <c r="M97" i="25"/>
  <c r="M96" i="25"/>
  <c r="M95" i="25"/>
  <c r="M94" i="25"/>
  <c r="M93" i="25"/>
  <c r="M92" i="25"/>
  <c r="M91" i="25"/>
  <c r="M90" i="25"/>
  <c r="M89" i="25"/>
  <c r="M88" i="25"/>
  <c r="M87" i="25"/>
  <c r="M86" i="25"/>
  <c r="M85" i="25"/>
  <c r="M84" i="25"/>
  <c r="M83" i="25"/>
  <c r="M82" i="25"/>
  <c r="M81" i="25"/>
  <c r="M80" i="25"/>
  <c r="M79" i="25"/>
  <c r="M78" i="25"/>
  <c r="M77" i="25"/>
  <c r="M76" i="25"/>
  <c r="M75" i="25"/>
  <c r="M74" i="25"/>
  <c r="M73" i="25"/>
  <c r="M72" i="25"/>
  <c r="M71" i="25"/>
  <c r="M70" i="25"/>
  <c r="M69" i="25"/>
  <c r="M68" i="25"/>
  <c r="M67" i="25"/>
  <c r="M66" i="25"/>
  <c r="M65" i="25"/>
  <c r="M64" i="25"/>
  <c r="M63" i="25"/>
  <c r="M62" i="25"/>
  <c r="M61" i="25"/>
  <c r="M60" i="25"/>
  <c r="M59" i="25"/>
  <c r="M58" i="25"/>
  <c r="M57" i="25"/>
  <c r="M56" i="25"/>
  <c r="M55" i="25"/>
  <c r="M54" i="25"/>
  <c r="M53" i="25"/>
  <c r="M52" i="25"/>
  <c r="M51" i="25"/>
  <c r="M50" i="25"/>
  <c r="M49" i="25"/>
  <c r="M48" i="25"/>
  <c r="M47" i="25"/>
  <c r="M46" i="25"/>
  <c r="M45" i="25"/>
  <c r="M44" i="25"/>
  <c r="M43" i="25"/>
  <c r="M42" i="25"/>
  <c r="M41" i="25"/>
  <c r="M40" i="25"/>
  <c r="M39" i="25"/>
  <c r="M38" i="25"/>
  <c r="M37" i="25"/>
  <c r="M36" i="25"/>
  <c r="M35" i="25"/>
  <c r="M34" i="25"/>
  <c r="M33" i="25"/>
  <c r="M32" i="25"/>
  <c r="M31" i="25"/>
  <c r="M30" i="25"/>
  <c r="M29" i="25"/>
  <c r="M28" i="25"/>
  <c r="M27" i="25"/>
  <c r="M26" i="25"/>
  <c r="M25" i="25"/>
  <c r="M24" i="25"/>
  <c r="M23" i="25"/>
  <c r="M22" i="25"/>
  <c r="M21" i="25"/>
  <c r="M20" i="25"/>
  <c r="M19" i="25"/>
  <c r="M18" i="25"/>
  <c r="M17" i="25"/>
  <c r="M16" i="25"/>
  <c r="M15" i="25"/>
  <c r="M14" i="25"/>
  <c r="M13" i="25"/>
  <c r="M12" i="25"/>
  <c r="M11" i="25"/>
  <c r="M10" i="25"/>
  <c r="M9" i="25"/>
  <c r="M430" i="24"/>
  <c r="M429" i="24"/>
  <c r="M428" i="24"/>
  <c r="M427" i="24"/>
  <c r="M426" i="24"/>
  <c r="M425" i="24"/>
  <c r="M424" i="24"/>
  <c r="M423" i="24"/>
  <c r="M422" i="24"/>
  <c r="M421" i="24"/>
  <c r="M420" i="24"/>
  <c r="M419" i="24"/>
  <c r="M418" i="24"/>
  <c r="M417" i="24"/>
  <c r="M416" i="24"/>
  <c r="M415" i="24"/>
  <c r="M414" i="24"/>
  <c r="M413" i="24"/>
  <c r="M412" i="24"/>
  <c r="M411" i="24"/>
  <c r="M410" i="24"/>
  <c r="M409" i="24"/>
  <c r="M408" i="24"/>
  <c r="M407" i="24"/>
  <c r="M406" i="24"/>
  <c r="M405" i="24"/>
  <c r="M404" i="24"/>
  <c r="M403" i="24"/>
  <c r="M402" i="24"/>
  <c r="M401" i="24"/>
  <c r="M400" i="24"/>
  <c r="M399" i="24"/>
  <c r="M398" i="24"/>
  <c r="M397" i="24"/>
  <c r="M396" i="24"/>
  <c r="M395" i="24"/>
  <c r="M394" i="24"/>
  <c r="M393" i="24"/>
  <c r="M392" i="24"/>
  <c r="M391" i="24"/>
  <c r="M390" i="24"/>
  <c r="M389" i="24"/>
  <c r="M388" i="24"/>
  <c r="M387" i="24"/>
  <c r="M386" i="24"/>
  <c r="M385" i="24"/>
  <c r="M384" i="24"/>
  <c r="M383" i="24"/>
  <c r="M382" i="24"/>
  <c r="M381" i="24"/>
  <c r="M380" i="24"/>
  <c r="M379" i="24"/>
  <c r="M378" i="24"/>
  <c r="M377" i="24"/>
  <c r="M376" i="24"/>
  <c r="M375" i="24"/>
  <c r="M374" i="24"/>
  <c r="M373" i="24"/>
  <c r="M372" i="24"/>
  <c r="M371" i="24"/>
  <c r="M370" i="24"/>
  <c r="M369" i="24"/>
  <c r="M368" i="24"/>
  <c r="M367" i="24"/>
  <c r="M366" i="24"/>
  <c r="M365" i="24"/>
  <c r="M364" i="24"/>
  <c r="M363" i="24"/>
  <c r="M362" i="24"/>
  <c r="M361" i="24"/>
  <c r="M360" i="24"/>
  <c r="M359" i="24"/>
  <c r="M358" i="24"/>
  <c r="M357" i="24"/>
  <c r="M356" i="24"/>
  <c r="M355" i="24"/>
  <c r="M354" i="24"/>
  <c r="M353" i="24"/>
  <c r="M352" i="24"/>
  <c r="M351" i="24"/>
  <c r="M350" i="24"/>
  <c r="M349" i="24"/>
  <c r="M348" i="24"/>
  <c r="M347" i="24"/>
  <c r="M346" i="24"/>
  <c r="M345" i="24"/>
  <c r="M344" i="24"/>
  <c r="M343" i="24"/>
  <c r="M342" i="24"/>
  <c r="M341" i="24"/>
  <c r="M340" i="24"/>
  <c r="M339" i="24"/>
  <c r="M338" i="24"/>
  <c r="M337" i="24"/>
  <c r="M336" i="24"/>
  <c r="M335" i="24"/>
  <c r="M334" i="24"/>
  <c r="M333" i="24"/>
  <c r="M332" i="24"/>
  <c r="M331" i="24"/>
  <c r="M330" i="24"/>
  <c r="M329" i="24"/>
  <c r="M328" i="24"/>
  <c r="M327" i="24"/>
  <c r="M326" i="24"/>
  <c r="M325" i="24"/>
  <c r="M324" i="24"/>
  <c r="M323" i="24"/>
  <c r="M322" i="24"/>
  <c r="M321" i="24"/>
  <c r="M320" i="24"/>
  <c r="M319" i="24"/>
  <c r="M318" i="24"/>
  <c r="M317" i="24"/>
  <c r="M316" i="24"/>
  <c r="M315" i="24"/>
  <c r="M314" i="24"/>
  <c r="M313" i="24"/>
  <c r="M312" i="24"/>
  <c r="M311" i="24"/>
  <c r="M310" i="24"/>
  <c r="M309" i="24"/>
  <c r="M308" i="24"/>
  <c r="M307" i="24"/>
  <c r="M306" i="24"/>
  <c r="M305" i="24"/>
  <c r="M304" i="24"/>
  <c r="M303" i="24"/>
  <c r="M302" i="24"/>
  <c r="M301" i="24"/>
  <c r="M300" i="24"/>
  <c r="M299" i="24"/>
  <c r="M298" i="24"/>
  <c r="M297" i="24"/>
  <c r="M296" i="24"/>
  <c r="M295" i="24"/>
  <c r="M294" i="24"/>
  <c r="M293" i="24"/>
  <c r="M292" i="24"/>
  <c r="M291" i="24"/>
  <c r="M290" i="24"/>
  <c r="M289" i="24"/>
  <c r="M288" i="24"/>
  <c r="M287" i="24"/>
  <c r="M286" i="24"/>
  <c r="M285" i="24"/>
  <c r="M284" i="24"/>
  <c r="M283" i="24"/>
  <c r="M282" i="24"/>
  <c r="M281" i="24"/>
  <c r="M280" i="24"/>
  <c r="M279" i="24"/>
  <c r="M278" i="24"/>
  <c r="M277" i="24"/>
  <c r="M276" i="24"/>
  <c r="M275" i="24"/>
  <c r="M274" i="24"/>
  <c r="M273" i="24"/>
  <c r="M272" i="24"/>
  <c r="M271" i="24"/>
  <c r="M270" i="24"/>
  <c r="M269" i="24"/>
  <c r="M268" i="24"/>
  <c r="M267" i="24"/>
  <c r="M266" i="24"/>
  <c r="M265" i="24"/>
  <c r="M264" i="24"/>
  <c r="M263" i="24"/>
  <c r="M262" i="24"/>
  <c r="M261" i="24"/>
  <c r="M260" i="24"/>
  <c r="M259" i="24"/>
  <c r="M258" i="24"/>
  <c r="M257" i="24"/>
  <c r="M256" i="24"/>
  <c r="M255" i="24"/>
  <c r="M254" i="24"/>
  <c r="M253" i="24"/>
  <c r="M252" i="24"/>
  <c r="M251" i="24"/>
  <c r="M250" i="24"/>
  <c r="M249" i="24"/>
  <c r="M248" i="24"/>
  <c r="M247" i="24"/>
  <c r="M246" i="24"/>
  <c r="M245" i="24"/>
  <c r="M244" i="24"/>
  <c r="M243" i="24"/>
  <c r="M242" i="24"/>
  <c r="M241" i="24"/>
  <c r="M240" i="24"/>
  <c r="M239" i="24"/>
  <c r="M238" i="24"/>
  <c r="M237" i="24"/>
  <c r="M236" i="24"/>
  <c r="M235" i="24"/>
  <c r="M234" i="24"/>
  <c r="M233" i="24"/>
  <c r="M232" i="24"/>
  <c r="M231" i="24"/>
  <c r="M230" i="24"/>
  <c r="M229" i="24"/>
  <c r="M228" i="24"/>
  <c r="M227" i="24"/>
  <c r="M226" i="24"/>
  <c r="M225" i="24"/>
  <c r="M224" i="24"/>
  <c r="M223" i="24"/>
  <c r="M222" i="24"/>
  <c r="M221" i="24"/>
  <c r="M220" i="24"/>
  <c r="M219" i="24"/>
  <c r="M218" i="24"/>
  <c r="M217" i="24"/>
  <c r="M216" i="24"/>
  <c r="M215" i="24"/>
  <c r="M214" i="24"/>
  <c r="M213" i="24"/>
  <c r="M212" i="24"/>
  <c r="M211" i="24"/>
  <c r="M210" i="24"/>
  <c r="M209" i="24"/>
  <c r="M208" i="24"/>
  <c r="M207" i="24"/>
  <c r="M206" i="24"/>
  <c r="M205" i="24"/>
  <c r="M204" i="24"/>
  <c r="M203" i="24"/>
  <c r="M202" i="24"/>
  <c r="M201" i="24"/>
  <c r="M200" i="24"/>
  <c r="M199" i="24"/>
  <c r="M198" i="24"/>
  <c r="M197" i="24"/>
  <c r="M196" i="24"/>
  <c r="M195" i="24"/>
  <c r="M194" i="24"/>
  <c r="M193" i="24"/>
  <c r="M192" i="24"/>
  <c r="M191" i="24"/>
  <c r="M190" i="24"/>
  <c r="M189" i="24"/>
  <c r="M188" i="24"/>
  <c r="M187" i="24"/>
  <c r="M186" i="24"/>
  <c r="M185" i="24"/>
  <c r="M184" i="24"/>
  <c r="M183" i="24"/>
  <c r="M182" i="24"/>
  <c r="M181" i="24"/>
  <c r="M180" i="24"/>
  <c r="M179" i="24"/>
  <c r="M178" i="24"/>
  <c r="M177" i="24"/>
  <c r="M176" i="24"/>
  <c r="M175" i="24"/>
  <c r="M174" i="24"/>
  <c r="M173" i="24"/>
  <c r="M172" i="24"/>
  <c r="M171" i="24"/>
  <c r="M170" i="24"/>
  <c r="M169" i="24"/>
  <c r="M168" i="24"/>
  <c r="M167" i="24"/>
  <c r="M166" i="24"/>
  <c r="M165" i="24"/>
  <c r="M164" i="24"/>
  <c r="M163" i="24"/>
  <c r="M162" i="24"/>
  <c r="M161" i="24"/>
  <c r="M160" i="24"/>
  <c r="M159" i="24"/>
  <c r="M158" i="24"/>
  <c r="M157" i="24"/>
  <c r="M156" i="24"/>
  <c r="M155" i="24"/>
  <c r="M154" i="24"/>
  <c r="M153" i="24"/>
  <c r="M152" i="24"/>
  <c r="M151" i="24"/>
  <c r="M150" i="24"/>
  <c r="M149" i="24"/>
  <c r="M148" i="24"/>
  <c r="M147" i="24"/>
  <c r="M146" i="24"/>
  <c r="M145" i="24"/>
  <c r="M144" i="24"/>
  <c r="M143" i="24"/>
  <c r="M142" i="24"/>
  <c r="M141" i="24"/>
  <c r="M140" i="24"/>
  <c r="M139" i="24"/>
  <c r="M138" i="24"/>
  <c r="M137" i="24"/>
  <c r="M136" i="24"/>
  <c r="M135" i="24"/>
  <c r="M134" i="24"/>
  <c r="M133" i="24"/>
  <c r="M132" i="24"/>
  <c r="M131" i="24"/>
  <c r="M130" i="24"/>
  <c r="M129" i="24"/>
  <c r="M128" i="24"/>
  <c r="M127" i="24"/>
  <c r="M126" i="24"/>
  <c r="M125" i="24"/>
  <c r="M124" i="24"/>
  <c r="M123" i="24"/>
  <c r="M122" i="24"/>
  <c r="M121" i="24"/>
  <c r="M120" i="24"/>
  <c r="M119" i="24"/>
  <c r="M118" i="24"/>
  <c r="M117" i="24"/>
  <c r="M116" i="24"/>
  <c r="M115" i="24"/>
  <c r="M114" i="24"/>
  <c r="M113" i="24"/>
  <c r="M112" i="24"/>
  <c r="M111" i="24"/>
  <c r="M110" i="24"/>
  <c r="M109" i="24"/>
  <c r="M108" i="24"/>
  <c r="M107" i="24"/>
  <c r="M106" i="24"/>
  <c r="M105" i="24"/>
  <c r="M104" i="24"/>
  <c r="M103" i="24"/>
  <c r="M102" i="24"/>
  <c r="M101" i="24"/>
  <c r="M100" i="24"/>
  <c r="M99" i="24"/>
  <c r="M98" i="24"/>
  <c r="M97" i="24"/>
  <c r="M96" i="24"/>
  <c r="M95" i="24"/>
  <c r="M94" i="24"/>
  <c r="M93" i="24"/>
  <c r="M92" i="24"/>
  <c r="M91" i="24"/>
  <c r="M90" i="24"/>
  <c r="M89" i="24"/>
  <c r="M88" i="24"/>
  <c r="M87" i="24"/>
  <c r="M86" i="24"/>
  <c r="M85" i="24"/>
  <c r="M84" i="24"/>
  <c r="M83" i="24"/>
  <c r="M82" i="24"/>
  <c r="M81" i="24"/>
  <c r="M80" i="24"/>
  <c r="M79" i="24"/>
  <c r="M78" i="24"/>
  <c r="M77" i="24"/>
  <c r="M76" i="24"/>
  <c r="M75" i="24"/>
  <c r="M74" i="24"/>
  <c r="M73" i="24"/>
  <c r="M72" i="24"/>
  <c r="M71" i="24"/>
  <c r="M70" i="24"/>
  <c r="M69" i="24"/>
  <c r="M68" i="24"/>
  <c r="M67" i="24"/>
  <c r="M66" i="24"/>
  <c r="M65" i="24"/>
  <c r="M64" i="24"/>
  <c r="M63" i="24"/>
  <c r="M62" i="24"/>
  <c r="M61" i="24"/>
  <c r="M60" i="24"/>
  <c r="M59" i="24"/>
  <c r="M58" i="24"/>
  <c r="M57" i="24"/>
  <c r="M56" i="24"/>
  <c r="M55" i="24"/>
  <c r="M54" i="24"/>
  <c r="M53" i="24"/>
  <c r="M52" i="24"/>
  <c r="M51" i="24"/>
  <c r="M50" i="24"/>
  <c r="M49" i="24"/>
  <c r="M48" i="24"/>
  <c r="M47" i="24"/>
  <c r="M46" i="24"/>
  <c r="M45" i="24"/>
  <c r="M44" i="24"/>
  <c r="M43" i="24"/>
  <c r="M42" i="24"/>
  <c r="M41" i="24"/>
  <c r="M40" i="24"/>
  <c r="M39" i="24"/>
  <c r="M38" i="24"/>
  <c r="M37" i="24"/>
  <c r="M36" i="24"/>
  <c r="M35" i="24"/>
  <c r="M34" i="24"/>
  <c r="M33" i="24"/>
  <c r="M32" i="24"/>
  <c r="M31" i="24"/>
  <c r="M30" i="24"/>
  <c r="M29" i="24"/>
  <c r="M28" i="24"/>
  <c r="M27" i="24"/>
  <c r="M26" i="24"/>
  <c r="M25" i="24"/>
  <c r="M24" i="24"/>
  <c r="M23" i="24"/>
  <c r="M22" i="24"/>
  <c r="M21" i="24"/>
  <c r="M20" i="24"/>
  <c r="M19" i="24"/>
  <c r="M18" i="24"/>
  <c r="M17" i="24"/>
  <c r="M16" i="24"/>
  <c r="M15" i="24"/>
  <c r="M14" i="24"/>
  <c r="M13" i="24"/>
  <c r="M12" i="24"/>
  <c r="M11" i="24"/>
  <c r="M10" i="24"/>
  <c r="M9" i="24"/>
  <c r="M43" i="23"/>
  <c r="M42" i="23"/>
  <c r="M41" i="23"/>
  <c r="M40" i="23"/>
  <c r="M39" i="23"/>
  <c r="M38" i="23"/>
  <c r="M37" i="23"/>
  <c r="M36" i="23"/>
  <c r="M35" i="23"/>
  <c r="M34" i="23"/>
  <c r="M33" i="23"/>
  <c r="M32" i="23"/>
  <c r="M31" i="23"/>
  <c r="M30" i="23"/>
  <c r="M29" i="23"/>
  <c r="M28" i="23"/>
  <c r="M27" i="23"/>
  <c r="M26" i="23"/>
  <c r="M25" i="23"/>
  <c r="M24" i="23"/>
  <c r="M23" i="23"/>
  <c r="M22" i="23"/>
  <c r="M21" i="23"/>
  <c r="M20" i="23"/>
  <c r="M19" i="23"/>
  <c r="M18" i="23"/>
  <c r="M17" i="23"/>
  <c r="M16" i="23"/>
  <c r="M15" i="23"/>
  <c r="M14" i="23"/>
  <c r="M13" i="23"/>
  <c r="M12" i="23"/>
  <c r="M11" i="23"/>
  <c r="M10" i="23"/>
  <c r="M9" i="23"/>
  <c r="M468" i="22"/>
  <c r="M467" i="22"/>
  <c r="M466" i="22"/>
  <c r="M465" i="22"/>
  <c r="M464" i="22"/>
  <c r="M463" i="22"/>
  <c r="M462" i="22"/>
  <c r="M461" i="22"/>
  <c r="M460" i="22"/>
  <c r="M459" i="22"/>
  <c r="M458" i="22"/>
  <c r="M457" i="22"/>
  <c r="M456" i="22"/>
  <c r="M455" i="22"/>
  <c r="M454" i="22"/>
  <c r="M453" i="22"/>
  <c r="M452" i="22"/>
  <c r="M451" i="22"/>
  <c r="M450" i="22"/>
  <c r="M449" i="22"/>
  <c r="M448" i="22"/>
  <c r="M447" i="22"/>
  <c r="M446" i="22"/>
  <c r="M445" i="22"/>
  <c r="M444" i="22"/>
  <c r="M443" i="22"/>
  <c r="M442" i="22"/>
  <c r="M441" i="22"/>
  <c r="M440" i="22"/>
  <c r="M439" i="22"/>
  <c r="M438" i="22"/>
  <c r="M437" i="22"/>
  <c r="M436" i="22"/>
  <c r="M435" i="22"/>
  <c r="M434" i="22"/>
  <c r="M433" i="22"/>
  <c r="M432" i="22"/>
  <c r="M431" i="22"/>
  <c r="M430" i="22"/>
  <c r="M429" i="22"/>
  <c r="M428" i="22"/>
  <c r="M427" i="22"/>
  <c r="M426" i="22"/>
  <c r="M425" i="22"/>
  <c r="M424" i="22"/>
  <c r="M423" i="22"/>
  <c r="M422" i="22"/>
  <c r="M421" i="22"/>
  <c r="M420" i="22"/>
  <c r="M419" i="22"/>
  <c r="M418" i="22"/>
  <c r="M417" i="22"/>
  <c r="M416" i="22"/>
  <c r="M415" i="22"/>
  <c r="M414" i="22"/>
  <c r="M413" i="22"/>
  <c r="M412" i="22"/>
  <c r="M411" i="22"/>
  <c r="M410" i="22"/>
  <c r="M409" i="22"/>
  <c r="M408" i="22"/>
  <c r="M407" i="22"/>
  <c r="M406" i="22"/>
  <c r="M405" i="22"/>
  <c r="M404" i="22"/>
  <c r="M403" i="22"/>
  <c r="M402" i="22"/>
  <c r="M401" i="22"/>
  <c r="M400" i="22"/>
  <c r="M399" i="22"/>
  <c r="M398" i="22"/>
  <c r="M397" i="22"/>
  <c r="M396" i="22"/>
  <c r="M395" i="22"/>
  <c r="M394" i="22"/>
  <c r="M393" i="22"/>
  <c r="M392" i="22"/>
  <c r="M391" i="22"/>
  <c r="M390" i="22"/>
  <c r="M389" i="22"/>
  <c r="M388" i="22"/>
  <c r="M387" i="22"/>
  <c r="M386" i="22"/>
  <c r="M385" i="22"/>
  <c r="M384" i="22"/>
  <c r="M383" i="22"/>
  <c r="M382" i="22"/>
  <c r="M381" i="22"/>
  <c r="M380" i="22"/>
  <c r="M379" i="22"/>
  <c r="M378" i="22"/>
  <c r="M377" i="22"/>
  <c r="M376" i="22"/>
  <c r="M375" i="22"/>
  <c r="M374" i="22"/>
  <c r="M373" i="22"/>
  <c r="M372" i="22"/>
  <c r="M371" i="22"/>
  <c r="M370" i="22"/>
  <c r="M369" i="22"/>
  <c r="M368" i="22"/>
  <c r="M367" i="22"/>
  <c r="M366" i="22"/>
  <c r="M365" i="22"/>
  <c r="M364" i="22"/>
  <c r="M363" i="22"/>
  <c r="M362" i="22"/>
  <c r="M361" i="22"/>
  <c r="M360" i="22"/>
  <c r="M359" i="22"/>
  <c r="M358" i="22"/>
  <c r="M357" i="22"/>
  <c r="M356" i="22"/>
  <c r="M355" i="22"/>
  <c r="M354" i="22"/>
  <c r="M353" i="22"/>
  <c r="M352" i="22"/>
  <c r="M351" i="22"/>
  <c r="M350" i="22"/>
  <c r="M349" i="22"/>
  <c r="M348" i="22"/>
  <c r="M347" i="22"/>
  <c r="M346" i="22"/>
  <c r="M345" i="22"/>
  <c r="M344" i="22"/>
  <c r="M343" i="22"/>
  <c r="M342" i="22"/>
  <c r="M341" i="22"/>
  <c r="M340" i="22"/>
  <c r="M339" i="22"/>
  <c r="M338" i="22"/>
  <c r="M337" i="22"/>
  <c r="M336" i="22"/>
  <c r="M335" i="22"/>
  <c r="M334" i="22"/>
  <c r="M333" i="22"/>
  <c r="M332" i="22"/>
  <c r="M331" i="22"/>
  <c r="M330" i="22"/>
  <c r="M329" i="22"/>
  <c r="M328" i="22"/>
  <c r="M327" i="22"/>
  <c r="M326" i="22"/>
  <c r="M325" i="22"/>
  <c r="M324" i="22"/>
  <c r="M323" i="22"/>
  <c r="M322" i="22"/>
  <c r="M321" i="22"/>
  <c r="M320" i="22"/>
  <c r="M319" i="22"/>
  <c r="M318" i="22"/>
  <c r="M317" i="22"/>
  <c r="M316" i="22"/>
  <c r="M315" i="22"/>
  <c r="M314" i="22"/>
  <c r="M313" i="22"/>
  <c r="M312" i="22"/>
  <c r="M311" i="22"/>
  <c r="M310" i="22"/>
  <c r="M309" i="22"/>
  <c r="M308" i="22"/>
  <c r="M307" i="22"/>
  <c r="M306" i="22"/>
  <c r="M305" i="22"/>
  <c r="M304" i="22"/>
  <c r="M303" i="22"/>
  <c r="M302" i="22"/>
  <c r="M301" i="22"/>
  <c r="M300" i="22"/>
  <c r="M299" i="22"/>
  <c r="M298" i="22"/>
  <c r="M297" i="22"/>
  <c r="M296" i="22"/>
  <c r="M295" i="22"/>
  <c r="M294" i="22"/>
  <c r="M293" i="22"/>
  <c r="M292" i="22"/>
  <c r="M291" i="22"/>
  <c r="M290" i="22"/>
  <c r="M289" i="22"/>
  <c r="M288" i="22"/>
  <c r="M287" i="22"/>
  <c r="M286" i="22"/>
  <c r="M285" i="22"/>
  <c r="M284" i="22"/>
  <c r="M283" i="22"/>
  <c r="M282" i="22"/>
  <c r="M281" i="22"/>
  <c r="M280" i="22"/>
  <c r="M279" i="22"/>
  <c r="M278" i="22"/>
  <c r="M277" i="22"/>
  <c r="M276" i="22"/>
  <c r="M275" i="22"/>
  <c r="M274" i="22"/>
  <c r="M273" i="22"/>
  <c r="M272" i="22"/>
  <c r="M271" i="22"/>
  <c r="M270" i="22"/>
  <c r="M269" i="22"/>
  <c r="M268" i="22"/>
  <c r="M267" i="22"/>
  <c r="M266" i="22"/>
  <c r="M265" i="22"/>
  <c r="M264" i="22"/>
  <c r="M263" i="22"/>
  <c r="M262" i="22"/>
  <c r="M261" i="22"/>
  <c r="M260" i="22"/>
  <c r="M259" i="22"/>
  <c r="M258" i="22"/>
  <c r="M257" i="22"/>
  <c r="M256" i="22"/>
  <c r="M255" i="22"/>
  <c r="M254" i="22"/>
  <c r="M253" i="22"/>
  <c r="M252" i="22"/>
  <c r="M251" i="22"/>
  <c r="M250" i="22"/>
  <c r="M249" i="22"/>
  <c r="M248" i="22"/>
  <c r="M247" i="22"/>
  <c r="M246" i="22"/>
  <c r="M245" i="22"/>
  <c r="M244" i="22"/>
  <c r="M243" i="22"/>
  <c r="M242" i="22"/>
  <c r="M241" i="22"/>
  <c r="M240" i="22"/>
  <c r="M239" i="22"/>
  <c r="M238" i="22"/>
  <c r="M237" i="22"/>
  <c r="M236" i="22"/>
  <c r="M235" i="22"/>
  <c r="M234" i="22"/>
  <c r="M233" i="22"/>
  <c r="M232" i="22"/>
  <c r="M231" i="22"/>
  <c r="M230" i="22"/>
  <c r="M229" i="22"/>
  <c r="M228" i="22"/>
  <c r="M227" i="22"/>
  <c r="M226" i="22"/>
  <c r="M225" i="22"/>
  <c r="M224" i="22"/>
  <c r="M223" i="22"/>
  <c r="M222" i="22"/>
  <c r="M221" i="22"/>
  <c r="M220" i="22"/>
  <c r="M219" i="22"/>
  <c r="M218" i="22"/>
  <c r="M217" i="22"/>
  <c r="M216" i="22"/>
  <c r="M215" i="22"/>
  <c r="M214" i="22"/>
  <c r="M213" i="22"/>
  <c r="M212" i="22"/>
  <c r="M211" i="22"/>
  <c r="M210" i="22"/>
  <c r="M209" i="22"/>
  <c r="M208" i="22"/>
  <c r="M207" i="22"/>
  <c r="M206" i="22"/>
  <c r="M205" i="22"/>
  <c r="M204" i="22"/>
  <c r="M203" i="22"/>
  <c r="M202" i="22"/>
  <c r="M201" i="22"/>
  <c r="M200" i="22"/>
  <c r="M199" i="22"/>
  <c r="M198" i="22"/>
  <c r="M197" i="22"/>
  <c r="M196" i="22"/>
  <c r="M195" i="22"/>
  <c r="M194" i="22"/>
  <c r="M193" i="22"/>
  <c r="M192" i="22"/>
  <c r="M191" i="22"/>
  <c r="M190" i="22"/>
  <c r="M189" i="22"/>
  <c r="M188" i="22"/>
  <c r="M187" i="22"/>
  <c r="M186" i="22"/>
  <c r="M185" i="22"/>
  <c r="M184" i="22"/>
  <c r="M183" i="22"/>
  <c r="M182" i="22"/>
  <c r="M181" i="22"/>
  <c r="M180" i="22"/>
  <c r="M179" i="22"/>
  <c r="M178" i="22"/>
  <c r="M177" i="22"/>
  <c r="M176" i="22"/>
  <c r="M175" i="22"/>
  <c r="M174" i="22"/>
  <c r="M173" i="22"/>
  <c r="M172" i="22"/>
  <c r="M171" i="22"/>
  <c r="M170" i="22"/>
  <c r="M169" i="22"/>
  <c r="M168" i="22"/>
  <c r="M167" i="22"/>
  <c r="M166" i="22"/>
  <c r="M165" i="22"/>
  <c r="M164" i="22"/>
  <c r="M163" i="22"/>
  <c r="M162" i="22"/>
  <c r="M161" i="22"/>
  <c r="M160" i="22"/>
  <c r="M159" i="22"/>
  <c r="M158" i="22"/>
  <c r="M157" i="22"/>
  <c r="M156" i="22"/>
  <c r="M155" i="22"/>
  <c r="M154" i="22"/>
  <c r="M153" i="22"/>
  <c r="M152" i="22"/>
  <c r="M151" i="22"/>
  <c r="M150" i="22"/>
  <c r="M149" i="22"/>
  <c r="M148" i="22"/>
  <c r="M147" i="22"/>
  <c r="M146" i="22"/>
  <c r="M145" i="22"/>
  <c r="M144" i="22"/>
  <c r="M143" i="22"/>
  <c r="M142" i="22"/>
  <c r="M141" i="22"/>
  <c r="M140" i="22"/>
  <c r="M139" i="22"/>
  <c r="M138" i="22"/>
  <c r="M137" i="22"/>
  <c r="M136" i="22"/>
  <c r="M135" i="22"/>
  <c r="M134" i="22"/>
  <c r="M133" i="22"/>
  <c r="M132" i="22"/>
  <c r="M131" i="22"/>
  <c r="M130" i="22"/>
  <c r="M129" i="22"/>
  <c r="M128" i="22"/>
  <c r="M127" i="22"/>
  <c r="M126" i="22"/>
  <c r="M125" i="22"/>
  <c r="M124" i="22"/>
  <c r="M123" i="22"/>
  <c r="M122" i="22"/>
  <c r="M121" i="22"/>
  <c r="M120" i="22"/>
  <c r="M119" i="22"/>
  <c r="M118" i="22"/>
  <c r="M117" i="22"/>
  <c r="M116" i="22"/>
  <c r="M115" i="22"/>
  <c r="M114" i="22"/>
  <c r="M113" i="22"/>
  <c r="M112" i="22"/>
  <c r="M111" i="22"/>
  <c r="M110" i="22"/>
  <c r="M109" i="22"/>
  <c r="M108" i="22"/>
  <c r="M107" i="22"/>
  <c r="M106" i="22"/>
  <c r="M105" i="22"/>
  <c r="M104" i="22"/>
  <c r="M103" i="22"/>
  <c r="M102" i="22"/>
  <c r="M101" i="22"/>
  <c r="M100" i="22"/>
  <c r="M99" i="22"/>
  <c r="M98" i="22"/>
  <c r="M97" i="22"/>
  <c r="M96" i="22"/>
  <c r="M95" i="22"/>
  <c r="M94" i="22"/>
  <c r="M93" i="22"/>
  <c r="M92" i="22"/>
  <c r="M91" i="22"/>
  <c r="M90" i="22"/>
  <c r="M89" i="22"/>
  <c r="M88" i="22"/>
  <c r="M87" i="22"/>
  <c r="M86" i="22"/>
  <c r="M85" i="22"/>
  <c r="M84" i="22"/>
  <c r="M83" i="22"/>
  <c r="M82" i="22"/>
  <c r="M81" i="22"/>
  <c r="M80" i="22"/>
  <c r="M79" i="22"/>
  <c r="M78" i="22"/>
  <c r="M77" i="22"/>
  <c r="M76" i="22"/>
  <c r="M75" i="22"/>
  <c r="M74" i="22"/>
  <c r="M73" i="22"/>
  <c r="M72" i="22"/>
  <c r="M71" i="22"/>
  <c r="M70" i="22"/>
  <c r="M69" i="22"/>
  <c r="M68" i="22"/>
  <c r="M67" i="22"/>
  <c r="M66" i="22"/>
  <c r="M65" i="22"/>
  <c r="M64" i="22"/>
  <c r="M63" i="22"/>
  <c r="M62" i="22"/>
  <c r="M61" i="22"/>
  <c r="M60" i="22"/>
  <c r="M59" i="22"/>
  <c r="M58" i="22"/>
  <c r="M57" i="22"/>
  <c r="M56" i="22"/>
  <c r="M55" i="22"/>
  <c r="M54" i="22"/>
  <c r="M53" i="22"/>
  <c r="M52" i="22"/>
  <c r="M51" i="22"/>
  <c r="M50" i="22"/>
  <c r="M49" i="22"/>
  <c r="M48" i="22"/>
  <c r="M47" i="22"/>
  <c r="M46" i="22"/>
  <c r="M45" i="22"/>
  <c r="M44" i="22"/>
  <c r="M43" i="22"/>
  <c r="M42" i="22"/>
  <c r="M41" i="22"/>
  <c r="M40" i="22"/>
  <c r="M39" i="22"/>
  <c r="M38" i="22"/>
  <c r="M37" i="22"/>
  <c r="M36" i="22"/>
  <c r="M35" i="22"/>
  <c r="M34" i="22"/>
  <c r="M33" i="22"/>
  <c r="M32" i="22"/>
  <c r="M31" i="22"/>
  <c r="M30" i="22"/>
  <c r="M29" i="22"/>
  <c r="M28" i="22"/>
  <c r="M27" i="22"/>
  <c r="M26" i="22"/>
  <c r="M25" i="22"/>
  <c r="M24" i="22"/>
  <c r="M23" i="22"/>
  <c r="M22" i="22"/>
  <c r="M21" i="22"/>
  <c r="M20" i="22"/>
  <c r="M19" i="22"/>
  <c r="M18" i="22"/>
  <c r="M17" i="22"/>
  <c r="M16" i="22"/>
  <c r="M15" i="22"/>
  <c r="M14" i="22"/>
  <c r="M13" i="22"/>
  <c r="M12" i="22"/>
  <c r="M11" i="22"/>
  <c r="M10" i="22"/>
  <c r="M9" i="22"/>
  <c r="M590" i="21"/>
  <c r="M589" i="21"/>
  <c r="M588" i="21"/>
  <c r="M587" i="21"/>
  <c r="M586" i="21"/>
  <c r="M585" i="21"/>
  <c r="M584" i="21"/>
  <c r="M583" i="21"/>
  <c r="M582" i="21"/>
  <c r="M581" i="21"/>
  <c r="M580" i="21"/>
  <c r="M579" i="21"/>
  <c r="M578" i="21"/>
  <c r="M577" i="21"/>
  <c r="M576" i="21"/>
  <c r="M575" i="21"/>
  <c r="M574" i="21"/>
  <c r="M573" i="21"/>
  <c r="M572" i="21"/>
  <c r="M571" i="21"/>
  <c r="M570" i="21"/>
  <c r="M569" i="21"/>
  <c r="M568" i="21"/>
  <c r="M567" i="21"/>
  <c r="M566" i="21"/>
  <c r="M565" i="21"/>
  <c r="M564" i="21"/>
  <c r="M563" i="21"/>
  <c r="M562" i="21"/>
  <c r="M561" i="21"/>
  <c r="M560" i="21"/>
  <c r="M559" i="21"/>
  <c r="M558" i="21"/>
  <c r="M557" i="21"/>
  <c r="M556" i="21"/>
  <c r="M555" i="21"/>
  <c r="M554" i="21"/>
  <c r="M553" i="21"/>
  <c r="M552" i="21"/>
  <c r="M551" i="21"/>
  <c r="M550" i="21"/>
  <c r="M549" i="21"/>
  <c r="M548" i="21"/>
  <c r="M547" i="21"/>
  <c r="M546" i="21"/>
  <c r="M545" i="21"/>
  <c r="M544" i="21"/>
  <c r="M543" i="21"/>
  <c r="M542" i="21"/>
  <c r="M541" i="21"/>
  <c r="M540" i="21"/>
  <c r="M539" i="21"/>
  <c r="M538" i="21"/>
  <c r="M537" i="21"/>
  <c r="M536" i="21"/>
  <c r="M535" i="21"/>
  <c r="M534" i="21"/>
  <c r="M533" i="21"/>
  <c r="M532" i="21"/>
  <c r="M531" i="21"/>
  <c r="M530" i="21"/>
  <c r="M529" i="21"/>
  <c r="M528" i="21"/>
  <c r="M527" i="21"/>
  <c r="M526" i="21"/>
  <c r="M525" i="21"/>
  <c r="M524" i="21"/>
  <c r="M523" i="21"/>
  <c r="M522" i="21"/>
  <c r="M521" i="21"/>
  <c r="M520" i="21"/>
  <c r="M519" i="21"/>
  <c r="M518" i="21"/>
  <c r="M517" i="21"/>
  <c r="M516" i="21"/>
  <c r="M515" i="21"/>
  <c r="M514" i="21"/>
  <c r="M513" i="21"/>
  <c r="M512" i="21"/>
  <c r="M511" i="21"/>
  <c r="M510" i="21"/>
  <c r="M509" i="21"/>
  <c r="M508" i="21"/>
  <c r="M507" i="21"/>
  <c r="M506" i="21"/>
  <c r="M505" i="21"/>
  <c r="M504" i="21"/>
  <c r="M503" i="21"/>
  <c r="M502" i="21"/>
  <c r="M501" i="21"/>
  <c r="M500" i="21"/>
  <c r="M499" i="21"/>
  <c r="M498" i="21"/>
  <c r="M497" i="21"/>
  <c r="M496" i="21"/>
  <c r="M495" i="21"/>
  <c r="M494" i="21"/>
  <c r="M493" i="21"/>
  <c r="M492" i="21"/>
  <c r="M491" i="21"/>
  <c r="M490" i="21"/>
  <c r="M489" i="21"/>
  <c r="M488" i="21"/>
  <c r="M487" i="21"/>
  <c r="M486" i="21"/>
  <c r="M485" i="21"/>
  <c r="M484" i="21"/>
  <c r="M483" i="21"/>
  <c r="M482" i="21"/>
  <c r="M481" i="21"/>
  <c r="M480" i="21"/>
  <c r="M479" i="21"/>
  <c r="M478" i="21"/>
  <c r="M477" i="21"/>
  <c r="M476" i="21"/>
  <c r="M475" i="21"/>
  <c r="M474" i="21"/>
  <c r="M473" i="21"/>
  <c r="M472" i="21"/>
  <c r="M471" i="21"/>
  <c r="M470" i="21"/>
  <c r="M469" i="21"/>
  <c r="M468" i="21"/>
  <c r="M467" i="21"/>
  <c r="M466" i="21"/>
  <c r="M465" i="21"/>
  <c r="M464" i="21"/>
  <c r="M463" i="21"/>
  <c r="M462" i="21"/>
  <c r="M461" i="21"/>
  <c r="M460" i="21"/>
  <c r="M459" i="21"/>
  <c r="M458" i="21"/>
  <c r="M457" i="21"/>
  <c r="M456" i="21"/>
  <c r="M455" i="21"/>
  <c r="M454" i="21"/>
  <c r="M453" i="21"/>
  <c r="M452" i="21"/>
  <c r="M451" i="21"/>
  <c r="M450" i="21"/>
  <c r="M449" i="21"/>
  <c r="M448" i="21"/>
  <c r="M447" i="21"/>
  <c r="M446" i="21"/>
  <c r="M445" i="21"/>
  <c r="M444" i="21"/>
  <c r="M443" i="21"/>
  <c r="M442" i="21"/>
  <c r="M441" i="21"/>
  <c r="M440" i="21"/>
  <c r="M439" i="21"/>
  <c r="M438" i="21"/>
  <c r="M437" i="21"/>
  <c r="M436" i="21"/>
  <c r="M435" i="21"/>
  <c r="M434" i="21"/>
  <c r="M433" i="21"/>
  <c r="M432" i="21"/>
  <c r="M431" i="21"/>
  <c r="M430" i="21"/>
  <c r="M429" i="21"/>
  <c r="M428" i="21"/>
  <c r="M427" i="21"/>
  <c r="M426" i="21"/>
  <c r="M425" i="21"/>
  <c r="M424" i="21"/>
  <c r="M423" i="21"/>
  <c r="M422" i="21"/>
  <c r="M421" i="21"/>
  <c r="M420" i="21"/>
  <c r="M419" i="21"/>
  <c r="M418" i="21"/>
  <c r="M417" i="21"/>
  <c r="M416" i="21"/>
  <c r="M415" i="21"/>
  <c r="M414" i="21"/>
  <c r="M413" i="21"/>
  <c r="M412" i="21"/>
  <c r="M411" i="21"/>
  <c r="M410" i="21"/>
  <c r="M409" i="21"/>
  <c r="M408" i="21"/>
  <c r="M407" i="21"/>
  <c r="M406" i="21"/>
  <c r="M405" i="21"/>
  <c r="M404" i="21"/>
  <c r="M403" i="21"/>
  <c r="M402" i="21"/>
  <c r="M401" i="21"/>
  <c r="M400" i="21"/>
  <c r="M399" i="21"/>
  <c r="M398" i="21"/>
  <c r="M397" i="21"/>
  <c r="M396" i="21"/>
  <c r="M395" i="21"/>
  <c r="M394" i="21"/>
  <c r="M393" i="21"/>
  <c r="M392" i="21"/>
  <c r="M391" i="21"/>
  <c r="M390" i="21"/>
  <c r="M389" i="21"/>
  <c r="M388" i="21"/>
  <c r="M387" i="21"/>
  <c r="M386" i="21"/>
  <c r="M385" i="21"/>
  <c r="M384" i="21"/>
  <c r="M383" i="21"/>
  <c r="M382" i="21"/>
  <c r="M381" i="21"/>
  <c r="M380" i="21"/>
  <c r="M379" i="21"/>
  <c r="M378" i="21"/>
  <c r="M377" i="21"/>
  <c r="M376" i="21"/>
  <c r="M375" i="21"/>
  <c r="M374" i="21"/>
  <c r="M373" i="21"/>
  <c r="M372" i="21"/>
  <c r="M371" i="21"/>
  <c r="M370" i="21"/>
  <c r="M369" i="21"/>
  <c r="M368" i="21"/>
  <c r="M367" i="21"/>
  <c r="M366" i="21"/>
  <c r="M365" i="21"/>
  <c r="M364" i="21"/>
  <c r="M363" i="21"/>
  <c r="M362" i="21"/>
  <c r="M361" i="21"/>
  <c r="M360" i="21"/>
  <c r="M359" i="21"/>
  <c r="M358" i="21"/>
  <c r="M357" i="21"/>
  <c r="M356" i="21"/>
  <c r="M355" i="21"/>
  <c r="M354" i="21"/>
  <c r="M353" i="21"/>
  <c r="M352" i="21"/>
  <c r="M351" i="21"/>
  <c r="M350" i="21"/>
  <c r="M349" i="21"/>
  <c r="M348" i="21"/>
  <c r="M347" i="21"/>
  <c r="M346" i="21"/>
  <c r="M345" i="21"/>
  <c r="M344" i="21"/>
  <c r="M343" i="21"/>
  <c r="M342" i="21"/>
  <c r="M341" i="21"/>
  <c r="M340" i="21"/>
  <c r="M339" i="21"/>
  <c r="M338" i="21"/>
  <c r="M337" i="21"/>
  <c r="M336" i="21"/>
  <c r="M335" i="21"/>
  <c r="M334" i="21"/>
  <c r="M333" i="21"/>
  <c r="M332" i="21"/>
  <c r="M331" i="21"/>
  <c r="M330" i="21"/>
  <c r="M329" i="21"/>
  <c r="M328" i="21"/>
  <c r="M327" i="21"/>
  <c r="M326" i="21"/>
  <c r="M325" i="21"/>
  <c r="M324" i="21"/>
  <c r="M323" i="21"/>
  <c r="M322" i="21"/>
  <c r="M321" i="21"/>
  <c r="M320" i="21"/>
  <c r="M319" i="21"/>
  <c r="M318" i="21"/>
  <c r="M317" i="21"/>
  <c r="M316" i="21"/>
  <c r="M315" i="21"/>
  <c r="M314" i="21"/>
  <c r="M313" i="21"/>
  <c r="M312" i="21"/>
  <c r="M311" i="21"/>
  <c r="M310" i="21"/>
  <c r="M309" i="21"/>
  <c r="M308" i="21"/>
  <c r="M307" i="21"/>
  <c r="M306" i="21"/>
  <c r="M305" i="21"/>
  <c r="M304" i="21"/>
  <c r="M303" i="21"/>
  <c r="M302" i="21"/>
  <c r="M301" i="21"/>
  <c r="M300" i="21"/>
  <c r="M299" i="21"/>
  <c r="M298" i="21"/>
  <c r="M297" i="21"/>
  <c r="M296" i="21"/>
  <c r="M295" i="21"/>
  <c r="M294" i="21"/>
  <c r="M293" i="21"/>
  <c r="M292" i="21"/>
  <c r="M291" i="21"/>
  <c r="M290" i="21"/>
  <c r="M289" i="21"/>
  <c r="M288" i="21"/>
  <c r="M287" i="21"/>
  <c r="M286" i="21"/>
  <c r="M285" i="21"/>
  <c r="M284" i="21"/>
  <c r="M283" i="21"/>
  <c r="M282" i="21"/>
  <c r="M281" i="21"/>
  <c r="M280" i="21"/>
  <c r="M279" i="21"/>
  <c r="M278" i="21"/>
  <c r="M277" i="21"/>
  <c r="M276" i="21"/>
  <c r="M275" i="21"/>
  <c r="M274" i="21"/>
  <c r="M273" i="21"/>
  <c r="M272" i="21"/>
  <c r="M271" i="21"/>
  <c r="M270" i="21"/>
  <c r="M269" i="21"/>
  <c r="M268" i="21"/>
  <c r="M267" i="21"/>
  <c r="M266" i="21"/>
  <c r="M265" i="21"/>
  <c r="M264" i="21"/>
  <c r="M263" i="21"/>
  <c r="M262" i="21"/>
  <c r="M261" i="21"/>
  <c r="M260" i="21"/>
  <c r="M259" i="21"/>
  <c r="M258" i="21"/>
  <c r="M257" i="21"/>
  <c r="M256" i="21"/>
  <c r="M255" i="21"/>
  <c r="M254" i="21"/>
  <c r="M253" i="21"/>
  <c r="M252" i="21"/>
  <c r="M251" i="21"/>
  <c r="M250" i="21"/>
  <c r="M249" i="21"/>
  <c r="M248" i="21"/>
  <c r="M247" i="21"/>
  <c r="M246" i="21"/>
  <c r="M245" i="21"/>
  <c r="M244" i="21"/>
  <c r="M243" i="21"/>
  <c r="M242" i="21"/>
  <c r="M241" i="21"/>
  <c r="M240" i="21"/>
  <c r="M239" i="21"/>
  <c r="M238" i="21"/>
  <c r="M237" i="21"/>
  <c r="M236" i="21"/>
  <c r="M235" i="21"/>
  <c r="M234" i="21"/>
  <c r="M233" i="21"/>
  <c r="M232" i="21"/>
  <c r="M231" i="21"/>
  <c r="M230" i="21"/>
  <c r="M229" i="21"/>
  <c r="M228" i="21"/>
  <c r="M227" i="21"/>
  <c r="M226" i="21"/>
  <c r="M225" i="21"/>
  <c r="M224" i="21"/>
  <c r="M223" i="21"/>
  <c r="M222" i="21"/>
  <c r="M221" i="21"/>
  <c r="M220" i="21"/>
  <c r="M219" i="21"/>
  <c r="M218" i="21"/>
  <c r="M217" i="21"/>
  <c r="M216" i="21"/>
  <c r="M215" i="21"/>
  <c r="M214" i="21"/>
  <c r="M213" i="21"/>
  <c r="M212" i="21"/>
  <c r="M211" i="21"/>
  <c r="M210" i="21"/>
  <c r="M209" i="21"/>
  <c r="M208" i="21"/>
  <c r="M207" i="21"/>
  <c r="M206" i="21"/>
  <c r="M205" i="21"/>
  <c r="M204" i="21"/>
  <c r="M203" i="21"/>
  <c r="M202" i="21"/>
  <c r="M201" i="21"/>
  <c r="M200" i="21"/>
  <c r="M199" i="21"/>
  <c r="M198" i="21"/>
  <c r="M197" i="21"/>
  <c r="M196" i="21"/>
  <c r="M195" i="21"/>
  <c r="M194" i="21"/>
  <c r="M193" i="21"/>
  <c r="M192" i="21"/>
  <c r="M191" i="21"/>
  <c r="M190" i="21"/>
  <c r="M189" i="21"/>
  <c r="M188" i="21"/>
  <c r="M187" i="21"/>
  <c r="M186" i="21"/>
  <c r="M185" i="21"/>
  <c r="M184" i="21"/>
  <c r="M183" i="21"/>
  <c r="M182" i="21"/>
  <c r="M181" i="21"/>
  <c r="M180" i="21"/>
  <c r="M179" i="21"/>
  <c r="M178" i="21"/>
  <c r="M177" i="21"/>
  <c r="M176" i="21"/>
  <c r="M175" i="21"/>
  <c r="M174" i="21"/>
  <c r="M173" i="21"/>
  <c r="M172" i="21"/>
  <c r="M171" i="21"/>
  <c r="M170" i="21"/>
  <c r="M169" i="21"/>
  <c r="M168" i="21"/>
  <c r="M167" i="21"/>
  <c r="M166" i="21"/>
  <c r="M165" i="21"/>
  <c r="M164" i="21"/>
  <c r="M163" i="21"/>
  <c r="M162" i="21"/>
  <c r="M161" i="21"/>
  <c r="M160" i="21"/>
  <c r="M159" i="21"/>
  <c r="M158" i="21"/>
  <c r="M157" i="21"/>
  <c r="M156" i="21"/>
  <c r="M155" i="21"/>
  <c r="M154" i="21"/>
  <c r="M153" i="21"/>
  <c r="M152" i="21"/>
  <c r="M151" i="21"/>
  <c r="M150" i="21"/>
  <c r="M149" i="21"/>
  <c r="M148" i="21"/>
  <c r="M147" i="21"/>
  <c r="M146" i="21"/>
  <c r="M145" i="21"/>
  <c r="M144" i="21"/>
  <c r="M143" i="21"/>
  <c r="M142" i="21"/>
  <c r="M141" i="21"/>
  <c r="M140" i="21"/>
  <c r="M139" i="21"/>
  <c r="M138" i="21"/>
  <c r="M137" i="21"/>
  <c r="M136" i="21"/>
  <c r="M135" i="21"/>
  <c r="M134" i="21"/>
  <c r="M133" i="21"/>
  <c r="M132" i="21"/>
  <c r="M131" i="21"/>
  <c r="M130" i="21"/>
  <c r="M129" i="21"/>
  <c r="M128" i="21"/>
  <c r="M127" i="21"/>
  <c r="M126" i="21"/>
  <c r="M125" i="21"/>
  <c r="M124" i="21"/>
  <c r="M123" i="21"/>
  <c r="M122" i="21"/>
  <c r="M121" i="21"/>
  <c r="M120" i="21"/>
  <c r="M119" i="21"/>
  <c r="M118" i="21"/>
  <c r="M117" i="21"/>
  <c r="M116" i="21"/>
  <c r="M115" i="21"/>
  <c r="M114" i="21"/>
  <c r="M113" i="21"/>
  <c r="M112" i="21"/>
  <c r="M111" i="21"/>
  <c r="M110" i="21"/>
  <c r="M109" i="21"/>
  <c r="M108" i="21"/>
  <c r="M107" i="21"/>
  <c r="M106" i="21"/>
  <c r="M105" i="21"/>
  <c r="M104" i="21"/>
  <c r="M103" i="21"/>
  <c r="M102" i="21"/>
  <c r="M101" i="21"/>
  <c r="M100" i="21"/>
  <c r="M99" i="21"/>
  <c r="M98" i="21"/>
  <c r="M97" i="21"/>
  <c r="M96" i="21"/>
  <c r="M95" i="21"/>
  <c r="M94" i="21"/>
  <c r="M93" i="21"/>
  <c r="M92" i="21"/>
  <c r="M91" i="21"/>
  <c r="M90" i="21"/>
  <c r="M89" i="21"/>
  <c r="M88" i="21"/>
  <c r="M87" i="21"/>
  <c r="M86" i="21"/>
  <c r="M85" i="21"/>
  <c r="M84" i="21"/>
  <c r="M83" i="21"/>
  <c r="M82" i="21"/>
  <c r="M81" i="21"/>
  <c r="M80" i="21"/>
  <c r="M79" i="21"/>
  <c r="M78" i="21"/>
  <c r="M77" i="21"/>
  <c r="M76" i="21"/>
  <c r="M75" i="21"/>
  <c r="M74" i="21"/>
  <c r="M73" i="21"/>
  <c r="M72" i="21"/>
  <c r="M71" i="21"/>
  <c r="M70" i="21"/>
  <c r="M69" i="21"/>
  <c r="M68" i="21"/>
  <c r="M67" i="21"/>
  <c r="M66" i="21"/>
  <c r="M65" i="21"/>
  <c r="M64" i="21"/>
  <c r="M63" i="21"/>
  <c r="M62" i="21"/>
  <c r="M61" i="21"/>
  <c r="M60" i="21"/>
  <c r="M59" i="21"/>
  <c r="M58" i="21"/>
  <c r="M57" i="21"/>
  <c r="M56" i="21"/>
  <c r="M55" i="21"/>
  <c r="M54" i="21"/>
  <c r="M53" i="21"/>
  <c r="M52" i="21"/>
  <c r="M51" i="21"/>
  <c r="M50" i="21"/>
  <c r="M49" i="21"/>
  <c r="M48" i="21"/>
  <c r="M47" i="21"/>
  <c r="M46" i="21"/>
  <c r="M45" i="21"/>
  <c r="M44" i="21"/>
  <c r="M43" i="21"/>
  <c r="M42" i="21"/>
  <c r="M41" i="21"/>
  <c r="M40" i="21"/>
  <c r="M39" i="21"/>
  <c r="M38" i="21"/>
  <c r="M37" i="21"/>
  <c r="M36" i="21"/>
  <c r="M35" i="21"/>
  <c r="M34" i="21"/>
  <c r="M33" i="21"/>
  <c r="M32" i="21"/>
  <c r="M31" i="21"/>
  <c r="M30" i="21"/>
  <c r="M29" i="21"/>
  <c r="M28" i="21"/>
  <c r="M27" i="21"/>
  <c r="M26" i="21"/>
  <c r="M25" i="21"/>
  <c r="M24" i="21"/>
  <c r="M23" i="21"/>
  <c r="M22" i="21"/>
  <c r="M21" i="21"/>
  <c r="M20" i="21"/>
  <c r="M19" i="21"/>
  <c r="M18" i="21"/>
  <c r="M17" i="21"/>
  <c r="M16" i="21"/>
  <c r="M15" i="21"/>
  <c r="M14" i="21"/>
  <c r="M13" i="21"/>
  <c r="M12" i="21"/>
  <c r="M11" i="21"/>
  <c r="M10" i="21"/>
  <c r="M9" i="21"/>
  <c r="M511" i="20"/>
  <c r="M510" i="20"/>
  <c r="M509" i="20"/>
  <c r="M508" i="20"/>
  <c r="M507" i="20"/>
  <c r="M506" i="20"/>
  <c r="M505" i="20"/>
  <c r="M504" i="20"/>
  <c r="M503" i="20"/>
  <c r="M502" i="20"/>
  <c r="M501" i="20"/>
  <c r="M500" i="20"/>
  <c r="M499" i="20"/>
  <c r="M498" i="20"/>
  <c r="M497" i="20"/>
  <c r="M496" i="20"/>
  <c r="M495" i="20"/>
  <c r="M494" i="20"/>
  <c r="M493" i="20"/>
  <c r="M492" i="20"/>
  <c r="M491" i="20"/>
  <c r="M490" i="20"/>
  <c r="M489" i="20"/>
  <c r="M488" i="20"/>
  <c r="M487" i="20"/>
  <c r="M486" i="20"/>
  <c r="M485" i="20"/>
  <c r="M484" i="20"/>
  <c r="M483" i="20"/>
  <c r="M482" i="20"/>
  <c r="M481" i="20"/>
  <c r="M480" i="20"/>
  <c r="M479" i="20"/>
  <c r="M478" i="20"/>
  <c r="M477" i="20"/>
  <c r="M476" i="20"/>
  <c r="M475" i="20"/>
  <c r="M474" i="20"/>
  <c r="M473" i="20"/>
  <c r="M472" i="20"/>
  <c r="M471" i="20"/>
  <c r="M470" i="20"/>
  <c r="M469" i="20"/>
  <c r="M468" i="20"/>
  <c r="M467" i="20"/>
  <c r="M466" i="20"/>
  <c r="M465" i="20"/>
  <c r="M464" i="20"/>
  <c r="M463" i="20"/>
  <c r="M462" i="20"/>
  <c r="M461" i="20"/>
  <c r="M460" i="20"/>
  <c r="M459" i="20"/>
  <c r="M458" i="20"/>
  <c r="M457" i="20"/>
  <c r="M456" i="20"/>
  <c r="M455" i="20"/>
  <c r="M454" i="20"/>
  <c r="M453" i="20"/>
  <c r="M452" i="20"/>
  <c r="M451" i="20"/>
  <c r="M450" i="20"/>
  <c r="M449" i="20"/>
  <c r="M448" i="20"/>
  <c r="M447" i="20"/>
  <c r="M446" i="20"/>
  <c r="M445" i="20"/>
  <c r="M444" i="20"/>
  <c r="M443" i="20"/>
  <c r="M442" i="20"/>
  <c r="M441" i="20"/>
  <c r="M440" i="20"/>
  <c r="M439" i="20"/>
  <c r="M438" i="20"/>
  <c r="M437" i="20"/>
  <c r="M436" i="20"/>
  <c r="M435" i="20"/>
  <c r="M434" i="20"/>
  <c r="M433" i="20"/>
  <c r="M432" i="20"/>
  <c r="M431" i="20"/>
  <c r="M430" i="20"/>
  <c r="M429" i="20"/>
  <c r="M428" i="20"/>
  <c r="M427" i="20"/>
  <c r="M426" i="20"/>
  <c r="M425" i="20"/>
  <c r="M424" i="20"/>
  <c r="M423" i="20"/>
  <c r="M422" i="20"/>
  <c r="M421" i="20"/>
  <c r="M420" i="20"/>
  <c r="M419" i="20"/>
  <c r="M418" i="20"/>
  <c r="M417" i="20"/>
  <c r="M416" i="20"/>
  <c r="M415" i="20"/>
  <c r="M414" i="20"/>
  <c r="M413" i="20"/>
  <c r="M412" i="20"/>
  <c r="M411" i="20"/>
  <c r="M410" i="20"/>
  <c r="M409" i="20"/>
  <c r="M408" i="20"/>
  <c r="M407" i="20"/>
  <c r="M406" i="20"/>
  <c r="M405" i="20"/>
  <c r="M404" i="20"/>
  <c r="M403" i="20"/>
  <c r="M402" i="20"/>
  <c r="M401" i="20"/>
  <c r="M400" i="20"/>
  <c r="M399" i="20"/>
  <c r="M398" i="20"/>
  <c r="M397" i="20"/>
  <c r="M396" i="20"/>
  <c r="M395" i="20"/>
  <c r="M394" i="20"/>
  <c r="M393" i="20"/>
  <c r="M392" i="20"/>
  <c r="M391" i="20"/>
  <c r="M390" i="20"/>
  <c r="M389" i="20"/>
  <c r="M388" i="20"/>
  <c r="M387" i="20"/>
  <c r="M386" i="20"/>
  <c r="M385" i="20"/>
  <c r="M384" i="20"/>
  <c r="M383" i="20"/>
  <c r="M382" i="20"/>
  <c r="M381" i="20"/>
  <c r="M380" i="20"/>
  <c r="M379" i="20"/>
  <c r="M378" i="20"/>
  <c r="M377" i="20"/>
  <c r="M376" i="20"/>
  <c r="M375" i="20"/>
  <c r="M374" i="20"/>
  <c r="M373" i="20"/>
  <c r="M372" i="20"/>
  <c r="M371" i="20"/>
  <c r="M370" i="20"/>
  <c r="M369" i="20"/>
  <c r="M368" i="20"/>
  <c r="M367" i="20"/>
  <c r="M366" i="20"/>
  <c r="M365" i="20"/>
  <c r="M364" i="20"/>
  <c r="M363" i="20"/>
  <c r="M362" i="20"/>
  <c r="M361" i="20"/>
  <c r="M360" i="20"/>
  <c r="M359" i="20"/>
  <c r="M358" i="20"/>
  <c r="M357" i="20"/>
  <c r="M356" i="20"/>
  <c r="M355" i="20"/>
  <c r="M354" i="20"/>
  <c r="M353" i="20"/>
  <c r="M352" i="20"/>
  <c r="M351" i="20"/>
  <c r="M350" i="20"/>
  <c r="M349" i="20"/>
  <c r="M348" i="20"/>
  <c r="M347" i="20"/>
  <c r="M346" i="20"/>
  <c r="M345" i="20"/>
  <c r="M344" i="20"/>
  <c r="M343" i="20"/>
  <c r="M342" i="20"/>
  <c r="M341" i="20"/>
  <c r="M340" i="20"/>
  <c r="M339" i="20"/>
  <c r="M338" i="20"/>
  <c r="M337" i="20"/>
  <c r="M336" i="20"/>
  <c r="M335" i="20"/>
  <c r="M334" i="20"/>
  <c r="M333" i="20"/>
  <c r="M332" i="20"/>
  <c r="M331" i="20"/>
  <c r="M330" i="20"/>
  <c r="M329" i="20"/>
  <c r="M328" i="20"/>
  <c r="M327" i="20"/>
  <c r="M326" i="20"/>
  <c r="M325" i="20"/>
  <c r="M324" i="20"/>
  <c r="M323" i="20"/>
  <c r="M322" i="20"/>
  <c r="M321" i="20"/>
  <c r="M320" i="20"/>
  <c r="M319" i="20"/>
  <c r="M318" i="20"/>
  <c r="M317" i="20"/>
  <c r="M316" i="20"/>
  <c r="M315" i="20"/>
  <c r="M314" i="20"/>
  <c r="M313" i="20"/>
  <c r="M312" i="20"/>
  <c r="M311" i="20"/>
  <c r="M310" i="20"/>
  <c r="M309" i="20"/>
  <c r="M308" i="20"/>
  <c r="M307" i="20"/>
  <c r="M306" i="20"/>
  <c r="M305" i="20"/>
  <c r="M304" i="20"/>
  <c r="M303" i="20"/>
  <c r="M302" i="20"/>
  <c r="M301" i="20"/>
  <c r="M300" i="20"/>
  <c r="M299" i="20"/>
  <c r="M298" i="20"/>
  <c r="M297" i="20"/>
  <c r="M296" i="20"/>
  <c r="M295" i="20"/>
  <c r="M294" i="20"/>
  <c r="M293" i="20"/>
  <c r="M292" i="20"/>
  <c r="M291" i="20"/>
  <c r="M290" i="20"/>
  <c r="M289" i="20"/>
  <c r="M288" i="20"/>
  <c r="M287" i="20"/>
  <c r="M286" i="20"/>
  <c r="M285" i="20"/>
  <c r="M284" i="20"/>
  <c r="M283" i="20"/>
  <c r="M282" i="20"/>
  <c r="M281" i="20"/>
  <c r="M280" i="20"/>
  <c r="M279" i="20"/>
  <c r="M278" i="20"/>
  <c r="M277" i="20"/>
  <c r="M276" i="20"/>
  <c r="M275" i="20"/>
  <c r="M274" i="20"/>
  <c r="M273" i="20"/>
  <c r="M272" i="20"/>
  <c r="M271" i="20"/>
  <c r="M270" i="20"/>
  <c r="M269" i="20"/>
  <c r="M268" i="20"/>
  <c r="M267" i="20"/>
  <c r="M266" i="20"/>
  <c r="M265" i="20"/>
  <c r="M264" i="20"/>
  <c r="M263" i="20"/>
  <c r="M262" i="20"/>
  <c r="M261" i="20"/>
  <c r="M260" i="20"/>
  <c r="M259" i="20"/>
  <c r="M258" i="20"/>
  <c r="M257" i="20"/>
  <c r="M256" i="20"/>
  <c r="M255" i="20"/>
  <c r="M254" i="20"/>
  <c r="M253" i="20"/>
  <c r="M252" i="20"/>
  <c r="M251" i="20"/>
  <c r="M250" i="20"/>
  <c r="M249" i="20"/>
  <c r="M248" i="20"/>
  <c r="M247" i="20"/>
  <c r="M246" i="20"/>
  <c r="M245" i="20"/>
  <c r="M244" i="20"/>
  <c r="M243" i="20"/>
  <c r="M242" i="20"/>
  <c r="M241" i="20"/>
  <c r="M240" i="20"/>
  <c r="M239" i="20"/>
  <c r="M238" i="20"/>
  <c r="M237" i="20"/>
  <c r="M236" i="20"/>
  <c r="M235" i="20"/>
  <c r="M234" i="20"/>
  <c r="M233" i="20"/>
  <c r="M232" i="20"/>
  <c r="M231" i="20"/>
  <c r="M230" i="20"/>
  <c r="M229" i="20"/>
  <c r="M228" i="20"/>
  <c r="M227" i="20"/>
  <c r="M226" i="20"/>
  <c r="M225" i="20"/>
  <c r="M224" i="20"/>
  <c r="M223" i="20"/>
  <c r="M222" i="20"/>
  <c r="M221" i="20"/>
  <c r="M220" i="20"/>
  <c r="M219" i="20"/>
  <c r="M218" i="20"/>
  <c r="M217" i="20"/>
  <c r="M216" i="20"/>
  <c r="M215" i="20"/>
  <c r="M214" i="20"/>
  <c r="M213" i="20"/>
  <c r="M212" i="20"/>
  <c r="M211" i="20"/>
  <c r="M210" i="20"/>
  <c r="M209" i="20"/>
  <c r="M208" i="20"/>
  <c r="M207" i="20"/>
  <c r="M206" i="20"/>
  <c r="M205" i="20"/>
  <c r="M204" i="20"/>
  <c r="M203" i="20"/>
  <c r="M202" i="20"/>
  <c r="M201" i="20"/>
  <c r="M200" i="20"/>
  <c r="M199" i="20"/>
  <c r="M198" i="20"/>
  <c r="M197" i="20"/>
  <c r="M196" i="20"/>
  <c r="M195" i="20"/>
  <c r="M194" i="20"/>
  <c r="M193" i="20"/>
  <c r="M192" i="20"/>
  <c r="M191" i="20"/>
  <c r="M190" i="20"/>
  <c r="M189" i="20"/>
  <c r="M188" i="20"/>
  <c r="M187" i="20"/>
  <c r="M186" i="20"/>
  <c r="M185" i="20"/>
  <c r="M184" i="20"/>
  <c r="M183" i="20"/>
  <c r="M182" i="20"/>
  <c r="M181" i="20"/>
  <c r="M180" i="20"/>
  <c r="M179" i="20"/>
  <c r="M178" i="20"/>
  <c r="M177" i="20"/>
  <c r="M176" i="20"/>
  <c r="M175" i="20"/>
  <c r="M174" i="20"/>
  <c r="M173" i="20"/>
  <c r="M172" i="20"/>
  <c r="M171" i="20"/>
  <c r="M170" i="20"/>
  <c r="M169" i="20"/>
  <c r="M168" i="20"/>
  <c r="M167" i="20"/>
  <c r="M166" i="20"/>
  <c r="M165" i="20"/>
  <c r="M164" i="20"/>
  <c r="M163" i="20"/>
  <c r="M162" i="20"/>
  <c r="M161" i="20"/>
  <c r="M160" i="20"/>
  <c r="M159" i="20"/>
  <c r="M158" i="20"/>
  <c r="M157" i="20"/>
  <c r="M156" i="20"/>
  <c r="M155" i="20"/>
  <c r="M154" i="20"/>
  <c r="M153" i="20"/>
  <c r="M152" i="20"/>
  <c r="M151" i="20"/>
  <c r="M150" i="20"/>
  <c r="M149" i="20"/>
  <c r="M148" i="20"/>
  <c r="M147" i="20"/>
  <c r="M146" i="20"/>
  <c r="M145" i="20"/>
  <c r="M144" i="20"/>
  <c r="M143" i="20"/>
  <c r="M142" i="20"/>
  <c r="M141" i="20"/>
  <c r="M140" i="20"/>
  <c r="M139" i="20"/>
  <c r="M138" i="20"/>
  <c r="M137" i="20"/>
  <c r="M136" i="20"/>
  <c r="M135" i="20"/>
  <c r="M134" i="20"/>
  <c r="M133" i="20"/>
  <c r="M132" i="20"/>
  <c r="M131" i="20"/>
  <c r="M130" i="20"/>
  <c r="M129" i="20"/>
  <c r="M128" i="20"/>
  <c r="M127" i="20"/>
  <c r="M126" i="20"/>
  <c r="M125" i="20"/>
  <c r="M124" i="20"/>
  <c r="M123" i="20"/>
  <c r="M122" i="20"/>
  <c r="M121" i="20"/>
  <c r="M120" i="20"/>
  <c r="M119" i="20"/>
  <c r="M118" i="20"/>
  <c r="M117" i="20"/>
  <c r="M116" i="20"/>
  <c r="M115" i="20"/>
  <c r="M114" i="20"/>
  <c r="M113" i="20"/>
  <c r="M112" i="20"/>
  <c r="M111" i="20"/>
  <c r="M110" i="20"/>
  <c r="M109" i="20"/>
  <c r="M108" i="20"/>
  <c r="M107" i="20"/>
  <c r="M106" i="20"/>
  <c r="M105" i="20"/>
  <c r="M104" i="20"/>
  <c r="M103" i="20"/>
  <c r="M102" i="20"/>
  <c r="M101" i="20"/>
  <c r="M100" i="20"/>
  <c r="M99" i="20"/>
  <c r="M98" i="20"/>
  <c r="M97" i="20"/>
  <c r="M96" i="20"/>
  <c r="M95" i="20"/>
  <c r="M94" i="20"/>
  <c r="M93" i="20"/>
  <c r="M92" i="20"/>
  <c r="M91" i="20"/>
  <c r="M90" i="20"/>
  <c r="M89" i="20"/>
  <c r="M88" i="20"/>
  <c r="M87" i="20"/>
  <c r="M86" i="20"/>
  <c r="M85" i="20"/>
  <c r="M84" i="20"/>
  <c r="M83" i="20"/>
  <c r="M82" i="20"/>
  <c r="M81" i="20"/>
  <c r="M80" i="20"/>
  <c r="M79" i="20"/>
  <c r="M78" i="20"/>
  <c r="M77" i="20"/>
  <c r="M76" i="20"/>
  <c r="M75" i="20"/>
  <c r="M74" i="20"/>
  <c r="M73" i="20"/>
  <c r="M72" i="20"/>
  <c r="M71" i="20"/>
  <c r="M70" i="20"/>
  <c r="M69" i="20"/>
  <c r="M68" i="20"/>
  <c r="M67" i="20"/>
  <c r="M66" i="20"/>
  <c r="M65" i="20"/>
  <c r="M64" i="20"/>
  <c r="M63" i="20"/>
  <c r="M62" i="20"/>
  <c r="M61" i="20"/>
  <c r="M60" i="20"/>
  <c r="M59" i="20"/>
  <c r="M58" i="20"/>
  <c r="M57" i="20"/>
  <c r="M56" i="20"/>
  <c r="M55" i="20"/>
  <c r="M54" i="20"/>
  <c r="M53" i="20"/>
  <c r="M52" i="20"/>
  <c r="M51" i="20"/>
  <c r="M50" i="20"/>
  <c r="M49" i="20"/>
  <c r="M48" i="20"/>
  <c r="M47" i="20"/>
  <c r="M46" i="20"/>
  <c r="M45" i="20"/>
  <c r="M44" i="20"/>
  <c r="M43" i="20"/>
  <c r="M42" i="20"/>
  <c r="M41" i="20"/>
  <c r="M40" i="20"/>
  <c r="M39" i="20"/>
  <c r="M38" i="20"/>
  <c r="M37" i="20"/>
  <c r="M36" i="20"/>
  <c r="M35" i="20"/>
  <c r="M34" i="20"/>
  <c r="M33" i="20"/>
  <c r="M32" i="20"/>
  <c r="M31" i="20"/>
  <c r="M30" i="20"/>
  <c r="M29" i="20"/>
  <c r="M28" i="20"/>
  <c r="M27" i="20"/>
  <c r="M26" i="20"/>
  <c r="M25" i="20"/>
  <c r="M24" i="20"/>
  <c r="M23" i="20"/>
  <c r="M22" i="20"/>
  <c r="M21" i="20"/>
  <c r="M20" i="20"/>
  <c r="M19" i="20"/>
  <c r="M18" i="20"/>
  <c r="M17" i="20"/>
  <c r="M16" i="20"/>
  <c r="M15" i="20"/>
  <c r="M14" i="20"/>
  <c r="M13" i="20"/>
  <c r="M12" i="20"/>
  <c r="M11" i="20"/>
  <c r="M10" i="20"/>
  <c r="M9" i="20"/>
  <c r="M819" i="19"/>
  <c r="M818" i="19"/>
  <c r="M817" i="19"/>
  <c r="M816" i="19"/>
  <c r="M815" i="19"/>
  <c r="M814" i="19"/>
  <c r="M813" i="19"/>
  <c r="M812" i="19"/>
  <c r="M811" i="19"/>
  <c r="M810" i="19"/>
  <c r="M809" i="19"/>
  <c r="M808" i="19"/>
  <c r="M807" i="19"/>
  <c r="M806" i="19"/>
  <c r="M805" i="19"/>
  <c r="M804" i="19"/>
  <c r="M803" i="19"/>
  <c r="M802" i="19"/>
  <c r="M801" i="19"/>
  <c r="M800" i="19"/>
  <c r="M799" i="19"/>
  <c r="M798" i="19"/>
  <c r="M797" i="19"/>
  <c r="M796" i="19"/>
  <c r="M795" i="19"/>
  <c r="M794" i="19"/>
  <c r="M793" i="19"/>
  <c r="M792" i="19"/>
  <c r="M791" i="19"/>
  <c r="M790" i="19"/>
  <c r="M789" i="19"/>
  <c r="M788" i="19"/>
  <c r="M787" i="19"/>
  <c r="M786" i="19"/>
  <c r="M785" i="19"/>
  <c r="M784" i="19"/>
  <c r="M783" i="19"/>
  <c r="M782" i="19"/>
  <c r="M781" i="19"/>
  <c r="M780" i="19"/>
  <c r="M779" i="19"/>
  <c r="M778" i="19"/>
  <c r="M777" i="19"/>
  <c r="M776" i="19"/>
  <c r="M775" i="19"/>
  <c r="M774" i="19"/>
  <c r="M773" i="19"/>
  <c r="M772" i="19"/>
  <c r="M771" i="19"/>
  <c r="M770" i="19"/>
  <c r="M769" i="19"/>
  <c r="M768" i="19"/>
  <c r="M767" i="19"/>
  <c r="M766" i="19"/>
  <c r="M765" i="19"/>
  <c r="M764" i="19"/>
  <c r="M763" i="19"/>
  <c r="M762" i="19"/>
  <c r="M761" i="19"/>
  <c r="M760" i="19"/>
  <c r="M759" i="19"/>
  <c r="M758" i="19"/>
  <c r="M757" i="19"/>
  <c r="M756" i="19"/>
  <c r="M755" i="19"/>
  <c r="M754" i="19"/>
  <c r="M753" i="19"/>
  <c r="M752" i="19"/>
  <c r="M751" i="19"/>
  <c r="M750" i="19"/>
  <c r="M749" i="19"/>
  <c r="M748" i="19"/>
  <c r="M747" i="19"/>
  <c r="M746" i="19"/>
  <c r="M745" i="19"/>
  <c r="M744" i="19"/>
  <c r="M743" i="19"/>
  <c r="M742" i="19"/>
  <c r="M741" i="19"/>
  <c r="M740" i="19"/>
  <c r="M739" i="19"/>
  <c r="M738" i="19"/>
  <c r="M737" i="19"/>
  <c r="M736" i="19"/>
  <c r="M735" i="19"/>
  <c r="M734" i="19"/>
  <c r="M733" i="19"/>
  <c r="M732" i="19"/>
  <c r="M731" i="19"/>
  <c r="M730" i="19"/>
  <c r="M729" i="19"/>
  <c r="M728" i="19"/>
  <c r="M727" i="19"/>
  <c r="M726" i="19"/>
  <c r="M725" i="19"/>
  <c r="M724" i="19"/>
  <c r="M723" i="19"/>
  <c r="M722" i="19"/>
  <c r="M721" i="19"/>
  <c r="M720" i="19"/>
  <c r="M719" i="19"/>
  <c r="M718" i="19"/>
  <c r="M717" i="19"/>
  <c r="M716" i="19"/>
  <c r="M715" i="19"/>
  <c r="M714" i="19"/>
  <c r="M713" i="19"/>
  <c r="M712" i="19"/>
  <c r="M711" i="19"/>
  <c r="M710" i="19"/>
  <c r="M709" i="19"/>
  <c r="M708" i="19"/>
  <c r="M707" i="19"/>
  <c r="M706" i="19"/>
  <c r="M705" i="19"/>
  <c r="M704" i="19"/>
  <c r="M703" i="19"/>
  <c r="M702" i="19"/>
  <c r="M701" i="19"/>
  <c r="M700" i="19"/>
  <c r="M699" i="19"/>
  <c r="M698" i="19"/>
  <c r="M697" i="19"/>
  <c r="M696" i="19"/>
  <c r="M695" i="19"/>
  <c r="M694" i="19"/>
  <c r="M693" i="19"/>
  <c r="M692" i="19"/>
  <c r="M691" i="19"/>
  <c r="M690" i="19"/>
  <c r="M689" i="19"/>
  <c r="M688" i="19"/>
  <c r="M687" i="19"/>
  <c r="M686" i="19"/>
  <c r="M685" i="19"/>
  <c r="M684" i="19"/>
  <c r="M683" i="19"/>
  <c r="M682" i="19"/>
  <c r="M681" i="19"/>
  <c r="M680" i="19"/>
  <c r="M679" i="19"/>
  <c r="M678" i="19"/>
  <c r="M677" i="19"/>
  <c r="M676" i="19"/>
  <c r="M675" i="19"/>
  <c r="M674" i="19"/>
  <c r="M673" i="19"/>
  <c r="M672" i="19"/>
  <c r="M671" i="19"/>
  <c r="M670" i="19"/>
  <c r="M669" i="19"/>
  <c r="M668" i="19"/>
  <c r="M667" i="19"/>
  <c r="M666" i="19"/>
  <c r="M665" i="19"/>
  <c r="M664" i="19"/>
  <c r="M663" i="19"/>
  <c r="M662" i="19"/>
  <c r="M661" i="19"/>
  <c r="M660" i="19"/>
  <c r="M659" i="19"/>
  <c r="M658" i="19"/>
  <c r="M657" i="19"/>
  <c r="M656" i="19"/>
  <c r="M655" i="19"/>
  <c r="M654" i="19"/>
  <c r="M653" i="19"/>
  <c r="M652" i="19"/>
  <c r="M651" i="19"/>
  <c r="M650" i="19"/>
  <c r="M649" i="19"/>
  <c r="M648" i="19"/>
  <c r="M647" i="19"/>
  <c r="M646" i="19"/>
  <c r="M645" i="19"/>
  <c r="M644" i="19"/>
  <c r="M643" i="19"/>
  <c r="M642" i="19"/>
  <c r="M641" i="19"/>
  <c r="M640" i="19"/>
  <c r="M639" i="19"/>
  <c r="M638" i="19"/>
  <c r="M637" i="19"/>
  <c r="M636" i="19"/>
  <c r="M635" i="19"/>
  <c r="M634" i="19"/>
  <c r="M633" i="19"/>
  <c r="M632" i="19"/>
  <c r="M631" i="19"/>
  <c r="M630" i="19"/>
  <c r="M629" i="19"/>
  <c r="M628" i="19"/>
  <c r="M627" i="19"/>
  <c r="M626" i="19"/>
  <c r="M625" i="19"/>
  <c r="M624" i="19"/>
  <c r="M623" i="19"/>
  <c r="M622" i="19"/>
  <c r="M621" i="19"/>
  <c r="M620" i="19"/>
  <c r="M619" i="19"/>
  <c r="M618" i="19"/>
  <c r="M617" i="19"/>
  <c r="M616" i="19"/>
  <c r="M615" i="19"/>
  <c r="M614" i="19"/>
  <c r="M613" i="19"/>
  <c r="M612" i="19"/>
  <c r="M611" i="19"/>
  <c r="M610" i="19"/>
  <c r="M609" i="19"/>
  <c r="M608" i="19"/>
  <c r="M607" i="19"/>
  <c r="M606" i="19"/>
  <c r="M605" i="19"/>
  <c r="M604" i="19"/>
  <c r="M603" i="19"/>
  <c r="M602" i="19"/>
  <c r="M601" i="19"/>
  <c r="M600" i="19"/>
  <c r="M599" i="19"/>
  <c r="M598" i="19"/>
  <c r="M597" i="19"/>
  <c r="M596" i="19"/>
  <c r="M595" i="19"/>
  <c r="M594" i="19"/>
  <c r="M593" i="19"/>
  <c r="M592" i="19"/>
  <c r="M591" i="19"/>
  <c r="M590" i="19"/>
  <c r="M589" i="19"/>
  <c r="M588" i="19"/>
  <c r="M587" i="19"/>
  <c r="M586" i="19"/>
  <c r="M585" i="19"/>
  <c r="M584" i="19"/>
  <c r="M583" i="19"/>
  <c r="M582" i="19"/>
  <c r="M581" i="19"/>
  <c r="M580" i="19"/>
  <c r="M579" i="19"/>
  <c r="M578" i="19"/>
  <c r="M577" i="19"/>
  <c r="M576" i="19"/>
  <c r="M575" i="19"/>
  <c r="M574" i="19"/>
  <c r="M573" i="19"/>
  <c r="M572" i="19"/>
  <c r="M571" i="19"/>
  <c r="M570" i="19"/>
  <c r="M569" i="19"/>
  <c r="M568" i="19"/>
  <c r="M567" i="19"/>
  <c r="M566" i="19"/>
  <c r="M565" i="19"/>
  <c r="M564" i="19"/>
  <c r="M563" i="19"/>
  <c r="M562" i="19"/>
  <c r="M561" i="19"/>
  <c r="M560" i="19"/>
  <c r="M559" i="19"/>
  <c r="M558" i="19"/>
  <c r="M557" i="19"/>
  <c r="M556" i="19"/>
  <c r="M555" i="19"/>
  <c r="M554" i="19"/>
  <c r="M553" i="19"/>
  <c r="M552" i="19"/>
  <c r="M551" i="19"/>
  <c r="M550" i="19"/>
  <c r="M549" i="19"/>
  <c r="M548" i="19"/>
  <c r="M547" i="19"/>
  <c r="M546" i="19"/>
  <c r="M545" i="19"/>
  <c r="M544" i="19"/>
  <c r="M543" i="19"/>
  <c r="M542" i="19"/>
  <c r="M541" i="19"/>
  <c r="M540" i="19"/>
  <c r="M539" i="19"/>
  <c r="M538" i="19"/>
  <c r="M537" i="19"/>
  <c r="M536" i="19"/>
  <c r="M535" i="19"/>
  <c r="M534" i="19"/>
  <c r="M533" i="19"/>
  <c r="M532" i="19"/>
  <c r="M531" i="19"/>
  <c r="M530" i="19"/>
  <c r="M529" i="19"/>
  <c r="M528" i="19"/>
  <c r="M527" i="19"/>
  <c r="M526" i="19"/>
  <c r="M525" i="19"/>
  <c r="M524" i="19"/>
  <c r="M523" i="19"/>
  <c r="M522" i="19"/>
  <c r="M521" i="19"/>
  <c r="M520" i="19"/>
  <c r="M519" i="19"/>
  <c r="M518" i="19"/>
  <c r="M517" i="19"/>
  <c r="M516" i="19"/>
  <c r="M515" i="19"/>
  <c r="M514" i="19"/>
  <c r="M513" i="19"/>
  <c r="M512" i="19"/>
  <c r="M511" i="19"/>
  <c r="M510" i="19"/>
  <c r="M509" i="19"/>
  <c r="M508" i="19"/>
  <c r="M507" i="19"/>
  <c r="M506" i="19"/>
  <c r="M505" i="19"/>
  <c r="M504" i="19"/>
  <c r="M503" i="19"/>
  <c r="M502" i="19"/>
  <c r="M501" i="19"/>
  <c r="M500" i="19"/>
  <c r="M499" i="19"/>
  <c r="M498" i="19"/>
  <c r="M497" i="19"/>
  <c r="M496" i="19"/>
  <c r="M495" i="19"/>
  <c r="M494" i="19"/>
  <c r="M493" i="19"/>
  <c r="M492" i="19"/>
  <c r="M491" i="19"/>
  <c r="M490" i="19"/>
  <c r="M489" i="19"/>
  <c r="M488" i="19"/>
  <c r="M487" i="19"/>
  <c r="M486" i="19"/>
  <c r="M485" i="19"/>
  <c r="M484" i="19"/>
  <c r="M483" i="19"/>
  <c r="M482" i="19"/>
  <c r="M481" i="19"/>
  <c r="M480" i="19"/>
  <c r="M479" i="19"/>
  <c r="M478" i="19"/>
  <c r="M477" i="19"/>
  <c r="M476" i="19"/>
  <c r="M475" i="19"/>
  <c r="M474" i="19"/>
  <c r="M473" i="19"/>
  <c r="M472" i="19"/>
  <c r="M471" i="19"/>
  <c r="M470" i="19"/>
  <c r="M469" i="19"/>
  <c r="M468" i="19"/>
  <c r="M467" i="19"/>
  <c r="M466" i="19"/>
  <c r="M465" i="19"/>
  <c r="M464" i="19"/>
  <c r="M463" i="19"/>
  <c r="M462" i="19"/>
  <c r="M461" i="19"/>
  <c r="M460" i="19"/>
  <c r="M459" i="19"/>
  <c r="M458" i="19"/>
  <c r="M457" i="19"/>
  <c r="M456" i="19"/>
  <c r="M455" i="19"/>
  <c r="M454" i="19"/>
  <c r="M453" i="19"/>
  <c r="M452" i="19"/>
  <c r="M451" i="19"/>
  <c r="M450" i="19"/>
  <c r="M449" i="19"/>
  <c r="M448" i="19"/>
  <c r="M447" i="19"/>
  <c r="M446" i="19"/>
  <c r="M445" i="19"/>
  <c r="M444" i="19"/>
  <c r="M443" i="19"/>
  <c r="M442" i="19"/>
  <c r="M441" i="19"/>
  <c r="M440" i="19"/>
  <c r="M439" i="19"/>
  <c r="M438" i="19"/>
  <c r="M437" i="19"/>
  <c r="M436" i="19"/>
  <c r="M435" i="19"/>
  <c r="M434" i="19"/>
  <c r="M433" i="19"/>
  <c r="M432" i="19"/>
  <c r="M431" i="19"/>
  <c r="M430" i="19"/>
  <c r="M429" i="19"/>
  <c r="M428" i="19"/>
  <c r="M427" i="19"/>
  <c r="M426" i="19"/>
  <c r="M425" i="19"/>
  <c r="M424" i="19"/>
  <c r="M423" i="19"/>
  <c r="M422" i="19"/>
  <c r="M421" i="19"/>
  <c r="M420" i="19"/>
  <c r="M419" i="19"/>
  <c r="M418" i="19"/>
  <c r="M417" i="19"/>
  <c r="M416" i="19"/>
  <c r="M415" i="19"/>
  <c r="M414" i="19"/>
  <c r="M413" i="19"/>
  <c r="M412" i="19"/>
  <c r="M411" i="19"/>
  <c r="M410" i="19"/>
  <c r="M409" i="19"/>
  <c r="M408" i="19"/>
  <c r="M407" i="19"/>
  <c r="M406" i="19"/>
  <c r="M405" i="19"/>
  <c r="M404" i="19"/>
  <c r="M403" i="19"/>
  <c r="M402" i="19"/>
  <c r="M401" i="19"/>
  <c r="M400" i="19"/>
  <c r="M399" i="19"/>
  <c r="M398" i="19"/>
  <c r="M397" i="19"/>
  <c r="M396" i="19"/>
  <c r="M395" i="19"/>
  <c r="M394" i="19"/>
  <c r="M393" i="19"/>
  <c r="M392" i="19"/>
  <c r="M391" i="19"/>
  <c r="M390" i="19"/>
  <c r="M389" i="19"/>
  <c r="M388" i="19"/>
  <c r="M387" i="19"/>
  <c r="M386" i="19"/>
  <c r="M385" i="19"/>
  <c r="M384" i="19"/>
  <c r="M383" i="19"/>
  <c r="M382" i="19"/>
  <c r="M381" i="19"/>
  <c r="M380" i="19"/>
  <c r="M379" i="19"/>
  <c r="M378" i="19"/>
  <c r="M377" i="19"/>
  <c r="M376" i="19"/>
  <c r="M375" i="19"/>
  <c r="M374" i="19"/>
  <c r="M373" i="19"/>
  <c r="M372" i="19"/>
  <c r="M371" i="19"/>
  <c r="M370" i="19"/>
  <c r="M369" i="19"/>
  <c r="M368" i="19"/>
  <c r="M367" i="19"/>
  <c r="M366" i="19"/>
  <c r="M365" i="19"/>
  <c r="M364" i="19"/>
  <c r="M363" i="19"/>
  <c r="M362" i="19"/>
  <c r="M361" i="19"/>
  <c r="M360" i="19"/>
  <c r="M359" i="19"/>
  <c r="M358" i="19"/>
  <c r="M357" i="19"/>
  <c r="M356" i="19"/>
  <c r="M355" i="19"/>
  <c r="M354" i="19"/>
  <c r="M353" i="19"/>
  <c r="M352" i="19"/>
  <c r="M351" i="19"/>
  <c r="M350" i="19"/>
  <c r="M349" i="19"/>
  <c r="M348" i="19"/>
  <c r="M347" i="19"/>
  <c r="M346" i="19"/>
  <c r="M345" i="19"/>
  <c r="M344" i="19"/>
  <c r="M343" i="19"/>
  <c r="M342" i="19"/>
  <c r="M341" i="19"/>
  <c r="M340" i="19"/>
  <c r="M339" i="19"/>
  <c r="M338" i="19"/>
  <c r="M337" i="19"/>
  <c r="M336" i="19"/>
  <c r="M335" i="19"/>
  <c r="M334" i="19"/>
  <c r="M333" i="19"/>
  <c r="M332" i="19"/>
  <c r="M331" i="19"/>
  <c r="M330" i="19"/>
  <c r="M329" i="19"/>
  <c r="M328" i="19"/>
  <c r="M327" i="19"/>
  <c r="M326" i="19"/>
  <c r="M325" i="19"/>
  <c r="M324" i="19"/>
  <c r="M323" i="19"/>
  <c r="M322" i="19"/>
  <c r="M321" i="19"/>
  <c r="M320" i="19"/>
  <c r="M319" i="19"/>
  <c r="M318" i="19"/>
  <c r="M317" i="19"/>
  <c r="M316" i="19"/>
  <c r="M315" i="19"/>
  <c r="M314" i="19"/>
  <c r="M313" i="19"/>
  <c r="M312" i="19"/>
  <c r="M311" i="19"/>
  <c r="M310" i="19"/>
  <c r="M309" i="19"/>
  <c r="M308" i="19"/>
  <c r="M307" i="19"/>
  <c r="M306" i="19"/>
  <c r="M305" i="19"/>
  <c r="M304" i="19"/>
  <c r="M303" i="19"/>
  <c r="M302" i="19"/>
  <c r="M301" i="19"/>
  <c r="M300" i="19"/>
  <c r="M299" i="19"/>
  <c r="M298" i="19"/>
  <c r="M297" i="19"/>
  <c r="M296" i="19"/>
  <c r="M295" i="19"/>
  <c r="M294" i="19"/>
  <c r="M293" i="19"/>
  <c r="M292" i="19"/>
  <c r="M291" i="19"/>
  <c r="M290" i="19"/>
  <c r="M289" i="19"/>
  <c r="M288" i="19"/>
  <c r="M287" i="19"/>
  <c r="M286" i="19"/>
  <c r="M285" i="19"/>
  <c r="M284" i="19"/>
  <c r="M283" i="19"/>
  <c r="M282" i="19"/>
  <c r="M281" i="19"/>
  <c r="M280" i="19"/>
  <c r="M279" i="19"/>
  <c r="M278" i="19"/>
  <c r="M277" i="19"/>
  <c r="M276" i="19"/>
  <c r="M275" i="19"/>
  <c r="M274" i="19"/>
  <c r="M273" i="19"/>
  <c r="M272" i="19"/>
  <c r="M271" i="19"/>
  <c r="M270" i="19"/>
  <c r="M269" i="19"/>
  <c r="M268" i="19"/>
  <c r="M267" i="19"/>
  <c r="M266" i="19"/>
  <c r="M265" i="19"/>
  <c r="M264" i="19"/>
  <c r="M263" i="19"/>
  <c r="M262" i="19"/>
  <c r="M261" i="19"/>
  <c r="M260" i="19"/>
  <c r="M259" i="19"/>
  <c r="M258" i="19"/>
  <c r="M257" i="19"/>
  <c r="M256" i="19"/>
  <c r="M255" i="19"/>
  <c r="M254" i="19"/>
  <c r="M253" i="19"/>
  <c r="M252" i="19"/>
  <c r="M251" i="19"/>
  <c r="M250" i="19"/>
  <c r="M249" i="19"/>
  <c r="M248" i="19"/>
  <c r="M247" i="19"/>
  <c r="M246" i="19"/>
  <c r="M245" i="19"/>
  <c r="M244" i="19"/>
  <c r="M243" i="19"/>
  <c r="M242" i="19"/>
  <c r="M241" i="19"/>
  <c r="M240" i="19"/>
  <c r="M239" i="19"/>
  <c r="M238" i="19"/>
  <c r="M237" i="19"/>
  <c r="M236" i="19"/>
  <c r="M235" i="19"/>
  <c r="M234" i="19"/>
  <c r="M233" i="19"/>
  <c r="M232" i="19"/>
  <c r="M231" i="19"/>
  <c r="M230" i="19"/>
  <c r="M229" i="19"/>
  <c r="M228" i="19"/>
  <c r="M227" i="19"/>
  <c r="M226" i="19"/>
  <c r="M225" i="19"/>
  <c r="M224" i="19"/>
  <c r="M223" i="19"/>
  <c r="M222" i="19"/>
  <c r="M221" i="19"/>
  <c r="M220" i="19"/>
  <c r="M219" i="19"/>
  <c r="M218" i="19"/>
  <c r="M217" i="19"/>
  <c r="M216" i="19"/>
  <c r="M215" i="19"/>
  <c r="M214" i="19"/>
  <c r="M213" i="19"/>
  <c r="M212" i="19"/>
  <c r="M211" i="19"/>
  <c r="M210" i="19"/>
  <c r="M209" i="19"/>
  <c r="M208" i="19"/>
  <c r="M207" i="19"/>
  <c r="M206" i="19"/>
  <c r="M205" i="19"/>
  <c r="M204" i="19"/>
  <c r="M203" i="19"/>
  <c r="M202" i="19"/>
  <c r="M201" i="19"/>
  <c r="M200" i="19"/>
  <c r="M199" i="19"/>
  <c r="M198" i="19"/>
  <c r="M197" i="19"/>
  <c r="M196" i="19"/>
  <c r="M195" i="19"/>
  <c r="M194" i="19"/>
  <c r="M193" i="19"/>
  <c r="M192" i="19"/>
  <c r="M191" i="19"/>
  <c r="M190" i="19"/>
  <c r="M189" i="19"/>
  <c r="M188" i="19"/>
  <c r="M187" i="19"/>
  <c r="M186" i="19"/>
  <c r="M185" i="19"/>
  <c r="M184" i="19"/>
  <c r="M183" i="19"/>
  <c r="M182" i="19"/>
  <c r="M181" i="19"/>
  <c r="M180" i="19"/>
  <c r="M179" i="19"/>
  <c r="M178" i="19"/>
  <c r="M177" i="19"/>
  <c r="M176" i="19"/>
  <c r="M175" i="19"/>
  <c r="M174" i="19"/>
  <c r="M173" i="19"/>
  <c r="M172" i="19"/>
  <c r="M171" i="19"/>
  <c r="M170" i="19"/>
  <c r="M169" i="19"/>
  <c r="M168" i="19"/>
  <c r="M167" i="19"/>
  <c r="M166" i="19"/>
  <c r="M165" i="19"/>
  <c r="M164" i="19"/>
  <c r="M163" i="19"/>
  <c r="M162" i="19"/>
  <c r="M161" i="19"/>
  <c r="M160" i="19"/>
  <c r="M159" i="19"/>
  <c r="M158" i="19"/>
  <c r="M157" i="19"/>
  <c r="M156" i="19"/>
  <c r="M155" i="19"/>
  <c r="M154" i="19"/>
  <c r="M153" i="19"/>
  <c r="M152" i="19"/>
  <c r="M151" i="19"/>
  <c r="M150" i="19"/>
  <c r="M149" i="19"/>
  <c r="M148" i="19"/>
  <c r="M147" i="19"/>
  <c r="M146" i="19"/>
  <c r="M145" i="19"/>
  <c r="M144" i="19"/>
  <c r="M143" i="19"/>
  <c r="M142" i="19"/>
  <c r="M141" i="19"/>
  <c r="M140" i="19"/>
  <c r="M139" i="19"/>
  <c r="M138" i="19"/>
  <c r="M137" i="19"/>
  <c r="M136" i="19"/>
  <c r="M135" i="19"/>
  <c r="M134" i="19"/>
  <c r="M133" i="19"/>
  <c r="M132" i="19"/>
  <c r="M131" i="19"/>
  <c r="M130" i="19"/>
  <c r="M129" i="19"/>
  <c r="M128" i="19"/>
  <c r="M127" i="19"/>
  <c r="M126" i="19"/>
  <c r="M125" i="19"/>
  <c r="M124" i="19"/>
  <c r="M123" i="19"/>
  <c r="M122" i="19"/>
  <c r="M121" i="19"/>
  <c r="M120" i="19"/>
  <c r="M119" i="19"/>
  <c r="M118" i="19"/>
  <c r="M117" i="19"/>
  <c r="M116" i="19"/>
  <c r="M115" i="19"/>
  <c r="M114" i="19"/>
  <c r="M113" i="19"/>
  <c r="M112" i="19"/>
  <c r="M111" i="19"/>
  <c r="M110" i="19"/>
  <c r="M109" i="19"/>
  <c r="M108" i="19"/>
  <c r="M107" i="19"/>
  <c r="M106" i="19"/>
  <c r="M105" i="19"/>
  <c r="M104" i="19"/>
  <c r="M103" i="19"/>
  <c r="M102" i="19"/>
  <c r="M101" i="19"/>
  <c r="M100" i="19"/>
  <c r="M99" i="19"/>
  <c r="M98" i="19"/>
  <c r="M97" i="19"/>
  <c r="M96" i="19"/>
  <c r="M95" i="19"/>
  <c r="M94" i="19"/>
  <c r="M93" i="19"/>
  <c r="M92" i="19"/>
  <c r="M91" i="19"/>
  <c r="M90" i="19"/>
  <c r="M89" i="19"/>
  <c r="M88" i="19"/>
  <c r="M87" i="19"/>
  <c r="M86" i="19"/>
  <c r="M85" i="19"/>
  <c r="M84" i="19"/>
  <c r="M83" i="19"/>
  <c r="M82" i="19"/>
  <c r="M81" i="19"/>
  <c r="M80" i="19"/>
  <c r="M79" i="19"/>
  <c r="M78" i="19"/>
  <c r="M77" i="19"/>
  <c r="M76" i="19"/>
  <c r="M75" i="19"/>
  <c r="M74" i="19"/>
  <c r="M73" i="19"/>
  <c r="M72" i="19"/>
  <c r="M71" i="19"/>
  <c r="M70" i="19"/>
  <c r="M69" i="19"/>
  <c r="M68" i="19"/>
  <c r="M67" i="19"/>
  <c r="M66" i="19"/>
  <c r="M65" i="19"/>
  <c r="M64" i="19"/>
  <c r="M63" i="19"/>
  <c r="M62" i="19"/>
  <c r="M61" i="19"/>
  <c r="M60" i="19"/>
  <c r="M59" i="19"/>
  <c r="M58" i="19"/>
  <c r="M57" i="19"/>
  <c r="M56" i="19"/>
  <c r="M55" i="19"/>
  <c r="M54" i="19"/>
  <c r="M53" i="19"/>
  <c r="M52" i="19"/>
  <c r="M51" i="19"/>
  <c r="M50" i="19"/>
  <c r="M49" i="19"/>
  <c r="M48" i="19"/>
  <c r="M47" i="19"/>
  <c r="M46" i="19"/>
  <c r="M45" i="19"/>
  <c r="M44" i="19"/>
  <c r="M43" i="19"/>
  <c r="M42" i="19"/>
  <c r="M41" i="19"/>
  <c r="M40" i="19"/>
  <c r="M39" i="19"/>
  <c r="M38" i="19"/>
  <c r="M37" i="19"/>
  <c r="M36" i="19"/>
  <c r="M35" i="19"/>
  <c r="M34" i="19"/>
  <c r="M33" i="19"/>
  <c r="M32" i="19"/>
  <c r="M31" i="19"/>
  <c r="M30" i="19"/>
  <c r="M29" i="19"/>
  <c r="M28" i="19"/>
  <c r="M27" i="19"/>
  <c r="M26" i="19"/>
  <c r="M25" i="19"/>
  <c r="M24" i="19"/>
  <c r="M23" i="19"/>
  <c r="M22" i="19"/>
  <c r="M21" i="19"/>
  <c r="M20" i="19"/>
  <c r="M19" i="19"/>
  <c r="M18" i="19"/>
  <c r="M17" i="19"/>
  <c r="M16" i="19"/>
  <c r="M15" i="19"/>
  <c r="M14" i="19"/>
  <c r="M13" i="19"/>
  <c r="M12" i="19"/>
  <c r="M11" i="19"/>
  <c r="M10" i="19"/>
  <c r="M9" i="19"/>
  <c r="M522" i="18"/>
  <c r="M521" i="18"/>
  <c r="M520" i="18"/>
  <c r="M519" i="18"/>
  <c r="M518" i="18"/>
  <c r="M517" i="18"/>
  <c r="M516" i="18"/>
  <c r="M515" i="18"/>
  <c r="M514" i="18"/>
  <c r="M513" i="18"/>
  <c r="M512" i="18"/>
  <c r="M511" i="18"/>
  <c r="M510" i="18"/>
  <c r="M509" i="18"/>
  <c r="M508" i="18"/>
  <c r="M507" i="18"/>
  <c r="M506" i="18"/>
  <c r="M505" i="18"/>
  <c r="M504" i="18"/>
  <c r="M503" i="18"/>
  <c r="M502" i="18"/>
  <c r="M501" i="18"/>
  <c r="M500" i="18"/>
  <c r="M499" i="18"/>
  <c r="M498" i="18"/>
  <c r="M497" i="18"/>
  <c r="M496" i="18"/>
  <c r="M495" i="18"/>
  <c r="M494" i="18"/>
  <c r="M493" i="18"/>
  <c r="M492" i="18"/>
  <c r="M491" i="18"/>
  <c r="M490" i="18"/>
  <c r="M489" i="18"/>
  <c r="M488" i="18"/>
  <c r="M487" i="18"/>
  <c r="M486" i="18"/>
  <c r="M485" i="18"/>
  <c r="M484" i="18"/>
  <c r="M483" i="18"/>
  <c r="M482" i="18"/>
  <c r="M481" i="18"/>
  <c r="M480" i="18"/>
  <c r="M479" i="18"/>
  <c r="M478" i="18"/>
  <c r="M477" i="18"/>
  <c r="M476" i="18"/>
  <c r="M475" i="18"/>
  <c r="M474" i="18"/>
  <c r="M473" i="18"/>
  <c r="M472" i="18"/>
  <c r="M471" i="18"/>
  <c r="M470" i="18"/>
  <c r="M469" i="18"/>
  <c r="M468" i="18"/>
  <c r="M467" i="18"/>
  <c r="M466" i="18"/>
  <c r="M465" i="18"/>
  <c r="M464" i="18"/>
  <c r="M463" i="18"/>
  <c r="M462" i="18"/>
  <c r="M461" i="18"/>
  <c r="M460" i="18"/>
  <c r="M459" i="18"/>
  <c r="M458" i="18"/>
  <c r="M457" i="18"/>
  <c r="M456" i="18"/>
  <c r="M455" i="18"/>
  <c r="M454" i="18"/>
  <c r="M453" i="18"/>
  <c r="M452" i="18"/>
  <c r="M451" i="18"/>
  <c r="M450" i="18"/>
  <c r="M449" i="18"/>
  <c r="M448" i="18"/>
  <c r="M447" i="18"/>
  <c r="M446" i="18"/>
  <c r="M445" i="18"/>
  <c r="M444" i="18"/>
  <c r="M443" i="18"/>
  <c r="M442" i="18"/>
  <c r="M441" i="18"/>
  <c r="M440" i="18"/>
  <c r="M439" i="18"/>
  <c r="M438" i="18"/>
  <c r="M437" i="18"/>
  <c r="M436" i="18"/>
  <c r="M435" i="18"/>
  <c r="M434" i="18"/>
  <c r="M433" i="18"/>
  <c r="M432" i="18"/>
  <c r="M431" i="18"/>
  <c r="M430" i="18"/>
  <c r="M429" i="18"/>
  <c r="M428" i="18"/>
  <c r="M427" i="18"/>
  <c r="M426" i="18"/>
  <c r="M425" i="18"/>
  <c r="M424" i="18"/>
  <c r="M423" i="18"/>
  <c r="M422" i="18"/>
  <c r="M421" i="18"/>
  <c r="M420" i="18"/>
  <c r="M419" i="18"/>
  <c r="M418" i="18"/>
  <c r="M417" i="18"/>
  <c r="M416" i="18"/>
  <c r="M415" i="18"/>
  <c r="M414" i="18"/>
  <c r="M413" i="18"/>
  <c r="M412" i="18"/>
  <c r="M411" i="18"/>
  <c r="M410" i="18"/>
  <c r="M409" i="18"/>
  <c r="M408" i="18"/>
  <c r="M407" i="18"/>
  <c r="M406" i="18"/>
  <c r="M405" i="18"/>
  <c r="M404" i="18"/>
  <c r="M403" i="18"/>
  <c r="M402" i="18"/>
  <c r="M401" i="18"/>
  <c r="M400" i="18"/>
  <c r="M399" i="18"/>
  <c r="M398" i="18"/>
  <c r="M397" i="18"/>
  <c r="M396" i="18"/>
  <c r="M395" i="18"/>
  <c r="M394" i="18"/>
  <c r="M393" i="18"/>
  <c r="M392" i="18"/>
  <c r="M391" i="18"/>
  <c r="M390" i="18"/>
  <c r="M389" i="18"/>
  <c r="M388" i="18"/>
  <c r="M387" i="18"/>
  <c r="M386" i="18"/>
  <c r="M385" i="18"/>
  <c r="M384" i="18"/>
  <c r="M383" i="18"/>
  <c r="M382" i="18"/>
  <c r="M381" i="18"/>
  <c r="M380" i="18"/>
  <c r="M379" i="18"/>
  <c r="M378" i="18"/>
  <c r="M377" i="18"/>
  <c r="M376" i="18"/>
  <c r="M375" i="18"/>
  <c r="M374" i="18"/>
  <c r="M373" i="18"/>
  <c r="M372" i="18"/>
  <c r="M371" i="18"/>
  <c r="M370" i="18"/>
  <c r="M369" i="18"/>
  <c r="M368" i="18"/>
  <c r="M367" i="18"/>
  <c r="M366" i="18"/>
  <c r="M365" i="18"/>
  <c r="M364" i="18"/>
  <c r="M363" i="18"/>
  <c r="M362" i="18"/>
  <c r="M361" i="18"/>
  <c r="M360" i="18"/>
  <c r="M359" i="18"/>
  <c r="M358" i="18"/>
  <c r="M357" i="18"/>
  <c r="M356" i="18"/>
  <c r="M355" i="18"/>
  <c r="M354" i="18"/>
  <c r="M353" i="18"/>
  <c r="M352" i="18"/>
  <c r="M351" i="18"/>
  <c r="M350" i="18"/>
  <c r="M349" i="18"/>
  <c r="M348" i="18"/>
  <c r="M347" i="18"/>
  <c r="M346" i="18"/>
  <c r="M345" i="18"/>
  <c r="M344" i="18"/>
  <c r="M343" i="18"/>
  <c r="M342" i="18"/>
  <c r="M341" i="18"/>
  <c r="M340" i="18"/>
  <c r="M339" i="18"/>
  <c r="M338" i="18"/>
  <c r="M337" i="18"/>
  <c r="M336" i="18"/>
  <c r="M335" i="18"/>
  <c r="M334" i="18"/>
  <c r="M333" i="18"/>
  <c r="M332" i="18"/>
  <c r="M331" i="18"/>
  <c r="M330" i="18"/>
  <c r="M329" i="18"/>
  <c r="M328" i="18"/>
  <c r="M327" i="18"/>
  <c r="M326" i="18"/>
  <c r="M325" i="18"/>
  <c r="M324" i="18"/>
  <c r="M323" i="18"/>
  <c r="M322" i="18"/>
  <c r="M321" i="18"/>
  <c r="M320" i="18"/>
  <c r="M319" i="18"/>
  <c r="M318" i="18"/>
  <c r="M317" i="18"/>
  <c r="M316" i="18"/>
  <c r="M315" i="18"/>
  <c r="M314" i="18"/>
  <c r="M313" i="18"/>
  <c r="M312" i="18"/>
  <c r="M311" i="18"/>
  <c r="M310" i="18"/>
  <c r="M309" i="18"/>
  <c r="M308" i="18"/>
  <c r="M307" i="18"/>
  <c r="M306" i="18"/>
  <c r="M305" i="18"/>
  <c r="M304" i="18"/>
  <c r="M303" i="18"/>
  <c r="M302" i="18"/>
  <c r="M301" i="18"/>
  <c r="M300" i="18"/>
  <c r="M299" i="18"/>
  <c r="M298" i="18"/>
  <c r="M297" i="18"/>
  <c r="M296" i="18"/>
  <c r="M295" i="18"/>
  <c r="M294" i="18"/>
  <c r="M293" i="18"/>
  <c r="M292" i="18"/>
  <c r="M291" i="18"/>
  <c r="M290" i="18"/>
  <c r="M289" i="18"/>
  <c r="M288" i="18"/>
  <c r="M287" i="18"/>
  <c r="M286" i="18"/>
  <c r="M285" i="18"/>
  <c r="M284" i="18"/>
  <c r="M283" i="18"/>
  <c r="M282" i="18"/>
  <c r="M281" i="18"/>
  <c r="M280" i="18"/>
  <c r="M279" i="18"/>
  <c r="M278" i="18"/>
  <c r="M277" i="18"/>
  <c r="M276" i="18"/>
  <c r="M275" i="18"/>
  <c r="M274" i="18"/>
  <c r="M273" i="18"/>
  <c r="M272" i="18"/>
  <c r="M271" i="18"/>
  <c r="M270" i="18"/>
  <c r="M269" i="18"/>
  <c r="M268" i="18"/>
  <c r="M267" i="18"/>
  <c r="M266" i="18"/>
  <c r="M265" i="18"/>
  <c r="M264" i="18"/>
  <c r="M263" i="18"/>
  <c r="M262" i="18"/>
  <c r="M261" i="18"/>
  <c r="M260" i="18"/>
  <c r="M259" i="18"/>
  <c r="M258" i="18"/>
  <c r="M257" i="18"/>
  <c r="M256" i="18"/>
  <c r="M255" i="18"/>
  <c r="M254" i="18"/>
  <c r="M253" i="18"/>
  <c r="M252" i="18"/>
  <c r="M251" i="18"/>
  <c r="M250" i="18"/>
  <c r="M249" i="18"/>
  <c r="M248" i="18"/>
  <c r="M247" i="18"/>
  <c r="M246" i="18"/>
  <c r="M245" i="18"/>
  <c r="M244" i="18"/>
  <c r="M243" i="18"/>
  <c r="M242" i="18"/>
  <c r="M241" i="18"/>
  <c r="M240" i="18"/>
  <c r="M239" i="18"/>
  <c r="M238" i="18"/>
  <c r="M237" i="18"/>
  <c r="M236" i="18"/>
  <c r="M235" i="18"/>
  <c r="M234" i="18"/>
  <c r="M233" i="18"/>
  <c r="M232" i="18"/>
  <c r="M231" i="18"/>
  <c r="M230" i="18"/>
  <c r="M229" i="18"/>
  <c r="M228" i="18"/>
  <c r="M227" i="18"/>
  <c r="M226" i="18"/>
  <c r="M225" i="18"/>
  <c r="M224" i="18"/>
  <c r="M223" i="18"/>
  <c r="M222" i="18"/>
  <c r="M221" i="18"/>
  <c r="M220" i="18"/>
  <c r="M219" i="18"/>
  <c r="M218" i="18"/>
  <c r="M217" i="18"/>
  <c r="M216" i="18"/>
  <c r="M215" i="18"/>
  <c r="M214" i="18"/>
  <c r="M213" i="18"/>
  <c r="M212" i="18"/>
  <c r="M211" i="18"/>
  <c r="M210" i="18"/>
  <c r="M209" i="18"/>
  <c r="M208" i="18"/>
  <c r="M207" i="18"/>
  <c r="M206" i="18"/>
  <c r="M205" i="18"/>
  <c r="M204" i="18"/>
  <c r="M203" i="18"/>
  <c r="M202" i="18"/>
  <c r="M201" i="18"/>
  <c r="M200" i="18"/>
  <c r="M199" i="18"/>
  <c r="M198" i="18"/>
  <c r="M197" i="18"/>
  <c r="M196" i="18"/>
  <c r="M195" i="18"/>
  <c r="M194" i="18"/>
  <c r="M193" i="18"/>
  <c r="M192" i="18"/>
  <c r="M191" i="18"/>
  <c r="M190" i="18"/>
  <c r="M189" i="18"/>
  <c r="M188" i="18"/>
  <c r="M187" i="18"/>
  <c r="M186" i="18"/>
  <c r="M185" i="18"/>
  <c r="M184" i="18"/>
  <c r="M183" i="18"/>
  <c r="M182" i="18"/>
  <c r="M181" i="18"/>
  <c r="M180" i="18"/>
  <c r="M179" i="18"/>
  <c r="M178" i="18"/>
  <c r="M177" i="18"/>
  <c r="M176" i="18"/>
  <c r="M175" i="18"/>
  <c r="M174" i="18"/>
  <c r="M173" i="18"/>
  <c r="M172" i="18"/>
  <c r="M171" i="18"/>
  <c r="M170" i="18"/>
  <c r="M169" i="18"/>
  <c r="M168" i="18"/>
  <c r="M167" i="18"/>
  <c r="M166" i="18"/>
  <c r="M165" i="18"/>
  <c r="M164" i="18"/>
  <c r="M163" i="18"/>
  <c r="M162" i="18"/>
  <c r="M161" i="18"/>
  <c r="M160" i="18"/>
  <c r="M159" i="18"/>
  <c r="M158" i="18"/>
  <c r="M157" i="18"/>
  <c r="M156" i="18"/>
  <c r="M155" i="18"/>
  <c r="M154" i="18"/>
  <c r="M153" i="18"/>
  <c r="M152" i="18"/>
  <c r="M151" i="18"/>
  <c r="M150" i="18"/>
  <c r="M149" i="18"/>
  <c r="M148" i="18"/>
  <c r="M147" i="18"/>
  <c r="M146" i="18"/>
  <c r="M145" i="18"/>
  <c r="M144" i="18"/>
  <c r="M143" i="18"/>
  <c r="M142" i="18"/>
  <c r="M141" i="18"/>
  <c r="M140" i="18"/>
  <c r="M139" i="18"/>
  <c r="M138" i="18"/>
  <c r="M137" i="18"/>
  <c r="M136" i="18"/>
  <c r="M135" i="18"/>
  <c r="M134" i="18"/>
  <c r="M133" i="18"/>
  <c r="M132" i="18"/>
  <c r="M131" i="18"/>
  <c r="M130" i="18"/>
  <c r="M129" i="18"/>
  <c r="M128" i="18"/>
  <c r="M127" i="18"/>
  <c r="M126" i="18"/>
  <c r="M125" i="18"/>
  <c r="M124" i="18"/>
  <c r="M123" i="18"/>
  <c r="M122" i="18"/>
  <c r="M121" i="18"/>
  <c r="M120" i="18"/>
  <c r="M119" i="18"/>
  <c r="M118" i="18"/>
  <c r="M117" i="18"/>
  <c r="M116" i="18"/>
  <c r="M115" i="18"/>
  <c r="M114" i="18"/>
  <c r="M113" i="18"/>
  <c r="M112" i="18"/>
  <c r="M111" i="18"/>
  <c r="M110" i="18"/>
  <c r="M109" i="18"/>
  <c r="M108" i="18"/>
  <c r="M107" i="18"/>
  <c r="M106" i="18"/>
  <c r="M105" i="18"/>
  <c r="M104" i="18"/>
  <c r="M103" i="18"/>
  <c r="M102" i="18"/>
  <c r="M101" i="18"/>
  <c r="M100" i="18"/>
  <c r="M99" i="18"/>
  <c r="M98" i="18"/>
  <c r="M97" i="18"/>
  <c r="M96" i="18"/>
  <c r="M95" i="18"/>
  <c r="M94" i="18"/>
  <c r="M93" i="18"/>
  <c r="M92" i="18"/>
  <c r="M91" i="18"/>
  <c r="M90" i="18"/>
  <c r="M89" i="18"/>
  <c r="M88" i="18"/>
  <c r="M87" i="18"/>
  <c r="M86" i="18"/>
  <c r="M85" i="18"/>
  <c r="M84" i="18"/>
  <c r="M83" i="18"/>
  <c r="M82" i="18"/>
  <c r="M81" i="18"/>
  <c r="M80" i="18"/>
  <c r="M79" i="18"/>
  <c r="M78" i="18"/>
  <c r="M77" i="18"/>
  <c r="M76" i="18"/>
  <c r="M75" i="18"/>
  <c r="M74" i="18"/>
  <c r="M73" i="18"/>
  <c r="M72" i="18"/>
  <c r="M71" i="18"/>
  <c r="M70" i="18"/>
  <c r="M69" i="18"/>
  <c r="M68" i="18"/>
  <c r="M67" i="18"/>
  <c r="M66" i="18"/>
  <c r="M65" i="18"/>
  <c r="M64" i="18"/>
  <c r="M63" i="18"/>
  <c r="M62" i="18"/>
  <c r="M61" i="18"/>
  <c r="M60" i="18"/>
  <c r="M59" i="18"/>
  <c r="M58" i="18"/>
  <c r="M57" i="18"/>
  <c r="M56" i="18"/>
  <c r="M55" i="18"/>
  <c r="M54" i="18"/>
  <c r="M53" i="18"/>
  <c r="M52" i="18"/>
  <c r="M51" i="18"/>
  <c r="M50" i="18"/>
  <c r="M49" i="18"/>
  <c r="M48" i="18"/>
  <c r="M47" i="18"/>
  <c r="M46" i="18"/>
  <c r="M45" i="18"/>
  <c r="M44" i="18"/>
  <c r="M43" i="18"/>
  <c r="M42" i="18"/>
  <c r="M41" i="18"/>
  <c r="M40" i="18"/>
  <c r="M39" i="18"/>
  <c r="M38" i="18"/>
  <c r="M37" i="18"/>
  <c r="M36" i="18"/>
  <c r="M35" i="18"/>
  <c r="M34" i="18"/>
  <c r="M33" i="18"/>
  <c r="M32" i="18"/>
  <c r="M31" i="18"/>
  <c r="M30" i="18"/>
  <c r="M29" i="18"/>
  <c r="M28" i="18"/>
  <c r="M27" i="18"/>
  <c r="M26" i="18"/>
  <c r="M25" i="18"/>
  <c r="M24" i="18"/>
  <c r="M23" i="18"/>
  <c r="M22" i="18"/>
  <c r="M21" i="18"/>
  <c r="M20" i="18"/>
  <c r="M19" i="18"/>
  <c r="M18" i="18"/>
  <c r="M17" i="18"/>
  <c r="M16" i="18"/>
  <c r="M15" i="18"/>
  <c r="M14" i="18"/>
  <c r="M13" i="18"/>
  <c r="M12" i="18"/>
  <c r="M11" i="18"/>
  <c r="M10" i="18"/>
  <c r="M9" i="18"/>
  <c r="M505" i="17"/>
  <c r="M504" i="17"/>
  <c r="M503" i="17"/>
  <c r="M502" i="17"/>
  <c r="M501" i="17"/>
  <c r="M500" i="17"/>
  <c r="M499" i="17"/>
  <c r="M498" i="17"/>
  <c r="M497" i="17"/>
  <c r="M496" i="17"/>
  <c r="M495" i="17"/>
  <c r="M494" i="17"/>
  <c r="M493" i="17"/>
  <c r="M492" i="17"/>
  <c r="M491" i="17"/>
  <c r="M490" i="17"/>
  <c r="M489" i="17"/>
  <c r="M488" i="17"/>
  <c r="M487" i="17"/>
  <c r="M486" i="17"/>
  <c r="M485" i="17"/>
  <c r="M484" i="17"/>
  <c r="M483" i="17"/>
  <c r="M482" i="17"/>
  <c r="M481" i="17"/>
  <c r="M480" i="17"/>
  <c r="M479" i="17"/>
  <c r="M478" i="17"/>
  <c r="M477" i="17"/>
  <c r="M476" i="17"/>
  <c r="M475" i="17"/>
  <c r="M474" i="17"/>
  <c r="M473" i="17"/>
  <c r="M472" i="17"/>
  <c r="M471" i="17"/>
  <c r="M470" i="17"/>
  <c r="M469" i="17"/>
  <c r="M468" i="17"/>
  <c r="M467" i="17"/>
  <c r="M466" i="17"/>
  <c r="M465" i="17"/>
  <c r="M464" i="17"/>
  <c r="M463" i="17"/>
  <c r="M462" i="17"/>
  <c r="M461" i="17"/>
  <c r="M460" i="17"/>
  <c r="M459" i="17"/>
  <c r="M458" i="17"/>
  <c r="M457" i="17"/>
  <c r="M456" i="17"/>
  <c r="M455" i="17"/>
  <c r="M454" i="17"/>
  <c r="M453" i="17"/>
  <c r="M452" i="17"/>
  <c r="M451" i="17"/>
  <c r="M450" i="17"/>
  <c r="M449" i="17"/>
  <c r="M448" i="17"/>
  <c r="M447" i="17"/>
  <c r="M446" i="17"/>
  <c r="M445" i="17"/>
  <c r="M444" i="17"/>
  <c r="M443" i="17"/>
  <c r="M442" i="17"/>
  <c r="M441" i="17"/>
  <c r="M440" i="17"/>
  <c r="M439" i="17"/>
  <c r="M438" i="17"/>
  <c r="M437" i="17"/>
  <c r="M436" i="17"/>
  <c r="M435" i="17"/>
  <c r="M434" i="17"/>
  <c r="M433" i="17"/>
  <c r="M432" i="17"/>
  <c r="M431" i="17"/>
  <c r="M430" i="17"/>
  <c r="M429" i="17"/>
  <c r="M428" i="17"/>
  <c r="M427" i="17"/>
  <c r="M426" i="17"/>
  <c r="M425" i="17"/>
  <c r="M424" i="17"/>
  <c r="M423" i="17"/>
  <c r="M422" i="17"/>
  <c r="M421" i="17"/>
  <c r="M420" i="17"/>
  <c r="M419" i="17"/>
  <c r="M418" i="17"/>
  <c r="M417" i="17"/>
  <c r="M416" i="17"/>
  <c r="M415" i="17"/>
  <c r="M414" i="17"/>
  <c r="M413" i="17"/>
  <c r="M412" i="17"/>
  <c r="M411" i="17"/>
  <c r="M410" i="17"/>
  <c r="M409" i="17"/>
  <c r="M408" i="17"/>
  <c r="M407" i="17"/>
  <c r="M406" i="17"/>
  <c r="M405" i="17"/>
  <c r="M404" i="17"/>
  <c r="M403" i="17"/>
  <c r="M402" i="17"/>
  <c r="M401" i="17"/>
  <c r="M400" i="17"/>
  <c r="M399" i="17"/>
  <c r="M398" i="17"/>
  <c r="M397" i="17"/>
  <c r="M396" i="17"/>
  <c r="M395" i="17"/>
  <c r="M394" i="17"/>
  <c r="M393" i="17"/>
  <c r="M392" i="17"/>
  <c r="M391" i="17"/>
  <c r="M390" i="17"/>
  <c r="M389" i="17"/>
  <c r="M388" i="17"/>
  <c r="M387" i="17"/>
  <c r="M386" i="17"/>
  <c r="M385" i="17"/>
  <c r="M384" i="17"/>
  <c r="M383" i="17"/>
  <c r="M382" i="17"/>
  <c r="M381" i="17"/>
  <c r="M380" i="17"/>
  <c r="M379" i="17"/>
  <c r="M378" i="17"/>
  <c r="M377" i="17"/>
  <c r="M376" i="17"/>
  <c r="M375" i="17"/>
  <c r="M374" i="17"/>
  <c r="M373" i="17"/>
  <c r="M372" i="17"/>
  <c r="M371" i="17"/>
  <c r="M370" i="17"/>
  <c r="M369" i="17"/>
  <c r="M368" i="17"/>
  <c r="M367" i="17"/>
  <c r="M366" i="17"/>
  <c r="M365" i="17"/>
  <c r="M364" i="17"/>
  <c r="M363" i="17"/>
  <c r="M362" i="17"/>
  <c r="M361" i="17"/>
  <c r="M360" i="17"/>
  <c r="M359" i="17"/>
  <c r="M358" i="17"/>
  <c r="M357" i="17"/>
  <c r="M356" i="17"/>
  <c r="M355" i="17"/>
  <c r="M354" i="17"/>
  <c r="M353" i="17"/>
  <c r="M352" i="17"/>
  <c r="M351" i="17"/>
  <c r="M350" i="17"/>
  <c r="M349" i="17"/>
  <c r="M348" i="17"/>
  <c r="M347" i="17"/>
  <c r="M346" i="17"/>
  <c r="M345" i="17"/>
  <c r="M344" i="17"/>
  <c r="M343" i="17"/>
  <c r="M342" i="17"/>
  <c r="M341" i="17"/>
  <c r="M340" i="17"/>
  <c r="M339" i="17"/>
  <c r="M338" i="17"/>
  <c r="M337" i="17"/>
  <c r="M336" i="17"/>
  <c r="M335" i="17"/>
  <c r="M334" i="17"/>
  <c r="M333" i="17"/>
  <c r="M332" i="17"/>
  <c r="M331" i="17"/>
  <c r="M330" i="17"/>
  <c r="M329" i="17"/>
  <c r="M328" i="17"/>
  <c r="M327" i="17"/>
  <c r="M326" i="17"/>
  <c r="M325" i="17"/>
  <c r="M324" i="17"/>
  <c r="M323" i="17"/>
  <c r="M322" i="17"/>
  <c r="M321" i="17"/>
  <c r="M320" i="17"/>
  <c r="M319" i="17"/>
  <c r="M318" i="17"/>
  <c r="M317" i="17"/>
  <c r="M316" i="17"/>
  <c r="M315" i="17"/>
  <c r="M314" i="17"/>
  <c r="M313" i="17"/>
  <c r="M312" i="17"/>
  <c r="M311" i="17"/>
  <c r="M310" i="17"/>
  <c r="M309" i="17"/>
  <c r="M308" i="17"/>
  <c r="M307" i="17"/>
  <c r="M306" i="17"/>
  <c r="M305" i="17"/>
  <c r="M304" i="17"/>
  <c r="M303" i="17"/>
  <c r="M302" i="17"/>
  <c r="M301" i="17"/>
  <c r="M300" i="17"/>
  <c r="M299" i="17"/>
  <c r="M298" i="17"/>
  <c r="M297" i="17"/>
  <c r="M296" i="17"/>
  <c r="M295" i="17"/>
  <c r="M294" i="17"/>
  <c r="M293" i="17"/>
  <c r="M292" i="17"/>
  <c r="M291" i="17"/>
  <c r="M290" i="17"/>
  <c r="M289" i="17"/>
  <c r="M288" i="17"/>
  <c r="M287" i="17"/>
  <c r="M286" i="17"/>
  <c r="M285" i="17"/>
  <c r="M284" i="17"/>
  <c r="M283" i="17"/>
  <c r="M282" i="17"/>
  <c r="M281" i="17"/>
  <c r="M280" i="17"/>
  <c r="M279" i="17"/>
  <c r="M278" i="17"/>
  <c r="M277" i="17"/>
  <c r="M276" i="17"/>
  <c r="M275" i="17"/>
  <c r="M274" i="17"/>
  <c r="M273" i="17"/>
  <c r="M272" i="17"/>
  <c r="M271" i="17"/>
  <c r="M270" i="17"/>
  <c r="M269" i="17"/>
  <c r="M268" i="17"/>
  <c r="M267" i="17"/>
  <c r="M266" i="17"/>
  <c r="M265" i="17"/>
  <c r="M264" i="17"/>
  <c r="M263" i="17"/>
  <c r="M262" i="17"/>
  <c r="M261" i="17"/>
  <c r="M260" i="17"/>
  <c r="M259" i="17"/>
  <c r="M258" i="17"/>
  <c r="M257" i="17"/>
  <c r="M256" i="17"/>
  <c r="M255" i="17"/>
  <c r="M254" i="17"/>
  <c r="M253" i="17"/>
  <c r="M252" i="17"/>
  <c r="M251" i="17"/>
  <c r="M250" i="17"/>
  <c r="M249" i="17"/>
  <c r="M248" i="17"/>
  <c r="M247" i="17"/>
  <c r="M246" i="17"/>
  <c r="M245" i="17"/>
  <c r="M244" i="17"/>
  <c r="M243" i="17"/>
  <c r="M242" i="17"/>
  <c r="M241" i="17"/>
  <c r="M240" i="17"/>
  <c r="M239" i="17"/>
  <c r="M238" i="17"/>
  <c r="M237" i="17"/>
  <c r="M236" i="17"/>
  <c r="M235" i="17"/>
  <c r="M234" i="17"/>
  <c r="M233" i="17"/>
  <c r="M232" i="17"/>
  <c r="M231" i="17"/>
  <c r="M230" i="17"/>
  <c r="M229" i="17"/>
  <c r="M228" i="17"/>
  <c r="M227" i="17"/>
  <c r="M226" i="17"/>
  <c r="M225" i="17"/>
  <c r="M224" i="17"/>
  <c r="M223" i="17"/>
  <c r="M222" i="17"/>
  <c r="M221" i="17"/>
  <c r="M220" i="17"/>
  <c r="M219" i="17"/>
  <c r="M218" i="17"/>
  <c r="M217" i="17"/>
  <c r="M216" i="17"/>
  <c r="M215" i="17"/>
  <c r="M214" i="17"/>
  <c r="M213" i="17"/>
  <c r="M212" i="17"/>
  <c r="M211" i="17"/>
  <c r="M210" i="17"/>
  <c r="M209" i="17"/>
  <c r="M208" i="17"/>
  <c r="M207" i="17"/>
  <c r="M206" i="17"/>
  <c r="M205" i="17"/>
  <c r="M204" i="17"/>
  <c r="M203" i="17"/>
  <c r="M202" i="17"/>
  <c r="M201" i="17"/>
  <c r="M200" i="17"/>
  <c r="M199" i="17"/>
  <c r="M198" i="17"/>
  <c r="M197" i="17"/>
  <c r="M196" i="17"/>
  <c r="M195" i="17"/>
  <c r="M194" i="17"/>
  <c r="M193" i="17"/>
  <c r="M192" i="17"/>
  <c r="M191" i="17"/>
  <c r="M190" i="17"/>
  <c r="M189" i="17"/>
  <c r="M188" i="17"/>
  <c r="M187" i="17"/>
  <c r="M186" i="17"/>
  <c r="M185" i="17"/>
  <c r="M184" i="17"/>
  <c r="M183" i="17"/>
  <c r="M182" i="17"/>
  <c r="M181" i="17"/>
  <c r="M180" i="17"/>
  <c r="M179" i="17"/>
  <c r="M178" i="17"/>
  <c r="M177" i="17"/>
  <c r="M176" i="17"/>
  <c r="M175" i="17"/>
  <c r="M174" i="17"/>
  <c r="M173" i="17"/>
  <c r="M172" i="17"/>
  <c r="M171" i="17"/>
  <c r="M170" i="17"/>
  <c r="M169" i="17"/>
  <c r="M168" i="17"/>
  <c r="M167" i="17"/>
  <c r="M166" i="17"/>
  <c r="M165" i="17"/>
  <c r="M164" i="17"/>
  <c r="M163" i="17"/>
  <c r="M162" i="17"/>
  <c r="M161" i="17"/>
  <c r="M160" i="17"/>
  <c r="M159" i="17"/>
  <c r="M158" i="17"/>
  <c r="M157" i="17"/>
  <c r="M156" i="17"/>
  <c r="M155" i="17"/>
  <c r="M154" i="17"/>
  <c r="M153" i="17"/>
  <c r="M152" i="17"/>
  <c r="M151" i="17"/>
  <c r="M150" i="17"/>
  <c r="M149" i="17"/>
  <c r="M148" i="17"/>
  <c r="M147" i="17"/>
  <c r="M146" i="17"/>
  <c r="M145" i="17"/>
  <c r="M144" i="17"/>
  <c r="M143" i="17"/>
  <c r="M142" i="17"/>
  <c r="M141" i="17"/>
  <c r="M140" i="17"/>
  <c r="M139" i="17"/>
  <c r="M138" i="17"/>
  <c r="M137" i="17"/>
  <c r="M136" i="17"/>
  <c r="M135" i="17"/>
  <c r="M134" i="17"/>
  <c r="M133" i="17"/>
  <c r="M132" i="17"/>
  <c r="M131" i="17"/>
  <c r="M130" i="17"/>
  <c r="M129" i="17"/>
  <c r="M128" i="17"/>
  <c r="M127" i="17"/>
  <c r="M126" i="17"/>
  <c r="M125" i="17"/>
  <c r="M124" i="17"/>
  <c r="M123" i="17"/>
  <c r="M122" i="17"/>
  <c r="M121" i="17"/>
  <c r="M120" i="17"/>
  <c r="M119" i="17"/>
  <c r="M118" i="17"/>
  <c r="M117" i="17"/>
  <c r="M116" i="17"/>
  <c r="M115" i="17"/>
  <c r="M114" i="17"/>
  <c r="M113" i="17"/>
  <c r="M112" i="17"/>
  <c r="M111" i="17"/>
  <c r="M110" i="17"/>
  <c r="M109" i="17"/>
  <c r="M108" i="17"/>
  <c r="M107" i="17"/>
  <c r="M106" i="17"/>
  <c r="M105" i="17"/>
  <c r="M104" i="17"/>
  <c r="M103" i="17"/>
  <c r="M102" i="17"/>
  <c r="M101" i="17"/>
  <c r="M100" i="17"/>
  <c r="M99" i="17"/>
  <c r="M98" i="17"/>
  <c r="M97" i="17"/>
  <c r="M96" i="17"/>
  <c r="M95" i="17"/>
  <c r="M94" i="17"/>
  <c r="M93" i="17"/>
  <c r="M92" i="17"/>
  <c r="M91" i="17"/>
  <c r="M90" i="17"/>
  <c r="M89" i="17"/>
  <c r="M88" i="17"/>
  <c r="M87" i="17"/>
  <c r="M86" i="17"/>
  <c r="M85" i="17"/>
  <c r="M84" i="17"/>
  <c r="M83" i="17"/>
  <c r="M82" i="17"/>
  <c r="M81" i="17"/>
  <c r="M80" i="17"/>
  <c r="M79" i="17"/>
  <c r="M78" i="17"/>
  <c r="M77" i="17"/>
  <c r="M76" i="17"/>
  <c r="M75" i="17"/>
  <c r="M74" i="17"/>
  <c r="M73" i="17"/>
  <c r="M72" i="17"/>
  <c r="M71" i="17"/>
  <c r="M70" i="17"/>
  <c r="M69" i="17"/>
  <c r="M68" i="17"/>
  <c r="M67" i="17"/>
  <c r="M66" i="17"/>
  <c r="M65" i="17"/>
  <c r="M64" i="17"/>
  <c r="M63" i="17"/>
  <c r="M62" i="17"/>
  <c r="M61" i="17"/>
  <c r="M60" i="17"/>
  <c r="M59" i="17"/>
  <c r="M58" i="17"/>
  <c r="M57" i="17"/>
  <c r="M56" i="17"/>
  <c r="M55" i="17"/>
  <c r="M54" i="17"/>
  <c r="M53" i="17"/>
  <c r="M52" i="17"/>
  <c r="M51" i="17"/>
  <c r="M50" i="17"/>
  <c r="M49" i="17"/>
  <c r="M48" i="17"/>
  <c r="M47" i="17"/>
  <c r="M46" i="17"/>
  <c r="M45" i="17"/>
  <c r="M44" i="17"/>
  <c r="M43" i="17"/>
  <c r="M42" i="17"/>
  <c r="M41" i="17"/>
  <c r="M40" i="17"/>
  <c r="M39" i="17"/>
  <c r="M38" i="17"/>
  <c r="M37" i="17"/>
  <c r="M36" i="17"/>
  <c r="M35" i="17"/>
  <c r="M34" i="17"/>
  <c r="M33" i="17"/>
  <c r="M32" i="17"/>
  <c r="M31" i="17"/>
  <c r="M30" i="17"/>
  <c r="M29" i="17"/>
  <c r="M28" i="17"/>
  <c r="M27" i="17"/>
  <c r="M26" i="17"/>
  <c r="M25" i="17"/>
  <c r="M24" i="17"/>
  <c r="M23" i="17"/>
  <c r="M22" i="17"/>
  <c r="M21" i="17"/>
  <c r="M20" i="17"/>
  <c r="M19" i="17"/>
  <c r="M18" i="17"/>
  <c r="M17" i="17"/>
  <c r="M16" i="17"/>
  <c r="M15" i="17"/>
  <c r="M14" i="17"/>
  <c r="M13" i="17"/>
  <c r="M12" i="17"/>
  <c r="M11" i="17"/>
  <c r="M10" i="17"/>
  <c r="M9" i="17"/>
  <c r="M633" i="16"/>
  <c r="M632" i="16"/>
  <c r="M631" i="16"/>
  <c r="M630" i="16"/>
  <c r="M629" i="16"/>
  <c r="M628" i="16"/>
  <c r="M627" i="16"/>
  <c r="M626" i="16"/>
  <c r="M625" i="16"/>
  <c r="M624" i="16"/>
  <c r="M623" i="16"/>
  <c r="M622" i="16"/>
  <c r="M621" i="16"/>
  <c r="M620" i="16"/>
  <c r="M619" i="16"/>
  <c r="M618" i="16"/>
  <c r="M617" i="16"/>
  <c r="M616" i="16"/>
  <c r="M615" i="16"/>
  <c r="M614" i="16"/>
  <c r="M613" i="16"/>
  <c r="M612" i="16"/>
  <c r="M611" i="16"/>
  <c r="M610" i="16"/>
  <c r="M609" i="16"/>
  <c r="M608" i="16"/>
  <c r="M607" i="16"/>
  <c r="M606" i="16"/>
  <c r="M605" i="16"/>
  <c r="M604" i="16"/>
  <c r="M603" i="16"/>
  <c r="M602" i="16"/>
  <c r="M601" i="16"/>
  <c r="M600" i="16"/>
  <c r="M599" i="16"/>
  <c r="M598" i="16"/>
  <c r="M597" i="16"/>
  <c r="M596" i="16"/>
  <c r="M595" i="16"/>
  <c r="M594" i="16"/>
  <c r="M593" i="16"/>
  <c r="M592" i="16"/>
  <c r="M591" i="16"/>
  <c r="M590" i="16"/>
  <c r="M589" i="16"/>
  <c r="M588" i="16"/>
  <c r="M587" i="16"/>
  <c r="M586" i="16"/>
  <c r="M585" i="16"/>
  <c r="M584" i="16"/>
  <c r="M583" i="16"/>
  <c r="M582" i="16"/>
  <c r="M581" i="16"/>
  <c r="M580" i="16"/>
  <c r="M579" i="16"/>
  <c r="M578" i="16"/>
  <c r="M577" i="16"/>
  <c r="M576" i="16"/>
  <c r="M575" i="16"/>
  <c r="M574" i="16"/>
  <c r="M573" i="16"/>
  <c r="M572" i="16"/>
  <c r="M571" i="16"/>
  <c r="M570" i="16"/>
  <c r="M569" i="16"/>
  <c r="M568" i="16"/>
  <c r="M567" i="16"/>
  <c r="M566" i="16"/>
  <c r="M565" i="16"/>
  <c r="M564" i="16"/>
  <c r="M563" i="16"/>
  <c r="M562" i="16"/>
  <c r="M561" i="16"/>
  <c r="M560" i="16"/>
  <c r="M559" i="16"/>
  <c r="M558" i="16"/>
  <c r="M557" i="16"/>
  <c r="M556" i="16"/>
  <c r="M555" i="16"/>
  <c r="M554" i="16"/>
  <c r="M553" i="16"/>
  <c r="M552" i="16"/>
  <c r="M551" i="16"/>
  <c r="M550" i="16"/>
  <c r="M549" i="16"/>
  <c r="M548" i="16"/>
  <c r="M547" i="16"/>
  <c r="M546" i="16"/>
  <c r="M545" i="16"/>
  <c r="M544" i="16"/>
  <c r="M543" i="16"/>
  <c r="M542" i="16"/>
  <c r="M541" i="16"/>
  <c r="M540" i="16"/>
  <c r="M539" i="16"/>
  <c r="M538" i="16"/>
  <c r="M537" i="16"/>
  <c r="M536" i="16"/>
  <c r="M535" i="16"/>
  <c r="M534" i="16"/>
  <c r="M533" i="16"/>
  <c r="M532" i="16"/>
  <c r="M531" i="16"/>
  <c r="M530" i="16"/>
  <c r="M529" i="16"/>
  <c r="M528" i="16"/>
  <c r="M527" i="16"/>
  <c r="M526" i="16"/>
  <c r="M525" i="16"/>
  <c r="M524" i="16"/>
  <c r="M523" i="16"/>
  <c r="M522" i="16"/>
  <c r="M521" i="16"/>
  <c r="M520" i="16"/>
  <c r="M519" i="16"/>
  <c r="M518" i="16"/>
  <c r="M517" i="16"/>
  <c r="M516" i="16"/>
  <c r="M515" i="16"/>
  <c r="M514" i="16"/>
  <c r="M513" i="16"/>
  <c r="M512" i="16"/>
  <c r="M511" i="16"/>
  <c r="M510" i="16"/>
  <c r="M509" i="16"/>
  <c r="M508" i="16"/>
  <c r="M507" i="16"/>
  <c r="M506" i="16"/>
  <c r="M505" i="16"/>
  <c r="M504" i="16"/>
  <c r="M503" i="16"/>
  <c r="M502" i="16"/>
  <c r="M501" i="16"/>
  <c r="M500" i="16"/>
  <c r="M499" i="16"/>
  <c r="M498" i="16"/>
  <c r="M497" i="16"/>
  <c r="M496" i="16"/>
  <c r="M495" i="16"/>
  <c r="M494" i="16"/>
  <c r="M493" i="16"/>
  <c r="M492" i="16"/>
  <c r="M491" i="16"/>
  <c r="M490" i="16"/>
  <c r="M489" i="16"/>
  <c r="M488" i="16"/>
  <c r="M487" i="16"/>
  <c r="M486" i="16"/>
  <c r="M485" i="16"/>
  <c r="M484" i="16"/>
  <c r="M483" i="16"/>
  <c r="M482" i="16"/>
  <c r="M481" i="16"/>
  <c r="M480" i="16"/>
  <c r="M479" i="16"/>
  <c r="M478" i="16"/>
  <c r="M477" i="16"/>
  <c r="M476" i="16"/>
  <c r="M475" i="16"/>
  <c r="M474" i="16"/>
  <c r="M473" i="16"/>
  <c r="M472" i="16"/>
  <c r="M471" i="16"/>
  <c r="M470" i="16"/>
  <c r="M469" i="16"/>
  <c r="M468" i="16"/>
  <c r="M467" i="16"/>
  <c r="M466" i="16"/>
  <c r="M465" i="16"/>
  <c r="M464" i="16"/>
  <c r="M463" i="16"/>
  <c r="M462" i="16"/>
  <c r="M461" i="16"/>
  <c r="M460" i="16"/>
  <c r="M459" i="16"/>
  <c r="M458" i="16"/>
  <c r="M457" i="16"/>
  <c r="M456" i="16"/>
  <c r="M455" i="16"/>
  <c r="M454" i="16"/>
  <c r="M453" i="16"/>
  <c r="M452" i="16"/>
  <c r="M451" i="16"/>
  <c r="M450" i="16"/>
  <c r="M449" i="16"/>
  <c r="M448" i="16"/>
  <c r="M447" i="16"/>
  <c r="M446" i="16"/>
  <c r="M445" i="16"/>
  <c r="M444" i="16"/>
  <c r="M443" i="16"/>
  <c r="M442" i="16"/>
  <c r="M441" i="16"/>
  <c r="M440" i="16"/>
  <c r="M439" i="16"/>
  <c r="M438" i="16"/>
  <c r="M437" i="16"/>
  <c r="M436" i="16"/>
  <c r="M435" i="16"/>
  <c r="M434" i="16"/>
  <c r="M433" i="16"/>
  <c r="M432" i="16"/>
  <c r="M431" i="16"/>
  <c r="M430" i="16"/>
  <c r="M429" i="16"/>
  <c r="M428" i="16"/>
  <c r="M427" i="16"/>
  <c r="M426" i="16"/>
  <c r="M425" i="16"/>
  <c r="M424" i="16"/>
  <c r="M423" i="16"/>
  <c r="M422" i="16"/>
  <c r="M421" i="16"/>
  <c r="M420" i="16"/>
  <c r="M419" i="16"/>
  <c r="M418" i="16"/>
  <c r="M417" i="16"/>
  <c r="M416" i="16"/>
  <c r="M415" i="16"/>
  <c r="M414" i="16"/>
  <c r="M413" i="16"/>
  <c r="M412" i="16"/>
  <c r="M411" i="16"/>
  <c r="M410" i="16"/>
  <c r="M409" i="16"/>
  <c r="M408" i="16"/>
  <c r="M407" i="16"/>
  <c r="M406" i="16"/>
  <c r="M405" i="16"/>
  <c r="M404" i="16"/>
  <c r="M403" i="16"/>
  <c r="M402" i="16"/>
  <c r="M401" i="16"/>
  <c r="M400" i="16"/>
  <c r="M399" i="16"/>
  <c r="M398" i="16"/>
  <c r="M397" i="16"/>
  <c r="M396" i="16"/>
  <c r="M395" i="16"/>
  <c r="M394" i="16"/>
  <c r="M393" i="16"/>
  <c r="M392" i="16"/>
  <c r="M391" i="16"/>
  <c r="M390" i="16"/>
  <c r="M389" i="16"/>
  <c r="M388" i="16"/>
  <c r="M387" i="16"/>
  <c r="M386" i="16"/>
  <c r="M385" i="16"/>
  <c r="M384" i="16"/>
  <c r="M383" i="16"/>
  <c r="M382" i="16"/>
  <c r="M381" i="16"/>
  <c r="M380" i="16"/>
  <c r="M379" i="16"/>
  <c r="M378" i="16"/>
  <c r="M377" i="16"/>
  <c r="M376" i="16"/>
  <c r="M375" i="16"/>
  <c r="M374" i="16"/>
  <c r="M373" i="16"/>
  <c r="M372" i="16"/>
  <c r="M371" i="16"/>
  <c r="M370" i="16"/>
  <c r="M369" i="16"/>
  <c r="M368" i="16"/>
  <c r="M367" i="16"/>
  <c r="M366" i="16"/>
  <c r="M365" i="16"/>
  <c r="M364" i="16"/>
  <c r="M363" i="16"/>
  <c r="M362" i="16"/>
  <c r="M361" i="16"/>
  <c r="M360" i="16"/>
  <c r="M359" i="16"/>
  <c r="M358" i="16"/>
  <c r="M357" i="16"/>
  <c r="M356" i="16"/>
  <c r="M355" i="16"/>
  <c r="M354" i="16"/>
  <c r="M353" i="16"/>
  <c r="M352" i="16"/>
  <c r="M351" i="16"/>
  <c r="M350" i="16"/>
  <c r="M349" i="16"/>
  <c r="M348" i="16"/>
  <c r="M347" i="16"/>
  <c r="M346" i="16"/>
  <c r="M345" i="16"/>
  <c r="M344" i="16"/>
  <c r="M343" i="16"/>
  <c r="M342" i="16"/>
  <c r="M341" i="16"/>
  <c r="M340" i="16"/>
  <c r="M339" i="16"/>
  <c r="M338" i="16"/>
  <c r="M337" i="16"/>
  <c r="M336" i="16"/>
  <c r="M335" i="16"/>
  <c r="M334" i="16"/>
  <c r="M333" i="16"/>
  <c r="M332" i="16"/>
  <c r="M331" i="16"/>
  <c r="M330" i="16"/>
  <c r="M329" i="16"/>
  <c r="M328" i="16"/>
  <c r="M327" i="16"/>
  <c r="M326" i="16"/>
  <c r="M325" i="16"/>
  <c r="M324" i="16"/>
  <c r="M323" i="16"/>
  <c r="M322" i="16"/>
  <c r="M321" i="16"/>
  <c r="M320" i="16"/>
  <c r="M319" i="16"/>
  <c r="M318" i="16"/>
  <c r="M317" i="16"/>
  <c r="M316" i="16"/>
  <c r="M315" i="16"/>
  <c r="M314" i="16"/>
  <c r="M313" i="16"/>
  <c r="M312" i="16"/>
  <c r="M311" i="16"/>
  <c r="M310" i="16"/>
  <c r="M309" i="16"/>
  <c r="M308" i="16"/>
  <c r="M307" i="16"/>
  <c r="M306" i="16"/>
  <c r="M305" i="16"/>
  <c r="M304" i="16"/>
  <c r="M303" i="16"/>
  <c r="M302" i="16"/>
  <c r="M301" i="16"/>
  <c r="M300" i="16"/>
  <c r="M299" i="16"/>
  <c r="M298" i="16"/>
  <c r="M297" i="16"/>
  <c r="M296" i="16"/>
  <c r="M295" i="16"/>
  <c r="M294" i="16"/>
  <c r="M293" i="16"/>
  <c r="M292" i="16"/>
  <c r="M291" i="16"/>
  <c r="M290" i="16"/>
  <c r="M289" i="16"/>
  <c r="M288" i="16"/>
  <c r="M287" i="16"/>
  <c r="M286" i="16"/>
  <c r="M285" i="16"/>
  <c r="M284" i="16"/>
  <c r="M283" i="16"/>
  <c r="M282" i="16"/>
  <c r="M281" i="16"/>
  <c r="M280" i="16"/>
  <c r="M279" i="16"/>
  <c r="M278" i="16"/>
  <c r="M277" i="16"/>
  <c r="M276" i="16"/>
  <c r="M275" i="16"/>
  <c r="M274" i="16"/>
  <c r="M273" i="16"/>
  <c r="M272" i="16"/>
  <c r="M271" i="16"/>
  <c r="M270" i="16"/>
  <c r="M269" i="16"/>
  <c r="M268" i="16"/>
  <c r="M267" i="16"/>
  <c r="M266" i="16"/>
  <c r="M265" i="16"/>
  <c r="M264" i="16"/>
  <c r="M263" i="16"/>
  <c r="M262" i="16"/>
  <c r="M261" i="16"/>
  <c r="M260" i="16"/>
  <c r="M259" i="16"/>
  <c r="M258" i="16"/>
  <c r="M257" i="16"/>
  <c r="M256" i="16"/>
  <c r="M255" i="16"/>
  <c r="M254" i="16"/>
  <c r="M253" i="16"/>
  <c r="M252" i="16"/>
  <c r="M251" i="16"/>
  <c r="M250" i="16"/>
  <c r="M249" i="16"/>
  <c r="M248" i="16"/>
  <c r="M247" i="16"/>
  <c r="M246" i="16"/>
  <c r="M245" i="16"/>
  <c r="M244" i="16"/>
  <c r="M243" i="16"/>
  <c r="M242" i="16"/>
  <c r="M241" i="16"/>
  <c r="M240" i="16"/>
  <c r="M239" i="16"/>
  <c r="M238" i="16"/>
  <c r="M237" i="16"/>
  <c r="M236" i="16"/>
  <c r="M235" i="16"/>
  <c r="M234" i="16"/>
  <c r="M233" i="16"/>
  <c r="M232" i="16"/>
  <c r="M231" i="16"/>
  <c r="M230" i="16"/>
  <c r="M229" i="16"/>
  <c r="M228" i="16"/>
  <c r="M227" i="16"/>
  <c r="M226" i="16"/>
  <c r="M225" i="16"/>
  <c r="M224" i="16"/>
  <c r="M223" i="16"/>
  <c r="M222" i="16"/>
  <c r="M221" i="16"/>
  <c r="M220" i="16"/>
  <c r="M219" i="16"/>
  <c r="M218" i="16"/>
  <c r="M217" i="16"/>
  <c r="M216" i="16"/>
  <c r="M215" i="16"/>
  <c r="M214" i="16"/>
  <c r="M213" i="16"/>
  <c r="M212" i="16"/>
  <c r="M211" i="16"/>
  <c r="M210" i="16"/>
  <c r="M209" i="16"/>
  <c r="M208" i="16"/>
  <c r="M207" i="16"/>
  <c r="M206" i="16"/>
  <c r="M205" i="16"/>
  <c r="M204" i="16"/>
  <c r="M203" i="16"/>
  <c r="M202" i="16"/>
  <c r="M201" i="16"/>
  <c r="M200" i="16"/>
  <c r="M199" i="16"/>
  <c r="M198" i="16"/>
  <c r="M197" i="16"/>
  <c r="M196" i="16"/>
  <c r="M195" i="16"/>
  <c r="M194" i="16"/>
  <c r="M193" i="16"/>
  <c r="M192" i="16"/>
  <c r="M191" i="16"/>
  <c r="M190" i="16"/>
  <c r="M189" i="16"/>
  <c r="M188" i="16"/>
  <c r="M187" i="16"/>
  <c r="M186" i="16"/>
  <c r="M185" i="16"/>
  <c r="M184" i="16"/>
  <c r="M183" i="16"/>
  <c r="M182" i="16"/>
  <c r="M181" i="16"/>
  <c r="M180" i="16"/>
  <c r="M179" i="16"/>
  <c r="M178" i="16"/>
  <c r="M177" i="16"/>
  <c r="M176" i="16"/>
  <c r="M175" i="16"/>
  <c r="M174" i="16"/>
  <c r="M173" i="16"/>
  <c r="M172" i="16"/>
  <c r="M171" i="16"/>
  <c r="M170" i="16"/>
  <c r="M169" i="16"/>
  <c r="M168" i="16"/>
  <c r="M167" i="16"/>
  <c r="M166" i="16"/>
  <c r="M165" i="16"/>
  <c r="M164" i="16"/>
  <c r="M163" i="16"/>
  <c r="M162" i="16"/>
  <c r="M161" i="16"/>
  <c r="M160" i="16"/>
  <c r="M159" i="16"/>
  <c r="M158" i="16"/>
  <c r="M157" i="16"/>
  <c r="M156" i="16"/>
  <c r="M155" i="16"/>
  <c r="M154" i="16"/>
  <c r="M153" i="16"/>
  <c r="M152" i="16"/>
  <c r="M151" i="16"/>
  <c r="M150" i="16"/>
  <c r="M149" i="16"/>
  <c r="M148" i="16"/>
  <c r="M147" i="16"/>
  <c r="M146" i="16"/>
  <c r="M145" i="16"/>
  <c r="M144" i="16"/>
  <c r="M143" i="16"/>
  <c r="M142" i="16"/>
  <c r="M141" i="16"/>
  <c r="M140" i="16"/>
  <c r="M139" i="16"/>
  <c r="M138" i="16"/>
  <c r="M137" i="16"/>
  <c r="M136" i="16"/>
  <c r="M135" i="16"/>
  <c r="M134" i="16"/>
  <c r="M133" i="16"/>
  <c r="M132" i="16"/>
  <c r="M131" i="16"/>
  <c r="M130" i="16"/>
  <c r="M129" i="16"/>
  <c r="M128" i="16"/>
  <c r="M127" i="16"/>
  <c r="M126" i="16"/>
  <c r="M125" i="16"/>
  <c r="M124" i="16"/>
  <c r="M123" i="16"/>
  <c r="M122" i="16"/>
  <c r="M121" i="16"/>
  <c r="M120" i="16"/>
  <c r="M119" i="16"/>
  <c r="M118" i="16"/>
  <c r="M117" i="16"/>
  <c r="M116" i="16"/>
  <c r="M115" i="16"/>
  <c r="M114" i="16"/>
  <c r="M113" i="16"/>
  <c r="M112" i="16"/>
  <c r="M111" i="16"/>
  <c r="M110" i="16"/>
  <c r="M109" i="16"/>
  <c r="M108" i="16"/>
  <c r="M107" i="16"/>
  <c r="M106" i="16"/>
  <c r="M105" i="16"/>
  <c r="M104" i="16"/>
  <c r="M103" i="16"/>
  <c r="M102" i="16"/>
  <c r="M101" i="16"/>
  <c r="M100" i="16"/>
  <c r="M99" i="16"/>
  <c r="M98" i="16"/>
  <c r="M97" i="16"/>
  <c r="M96" i="16"/>
  <c r="M95" i="16"/>
  <c r="M94" i="16"/>
  <c r="M93" i="16"/>
  <c r="M92" i="16"/>
  <c r="M91" i="16"/>
  <c r="M90" i="16"/>
  <c r="M89" i="16"/>
  <c r="M88" i="16"/>
  <c r="M87" i="16"/>
  <c r="M86" i="16"/>
  <c r="M85" i="16"/>
  <c r="M84" i="16"/>
  <c r="M83" i="16"/>
  <c r="M82" i="16"/>
  <c r="M81" i="16"/>
  <c r="M80" i="16"/>
  <c r="M79" i="16"/>
  <c r="M78" i="16"/>
  <c r="M77" i="16"/>
  <c r="M76" i="16"/>
  <c r="M75" i="16"/>
  <c r="M74" i="16"/>
  <c r="M73" i="16"/>
  <c r="M72" i="16"/>
  <c r="M71" i="16"/>
  <c r="M70" i="16"/>
  <c r="M69" i="16"/>
  <c r="M68" i="16"/>
  <c r="M67" i="16"/>
  <c r="M66" i="16"/>
  <c r="M65" i="16"/>
  <c r="M64" i="16"/>
  <c r="M63" i="16"/>
  <c r="M62" i="16"/>
  <c r="M61" i="16"/>
  <c r="M60" i="16"/>
  <c r="M59" i="16"/>
  <c r="M58" i="16"/>
  <c r="M57" i="16"/>
  <c r="M56" i="16"/>
  <c r="M55" i="16"/>
  <c r="M54" i="16"/>
  <c r="M53" i="16"/>
  <c r="M52" i="16"/>
  <c r="M51" i="16"/>
  <c r="M50" i="16"/>
  <c r="M49" i="16"/>
  <c r="M48" i="16"/>
  <c r="M47" i="16"/>
  <c r="M46" i="16"/>
  <c r="M45" i="16"/>
  <c r="M44" i="16"/>
  <c r="M43" i="16"/>
  <c r="M42" i="16"/>
  <c r="M41" i="16"/>
  <c r="M40" i="16"/>
  <c r="M39" i="16"/>
  <c r="M38" i="16"/>
  <c r="M37" i="16"/>
  <c r="M36" i="16"/>
  <c r="M35" i="16"/>
  <c r="M34" i="16"/>
  <c r="M33" i="16"/>
  <c r="M32" i="16"/>
  <c r="M31" i="16"/>
  <c r="M30" i="16"/>
  <c r="M29" i="16"/>
  <c r="M28" i="16"/>
  <c r="M27" i="16"/>
  <c r="M26" i="16"/>
  <c r="M25" i="16"/>
  <c r="M24" i="16"/>
  <c r="M23" i="16"/>
  <c r="M22" i="16"/>
  <c r="M21" i="16"/>
  <c r="M20" i="16"/>
  <c r="M19" i="16"/>
  <c r="M18" i="16"/>
  <c r="M17" i="16"/>
  <c r="M16" i="16"/>
  <c r="M15" i="16"/>
  <c r="M14" i="16"/>
  <c r="M13" i="16"/>
  <c r="M12" i="16"/>
  <c r="M11" i="16"/>
  <c r="M10" i="16"/>
  <c r="M9" i="16"/>
  <c r="M612" i="15"/>
  <c r="M611" i="15"/>
  <c r="M610" i="15"/>
  <c r="M609" i="15"/>
  <c r="M608" i="15"/>
  <c r="M607" i="15"/>
  <c r="M606" i="15"/>
  <c r="M605" i="15"/>
  <c r="M604" i="15"/>
  <c r="M603" i="15"/>
  <c r="M602" i="15"/>
  <c r="M601" i="15"/>
  <c r="M600" i="15"/>
  <c r="M599" i="15"/>
  <c r="M598" i="15"/>
  <c r="M597" i="15"/>
  <c r="M596" i="15"/>
  <c r="M595" i="15"/>
  <c r="M594" i="15"/>
  <c r="M593" i="15"/>
  <c r="M592" i="15"/>
  <c r="M591" i="15"/>
  <c r="M590" i="15"/>
  <c r="M589" i="15"/>
  <c r="M588" i="15"/>
  <c r="M587" i="15"/>
  <c r="M586" i="15"/>
  <c r="M585" i="15"/>
  <c r="M584" i="15"/>
  <c r="M583" i="15"/>
  <c r="M582" i="15"/>
  <c r="M581" i="15"/>
  <c r="M580" i="15"/>
  <c r="M579" i="15"/>
  <c r="M578" i="15"/>
  <c r="M577" i="15"/>
  <c r="M576" i="15"/>
  <c r="M575" i="15"/>
  <c r="M574" i="15"/>
  <c r="M573" i="15"/>
  <c r="M572" i="15"/>
  <c r="M571" i="15"/>
  <c r="M570" i="15"/>
  <c r="M569" i="15"/>
  <c r="M568" i="15"/>
  <c r="M567" i="15"/>
  <c r="M566" i="15"/>
  <c r="M565" i="15"/>
  <c r="M564" i="15"/>
  <c r="M563" i="15"/>
  <c r="M562" i="15"/>
  <c r="M561" i="15"/>
  <c r="M560" i="15"/>
  <c r="M559" i="15"/>
  <c r="M558" i="15"/>
  <c r="M557" i="15"/>
  <c r="M556" i="15"/>
  <c r="M555" i="15"/>
  <c r="M554" i="15"/>
  <c r="M553" i="15"/>
  <c r="M552" i="15"/>
  <c r="M551" i="15"/>
  <c r="M550" i="15"/>
  <c r="M549" i="15"/>
  <c r="M548" i="15"/>
  <c r="M547" i="15"/>
  <c r="M546" i="15"/>
  <c r="M545" i="15"/>
  <c r="M544" i="15"/>
  <c r="M543" i="15"/>
  <c r="M542" i="15"/>
  <c r="M541" i="15"/>
  <c r="M540" i="15"/>
  <c r="M539" i="15"/>
  <c r="M538" i="15"/>
  <c r="M537" i="15"/>
  <c r="M536" i="15"/>
  <c r="M535" i="15"/>
  <c r="M534" i="15"/>
  <c r="M533" i="15"/>
  <c r="M532" i="15"/>
  <c r="M531" i="15"/>
  <c r="M530" i="15"/>
  <c r="M529" i="15"/>
  <c r="M528" i="15"/>
  <c r="M527" i="15"/>
  <c r="M526" i="15"/>
  <c r="M525" i="15"/>
  <c r="M524" i="15"/>
  <c r="M523" i="15"/>
  <c r="M522" i="15"/>
  <c r="M521" i="15"/>
  <c r="M520" i="15"/>
  <c r="M519" i="15"/>
  <c r="M518" i="15"/>
  <c r="M517" i="15"/>
  <c r="M516" i="15"/>
  <c r="M515" i="15"/>
  <c r="M514" i="15"/>
  <c r="M513" i="15"/>
  <c r="M512" i="15"/>
  <c r="M511" i="15"/>
  <c r="M510" i="15"/>
  <c r="M509" i="15"/>
  <c r="M508" i="15"/>
  <c r="M507" i="15"/>
  <c r="M506" i="15"/>
  <c r="M505" i="15"/>
  <c r="M504" i="15"/>
  <c r="M503" i="15"/>
  <c r="M502" i="15"/>
  <c r="M501" i="15"/>
  <c r="M500" i="15"/>
  <c r="M499" i="15"/>
  <c r="M498" i="15"/>
  <c r="M497" i="15"/>
  <c r="M496" i="15"/>
  <c r="M495" i="15"/>
  <c r="M494" i="15"/>
  <c r="M493" i="15"/>
  <c r="M492" i="15"/>
  <c r="M491" i="15"/>
  <c r="M490" i="15"/>
  <c r="M489" i="15"/>
  <c r="M488" i="15"/>
  <c r="M487" i="15"/>
  <c r="M486" i="15"/>
  <c r="M485" i="15"/>
  <c r="M484" i="15"/>
  <c r="M483" i="15"/>
  <c r="M482" i="15"/>
  <c r="M481" i="15"/>
  <c r="M480" i="15"/>
  <c r="M479" i="15"/>
  <c r="M478" i="15"/>
  <c r="M477" i="15"/>
  <c r="M476" i="15"/>
  <c r="M475" i="15"/>
  <c r="M474" i="15"/>
  <c r="M473" i="15"/>
  <c r="M472" i="15"/>
  <c r="M471" i="15"/>
  <c r="M470" i="15"/>
  <c r="M469" i="15"/>
  <c r="M468" i="15"/>
  <c r="M467" i="15"/>
  <c r="M466" i="15"/>
  <c r="M465" i="15"/>
  <c r="M464" i="15"/>
  <c r="M463" i="15"/>
  <c r="M462" i="15"/>
  <c r="M461" i="15"/>
  <c r="M460" i="15"/>
  <c r="M459" i="15"/>
  <c r="M458" i="15"/>
  <c r="M457" i="15"/>
  <c r="M456" i="15"/>
  <c r="M455" i="15"/>
  <c r="M454" i="15"/>
  <c r="M453" i="15"/>
  <c r="M452" i="15"/>
  <c r="M451" i="15"/>
  <c r="M450" i="15"/>
  <c r="M449" i="15"/>
  <c r="M448" i="15"/>
  <c r="M447" i="15"/>
  <c r="M446" i="15"/>
  <c r="M445" i="15"/>
  <c r="M444" i="15"/>
  <c r="M443" i="15"/>
  <c r="M442" i="15"/>
  <c r="M441" i="15"/>
  <c r="M440" i="15"/>
  <c r="M439" i="15"/>
  <c r="M438" i="15"/>
  <c r="M437" i="15"/>
  <c r="M436" i="15"/>
  <c r="M435" i="15"/>
  <c r="M434" i="15"/>
  <c r="M433" i="15"/>
  <c r="M432" i="15"/>
  <c r="M431" i="15"/>
  <c r="M430" i="15"/>
  <c r="M429" i="15"/>
  <c r="M428" i="15"/>
  <c r="M427" i="15"/>
  <c r="M426" i="15"/>
  <c r="M425" i="15"/>
  <c r="M424" i="15"/>
  <c r="M423" i="15"/>
  <c r="M422" i="15"/>
  <c r="M421" i="15"/>
  <c r="M420" i="15"/>
  <c r="M419" i="15"/>
  <c r="M418" i="15"/>
  <c r="M417" i="15"/>
  <c r="M416" i="15"/>
  <c r="M415" i="15"/>
  <c r="M414" i="15"/>
  <c r="M413" i="15"/>
  <c r="M412" i="15"/>
  <c r="M411" i="15"/>
  <c r="M410" i="15"/>
  <c r="M409" i="15"/>
  <c r="M408" i="15"/>
  <c r="M407" i="15"/>
  <c r="M406" i="15"/>
  <c r="M405" i="15"/>
  <c r="M404" i="15"/>
  <c r="M403" i="15"/>
  <c r="M402" i="15"/>
  <c r="M401" i="15"/>
  <c r="M400" i="15"/>
  <c r="M399" i="15"/>
  <c r="M398" i="15"/>
  <c r="M397" i="15"/>
  <c r="M396" i="15"/>
  <c r="M395" i="15"/>
  <c r="M394" i="15"/>
  <c r="M393" i="15"/>
  <c r="M392" i="15"/>
  <c r="M391" i="15"/>
  <c r="M390" i="15"/>
  <c r="M389" i="15"/>
  <c r="M388" i="15"/>
  <c r="M387" i="15"/>
  <c r="M386" i="15"/>
  <c r="M385" i="15"/>
  <c r="M384" i="15"/>
  <c r="M383" i="15"/>
  <c r="M382" i="15"/>
  <c r="M381" i="15"/>
  <c r="M380" i="15"/>
  <c r="M379" i="15"/>
  <c r="M378" i="15"/>
  <c r="M377" i="15"/>
  <c r="M376" i="15"/>
  <c r="M375" i="15"/>
  <c r="M374" i="15"/>
  <c r="M373" i="15"/>
  <c r="M372" i="15"/>
  <c r="M371" i="15"/>
  <c r="M370" i="15"/>
  <c r="M369" i="15"/>
  <c r="M368" i="15"/>
  <c r="M367" i="15"/>
  <c r="M366" i="15"/>
  <c r="M365" i="15"/>
  <c r="M364" i="15"/>
  <c r="M363" i="15"/>
  <c r="M362" i="15"/>
  <c r="M361" i="15"/>
  <c r="M360" i="15"/>
  <c r="M359" i="15"/>
  <c r="M358" i="15"/>
  <c r="M357" i="15"/>
  <c r="M356" i="15"/>
  <c r="M355" i="15"/>
  <c r="M354" i="15"/>
  <c r="M353" i="15"/>
  <c r="M352" i="15"/>
  <c r="M351" i="15"/>
  <c r="M350" i="15"/>
  <c r="M349" i="15"/>
  <c r="M348" i="15"/>
  <c r="M347" i="15"/>
  <c r="M346" i="15"/>
  <c r="M345" i="15"/>
  <c r="M344" i="15"/>
  <c r="M343" i="15"/>
  <c r="M342" i="15"/>
  <c r="M341" i="15"/>
  <c r="M340" i="15"/>
  <c r="M339" i="15"/>
  <c r="M338" i="15"/>
  <c r="M337" i="15"/>
  <c r="M336" i="15"/>
  <c r="M335" i="15"/>
  <c r="M334" i="15"/>
  <c r="M333" i="15"/>
  <c r="M332" i="15"/>
  <c r="M331" i="15"/>
  <c r="M330" i="15"/>
  <c r="M329" i="15"/>
  <c r="M328" i="15"/>
  <c r="M327" i="15"/>
  <c r="M326" i="15"/>
  <c r="M325" i="15"/>
  <c r="M324" i="15"/>
  <c r="M323" i="15"/>
  <c r="M322" i="15"/>
  <c r="M321" i="15"/>
  <c r="M320" i="15"/>
  <c r="M319" i="15"/>
  <c r="M318" i="15"/>
  <c r="M317" i="15"/>
  <c r="M316" i="15"/>
  <c r="M315" i="15"/>
  <c r="M314" i="15"/>
  <c r="M313" i="15"/>
  <c r="M312" i="15"/>
  <c r="M311" i="15"/>
  <c r="M310" i="15"/>
  <c r="M309" i="15"/>
  <c r="M308" i="15"/>
  <c r="M307" i="15"/>
  <c r="M306" i="15"/>
  <c r="M305" i="15"/>
  <c r="M304" i="15"/>
  <c r="M303" i="15"/>
  <c r="M302" i="15"/>
  <c r="M301" i="15"/>
  <c r="M300" i="15"/>
  <c r="M299" i="15"/>
  <c r="M298" i="15"/>
  <c r="M297" i="15"/>
  <c r="M296" i="15"/>
  <c r="M295" i="15"/>
  <c r="M294" i="15"/>
  <c r="M293" i="15"/>
  <c r="M292" i="15"/>
  <c r="M291" i="15"/>
  <c r="M290" i="15"/>
  <c r="M289" i="15"/>
  <c r="M288" i="15"/>
  <c r="M287" i="15"/>
  <c r="M286" i="15"/>
  <c r="M285" i="15"/>
  <c r="M284" i="15"/>
  <c r="M283" i="15"/>
  <c r="M282" i="15"/>
  <c r="M281" i="15"/>
  <c r="M280" i="15"/>
  <c r="M279" i="15"/>
  <c r="M278" i="15"/>
  <c r="M277" i="15"/>
  <c r="M276" i="15"/>
  <c r="M275" i="15"/>
  <c r="M274" i="15"/>
  <c r="M273" i="15"/>
  <c r="M272" i="15"/>
  <c r="M271" i="15"/>
  <c r="M270" i="15"/>
  <c r="M269" i="15"/>
  <c r="M268" i="15"/>
  <c r="M267" i="15"/>
  <c r="M266" i="15"/>
  <c r="M265" i="15"/>
  <c r="M264" i="15"/>
  <c r="M263" i="15"/>
  <c r="M262" i="15"/>
  <c r="M261" i="15"/>
  <c r="M260" i="15"/>
  <c r="M259" i="15"/>
  <c r="M258" i="15"/>
  <c r="M257" i="15"/>
  <c r="M256" i="15"/>
  <c r="M255" i="15"/>
  <c r="M254" i="15"/>
  <c r="M253" i="15"/>
  <c r="M252" i="15"/>
  <c r="M251" i="15"/>
  <c r="M250" i="15"/>
  <c r="M249" i="15"/>
  <c r="M248" i="15"/>
  <c r="M247" i="15"/>
  <c r="M246" i="15"/>
  <c r="M245" i="15"/>
  <c r="M244" i="15"/>
  <c r="M243" i="15"/>
  <c r="M242" i="15"/>
  <c r="M241" i="15"/>
  <c r="M240" i="15"/>
  <c r="M239" i="15"/>
  <c r="M238" i="15"/>
  <c r="M237" i="15"/>
  <c r="M236" i="15"/>
  <c r="M235" i="15"/>
  <c r="M234" i="15"/>
  <c r="M233" i="15"/>
  <c r="M232" i="15"/>
  <c r="M231" i="15"/>
  <c r="M230" i="15"/>
  <c r="M229" i="15"/>
  <c r="M228" i="15"/>
  <c r="M227" i="15"/>
  <c r="M226" i="15"/>
  <c r="M225" i="15"/>
  <c r="M224" i="15"/>
  <c r="M223" i="15"/>
  <c r="M222" i="15"/>
  <c r="M221" i="15"/>
  <c r="M220" i="15"/>
  <c r="M219" i="15"/>
  <c r="M218" i="15"/>
  <c r="M217" i="15"/>
  <c r="M216" i="15"/>
  <c r="M215" i="15"/>
  <c r="M214" i="15"/>
  <c r="M213" i="15"/>
  <c r="M212" i="15"/>
  <c r="M211" i="15"/>
  <c r="M210" i="15"/>
  <c r="M209" i="15"/>
  <c r="M208" i="15"/>
  <c r="M207" i="15"/>
  <c r="M206" i="15"/>
  <c r="M205" i="15"/>
  <c r="M204" i="15"/>
  <c r="M203" i="15"/>
  <c r="M202" i="15"/>
  <c r="M201" i="15"/>
  <c r="M200" i="15"/>
  <c r="M199" i="15"/>
  <c r="M198" i="15"/>
  <c r="M197" i="15"/>
  <c r="M196" i="15"/>
  <c r="M195" i="15"/>
  <c r="M194" i="15"/>
  <c r="M193" i="15"/>
  <c r="M192" i="15"/>
  <c r="M191" i="15"/>
  <c r="M190" i="15"/>
  <c r="M189" i="15"/>
  <c r="M188" i="15"/>
  <c r="M187" i="15"/>
  <c r="M186" i="15"/>
  <c r="M185" i="15"/>
  <c r="M184" i="15"/>
  <c r="M183" i="15"/>
  <c r="M182" i="15"/>
  <c r="M181" i="15"/>
  <c r="M180" i="15"/>
  <c r="M179" i="15"/>
  <c r="M178" i="15"/>
  <c r="M177" i="15"/>
  <c r="M176" i="15"/>
  <c r="M175" i="15"/>
  <c r="M174" i="15"/>
  <c r="M173" i="15"/>
  <c r="M172" i="15"/>
  <c r="M171" i="15"/>
  <c r="M170" i="15"/>
  <c r="M169" i="15"/>
  <c r="M168" i="15"/>
  <c r="M167" i="15"/>
  <c r="M166" i="15"/>
  <c r="M165" i="15"/>
  <c r="M164" i="15"/>
  <c r="M163" i="15"/>
  <c r="M162" i="15"/>
  <c r="M161" i="15"/>
  <c r="M160" i="15"/>
  <c r="M159" i="15"/>
  <c r="M158" i="15"/>
  <c r="M157" i="15"/>
  <c r="M156" i="15"/>
  <c r="M155" i="15"/>
  <c r="M154" i="15"/>
  <c r="M153" i="15"/>
  <c r="M152" i="15"/>
  <c r="M151" i="15"/>
  <c r="M150" i="15"/>
  <c r="M149" i="15"/>
  <c r="M148" i="15"/>
  <c r="M147" i="15"/>
  <c r="M146" i="15"/>
  <c r="M145" i="15"/>
  <c r="M144" i="15"/>
  <c r="M143" i="15"/>
  <c r="M142" i="15"/>
  <c r="M141" i="15"/>
  <c r="M140" i="15"/>
  <c r="M139" i="15"/>
  <c r="M138" i="15"/>
  <c r="M137" i="15"/>
  <c r="M136" i="15"/>
  <c r="M135" i="15"/>
  <c r="M134" i="15"/>
  <c r="M133" i="15"/>
  <c r="M132" i="15"/>
  <c r="M131" i="15"/>
  <c r="M130" i="15"/>
  <c r="M129" i="15"/>
  <c r="M128" i="15"/>
  <c r="M127" i="15"/>
  <c r="M126" i="15"/>
  <c r="M125" i="15"/>
  <c r="M124" i="15"/>
  <c r="M123" i="15"/>
  <c r="M122" i="15"/>
  <c r="M121" i="15"/>
  <c r="M120" i="15"/>
  <c r="M119" i="15"/>
  <c r="M118" i="15"/>
  <c r="M117" i="15"/>
  <c r="M116" i="15"/>
  <c r="M115" i="15"/>
  <c r="M114" i="15"/>
  <c r="M113" i="15"/>
  <c r="M112" i="15"/>
  <c r="M111" i="15"/>
  <c r="M110" i="15"/>
  <c r="M109" i="15"/>
  <c r="M108" i="15"/>
  <c r="M107" i="15"/>
  <c r="M106" i="15"/>
  <c r="M105" i="15"/>
  <c r="M104" i="15"/>
  <c r="M103" i="15"/>
  <c r="M102" i="15"/>
  <c r="M101" i="15"/>
  <c r="M100" i="15"/>
  <c r="M99" i="15"/>
  <c r="M98" i="15"/>
  <c r="M97" i="15"/>
  <c r="M96" i="15"/>
  <c r="M95" i="15"/>
  <c r="M94" i="15"/>
  <c r="M93" i="15"/>
  <c r="M92" i="15"/>
  <c r="M91" i="15"/>
  <c r="M90" i="15"/>
  <c r="M89" i="15"/>
  <c r="M88" i="15"/>
  <c r="M87" i="15"/>
  <c r="M86" i="15"/>
  <c r="M85" i="15"/>
  <c r="M84" i="15"/>
  <c r="M83" i="15"/>
  <c r="M82" i="15"/>
  <c r="M81" i="15"/>
  <c r="M80" i="15"/>
  <c r="M79" i="15"/>
  <c r="M78" i="15"/>
  <c r="M77" i="15"/>
  <c r="M76" i="15"/>
  <c r="M75" i="15"/>
  <c r="M74" i="15"/>
  <c r="M73" i="15"/>
  <c r="M72" i="15"/>
  <c r="M71" i="15"/>
  <c r="M70" i="15"/>
  <c r="M69" i="15"/>
  <c r="M68" i="15"/>
  <c r="M67" i="15"/>
  <c r="M66" i="15"/>
  <c r="M65" i="15"/>
  <c r="M64" i="15"/>
  <c r="M63" i="15"/>
  <c r="M62" i="15"/>
  <c r="M61" i="15"/>
  <c r="M60" i="15"/>
  <c r="M59" i="15"/>
  <c r="M58" i="15"/>
  <c r="M57" i="15"/>
  <c r="M56" i="15"/>
  <c r="M55" i="15"/>
  <c r="M54" i="15"/>
  <c r="M53" i="15"/>
  <c r="M52" i="15"/>
  <c r="M51" i="15"/>
  <c r="M50" i="15"/>
  <c r="M49" i="15"/>
  <c r="M48" i="15"/>
  <c r="M47" i="15"/>
  <c r="M46" i="15"/>
  <c r="M45" i="15"/>
  <c r="M44" i="15"/>
  <c r="M43" i="15"/>
  <c r="M42" i="15"/>
  <c r="M41" i="15"/>
  <c r="M40" i="15"/>
  <c r="M39" i="15"/>
  <c r="M38" i="15"/>
  <c r="M37" i="15"/>
  <c r="M36" i="15"/>
  <c r="M35" i="15"/>
  <c r="M34" i="15"/>
  <c r="M33" i="15"/>
  <c r="M32" i="15"/>
  <c r="M31" i="15"/>
  <c r="M30" i="15"/>
  <c r="M29" i="15"/>
  <c r="M28" i="15"/>
  <c r="M27" i="15"/>
  <c r="M26" i="15"/>
  <c r="M25" i="15"/>
  <c r="M24" i="15"/>
  <c r="M23" i="15"/>
  <c r="M22" i="15"/>
  <c r="M21" i="15"/>
  <c r="M20" i="15"/>
  <c r="M19" i="15"/>
  <c r="M18" i="15"/>
  <c r="M17" i="15"/>
  <c r="M16" i="15"/>
  <c r="M15" i="15"/>
  <c r="M14" i="15"/>
  <c r="M13" i="15"/>
  <c r="M12" i="15"/>
  <c r="M11" i="15"/>
  <c r="M10" i="15"/>
  <c r="M9" i="15"/>
  <c r="M670" i="14"/>
  <c r="M669" i="14"/>
  <c r="M668" i="14"/>
  <c r="M667" i="14"/>
  <c r="M666" i="14"/>
  <c r="M665" i="14"/>
  <c r="M664" i="14"/>
  <c r="M663" i="14"/>
  <c r="M662" i="14"/>
  <c r="M661" i="14"/>
  <c r="M660" i="14"/>
  <c r="M659" i="14"/>
  <c r="M658" i="14"/>
  <c r="M657" i="14"/>
  <c r="M656" i="14"/>
  <c r="M655" i="14"/>
  <c r="M654" i="14"/>
  <c r="M653" i="14"/>
  <c r="M652" i="14"/>
  <c r="M651" i="14"/>
  <c r="M650" i="14"/>
  <c r="M649" i="14"/>
  <c r="M648" i="14"/>
  <c r="M647" i="14"/>
  <c r="M646" i="14"/>
  <c r="M645" i="14"/>
  <c r="M644" i="14"/>
  <c r="M643" i="14"/>
  <c r="M642" i="14"/>
  <c r="M641" i="14"/>
  <c r="M640" i="14"/>
  <c r="M639" i="14"/>
  <c r="M638" i="14"/>
  <c r="M637" i="14"/>
  <c r="M636" i="14"/>
  <c r="M635" i="14"/>
  <c r="M634" i="14"/>
  <c r="M633" i="14"/>
  <c r="M632" i="14"/>
  <c r="M631" i="14"/>
  <c r="M630" i="14"/>
  <c r="M629" i="14"/>
  <c r="M628" i="14"/>
  <c r="M627" i="14"/>
  <c r="M626" i="14"/>
  <c r="M625" i="14"/>
  <c r="M624" i="14"/>
  <c r="M623" i="14"/>
  <c r="M622" i="14"/>
  <c r="M621" i="14"/>
  <c r="M620" i="14"/>
  <c r="M619" i="14"/>
  <c r="M618" i="14"/>
  <c r="M617" i="14"/>
  <c r="M616" i="14"/>
  <c r="M615" i="14"/>
  <c r="M614" i="14"/>
  <c r="M613" i="14"/>
  <c r="M612" i="14"/>
  <c r="M611" i="14"/>
  <c r="M610" i="14"/>
  <c r="M609" i="14"/>
  <c r="M608" i="14"/>
  <c r="M607" i="14"/>
  <c r="M606" i="14"/>
  <c r="M605" i="14"/>
  <c r="M604" i="14"/>
  <c r="M603" i="14"/>
  <c r="M602" i="14"/>
  <c r="M601" i="14"/>
  <c r="M600" i="14"/>
  <c r="M599" i="14"/>
  <c r="M598" i="14"/>
  <c r="M597" i="14"/>
  <c r="M596" i="14"/>
  <c r="M595" i="14"/>
  <c r="M594" i="14"/>
  <c r="M593" i="14"/>
  <c r="M592" i="14"/>
  <c r="M591" i="14"/>
  <c r="M590" i="14"/>
  <c r="M589" i="14"/>
  <c r="M588" i="14"/>
  <c r="M587" i="14"/>
  <c r="M586" i="14"/>
  <c r="M585" i="14"/>
  <c r="M584" i="14"/>
  <c r="M583" i="14"/>
  <c r="M582" i="14"/>
  <c r="M581" i="14"/>
  <c r="M580" i="14"/>
  <c r="M579" i="14"/>
  <c r="M578" i="14"/>
  <c r="M577" i="14"/>
  <c r="M576" i="14"/>
  <c r="M575" i="14"/>
  <c r="M574" i="14"/>
  <c r="M573" i="14"/>
  <c r="M572" i="14"/>
  <c r="M571" i="14"/>
  <c r="M570" i="14"/>
  <c r="M569" i="14"/>
  <c r="M568" i="14"/>
  <c r="M567" i="14"/>
  <c r="M566" i="14"/>
  <c r="M565" i="14"/>
  <c r="M564" i="14"/>
  <c r="M563" i="14"/>
  <c r="M562" i="14"/>
  <c r="M561" i="14"/>
  <c r="M560" i="14"/>
  <c r="M559" i="14"/>
  <c r="M558" i="14"/>
  <c r="M557" i="14"/>
  <c r="M556" i="14"/>
  <c r="M555" i="14"/>
  <c r="M554" i="14"/>
  <c r="M553" i="14"/>
  <c r="M552" i="14"/>
  <c r="M551" i="14"/>
  <c r="M550" i="14"/>
  <c r="M549" i="14"/>
  <c r="M548" i="14"/>
  <c r="M547" i="14"/>
  <c r="M546" i="14"/>
  <c r="M545" i="14"/>
  <c r="M544" i="14"/>
  <c r="M543" i="14"/>
  <c r="M542" i="14"/>
  <c r="M541" i="14"/>
  <c r="M540" i="14"/>
  <c r="M539" i="14"/>
  <c r="M538" i="14"/>
  <c r="M537" i="14"/>
  <c r="M536" i="14"/>
  <c r="M535" i="14"/>
  <c r="M534" i="14"/>
  <c r="M533" i="14"/>
  <c r="M532" i="14"/>
  <c r="M531" i="14"/>
  <c r="M530" i="14"/>
  <c r="M529" i="14"/>
  <c r="M528" i="14"/>
  <c r="M527" i="14"/>
  <c r="M526" i="14"/>
  <c r="M525" i="14"/>
  <c r="M524" i="14"/>
  <c r="M523" i="14"/>
  <c r="M522" i="14"/>
  <c r="M521" i="14"/>
  <c r="M520" i="14"/>
  <c r="M519" i="14"/>
  <c r="M518" i="14"/>
  <c r="M517" i="14"/>
  <c r="M516" i="14"/>
  <c r="M515" i="14"/>
  <c r="M514" i="14"/>
  <c r="M513" i="14"/>
  <c r="M512" i="14"/>
  <c r="M511" i="14"/>
  <c r="M510" i="14"/>
  <c r="M509" i="14"/>
  <c r="M508" i="14"/>
  <c r="M507" i="14"/>
  <c r="M506" i="14"/>
  <c r="M505" i="14"/>
  <c r="M504" i="14"/>
  <c r="M503" i="14"/>
  <c r="M502" i="14"/>
  <c r="M501" i="14"/>
  <c r="M500" i="14"/>
  <c r="M499" i="14"/>
  <c r="M498" i="14"/>
  <c r="M497" i="14"/>
  <c r="M496" i="14"/>
  <c r="M495" i="14"/>
  <c r="M494" i="14"/>
  <c r="M493" i="14"/>
  <c r="M492" i="14"/>
  <c r="M491" i="14"/>
  <c r="M490" i="14"/>
  <c r="M489" i="14"/>
  <c r="M488" i="14"/>
  <c r="M487" i="14"/>
  <c r="M486" i="14"/>
  <c r="M485" i="14"/>
  <c r="M484" i="14"/>
  <c r="M483" i="14"/>
  <c r="M482" i="14"/>
  <c r="M481" i="14"/>
  <c r="M480" i="14"/>
  <c r="M479" i="14"/>
  <c r="M478" i="14"/>
  <c r="M477" i="14"/>
  <c r="M476" i="14"/>
  <c r="M475" i="14"/>
  <c r="M474" i="14"/>
  <c r="M473" i="14"/>
  <c r="M472" i="14"/>
  <c r="M471" i="14"/>
  <c r="M470" i="14"/>
  <c r="M469" i="14"/>
  <c r="M468" i="14"/>
  <c r="M467" i="14"/>
  <c r="M466" i="14"/>
  <c r="M465" i="14"/>
  <c r="M464" i="14"/>
  <c r="M463" i="14"/>
  <c r="M462" i="14"/>
  <c r="M461" i="14"/>
  <c r="M460" i="14"/>
  <c r="M459" i="14"/>
  <c r="M458" i="14"/>
  <c r="M457" i="14"/>
  <c r="M456" i="14"/>
  <c r="M455" i="14"/>
  <c r="M454" i="14"/>
  <c r="M453" i="14"/>
  <c r="M452" i="14"/>
  <c r="M451" i="14"/>
  <c r="M450" i="14"/>
  <c r="M449" i="14"/>
  <c r="M448" i="14"/>
  <c r="M447" i="14"/>
  <c r="M446" i="14"/>
  <c r="M445" i="14"/>
  <c r="M444" i="14"/>
  <c r="M443" i="14"/>
  <c r="M442" i="14"/>
  <c r="M441" i="14"/>
  <c r="M440" i="14"/>
  <c r="M439" i="14"/>
  <c r="M438" i="14"/>
  <c r="M437" i="14"/>
  <c r="M436" i="14"/>
  <c r="M435" i="14"/>
  <c r="M434" i="14"/>
  <c r="M433" i="14"/>
  <c r="M432" i="14"/>
  <c r="M431" i="14"/>
  <c r="M430" i="14"/>
  <c r="M429" i="14"/>
  <c r="M428" i="14"/>
  <c r="M427" i="14"/>
  <c r="M426" i="14"/>
  <c r="M425" i="14"/>
  <c r="M424" i="14"/>
  <c r="M423" i="14"/>
  <c r="M422" i="14"/>
  <c r="M421" i="14"/>
  <c r="M420" i="14"/>
  <c r="M419" i="14"/>
  <c r="M418" i="14"/>
  <c r="M417" i="14"/>
  <c r="M416" i="14"/>
  <c r="M415" i="14"/>
  <c r="M414" i="14"/>
  <c r="M413" i="14"/>
  <c r="M412" i="14"/>
  <c r="M411" i="14"/>
  <c r="M410" i="14"/>
  <c r="M409" i="14"/>
  <c r="M408" i="14"/>
  <c r="M407" i="14"/>
  <c r="M406" i="14"/>
  <c r="M405" i="14"/>
  <c r="M404" i="14"/>
  <c r="M403" i="14"/>
  <c r="M402" i="14"/>
  <c r="M401" i="14"/>
  <c r="M400" i="14"/>
  <c r="M399" i="14"/>
  <c r="M398" i="14"/>
  <c r="M397" i="14"/>
  <c r="M396" i="14"/>
  <c r="M395" i="14"/>
  <c r="M394" i="14"/>
  <c r="M393" i="14"/>
  <c r="M392" i="14"/>
  <c r="M391" i="14"/>
  <c r="M390" i="14"/>
  <c r="M389" i="14"/>
  <c r="M388" i="14"/>
  <c r="M387" i="14"/>
  <c r="M386" i="14"/>
  <c r="M385" i="14"/>
  <c r="M384" i="14"/>
  <c r="M383" i="14"/>
  <c r="M382" i="14"/>
  <c r="M381" i="14"/>
  <c r="M380" i="14"/>
  <c r="M379" i="14"/>
  <c r="M378" i="14"/>
  <c r="M377" i="14"/>
  <c r="M376" i="14"/>
  <c r="M375" i="14"/>
  <c r="M374" i="14"/>
  <c r="M373" i="14"/>
  <c r="M372" i="14"/>
  <c r="M371" i="14"/>
  <c r="M370" i="14"/>
  <c r="M369" i="14"/>
  <c r="M368" i="14"/>
  <c r="M367" i="14"/>
  <c r="M366" i="14"/>
  <c r="M365" i="14"/>
  <c r="M364" i="14"/>
  <c r="M363" i="14"/>
  <c r="M362" i="14"/>
  <c r="M361" i="14"/>
  <c r="M360" i="14"/>
  <c r="M359" i="14"/>
  <c r="M358" i="14"/>
  <c r="M357" i="14"/>
  <c r="M356" i="14"/>
  <c r="M355" i="14"/>
  <c r="M354" i="14"/>
  <c r="M353" i="14"/>
  <c r="M352" i="14"/>
  <c r="M351" i="14"/>
  <c r="M350" i="14"/>
  <c r="M349" i="14"/>
  <c r="M348" i="14"/>
  <c r="M347" i="14"/>
  <c r="M346" i="14"/>
  <c r="M345" i="14"/>
  <c r="M344" i="14"/>
  <c r="M343" i="14"/>
  <c r="M342" i="14"/>
  <c r="M341" i="14"/>
  <c r="M340" i="14"/>
  <c r="M339" i="14"/>
  <c r="M338" i="14"/>
  <c r="M337" i="14"/>
  <c r="M336" i="14"/>
  <c r="M335" i="14"/>
  <c r="M334" i="14"/>
  <c r="M333" i="14"/>
  <c r="M332" i="14"/>
  <c r="M331" i="14"/>
  <c r="M330" i="14"/>
  <c r="M329" i="14"/>
  <c r="M328" i="14"/>
  <c r="M327" i="14"/>
  <c r="M326" i="14"/>
  <c r="M325" i="14"/>
  <c r="M324" i="14"/>
  <c r="M323" i="14"/>
  <c r="M322" i="14"/>
  <c r="M321" i="14"/>
  <c r="M320" i="14"/>
  <c r="M319" i="14"/>
  <c r="M318" i="14"/>
  <c r="M317" i="14"/>
  <c r="M316" i="14"/>
  <c r="M315" i="14"/>
  <c r="M314" i="14"/>
  <c r="M313" i="14"/>
  <c r="M312" i="14"/>
  <c r="M311" i="14"/>
  <c r="M310" i="14"/>
  <c r="M309" i="14"/>
  <c r="M308" i="14"/>
  <c r="M307" i="14"/>
  <c r="M306" i="14"/>
  <c r="M305" i="14"/>
  <c r="M304" i="14"/>
  <c r="M303" i="14"/>
  <c r="M302" i="14"/>
  <c r="M301" i="14"/>
  <c r="M300" i="14"/>
  <c r="M299" i="14"/>
  <c r="M298" i="14"/>
  <c r="M297" i="14"/>
  <c r="M296" i="14"/>
  <c r="M295" i="14"/>
  <c r="M294" i="14"/>
  <c r="M293" i="14"/>
  <c r="M292" i="14"/>
  <c r="M291" i="14"/>
  <c r="M290" i="14"/>
  <c r="M289" i="14"/>
  <c r="M288" i="14"/>
  <c r="M287" i="14"/>
  <c r="M286" i="14"/>
  <c r="M285" i="14"/>
  <c r="M284" i="14"/>
  <c r="M283" i="14"/>
  <c r="M282" i="14"/>
  <c r="M281" i="14"/>
  <c r="M280" i="14"/>
  <c r="M279" i="14"/>
  <c r="M278" i="14"/>
  <c r="M277" i="14"/>
  <c r="M276" i="14"/>
  <c r="M275" i="14"/>
  <c r="M274" i="14"/>
  <c r="M273" i="14"/>
  <c r="M272" i="14"/>
  <c r="M271" i="14"/>
  <c r="M270" i="14"/>
  <c r="M269" i="14"/>
  <c r="M268" i="14"/>
  <c r="M267" i="14"/>
  <c r="M266" i="14"/>
  <c r="M265" i="14"/>
  <c r="M264" i="14"/>
  <c r="M263" i="14"/>
  <c r="M262" i="14"/>
  <c r="M261" i="14"/>
  <c r="M260" i="14"/>
  <c r="M259" i="14"/>
  <c r="M258" i="14"/>
  <c r="M257" i="14"/>
  <c r="M256" i="14"/>
  <c r="M255" i="14"/>
  <c r="M254" i="14"/>
  <c r="M253" i="14"/>
  <c r="M252" i="14"/>
  <c r="M251" i="14"/>
  <c r="M250" i="14"/>
  <c r="M249" i="14"/>
  <c r="M248" i="14"/>
  <c r="M247" i="14"/>
  <c r="M246" i="14"/>
  <c r="M245" i="14"/>
  <c r="M244" i="14"/>
  <c r="M243" i="14"/>
  <c r="M242" i="14"/>
  <c r="M241" i="14"/>
  <c r="M240" i="14"/>
  <c r="M239" i="14"/>
  <c r="M238" i="14"/>
  <c r="M237" i="14"/>
  <c r="M236" i="14"/>
  <c r="M235" i="14"/>
  <c r="M234" i="14"/>
  <c r="M233" i="14"/>
  <c r="M232" i="14"/>
  <c r="M231" i="14"/>
  <c r="M230" i="14"/>
  <c r="M229" i="14"/>
  <c r="M228" i="14"/>
  <c r="M227" i="14"/>
  <c r="M226" i="14"/>
  <c r="M225" i="14"/>
  <c r="M224" i="14"/>
  <c r="M223" i="14"/>
  <c r="M222" i="14"/>
  <c r="M221" i="14"/>
  <c r="M220" i="14"/>
  <c r="M219" i="14"/>
  <c r="M218" i="14"/>
  <c r="M217" i="14"/>
  <c r="M216" i="14"/>
  <c r="M215" i="14"/>
  <c r="M214" i="14"/>
  <c r="M213" i="14"/>
  <c r="M212" i="14"/>
  <c r="M211" i="14"/>
  <c r="M210" i="14"/>
  <c r="M209" i="14"/>
  <c r="M208" i="14"/>
  <c r="M207" i="14"/>
  <c r="M206" i="14"/>
  <c r="M205" i="14"/>
  <c r="M204" i="14"/>
  <c r="M203" i="14"/>
  <c r="M202" i="14"/>
  <c r="M201" i="14"/>
  <c r="M200" i="14"/>
  <c r="M199" i="14"/>
  <c r="M198" i="14"/>
  <c r="M197" i="14"/>
  <c r="M196" i="14"/>
  <c r="M195" i="14"/>
  <c r="M194" i="14"/>
  <c r="M193" i="14"/>
  <c r="M192" i="14"/>
  <c r="M191" i="14"/>
  <c r="M190" i="14"/>
  <c r="M189" i="14"/>
  <c r="M188" i="14"/>
  <c r="M187" i="14"/>
  <c r="M186" i="14"/>
  <c r="M185" i="14"/>
  <c r="M184" i="14"/>
  <c r="M183" i="14"/>
  <c r="M182" i="14"/>
  <c r="M181" i="14"/>
  <c r="M180" i="14"/>
  <c r="M179" i="14"/>
  <c r="M178" i="14"/>
  <c r="M177" i="14"/>
  <c r="M176" i="14"/>
  <c r="M175" i="14"/>
  <c r="M174" i="14"/>
  <c r="M173" i="14"/>
  <c r="M172" i="14"/>
  <c r="M171" i="14"/>
  <c r="M170" i="14"/>
  <c r="M169" i="14"/>
  <c r="M168" i="14"/>
  <c r="M167" i="14"/>
  <c r="M166" i="14"/>
  <c r="M165" i="14"/>
  <c r="M164" i="14"/>
  <c r="M163" i="14"/>
  <c r="M162" i="14"/>
  <c r="M161" i="14"/>
  <c r="M160" i="14"/>
  <c r="M159" i="14"/>
  <c r="M158" i="14"/>
  <c r="M157" i="14"/>
  <c r="M156" i="14"/>
  <c r="M155" i="14"/>
  <c r="M154" i="14"/>
  <c r="M153" i="14"/>
  <c r="M152" i="14"/>
  <c r="M151" i="14"/>
  <c r="M150" i="14"/>
  <c r="M149" i="14"/>
  <c r="M148" i="14"/>
  <c r="M147" i="14"/>
  <c r="M146" i="14"/>
  <c r="M145" i="14"/>
  <c r="M144" i="14"/>
  <c r="M143" i="14"/>
  <c r="M142" i="14"/>
  <c r="M141" i="14"/>
  <c r="M140" i="14"/>
  <c r="M139" i="14"/>
  <c r="M138" i="14"/>
  <c r="M137" i="14"/>
  <c r="M136" i="14"/>
  <c r="M135" i="14"/>
  <c r="M134" i="14"/>
  <c r="M133" i="14"/>
  <c r="M132" i="14"/>
  <c r="M131" i="14"/>
  <c r="M130" i="14"/>
  <c r="M129" i="14"/>
  <c r="M128" i="14"/>
  <c r="M127" i="14"/>
  <c r="M126" i="14"/>
  <c r="M125" i="14"/>
  <c r="M124" i="14"/>
  <c r="M123" i="14"/>
  <c r="M122" i="14"/>
  <c r="M121" i="14"/>
  <c r="M120" i="14"/>
  <c r="M119" i="14"/>
  <c r="M118" i="14"/>
  <c r="M117" i="14"/>
  <c r="M116" i="14"/>
  <c r="M115" i="14"/>
  <c r="M114" i="14"/>
  <c r="M113" i="14"/>
  <c r="M112" i="14"/>
  <c r="M111" i="14"/>
  <c r="M110" i="14"/>
  <c r="M109" i="14"/>
  <c r="M108" i="14"/>
  <c r="M107" i="14"/>
  <c r="M106" i="14"/>
  <c r="M105" i="14"/>
  <c r="M104" i="14"/>
  <c r="M103" i="14"/>
  <c r="M102" i="14"/>
  <c r="M101" i="14"/>
  <c r="M100" i="14"/>
  <c r="M99" i="14"/>
  <c r="M98" i="14"/>
  <c r="M97" i="14"/>
  <c r="M96" i="14"/>
  <c r="M95" i="14"/>
  <c r="M94" i="14"/>
  <c r="M93" i="14"/>
  <c r="M92" i="14"/>
  <c r="M91" i="14"/>
  <c r="M90" i="14"/>
  <c r="M89" i="14"/>
  <c r="M88" i="14"/>
  <c r="M87" i="14"/>
  <c r="M86" i="14"/>
  <c r="M85" i="14"/>
  <c r="M84" i="14"/>
  <c r="M83" i="14"/>
  <c r="M82" i="14"/>
  <c r="M81" i="14"/>
  <c r="M80" i="14"/>
  <c r="M79" i="14"/>
  <c r="M78" i="14"/>
  <c r="M77" i="14"/>
  <c r="M76" i="14"/>
  <c r="M75" i="14"/>
  <c r="M74" i="14"/>
  <c r="M73" i="14"/>
  <c r="M72" i="14"/>
  <c r="M71" i="14"/>
  <c r="M70" i="14"/>
  <c r="M69" i="14"/>
  <c r="M68" i="14"/>
  <c r="M67" i="14"/>
  <c r="M66" i="14"/>
  <c r="M65" i="14"/>
  <c r="M64" i="14"/>
  <c r="M63" i="14"/>
  <c r="M62" i="14"/>
  <c r="M61" i="14"/>
  <c r="M60" i="14"/>
  <c r="M59" i="14"/>
  <c r="M58" i="14"/>
  <c r="M57" i="14"/>
  <c r="M56" i="14"/>
  <c r="M55" i="14"/>
  <c r="M54" i="14"/>
  <c r="M53" i="14"/>
  <c r="M52" i="14"/>
  <c r="M51" i="14"/>
  <c r="M50" i="14"/>
  <c r="M49" i="14"/>
  <c r="M48" i="14"/>
  <c r="M47" i="14"/>
  <c r="M46" i="14"/>
  <c r="M45" i="14"/>
  <c r="M44" i="14"/>
  <c r="M43" i="14"/>
  <c r="M42" i="14"/>
  <c r="M41" i="14"/>
  <c r="M40" i="14"/>
  <c r="M39" i="14"/>
  <c r="M38" i="14"/>
  <c r="M37" i="14"/>
  <c r="M36" i="14"/>
  <c r="M35" i="14"/>
  <c r="M34" i="14"/>
  <c r="M33" i="14"/>
  <c r="M32" i="14"/>
  <c r="M31" i="14"/>
  <c r="M30" i="14"/>
  <c r="M29" i="14"/>
  <c r="M28" i="14"/>
  <c r="M27" i="14"/>
  <c r="M26" i="14"/>
  <c r="M25" i="14"/>
  <c r="M24" i="14"/>
  <c r="M23" i="14"/>
  <c r="M22" i="14"/>
  <c r="M21" i="14"/>
  <c r="M20" i="14"/>
  <c r="M19" i="14"/>
  <c r="M18" i="14"/>
  <c r="M17" i="14"/>
  <c r="M16" i="14"/>
  <c r="M15" i="14"/>
  <c r="M14" i="14"/>
  <c r="M13" i="14"/>
  <c r="M12" i="14"/>
  <c r="M11" i="14"/>
  <c r="M10" i="14"/>
  <c r="M496" i="13"/>
  <c r="M495" i="13"/>
  <c r="M494" i="13"/>
  <c r="M493" i="13"/>
  <c r="M492" i="13"/>
  <c r="M491" i="13"/>
  <c r="M490" i="13"/>
  <c r="M489" i="13"/>
  <c r="M488" i="13"/>
  <c r="M487" i="13"/>
  <c r="M486" i="13"/>
  <c r="M485" i="13"/>
  <c r="M484" i="13"/>
  <c r="M483" i="13"/>
  <c r="M482" i="13"/>
  <c r="M481" i="13"/>
  <c r="M480" i="13"/>
  <c r="M479" i="13"/>
  <c r="M478" i="13"/>
  <c r="M477" i="13"/>
  <c r="M476" i="13"/>
  <c r="M475" i="13"/>
  <c r="M474" i="13"/>
  <c r="M473" i="13"/>
  <c r="M472" i="13"/>
  <c r="M471" i="13"/>
  <c r="M470" i="13"/>
  <c r="M469" i="13"/>
  <c r="M468" i="13"/>
  <c r="M467" i="13"/>
  <c r="M466" i="13"/>
  <c r="M465" i="13"/>
  <c r="M464" i="13"/>
  <c r="M463" i="13"/>
  <c r="M462" i="13"/>
  <c r="M461" i="13"/>
  <c r="M460" i="13"/>
  <c r="M459" i="13"/>
  <c r="M458" i="13"/>
  <c r="M457" i="13"/>
  <c r="M456" i="13"/>
  <c r="M455" i="13"/>
  <c r="M454" i="13"/>
  <c r="M453" i="13"/>
  <c r="M452" i="13"/>
  <c r="M451" i="13"/>
  <c r="M450" i="13"/>
  <c r="M449" i="13"/>
  <c r="M448" i="13"/>
  <c r="M447" i="13"/>
  <c r="M446" i="13"/>
  <c r="M445" i="13"/>
  <c r="M444" i="13"/>
  <c r="M443" i="13"/>
  <c r="M442" i="13"/>
  <c r="M441" i="13"/>
  <c r="M440" i="13"/>
  <c r="M439" i="13"/>
  <c r="M438" i="13"/>
  <c r="M437" i="13"/>
  <c r="M436" i="13"/>
  <c r="M435" i="13"/>
  <c r="M434" i="13"/>
  <c r="M433" i="13"/>
  <c r="M432" i="13"/>
  <c r="M431" i="13"/>
  <c r="M430" i="13"/>
  <c r="M429" i="13"/>
  <c r="M428" i="13"/>
  <c r="M427" i="13"/>
  <c r="M426" i="13"/>
  <c r="M425" i="13"/>
  <c r="M424" i="13"/>
  <c r="M423" i="13"/>
  <c r="M422" i="13"/>
  <c r="M421" i="13"/>
  <c r="M420" i="13"/>
  <c r="M419" i="13"/>
  <c r="M418" i="13"/>
  <c r="M417" i="13"/>
  <c r="M416" i="13"/>
  <c r="M415" i="13"/>
  <c r="M414" i="13"/>
  <c r="M413" i="13"/>
  <c r="M412" i="13"/>
  <c r="M411" i="13"/>
  <c r="M410" i="13"/>
  <c r="M409" i="13"/>
  <c r="M408" i="13"/>
  <c r="M407" i="13"/>
  <c r="M406" i="13"/>
  <c r="M405" i="13"/>
  <c r="M404" i="13"/>
  <c r="M403" i="13"/>
  <c r="M402" i="13"/>
  <c r="M401" i="13"/>
  <c r="M400" i="13"/>
  <c r="M399" i="13"/>
  <c r="M398" i="13"/>
  <c r="M397" i="13"/>
  <c r="M396" i="13"/>
  <c r="M395" i="13"/>
  <c r="M394" i="13"/>
  <c r="M393" i="13"/>
  <c r="M392" i="13"/>
  <c r="M391" i="13"/>
  <c r="M390" i="13"/>
  <c r="M389" i="13"/>
  <c r="M388" i="13"/>
  <c r="M387" i="13"/>
  <c r="M386" i="13"/>
  <c r="M385" i="13"/>
  <c r="M384" i="13"/>
  <c r="M383" i="13"/>
  <c r="M382" i="13"/>
  <c r="M381" i="13"/>
  <c r="M380" i="13"/>
  <c r="M379" i="13"/>
  <c r="M378" i="13"/>
  <c r="M377" i="13"/>
  <c r="M376" i="13"/>
  <c r="M375" i="13"/>
  <c r="M374" i="13"/>
  <c r="M373" i="13"/>
  <c r="M372" i="13"/>
  <c r="M371" i="13"/>
  <c r="M370" i="13"/>
  <c r="M369" i="13"/>
  <c r="M368" i="13"/>
  <c r="M367" i="13"/>
  <c r="M366" i="13"/>
  <c r="M365" i="13"/>
  <c r="M364" i="13"/>
  <c r="M363" i="13"/>
  <c r="M362" i="13"/>
  <c r="M361" i="13"/>
  <c r="M360" i="13"/>
  <c r="M359" i="13"/>
  <c r="M358" i="13"/>
  <c r="M357" i="13"/>
  <c r="M356" i="13"/>
  <c r="M355" i="13"/>
  <c r="M354" i="13"/>
  <c r="M353" i="13"/>
  <c r="M352" i="13"/>
  <c r="M351" i="13"/>
  <c r="M350" i="13"/>
  <c r="M349" i="13"/>
  <c r="M348" i="13"/>
  <c r="M347" i="13"/>
  <c r="M346" i="13"/>
  <c r="M345" i="13"/>
  <c r="M344" i="13"/>
  <c r="M343" i="13"/>
  <c r="M342" i="13"/>
  <c r="M341" i="13"/>
  <c r="M340" i="13"/>
  <c r="M339" i="13"/>
  <c r="M338" i="13"/>
  <c r="M337" i="13"/>
  <c r="M336" i="13"/>
  <c r="M335" i="13"/>
  <c r="M334" i="13"/>
  <c r="M333" i="13"/>
  <c r="M332" i="13"/>
  <c r="M331" i="13"/>
  <c r="M330" i="13"/>
  <c r="M329" i="13"/>
  <c r="M328" i="13"/>
  <c r="M327" i="13"/>
  <c r="M326" i="13"/>
  <c r="M325" i="13"/>
  <c r="M324" i="13"/>
  <c r="M323" i="13"/>
  <c r="M322" i="13"/>
  <c r="M321" i="13"/>
  <c r="M320" i="13"/>
  <c r="M319" i="13"/>
  <c r="M318" i="13"/>
  <c r="M317" i="13"/>
  <c r="M316" i="13"/>
  <c r="M315" i="13"/>
  <c r="M314" i="13"/>
  <c r="M313" i="13"/>
  <c r="M312" i="13"/>
  <c r="M311" i="13"/>
  <c r="M310" i="13"/>
  <c r="M309" i="13"/>
  <c r="M308" i="13"/>
  <c r="M307" i="13"/>
  <c r="M306" i="13"/>
  <c r="M305" i="13"/>
  <c r="M304" i="13"/>
  <c r="M303" i="13"/>
  <c r="M302" i="13"/>
  <c r="M301" i="13"/>
  <c r="M300" i="13"/>
  <c r="M299" i="13"/>
  <c r="M298" i="13"/>
  <c r="M297" i="13"/>
  <c r="M296" i="13"/>
  <c r="M295" i="13"/>
  <c r="M294" i="13"/>
  <c r="M293" i="13"/>
  <c r="M292" i="13"/>
  <c r="M291" i="13"/>
  <c r="M290" i="13"/>
  <c r="M289" i="13"/>
  <c r="M288" i="13"/>
  <c r="M287" i="13"/>
  <c r="M286" i="13"/>
  <c r="M285" i="13"/>
  <c r="M284" i="13"/>
  <c r="M283" i="13"/>
  <c r="M282" i="13"/>
  <c r="M281" i="13"/>
  <c r="M280" i="13"/>
  <c r="M279" i="13"/>
  <c r="M278" i="13"/>
  <c r="M277" i="13"/>
  <c r="M276" i="13"/>
  <c r="M275" i="13"/>
  <c r="M274" i="13"/>
  <c r="M273" i="13"/>
  <c r="M272" i="13"/>
  <c r="M271" i="13"/>
  <c r="M270" i="13"/>
  <c r="M269" i="13"/>
  <c r="M268" i="13"/>
  <c r="M267" i="13"/>
  <c r="M266" i="13"/>
  <c r="M265" i="13"/>
  <c r="M264" i="13"/>
  <c r="M263" i="13"/>
  <c r="M262" i="13"/>
  <c r="M261" i="13"/>
  <c r="M260" i="13"/>
  <c r="M259" i="13"/>
  <c r="M258" i="13"/>
  <c r="M257" i="13"/>
  <c r="M256" i="13"/>
  <c r="M255" i="13"/>
  <c r="M254" i="13"/>
  <c r="M253" i="13"/>
  <c r="M252" i="13"/>
  <c r="M251" i="13"/>
  <c r="M250" i="13"/>
  <c r="M249" i="13"/>
  <c r="M248" i="13"/>
  <c r="M247" i="13"/>
  <c r="M246" i="13"/>
  <c r="M245" i="13"/>
  <c r="M244" i="13"/>
  <c r="M243" i="13"/>
  <c r="M242" i="13"/>
  <c r="M241" i="13"/>
  <c r="M240" i="13"/>
  <c r="M239" i="13"/>
  <c r="M238" i="13"/>
  <c r="M237" i="13"/>
  <c r="M236" i="13"/>
  <c r="M235" i="13"/>
  <c r="M234" i="13"/>
  <c r="M233" i="13"/>
  <c r="M232" i="13"/>
  <c r="M231" i="13"/>
  <c r="M230" i="13"/>
  <c r="M229" i="13"/>
  <c r="M228" i="13"/>
  <c r="M227" i="13"/>
  <c r="M226" i="13"/>
  <c r="M225" i="13"/>
  <c r="M224" i="13"/>
  <c r="M223" i="13"/>
  <c r="M222" i="13"/>
  <c r="M221" i="13"/>
  <c r="M220" i="13"/>
  <c r="M219" i="13"/>
  <c r="M218" i="13"/>
  <c r="M217" i="13"/>
  <c r="M216" i="13"/>
  <c r="M215" i="13"/>
  <c r="M214" i="13"/>
  <c r="M213" i="13"/>
  <c r="M212" i="13"/>
  <c r="M211" i="13"/>
  <c r="M210" i="13"/>
  <c r="M209" i="13"/>
  <c r="M208" i="13"/>
  <c r="M207" i="13"/>
  <c r="M206" i="13"/>
  <c r="M205" i="13"/>
  <c r="M204" i="13"/>
  <c r="M203" i="13"/>
  <c r="M202" i="13"/>
  <c r="M201" i="13"/>
  <c r="M200" i="13"/>
  <c r="M199" i="13"/>
  <c r="M198" i="13"/>
  <c r="M197" i="13"/>
  <c r="M196" i="13"/>
  <c r="M195" i="13"/>
  <c r="M194" i="13"/>
  <c r="M193" i="13"/>
  <c r="M192" i="13"/>
  <c r="M191" i="13"/>
  <c r="M190" i="13"/>
  <c r="M189" i="13"/>
  <c r="M188" i="13"/>
  <c r="M187" i="13"/>
  <c r="M186" i="13"/>
  <c r="M185" i="13"/>
  <c r="M184" i="13"/>
  <c r="M183" i="13"/>
  <c r="M182" i="13"/>
  <c r="M181" i="13"/>
  <c r="M180" i="13"/>
  <c r="M179" i="13"/>
  <c r="M178" i="13"/>
  <c r="M177" i="13"/>
  <c r="M176" i="13"/>
  <c r="M175" i="13"/>
  <c r="M174" i="13"/>
  <c r="M173" i="13"/>
  <c r="M172" i="13"/>
  <c r="M171" i="13"/>
  <c r="M170" i="13"/>
  <c r="M169" i="13"/>
  <c r="M168" i="13"/>
  <c r="M167" i="13"/>
  <c r="M166" i="13"/>
  <c r="M165" i="13"/>
  <c r="M164" i="13"/>
  <c r="M163" i="13"/>
  <c r="M162" i="13"/>
  <c r="M161" i="13"/>
  <c r="M160" i="13"/>
  <c r="M159" i="13"/>
  <c r="M158" i="13"/>
  <c r="M157" i="13"/>
  <c r="M156" i="13"/>
  <c r="M155" i="13"/>
  <c r="M154" i="13"/>
  <c r="M153" i="13"/>
  <c r="M152" i="13"/>
  <c r="M151" i="13"/>
  <c r="M150" i="13"/>
  <c r="M149" i="13"/>
  <c r="M148" i="13"/>
  <c r="M147" i="13"/>
  <c r="M146" i="13"/>
  <c r="M145" i="13"/>
  <c r="M144" i="13"/>
  <c r="M143" i="13"/>
  <c r="M142" i="13"/>
  <c r="M141" i="13"/>
  <c r="M140" i="13"/>
  <c r="M139" i="13"/>
  <c r="M138" i="13"/>
  <c r="M137" i="13"/>
  <c r="M136" i="13"/>
  <c r="M135" i="13"/>
  <c r="M134" i="13"/>
  <c r="M133" i="13"/>
  <c r="M132" i="13"/>
  <c r="M131" i="13"/>
  <c r="M130" i="13"/>
  <c r="M129" i="13"/>
  <c r="M128" i="13"/>
  <c r="M127" i="13"/>
  <c r="M126" i="13"/>
  <c r="M125" i="13"/>
  <c r="M124" i="13"/>
  <c r="M123" i="13"/>
  <c r="M122" i="13"/>
  <c r="M121" i="13"/>
  <c r="M120" i="13"/>
  <c r="M119" i="13"/>
  <c r="M118" i="13"/>
  <c r="M117" i="13"/>
  <c r="M116" i="13"/>
  <c r="M115" i="13"/>
  <c r="M114" i="13"/>
  <c r="M113" i="13"/>
  <c r="M112" i="13"/>
  <c r="M111" i="13"/>
  <c r="M110" i="13"/>
  <c r="M109" i="13"/>
  <c r="M108" i="13"/>
  <c r="M107" i="13"/>
  <c r="M106" i="13"/>
  <c r="M105" i="13"/>
  <c r="M104" i="13"/>
  <c r="M103" i="13"/>
  <c r="M102" i="13"/>
  <c r="M101" i="13"/>
  <c r="M100" i="13"/>
  <c r="M99" i="13"/>
  <c r="M98" i="13"/>
  <c r="M97" i="13"/>
  <c r="M96" i="13"/>
  <c r="M95" i="13"/>
  <c r="M94" i="13"/>
  <c r="M93" i="13"/>
  <c r="M92" i="13"/>
  <c r="M91" i="13"/>
  <c r="M90" i="13"/>
  <c r="M89" i="13"/>
  <c r="M88" i="13"/>
  <c r="M87" i="13"/>
  <c r="M86" i="13"/>
  <c r="M85" i="13"/>
  <c r="M84" i="13"/>
  <c r="M83" i="13"/>
  <c r="M82" i="13"/>
  <c r="M81" i="13"/>
  <c r="M80" i="13"/>
  <c r="M79" i="13"/>
  <c r="M78" i="13"/>
  <c r="M77" i="13"/>
  <c r="M76" i="13"/>
  <c r="M75" i="13"/>
  <c r="M74" i="13"/>
  <c r="M73" i="13"/>
  <c r="M72" i="13"/>
  <c r="M71" i="13"/>
  <c r="M70" i="13"/>
  <c r="M69" i="13"/>
  <c r="M68" i="13"/>
  <c r="M67" i="13"/>
  <c r="M66" i="13"/>
  <c r="M65" i="13"/>
  <c r="M64" i="13"/>
  <c r="M63" i="13"/>
  <c r="M62" i="13"/>
  <c r="M61" i="13"/>
  <c r="M60" i="13"/>
  <c r="M59" i="13"/>
  <c r="M58" i="13"/>
  <c r="M57" i="13"/>
  <c r="M56" i="13"/>
  <c r="M55" i="13"/>
  <c r="M54" i="13"/>
  <c r="M53" i="13"/>
  <c r="M52" i="13"/>
  <c r="M51" i="13"/>
  <c r="M50" i="13"/>
  <c r="M49" i="13"/>
  <c r="M48" i="13"/>
  <c r="M47" i="13"/>
  <c r="M46" i="13"/>
  <c r="M45" i="13"/>
  <c r="M44" i="13"/>
  <c r="M43" i="13"/>
  <c r="M42" i="13"/>
  <c r="M41" i="13"/>
  <c r="M40" i="13"/>
  <c r="M39" i="13"/>
  <c r="M38" i="13"/>
  <c r="M37" i="13"/>
  <c r="M36" i="13"/>
  <c r="M35" i="13"/>
  <c r="M34" i="13"/>
  <c r="M33" i="13"/>
  <c r="M32" i="13"/>
  <c r="M31" i="13"/>
  <c r="M30" i="13"/>
  <c r="M29" i="13"/>
  <c r="M28" i="13"/>
  <c r="M27" i="13"/>
  <c r="M26" i="13"/>
  <c r="M25" i="13"/>
  <c r="M24" i="13"/>
  <c r="M23" i="13"/>
  <c r="M22" i="13"/>
  <c r="M21" i="13"/>
  <c r="M20" i="13"/>
  <c r="M19" i="13"/>
  <c r="M18" i="13"/>
  <c r="M17" i="13"/>
  <c r="M16" i="13"/>
  <c r="M15" i="13"/>
  <c r="M14" i="13"/>
  <c r="M13" i="13"/>
  <c r="M12" i="13"/>
  <c r="M11" i="13"/>
  <c r="M10" i="13"/>
  <c r="M9" i="13"/>
  <c r="M618" i="12"/>
  <c r="M617" i="12"/>
  <c r="M616" i="12"/>
  <c r="M615" i="12"/>
  <c r="M614" i="12"/>
  <c r="M613" i="12"/>
  <c r="M612" i="12"/>
  <c r="M611" i="12"/>
  <c r="M610" i="12"/>
  <c r="M609" i="12"/>
  <c r="M608" i="12"/>
  <c r="M607" i="12"/>
  <c r="M606" i="12"/>
  <c r="M605" i="12"/>
  <c r="M604" i="12"/>
  <c r="M603" i="12"/>
  <c r="M602" i="12"/>
  <c r="M601" i="12"/>
  <c r="M600" i="12"/>
  <c r="M599" i="12"/>
  <c r="M598" i="12"/>
  <c r="M597" i="12"/>
  <c r="M596" i="12"/>
  <c r="M595" i="12"/>
  <c r="M594" i="12"/>
  <c r="M593" i="12"/>
  <c r="M592" i="12"/>
  <c r="M591" i="12"/>
  <c r="M590" i="12"/>
  <c r="M589" i="12"/>
  <c r="M588" i="12"/>
  <c r="M587" i="12"/>
  <c r="M586" i="12"/>
  <c r="M585" i="12"/>
  <c r="M584" i="12"/>
  <c r="M583" i="12"/>
  <c r="M582" i="12"/>
  <c r="M581" i="12"/>
  <c r="M580" i="12"/>
  <c r="M579" i="12"/>
  <c r="M578" i="12"/>
  <c r="M577" i="12"/>
  <c r="M576" i="12"/>
  <c r="M575" i="12"/>
  <c r="M574" i="12"/>
  <c r="M573" i="12"/>
  <c r="M572" i="12"/>
  <c r="M571" i="12"/>
  <c r="M570" i="12"/>
  <c r="M569" i="12"/>
  <c r="M568" i="12"/>
  <c r="M567" i="12"/>
  <c r="M566" i="12"/>
  <c r="M565" i="12"/>
  <c r="M564" i="12"/>
  <c r="M563" i="12"/>
  <c r="M562" i="12"/>
  <c r="M561" i="12"/>
  <c r="M560" i="12"/>
  <c r="M559" i="12"/>
  <c r="M558" i="12"/>
  <c r="M557" i="12"/>
  <c r="M556" i="12"/>
  <c r="M555" i="12"/>
  <c r="M554" i="12"/>
  <c r="M553" i="12"/>
  <c r="M552" i="12"/>
  <c r="M551" i="12"/>
  <c r="M550" i="12"/>
  <c r="M549" i="12"/>
  <c r="M548" i="12"/>
  <c r="M547" i="12"/>
  <c r="M546" i="12"/>
  <c r="M545" i="12"/>
  <c r="M544" i="12"/>
  <c r="M543" i="12"/>
  <c r="M542" i="12"/>
  <c r="M541" i="12"/>
  <c r="M540" i="12"/>
  <c r="M539" i="12"/>
  <c r="M538" i="12"/>
  <c r="M537" i="12"/>
  <c r="M536" i="12"/>
  <c r="M535" i="12"/>
  <c r="M534" i="12"/>
  <c r="M533" i="12"/>
  <c r="M532" i="12"/>
  <c r="M531" i="12"/>
  <c r="M530" i="12"/>
  <c r="M529" i="12"/>
  <c r="M528" i="12"/>
  <c r="M527" i="12"/>
  <c r="M526" i="12"/>
  <c r="M525" i="12"/>
  <c r="M524" i="12"/>
  <c r="M523" i="12"/>
  <c r="M522" i="12"/>
  <c r="M521" i="12"/>
  <c r="M520" i="12"/>
  <c r="M519" i="12"/>
  <c r="M518" i="12"/>
  <c r="M517" i="12"/>
  <c r="M516" i="12"/>
  <c r="M515" i="12"/>
  <c r="M514" i="12"/>
  <c r="M513" i="12"/>
  <c r="M512" i="12"/>
  <c r="M511" i="12"/>
  <c r="M510" i="12"/>
  <c r="M509" i="12"/>
  <c r="M508" i="12"/>
  <c r="M507" i="12"/>
  <c r="M506" i="12"/>
  <c r="M505" i="12"/>
  <c r="M504" i="12"/>
  <c r="M503" i="12"/>
  <c r="M502" i="12"/>
  <c r="M501" i="12"/>
  <c r="M500" i="12"/>
  <c r="M499" i="12"/>
  <c r="M498" i="12"/>
  <c r="M497" i="12"/>
  <c r="M496" i="12"/>
  <c r="M495" i="12"/>
  <c r="M494" i="12"/>
  <c r="M493" i="12"/>
  <c r="M492" i="12"/>
  <c r="M491" i="12"/>
  <c r="M490" i="12"/>
  <c r="M489" i="12"/>
  <c r="M488" i="12"/>
  <c r="M487" i="12"/>
  <c r="M486" i="12"/>
  <c r="M485" i="12"/>
  <c r="M484" i="12"/>
  <c r="M483" i="12"/>
  <c r="M482" i="12"/>
  <c r="M481" i="12"/>
  <c r="M480" i="12"/>
  <c r="M479" i="12"/>
  <c r="M478" i="12"/>
  <c r="M477" i="12"/>
  <c r="M476" i="12"/>
  <c r="M475" i="12"/>
  <c r="M474" i="12"/>
  <c r="M473" i="12"/>
  <c r="M472" i="12"/>
  <c r="M471" i="12"/>
  <c r="M470" i="12"/>
  <c r="M469" i="12"/>
  <c r="M468" i="12"/>
  <c r="M467" i="12"/>
  <c r="M466" i="12"/>
  <c r="M465" i="12"/>
  <c r="M464" i="12"/>
  <c r="M463" i="12"/>
  <c r="M462" i="12"/>
  <c r="M461" i="12"/>
  <c r="M460" i="12"/>
  <c r="M459" i="12"/>
  <c r="M458" i="12"/>
  <c r="M457" i="12"/>
  <c r="M456" i="12"/>
  <c r="M455" i="12"/>
  <c r="M454" i="12"/>
  <c r="M453" i="12"/>
  <c r="M452" i="12"/>
  <c r="M451" i="12"/>
  <c r="M450" i="12"/>
  <c r="M449" i="12"/>
  <c r="M448" i="12"/>
  <c r="M447" i="12"/>
  <c r="M446" i="12"/>
  <c r="M445" i="12"/>
  <c r="M444" i="12"/>
  <c r="M443" i="12"/>
  <c r="M442" i="12"/>
  <c r="M441" i="12"/>
  <c r="M440" i="12"/>
  <c r="M439" i="12"/>
  <c r="M438" i="12"/>
  <c r="M437" i="12"/>
  <c r="M436" i="12"/>
  <c r="M435" i="12"/>
  <c r="M434" i="12"/>
  <c r="M433" i="12"/>
  <c r="M432" i="12"/>
  <c r="M431" i="12"/>
  <c r="M430" i="12"/>
  <c r="M429" i="12"/>
  <c r="M428" i="12"/>
  <c r="M427" i="12"/>
  <c r="M426" i="12"/>
  <c r="M425" i="12"/>
  <c r="M424" i="12"/>
  <c r="M423" i="12"/>
  <c r="M422" i="12"/>
  <c r="M421" i="12"/>
  <c r="M420" i="12"/>
  <c r="M419" i="12"/>
  <c r="M418" i="12"/>
  <c r="M417" i="12"/>
  <c r="M416" i="12"/>
  <c r="M415" i="12"/>
  <c r="M414" i="12"/>
  <c r="M413" i="12"/>
  <c r="M412" i="12"/>
  <c r="M411" i="12"/>
  <c r="M410" i="12"/>
  <c r="M409" i="12"/>
  <c r="M408" i="12"/>
  <c r="M407" i="12"/>
  <c r="M406" i="12"/>
  <c r="M405" i="12"/>
  <c r="M404" i="12"/>
  <c r="M403" i="12"/>
  <c r="M402" i="12"/>
  <c r="M401" i="12"/>
  <c r="M400" i="12"/>
  <c r="M399" i="12"/>
  <c r="M398" i="12"/>
  <c r="M397" i="12"/>
  <c r="M396" i="12"/>
  <c r="M395" i="12"/>
  <c r="M394" i="12"/>
  <c r="M393" i="12"/>
  <c r="M392" i="12"/>
  <c r="M391" i="12"/>
  <c r="M390" i="12"/>
  <c r="M389" i="12"/>
  <c r="M388" i="12"/>
  <c r="M387" i="12"/>
  <c r="M386" i="12"/>
  <c r="M385" i="12"/>
  <c r="M384" i="12"/>
  <c r="M383" i="12"/>
  <c r="M382" i="12"/>
  <c r="M381" i="12"/>
  <c r="M380" i="12"/>
  <c r="M379" i="12"/>
  <c r="M378" i="12"/>
  <c r="M377" i="12"/>
  <c r="M376" i="12"/>
  <c r="M375" i="12"/>
  <c r="M374" i="12"/>
  <c r="M373" i="12"/>
  <c r="M372" i="12"/>
  <c r="M371" i="12"/>
  <c r="M370" i="12"/>
  <c r="M369" i="12"/>
  <c r="M368" i="12"/>
  <c r="M367" i="12"/>
  <c r="M366" i="12"/>
  <c r="M365" i="12"/>
  <c r="M364" i="12"/>
  <c r="M363" i="12"/>
  <c r="M362" i="12"/>
  <c r="M361" i="12"/>
  <c r="M360" i="12"/>
  <c r="M359" i="12"/>
  <c r="M358" i="12"/>
  <c r="M357" i="12"/>
  <c r="M356" i="12"/>
  <c r="M355" i="12"/>
  <c r="M354" i="12"/>
  <c r="M353" i="12"/>
  <c r="M352" i="12"/>
  <c r="M351" i="12"/>
  <c r="M350" i="12"/>
  <c r="M349" i="12"/>
  <c r="M348" i="12"/>
  <c r="M347" i="12"/>
  <c r="M346" i="12"/>
  <c r="M345" i="12"/>
  <c r="M344" i="12"/>
  <c r="M343" i="12"/>
  <c r="M342" i="12"/>
  <c r="M341" i="12"/>
  <c r="M340" i="12"/>
  <c r="M339" i="12"/>
  <c r="M338" i="12"/>
  <c r="M337" i="12"/>
  <c r="M336" i="12"/>
  <c r="M335" i="12"/>
  <c r="M334" i="12"/>
  <c r="M333" i="12"/>
  <c r="M332" i="12"/>
  <c r="M331" i="12"/>
  <c r="M330" i="12"/>
  <c r="M329" i="12"/>
  <c r="M328" i="12"/>
  <c r="M327" i="12"/>
  <c r="M326" i="12"/>
  <c r="M325" i="12"/>
  <c r="M324" i="12"/>
  <c r="M323" i="12"/>
  <c r="M322" i="12"/>
  <c r="M321" i="12"/>
  <c r="M320" i="12"/>
  <c r="M319" i="12"/>
  <c r="M318" i="12"/>
  <c r="M317" i="12"/>
  <c r="M316" i="12"/>
  <c r="M315" i="12"/>
  <c r="M314" i="12"/>
  <c r="M313" i="12"/>
  <c r="M312" i="12"/>
  <c r="M311" i="12"/>
  <c r="M310" i="12"/>
  <c r="M309" i="12"/>
  <c r="M308" i="12"/>
  <c r="M307" i="12"/>
  <c r="M306" i="12"/>
  <c r="M305" i="12"/>
  <c r="M304" i="12"/>
  <c r="M303" i="12"/>
  <c r="M302" i="12"/>
  <c r="M301" i="12"/>
  <c r="M300" i="12"/>
  <c r="M299" i="12"/>
  <c r="M298" i="12"/>
  <c r="M297" i="12"/>
  <c r="M296" i="12"/>
  <c r="M295" i="12"/>
  <c r="M294" i="12"/>
  <c r="M293" i="12"/>
  <c r="M292" i="12"/>
  <c r="M291" i="12"/>
  <c r="M290" i="12"/>
  <c r="M289" i="12"/>
  <c r="M288" i="12"/>
  <c r="M287" i="12"/>
  <c r="M286" i="12"/>
  <c r="M285" i="12"/>
  <c r="M284" i="12"/>
  <c r="M283" i="12"/>
  <c r="M282" i="12"/>
  <c r="M281" i="12"/>
  <c r="M280" i="12"/>
  <c r="M279" i="12"/>
  <c r="M278" i="12"/>
  <c r="M277" i="12"/>
  <c r="M276" i="12"/>
  <c r="M275" i="12"/>
  <c r="M274" i="12"/>
  <c r="M273" i="12"/>
  <c r="M272" i="12"/>
  <c r="M271" i="12"/>
  <c r="M270" i="12"/>
  <c r="M269" i="12"/>
  <c r="M268" i="12"/>
  <c r="M267" i="12"/>
  <c r="M266" i="12"/>
  <c r="M265" i="12"/>
  <c r="M264" i="12"/>
  <c r="M263" i="12"/>
  <c r="M262" i="12"/>
  <c r="M261" i="12"/>
  <c r="M260" i="12"/>
  <c r="M259" i="12"/>
  <c r="M258" i="12"/>
  <c r="M257" i="12"/>
  <c r="M256" i="12"/>
  <c r="M255" i="12"/>
  <c r="M254" i="12"/>
  <c r="M253" i="12"/>
  <c r="M252" i="12"/>
  <c r="M251" i="12"/>
  <c r="M250" i="12"/>
  <c r="M249" i="12"/>
  <c r="M248" i="12"/>
  <c r="M247" i="12"/>
  <c r="M246" i="12"/>
  <c r="M245" i="12"/>
  <c r="M244" i="12"/>
  <c r="M243" i="12"/>
  <c r="M242" i="12"/>
  <c r="M241" i="12"/>
  <c r="M240" i="12"/>
  <c r="M239" i="12"/>
  <c r="M238" i="12"/>
  <c r="M237" i="12"/>
  <c r="M236" i="12"/>
  <c r="M235" i="12"/>
  <c r="M234" i="12"/>
  <c r="M233" i="12"/>
  <c r="M232" i="12"/>
  <c r="M231" i="12"/>
  <c r="M230" i="12"/>
  <c r="M229" i="12"/>
  <c r="M228" i="12"/>
  <c r="M227" i="12"/>
  <c r="M226" i="12"/>
  <c r="M225" i="12"/>
  <c r="M224" i="12"/>
  <c r="M223" i="12"/>
  <c r="M222" i="12"/>
  <c r="M221" i="12"/>
  <c r="M220" i="12"/>
  <c r="M219" i="12"/>
  <c r="M218" i="12"/>
  <c r="M217" i="12"/>
  <c r="M216" i="12"/>
  <c r="M215" i="12"/>
  <c r="M214" i="12"/>
  <c r="M213" i="12"/>
  <c r="M212" i="12"/>
  <c r="M211" i="12"/>
  <c r="M210" i="12"/>
  <c r="M209" i="12"/>
  <c r="M208" i="12"/>
  <c r="M207" i="12"/>
  <c r="M206" i="12"/>
  <c r="M205" i="12"/>
  <c r="M204" i="12"/>
  <c r="M203" i="12"/>
  <c r="M202" i="12"/>
  <c r="M201" i="12"/>
  <c r="M200" i="12"/>
  <c r="M199" i="12"/>
  <c r="M198" i="12"/>
  <c r="M197" i="12"/>
  <c r="M196" i="12"/>
  <c r="M195" i="12"/>
  <c r="M194" i="12"/>
  <c r="M193" i="12"/>
  <c r="M192" i="12"/>
  <c r="M191" i="12"/>
  <c r="M190" i="12"/>
  <c r="M189" i="12"/>
  <c r="M188" i="12"/>
  <c r="M187" i="12"/>
  <c r="M186" i="12"/>
  <c r="M185" i="12"/>
  <c r="M184" i="12"/>
  <c r="M183" i="12"/>
  <c r="M182" i="12"/>
  <c r="M181" i="12"/>
  <c r="M180" i="12"/>
  <c r="M179" i="12"/>
  <c r="M178" i="12"/>
  <c r="M177" i="12"/>
  <c r="M176" i="12"/>
  <c r="M175" i="12"/>
  <c r="M174" i="12"/>
  <c r="M173" i="12"/>
  <c r="M172" i="12"/>
  <c r="M171" i="12"/>
  <c r="M170" i="12"/>
  <c r="M169" i="12"/>
  <c r="M168" i="12"/>
  <c r="M167" i="12"/>
  <c r="M166" i="12"/>
  <c r="M165" i="12"/>
  <c r="M164" i="12"/>
  <c r="M163" i="12"/>
  <c r="M162" i="12"/>
  <c r="M161" i="12"/>
  <c r="M160" i="12"/>
  <c r="M159" i="12"/>
  <c r="M158" i="12"/>
  <c r="M157" i="12"/>
  <c r="M156" i="12"/>
  <c r="M155" i="12"/>
  <c r="M154" i="12"/>
  <c r="M153" i="12"/>
  <c r="M152" i="12"/>
  <c r="M151" i="12"/>
  <c r="M150" i="12"/>
  <c r="M149" i="12"/>
  <c r="M148" i="12"/>
  <c r="M147" i="12"/>
  <c r="M146" i="12"/>
  <c r="M145" i="12"/>
  <c r="M144" i="12"/>
  <c r="M143" i="12"/>
  <c r="M142" i="12"/>
  <c r="M141" i="12"/>
  <c r="M140" i="12"/>
  <c r="M139" i="12"/>
  <c r="M138" i="12"/>
  <c r="M137" i="12"/>
  <c r="M136" i="12"/>
  <c r="M135" i="12"/>
  <c r="M134" i="12"/>
  <c r="M133" i="12"/>
  <c r="M132" i="12"/>
  <c r="M131" i="12"/>
  <c r="M130" i="12"/>
  <c r="M129" i="12"/>
  <c r="M128" i="12"/>
  <c r="M127" i="12"/>
  <c r="M126" i="12"/>
  <c r="M125" i="12"/>
  <c r="M124" i="12"/>
  <c r="M123" i="12"/>
  <c r="M122" i="12"/>
  <c r="M121" i="12"/>
  <c r="M120" i="12"/>
  <c r="M119" i="12"/>
  <c r="M118" i="12"/>
  <c r="M117" i="12"/>
  <c r="M116" i="12"/>
  <c r="M115" i="12"/>
  <c r="M114" i="12"/>
  <c r="M113" i="12"/>
  <c r="M112" i="12"/>
  <c r="M111" i="12"/>
  <c r="M110" i="12"/>
  <c r="M109" i="12"/>
  <c r="M108" i="12"/>
  <c r="M107" i="12"/>
  <c r="M106" i="12"/>
  <c r="M105" i="12"/>
  <c r="M104" i="12"/>
  <c r="M103" i="12"/>
  <c r="M102" i="12"/>
  <c r="M101" i="12"/>
  <c r="M100" i="12"/>
  <c r="M99" i="12"/>
  <c r="M98" i="12"/>
  <c r="M97" i="12"/>
  <c r="M96" i="12"/>
  <c r="M95" i="12"/>
  <c r="M94" i="12"/>
  <c r="M93" i="12"/>
  <c r="M92" i="12"/>
  <c r="M91" i="12"/>
  <c r="M90" i="12"/>
  <c r="M89" i="12"/>
  <c r="M88" i="12"/>
  <c r="M87" i="12"/>
  <c r="M86" i="12"/>
  <c r="M85" i="12"/>
  <c r="M84" i="12"/>
  <c r="M83" i="12"/>
  <c r="M82" i="12"/>
  <c r="M81" i="12"/>
  <c r="M80" i="12"/>
  <c r="M79" i="12"/>
  <c r="M78" i="12"/>
  <c r="M77" i="12"/>
  <c r="M76" i="12"/>
  <c r="M75" i="12"/>
  <c r="M74" i="12"/>
  <c r="M73" i="12"/>
  <c r="M72" i="12"/>
  <c r="M71" i="12"/>
  <c r="M70" i="12"/>
  <c r="M69" i="12"/>
  <c r="M68" i="12"/>
  <c r="M67" i="12"/>
  <c r="M66" i="12"/>
  <c r="M65" i="12"/>
  <c r="M64" i="12"/>
  <c r="M63" i="12"/>
  <c r="M62" i="12"/>
  <c r="M61" i="12"/>
  <c r="M60" i="12"/>
  <c r="M59" i="12"/>
  <c r="M58" i="12"/>
  <c r="M57" i="12"/>
  <c r="M56" i="12"/>
  <c r="M55" i="12"/>
  <c r="M54" i="12"/>
  <c r="M53" i="12"/>
  <c r="M52" i="12"/>
  <c r="M51" i="12"/>
  <c r="M50" i="12"/>
  <c r="M49" i="12"/>
  <c r="M48" i="12"/>
  <c r="M47" i="12"/>
  <c r="M46" i="12"/>
  <c r="M45" i="12"/>
  <c r="M44" i="12"/>
  <c r="M43" i="12"/>
  <c r="M42" i="12"/>
  <c r="M41" i="12"/>
  <c r="M40" i="12"/>
  <c r="M39" i="12"/>
  <c r="M38" i="12"/>
  <c r="M37" i="12"/>
  <c r="M36" i="12"/>
  <c r="M35" i="12"/>
  <c r="M34" i="12"/>
  <c r="M33" i="12"/>
  <c r="M32" i="12"/>
  <c r="M31" i="12"/>
  <c r="M30" i="12"/>
  <c r="M29" i="12"/>
  <c r="M28" i="12"/>
  <c r="M27" i="12"/>
  <c r="M26" i="12"/>
  <c r="M25" i="12"/>
  <c r="M24" i="12"/>
  <c r="M23" i="12"/>
  <c r="M22" i="12"/>
  <c r="M21" i="12"/>
  <c r="M20" i="12"/>
  <c r="M19" i="12"/>
  <c r="M18" i="12"/>
  <c r="M17" i="12"/>
  <c r="M16" i="12"/>
  <c r="M15" i="12"/>
  <c r="M14" i="12"/>
  <c r="M13" i="12"/>
  <c r="M12" i="12"/>
  <c r="M11" i="12"/>
  <c r="M10" i="12"/>
  <c r="M9" i="12"/>
  <c r="M619" i="11"/>
  <c r="M618" i="11"/>
  <c r="M617" i="11"/>
  <c r="M616" i="11"/>
  <c r="M615" i="11"/>
  <c r="M614" i="11"/>
  <c r="M613" i="11"/>
  <c r="M612" i="11"/>
  <c r="M611" i="11"/>
  <c r="M610" i="11"/>
  <c r="M609" i="11"/>
  <c r="M608" i="11"/>
  <c r="M607" i="11"/>
  <c r="M606" i="11"/>
  <c r="M605" i="11"/>
  <c r="M604" i="11"/>
  <c r="M603" i="11"/>
  <c r="M602" i="11"/>
  <c r="M601" i="11"/>
  <c r="M600" i="11"/>
  <c r="M599" i="11"/>
  <c r="M598" i="11"/>
  <c r="M597" i="11"/>
  <c r="M596" i="11"/>
  <c r="M595" i="11"/>
  <c r="M594" i="11"/>
  <c r="M593" i="11"/>
  <c r="M592" i="11"/>
  <c r="M591" i="11"/>
  <c r="M590" i="11"/>
  <c r="M589" i="11"/>
  <c r="M588" i="11"/>
  <c r="M587" i="11"/>
  <c r="M586" i="11"/>
  <c r="M585" i="11"/>
  <c r="M584" i="11"/>
  <c r="M583" i="11"/>
  <c r="M582" i="11"/>
  <c r="M581" i="11"/>
  <c r="M580" i="11"/>
  <c r="M579" i="11"/>
  <c r="M578" i="11"/>
  <c r="M577" i="11"/>
  <c r="M576" i="11"/>
  <c r="M575" i="11"/>
  <c r="M574" i="11"/>
  <c r="M573" i="11"/>
  <c r="M572" i="11"/>
  <c r="M571" i="11"/>
  <c r="M570" i="11"/>
  <c r="M569" i="11"/>
  <c r="M568" i="11"/>
  <c r="M567" i="11"/>
  <c r="M566" i="11"/>
  <c r="M565" i="11"/>
  <c r="M564" i="11"/>
  <c r="M563" i="11"/>
  <c r="M562" i="11"/>
  <c r="M561" i="11"/>
  <c r="M560" i="11"/>
  <c r="M559" i="11"/>
  <c r="M558" i="11"/>
  <c r="M557" i="11"/>
  <c r="M556" i="11"/>
  <c r="M555" i="11"/>
  <c r="M554" i="11"/>
  <c r="M553" i="11"/>
  <c r="M552" i="11"/>
  <c r="M551" i="11"/>
  <c r="M550" i="11"/>
  <c r="M549" i="11"/>
  <c r="M548" i="11"/>
  <c r="M547" i="11"/>
  <c r="M546" i="11"/>
  <c r="M545" i="11"/>
  <c r="M544" i="11"/>
  <c r="M543" i="11"/>
  <c r="M542" i="11"/>
  <c r="M541" i="11"/>
  <c r="M540" i="11"/>
  <c r="M539" i="11"/>
  <c r="M538" i="11"/>
  <c r="M537" i="11"/>
  <c r="M536" i="11"/>
  <c r="M535" i="11"/>
  <c r="M534" i="11"/>
  <c r="M533" i="11"/>
  <c r="M532" i="11"/>
  <c r="M531" i="11"/>
  <c r="M530" i="11"/>
  <c r="M529" i="11"/>
  <c r="M528" i="11"/>
  <c r="M527" i="11"/>
  <c r="M526" i="11"/>
  <c r="M525" i="11"/>
  <c r="M524" i="11"/>
  <c r="M523" i="11"/>
  <c r="M522" i="11"/>
  <c r="M521" i="11"/>
  <c r="M520" i="11"/>
  <c r="M519" i="11"/>
  <c r="M518" i="11"/>
  <c r="M517" i="11"/>
  <c r="M516" i="11"/>
  <c r="M515" i="11"/>
  <c r="M514" i="11"/>
  <c r="M513" i="11"/>
  <c r="M512" i="11"/>
  <c r="M511" i="11"/>
  <c r="M510" i="11"/>
  <c r="M509" i="11"/>
  <c r="M508" i="11"/>
  <c r="M507" i="11"/>
  <c r="M506" i="11"/>
  <c r="M505" i="11"/>
  <c r="M504" i="11"/>
  <c r="M503" i="11"/>
  <c r="M502" i="11"/>
  <c r="M501" i="11"/>
  <c r="M500" i="11"/>
  <c r="M499" i="11"/>
  <c r="M498" i="11"/>
  <c r="M497" i="11"/>
  <c r="M496" i="11"/>
  <c r="M495" i="11"/>
  <c r="M494" i="11"/>
  <c r="M493" i="11"/>
  <c r="M492" i="11"/>
  <c r="M491" i="11"/>
  <c r="M490" i="11"/>
  <c r="M489" i="11"/>
  <c r="M488" i="11"/>
  <c r="M487" i="11"/>
  <c r="M486" i="11"/>
  <c r="M485" i="11"/>
  <c r="M484" i="11"/>
  <c r="M483" i="11"/>
  <c r="M482" i="11"/>
  <c r="M481" i="11"/>
  <c r="M480" i="11"/>
  <c r="M479" i="11"/>
  <c r="M478" i="11"/>
  <c r="M477" i="11"/>
  <c r="M476" i="11"/>
  <c r="M475" i="11"/>
  <c r="M474" i="11"/>
  <c r="M473" i="11"/>
  <c r="M472" i="11"/>
  <c r="M471" i="11"/>
  <c r="M470" i="11"/>
  <c r="M469" i="11"/>
  <c r="M468" i="11"/>
  <c r="M467" i="11"/>
  <c r="M466" i="11"/>
  <c r="M465" i="11"/>
  <c r="M464" i="11"/>
  <c r="M463" i="11"/>
  <c r="M462" i="11"/>
  <c r="M461" i="11"/>
  <c r="M460" i="11"/>
  <c r="M459" i="11"/>
  <c r="M458" i="11"/>
  <c r="M457" i="11"/>
  <c r="M456" i="11"/>
  <c r="M455" i="11"/>
  <c r="M454" i="11"/>
  <c r="M453" i="11"/>
  <c r="M452" i="11"/>
  <c r="M451" i="11"/>
  <c r="M450" i="11"/>
  <c r="M449" i="11"/>
  <c r="M448" i="11"/>
  <c r="M447" i="11"/>
  <c r="M446" i="11"/>
  <c r="M445" i="11"/>
  <c r="M444" i="11"/>
  <c r="M443" i="11"/>
  <c r="M442" i="11"/>
  <c r="M441" i="11"/>
  <c r="M440" i="11"/>
  <c r="M439" i="11"/>
  <c r="M438" i="11"/>
  <c r="M437" i="11"/>
  <c r="M436" i="11"/>
  <c r="M435" i="11"/>
  <c r="M434" i="11"/>
  <c r="M433" i="11"/>
  <c r="M432" i="11"/>
  <c r="M431" i="11"/>
  <c r="M430" i="11"/>
  <c r="M429" i="11"/>
  <c r="M428" i="11"/>
  <c r="M427" i="11"/>
  <c r="M426" i="11"/>
  <c r="M425" i="11"/>
  <c r="M424" i="11"/>
  <c r="M423" i="11"/>
  <c r="M422" i="11"/>
  <c r="M421" i="11"/>
  <c r="M420" i="11"/>
  <c r="M419" i="11"/>
  <c r="M418" i="11"/>
  <c r="M417" i="11"/>
  <c r="M416" i="11"/>
  <c r="M415" i="11"/>
  <c r="M414" i="11"/>
  <c r="M413" i="11"/>
  <c r="M412" i="11"/>
  <c r="M411" i="11"/>
  <c r="M410" i="11"/>
  <c r="M409" i="11"/>
  <c r="M408" i="11"/>
  <c r="M407" i="11"/>
  <c r="M406" i="11"/>
  <c r="M405" i="11"/>
  <c r="M404" i="11"/>
  <c r="M403" i="11"/>
  <c r="M402" i="11"/>
  <c r="M401" i="11"/>
  <c r="M400" i="11"/>
  <c r="M399" i="11"/>
  <c r="M398" i="11"/>
  <c r="M397" i="11"/>
  <c r="M396" i="11"/>
  <c r="M395" i="11"/>
  <c r="M394" i="11"/>
  <c r="M393" i="11"/>
  <c r="M392" i="11"/>
  <c r="M391" i="11"/>
  <c r="M390" i="11"/>
  <c r="M389" i="11"/>
  <c r="M388" i="11"/>
  <c r="M387" i="11"/>
  <c r="M386" i="11"/>
  <c r="M385" i="11"/>
  <c r="M384" i="11"/>
  <c r="M383" i="11"/>
  <c r="M382" i="11"/>
  <c r="M381" i="11"/>
  <c r="M380" i="11"/>
  <c r="M379" i="11"/>
  <c r="M378" i="11"/>
  <c r="M377" i="11"/>
  <c r="M376" i="11"/>
  <c r="M375" i="11"/>
  <c r="M374" i="11"/>
  <c r="M373" i="11"/>
  <c r="M372" i="11"/>
  <c r="M371" i="11"/>
  <c r="M370" i="11"/>
  <c r="M369" i="11"/>
  <c r="M368" i="11"/>
  <c r="M367" i="11"/>
  <c r="M366" i="11"/>
  <c r="M365" i="11"/>
  <c r="M364" i="11"/>
  <c r="M363" i="11"/>
  <c r="M362" i="11"/>
  <c r="M361" i="11"/>
  <c r="M360" i="11"/>
  <c r="M359" i="11"/>
  <c r="M358" i="11"/>
  <c r="M357" i="11"/>
  <c r="M356" i="11"/>
  <c r="M355" i="11"/>
  <c r="M354" i="11"/>
  <c r="M353" i="11"/>
  <c r="M352" i="11"/>
  <c r="M351" i="11"/>
  <c r="M350" i="11"/>
  <c r="M349" i="11"/>
  <c r="M348" i="11"/>
  <c r="M347" i="11"/>
  <c r="M346" i="11"/>
  <c r="M345" i="11"/>
  <c r="M344" i="11"/>
  <c r="M343" i="11"/>
  <c r="M342" i="11"/>
  <c r="M341" i="11"/>
  <c r="M340" i="11"/>
  <c r="M339" i="11"/>
  <c r="M338" i="11"/>
  <c r="M337" i="11"/>
  <c r="M336" i="11"/>
  <c r="M335" i="11"/>
  <c r="M334" i="11"/>
  <c r="M333" i="11"/>
  <c r="M332" i="11"/>
  <c r="M331" i="11"/>
  <c r="M330" i="11"/>
  <c r="M329" i="11"/>
  <c r="M328" i="11"/>
  <c r="M327" i="11"/>
  <c r="M326" i="11"/>
  <c r="M325" i="11"/>
  <c r="M324" i="11"/>
  <c r="M323" i="11"/>
  <c r="M322" i="11"/>
  <c r="M321" i="11"/>
  <c r="M320" i="11"/>
  <c r="M319" i="11"/>
  <c r="M318" i="11"/>
  <c r="M317" i="11"/>
  <c r="M316" i="11"/>
  <c r="M315" i="11"/>
  <c r="M314" i="11"/>
  <c r="M313" i="11"/>
  <c r="M312" i="11"/>
  <c r="M311" i="11"/>
  <c r="M310" i="11"/>
  <c r="M309" i="11"/>
  <c r="M308" i="11"/>
  <c r="M307" i="11"/>
  <c r="M306" i="11"/>
  <c r="M305" i="11"/>
  <c r="M304" i="11"/>
  <c r="M303" i="11"/>
  <c r="M302" i="11"/>
  <c r="M301" i="11"/>
  <c r="M300" i="11"/>
  <c r="M299" i="11"/>
  <c r="M298" i="11"/>
  <c r="M297" i="11"/>
  <c r="M296" i="11"/>
  <c r="M295" i="11"/>
  <c r="M294" i="11"/>
  <c r="M293" i="11"/>
  <c r="M292" i="11"/>
  <c r="M291" i="11"/>
  <c r="M290" i="11"/>
  <c r="M289" i="11"/>
  <c r="M288" i="11"/>
  <c r="M287" i="11"/>
  <c r="M286" i="11"/>
  <c r="M285" i="11"/>
  <c r="M284" i="11"/>
  <c r="M283" i="11"/>
  <c r="M282" i="11"/>
  <c r="M281" i="11"/>
  <c r="M280" i="11"/>
  <c r="M279" i="11"/>
  <c r="M278" i="11"/>
  <c r="M277" i="11"/>
  <c r="M276" i="11"/>
  <c r="M275" i="11"/>
  <c r="M274" i="11"/>
  <c r="M273" i="11"/>
  <c r="M272" i="11"/>
  <c r="M271" i="11"/>
  <c r="M270" i="11"/>
  <c r="M269" i="11"/>
  <c r="M268" i="11"/>
  <c r="M267" i="11"/>
  <c r="M266" i="11"/>
  <c r="M265" i="11"/>
  <c r="M264" i="11"/>
  <c r="M263" i="11"/>
  <c r="M262" i="11"/>
  <c r="M261" i="11"/>
  <c r="M260" i="11"/>
  <c r="M259" i="11"/>
  <c r="M258" i="11"/>
  <c r="M257" i="11"/>
  <c r="M256" i="11"/>
  <c r="M255" i="11"/>
  <c r="M254" i="11"/>
  <c r="M253" i="11"/>
  <c r="M252" i="11"/>
  <c r="M251" i="11"/>
  <c r="M250" i="11"/>
  <c r="M249" i="11"/>
  <c r="M248" i="11"/>
  <c r="M247" i="11"/>
  <c r="M246" i="11"/>
  <c r="M245" i="11"/>
  <c r="M244" i="11"/>
  <c r="M243" i="11"/>
  <c r="M242" i="11"/>
  <c r="M241" i="11"/>
  <c r="M240" i="11"/>
  <c r="M239" i="11"/>
  <c r="M238" i="11"/>
  <c r="M237" i="11"/>
  <c r="M236" i="11"/>
  <c r="M235" i="11"/>
  <c r="M234" i="11"/>
  <c r="M233" i="11"/>
  <c r="M232" i="11"/>
  <c r="M231" i="11"/>
  <c r="M230" i="11"/>
  <c r="M229" i="11"/>
  <c r="M228" i="11"/>
  <c r="M227" i="11"/>
  <c r="M226" i="11"/>
  <c r="M225" i="11"/>
  <c r="M224" i="11"/>
  <c r="M223" i="11"/>
  <c r="M222" i="11"/>
  <c r="M221" i="11"/>
  <c r="M220" i="11"/>
  <c r="M219" i="11"/>
  <c r="M218" i="11"/>
  <c r="M217" i="11"/>
  <c r="M216" i="11"/>
  <c r="M215" i="11"/>
  <c r="M214" i="11"/>
  <c r="M213" i="11"/>
  <c r="M212" i="11"/>
  <c r="M211" i="11"/>
  <c r="M210" i="11"/>
  <c r="M209" i="11"/>
  <c r="M208" i="11"/>
  <c r="M207" i="11"/>
  <c r="M206" i="11"/>
  <c r="M205" i="11"/>
  <c r="M204" i="11"/>
  <c r="M203" i="11"/>
  <c r="M202" i="11"/>
  <c r="M201" i="11"/>
  <c r="M200" i="11"/>
  <c r="M199" i="11"/>
  <c r="M198" i="11"/>
  <c r="M197" i="11"/>
  <c r="M196" i="11"/>
  <c r="M195" i="11"/>
  <c r="M194" i="11"/>
  <c r="M193" i="11"/>
  <c r="M192" i="11"/>
  <c r="M191" i="11"/>
  <c r="M190" i="11"/>
  <c r="M189" i="11"/>
  <c r="M188" i="11"/>
  <c r="M187" i="11"/>
  <c r="M186" i="11"/>
  <c r="M185" i="11"/>
  <c r="M184" i="11"/>
  <c r="M183" i="11"/>
  <c r="M182" i="11"/>
  <c r="M181" i="11"/>
  <c r="M180" i="11"/>
  <c r="M179" i="11"/>
  <c r="M178" i="11"/>
  <c r="M177" i="11"/>
  <c r="M176" i="11"/>
  <c r="M175" i="11"/>
  <c r="M174" i="11"/>
  <c r="M173" i="11"/>
  <c r="M172" i="11"/>
  <c r="M171" i="11"/>
  <c r="M170" i="11"/>
  <c r="M169" i="11"/>
  <c r="M168" i="11"/>
  <c r="M167" i="11"/>
  <c r="M166" i="11"/>
  <c r="M165" i="11"/>
  <c r="M164" i="11"/>
  <c r="M163" i="11"/>
  <c r="M162" i="11"/>
  <c r="M161" i="11"/>
  <c r="M160" i="11"/>
  <c r="M159" i="11"/>
  <c r="M158" i="11"/>
  <c r="M157" i="11"/>
  <c r="M156" i="11"/>
  <c r="M155" i="11"/>
  <c r="M154" i="11"/>
  <c r="M153" i="11"/>
  <c r="M152" i="11"/>
  <c r="M151" i="11"/>
  <c r="M150" i="11"/>
  <c r="M149" i="11"/>
  <c r="M148" i="11"/>
  <c r="M147" i="11"/>
  <c r="M146" i="11"/>
  <c r="M145" i="11"/>
  <c r="M144" i="11"/>
  <c r="M143" i="11"/>
  <c r="M142" i="11"/>
  <c r="M141" i="11"/>
  <c r="M140" i="11"/>
  <c r="M139" i="11"/>
  <c r="M138" i="11"/>
  <c r="M137" i="11"/>
  <c r="M136" i="11"/>
  <c r="M135" i="11"/>
  <c r="M134" i="11"/>
  <c r="M133" i="11"/>
  <c r="M132" i="11"/>
  <c r="M131" i="11"/>
  <c r="M130" i="11"/>
  <c r="M129" i="11"/>
  <c r="M128" i="11"/>
  <c r="M127" i="11"/>
  <c r="M126" i="11"/>
  <c r="M125" i="11"/>
  <c r="M124" i="11"/>
  <c r="M123" i="11"/>
  <c r="M122" i="11"/>
  <c r="M121" i="11"/>
  <c r="M120" i="11"/>
  <c r="M119" i="11"/>
  <c r="M118" i="11"/>
  <c r="M117" i="11"/>
  <c r="M116" i="11"/>
  <c r="M115" i="11"/>
  <c r="M114" i="11"/>
  <c r="M113" i="11"/>
  <c r="M112" i="11"/>
  <c r="M111" i="11"/>
  <c r="M110" i="11"/>
  <c r="M109" i="11"/>
  <c r="M108" i="11"/>
  <c r="M107" i="11"/>
  <c r="M106" i="11"/>
  <c r="M105" i="11"/>
  <c r="M104" i="11"/>
  <c r="M103" i="11"/>
  <c r="M102" i="11"/>
  <c r="M101" i="11"/>
  <c r="M100" i="11"/>
  <c r="M99" i="11"/>
  <c r="M98" i="11"/>
  <c r="M97" i="11"/>
  <c r="M96" i="11"/>
  <c r="M95" i="11"/>
  <c r="M94" i="11"/>
  <c r="M93" i="11"/>
  <c r="M92" i="11"/>
  <c r="M91" i="11"/>
  <c r="M90" i="11"/>
  <c r="M89" i="11"/>
  <c r="M88" i="11"/>
  <c r="M87" i="11"/>
  <c r="M86" i="11"/>
  <c r="M85" i="11"/>
  <c r="M84" i="11"/>
  <c r="M83" i="11"/>
  <c r="M82" i="11"/>
  <c r="M81" i="11"/>
  <c r="M80" i="11"/>
  <c r="M79" i="11"/>
  <c r="M78" i="11"/>
  <c r="M77" i="11"/>
  <c r="M76" i="11"/>
  <c r="M75" i="11"/>
  <c r="M74" i="11"/>
  <c r="M73" i="11"/>
  <c r="M72" i="11"/>
  <c r="M71" i="11"/>
  <c r="M70" i="11"/>
  <c r="M69" i="11"/>
  <c r="M68" i="11"/>
  <c r="M67" i="11"/>
  <c r="M66" i="11"/>
  <c r="M65" i="11"/>
  <c r="M64" i="11"/>
  <c r="M63" i="11"/>
  <c r="M62" i="11"/>
  <c r="M61" i="11"/>
  <c r="M60" i="11"/>
  <c r="M59" i="11"/>
  <c r="M58" i="11"/>
  <c r="M57" i="11"/>
  <c r="M56" i="11"/>
  <c r="M55" i="11"/>
  <c r="M54" i="11"/>
  <c r="M53" i="11"/>
  <c r="M52" i="11"/>
  <c r="M51" i="11"/>
  <c r="M50" i="11"/>
  <c r="M49" i="11"/>
  <c r="M48" i="11"/>
  <c r="M47" i="11"/>
  <c r="M46" i="11"/>
  <c r="M45" i="11"/>
  <c r="M44" i="11"/>
  <c r="M43" i="11"/>
  <c r="M42" i="11"/>
  <c r="M41" i="11"/>
  <c r="M40" i="11"/>
  <c r="M39" i="11"/>
  <c r="M38" i="11"/>
  <c r="M37" i="11"/>
  <c r="M36" i="11"/>
  <c r="M35" i="11"/>
  <c r="M34" i="11"/>
  <c r="M33" i="11"/>
  <c r="M32" i="11"/>
  <c r="M31" i="11"/>
  <c r="M30" i="11"/>
  <c r="M29" i="11"/>
  <c r="M28" i="11"/>
  <c r="M27" i="11"/>
  <c r="M26" i="11"/>
  <c r="M25" i="11"/>
  <c r="M24" i="11"/>
  <c r="M23" i="11"/>
  <c r="M22" i="11"/>
  <c r="M21" i="11"/>
  <c r="M20" i="11"/>
  <c r="M19" i="11"/>
  <c r="M18" i="11"/>
  <c r="M17" i="11"/>
  <c r="M16" i="11"/>
  <c r="M15" i="11"/>
  <c r="M14" i="11"/>
  <c r="M13" i="11"/>
  <c r="M12" i="11"/>
  <c r="M11" i="11"/>
  <c r="M10" i="11"/>
  <c r="M460" i="10"/>
  <c r="M459" i="10"/>
  <c r="M458" i="10"/>
  <c r="M457" i="10"/>
  <c r="M456" i="10"/>
  <c r="M455" i="10"/>
  <c r="M454" i="10"/>
  <c r="M453" i="10"/>
  <c r="M452" i="10"/>
  <c r="M451" i="10"/>
  <c r="M450" i="10"/>
  <c r="M449" i="10"/>
  <c r="M448" i="10"/>
  <c r="M447" i="10"/>
  <c r="M446" i="10"/>
  <c r="M445" i="10"/>
  <c r="M444" i="10"/>
  <c r="M443" i="10"/>
  <c r="M442" i="10"/>
  <c r="M441" i="10"/>
  <c r="M440" i="10"/>
  <c r="M439" i="10"/>
  <c r="M438" i="10"/>
  <c r="M437" i="10"/>
  <c r="M436" i="10"/>
  <c r="M435" i="10"/>
  <c r="M434" i="10"/>
  <c r="M433" i="10"/>
  <c r="M432" i="10"/>
  <c r="M431" i="10"/>
  <c r="M430" i="10"/>
  <c r="M429" i="10"/>
  <c r="M428" i="10"/>
  <c r="M427" i="10"/>
  <c r="M426" i="10"/>
  <c r="M425" i="10"/>
  <c r="M424" i="10"/>
  <c r="M423" i="10"/>
  <c r="M422" i="10"/>
  <c r="M421" i="10"/>
  <c r="M420" i="10"/>
  <c r="M419" i="10"/>
  <c r="M418" i="10"/>
  <c r="M417" i="10"/>
  <c r="M416" i="10"/>
  <c r="M415" i="10"/>
  <c r="M414" i="10"/>
  <c r="M413" i="10"/>
  <c r="M412" i="10"/>
  <c r="M411" i="10"/>
  <c r="M410" i="10"/>
  <c r="M409" i="10"/>
  <c r="M408" i="10"/>
  <c r="M407" i="10"/>
  <c r="M406" i="10"/>
  <c r="M405" i="10"/>
  <c r="M404" i="10"/>
  <c r="M403" i="10"/>
  <c r="M402" i="10"/>
  <c r="M401" i="10"/>
  <c r="M400" i="10"/>
  <c r="M399" i="10"/>
  <c r="M398" i="10"/>
  <c r="M397" i="10"/>
  <c r="M396" i="10"/>
  <c r="M395" i="10"/>
  <c r="M394" i="10"/>
  <c r="M393" i="10"/>
  <c r="M392" i="10"/>
  <c r="M391" i="10"/>
  <c r="M390" i="10"/>
  <c r="M389" i="10"/>
  <c r="M388" i="10"/>
  <c r="M387" i="10"/>
  <c r="M386" i="10"/>
  <c r="M385" i="10"/>
  <c r="M384" i="10"/>
  <c r="M383" i="10"/>
  <c r="M382" i="10"/>
  <c r="M381" i="10"/>
  <c r="M380" i="10"/>
  <c r="M379" i="10"/>
  <c r="M378" i="10"/>
  <c r="M377" i="10"/>
  <c r="M376" i="10"/>
  <c r="M375" i="10"/>
  <c r="M374" i="10"/>
  <c r="M373" i="10"/>
  <c r="M372" i="10"/>
  <c r="M371" i="10"/>
  <c r="M370" i="10"/>
  <c r="M369" i="10"/>
  <c r="M368" i="10"/>
  <c r="M367" i="10"/>
  <c r="M366" i="10"/>
  <c r="M365" i="10"/>
  <c r="M364" i="10"/>
  <c r="M363" i="10"/>
  <c r="M362" i="10"/>
  <c r="M361" i="10"/>
  <c r="M360" i="10"/>
  <c r="M359" i="10"/>
  <c r="M358" i="10"/>
  <c r="M357" i="10"/>
  <c r="M356" i="10"/>
  <c r="M355" i="10"/>
  <c r="M354" i="10"/>
  <c r="M353" i="10"/>
  <c r="M352" i="10"/>
  <c r="M351" i="10"/>
  <c r="M350" i="10"/>
  <c r="M349" i="10"/>
  <c r="M348" i="10"/>
  <c r="M347" i="10"/>
  <c r="M346" i="10"/>
  <c r="M345" i="10"/>
  <c r="M344" i="10"/>
  <c r="M343" i="10"/>
  <c r="M342" i="10"/>
  <c r="M341" i="10"/>
  <c r="M340" i="10"/>
  <c r="M339" i="10"/>
  <c r="M338" i="10"/>
  <c r="M337" i="10"/>
  <c r="M336" i="10"/>
  <c r="M335" i="10"/>
  <c r="M334" i="10"/>
  <c r="M333" i="10"/>
  <c r="M332" i="10"/>
  <c r="M331" i="10"/>
  <c r="M330" i="10"/>
  <c r="M329" i="10"/>
  <c r="M328" i="10"/>
  <c r="M327" i="10"/>
  <c r="M326" i="10"/>
  <c r="M325" i="10"/>
  <c r="M324" i="10"/>
  <c r="M323" i="10"/>
  <c r="M322" i="10"/>
  <c r="M321" i="10"/>
  <c r="M320" i="10"/>
  <c r="M319" i="10"/>
  <c r="M318" i="10"/>
  <c r="M317" i="10"/>
  <c r="M316" i="10"/>
  <c r="M315" i="10"/>
  <c r="M314" i="10"/>
  <c r="M313" i="10"/>
  <c r="M312" i="10"/>
  <c r="M311" i="10"/>
  <c r="M310" i="10"/>
  <c r="M309" i="10"/>
  <c r="M308" i="10"/>
  <c r="M307" i="10"/>
  <c r="M306" i="10"/>
  <c r="M305" i="10"/>
  <c r="M304" i="10"/>
  <c r="M303" i="10"/>
  <c r="M302" i="10"/>
  <c r="M301" i="10"/>
  <c r="M300" i="10"/>
  <c r="M299" i="10"/>
  <c r="M298" i="10"/>
  <c r="M297" i="10"/>
  <c r="M296" i="10"/>
  <c r="M295" i="10"/>
  <c r="M294" i="10"/>
  <c r="M293" i="10"/>
  <c r="M292" i="10"/>
  <c r="M291" i="10"/>
  <c r="M290" i="10"/>
  <c r="M289" i="10"/>
  <c r="M288" i="10"/>
  <c r="M287" i="10"/>
  <c r="M286" i="10"/>
  <c r="M285" i="10"/>
  <c r="M284" i="10"/>
  <c r="M283" i="10"/>
  <c r="M282" i="10"/>
  <c r="M281" i="10"/>
  <c r="M280" i="10"/>
  <c r="M279" i="10"/>
  <c r="M278" i="10"/>
  <c r="M277" i="10"/>
  <c r="M276" i="10"/>
  <c r="M275" i="10"/>
  <c r="M274" i="10"/>
  <c r="M273" i="10"/>
  <c r="M272" i="10"/>
  <c r="M271" i="10"/>
  <c r="M270" i="10"/>
  <c r="M269" i="10"/>
  <c r="M268" i="10"/>
  <c r="M267" i="10"/>
  <c r="M266" i="10"/>
  <c r="M265" i="10"/>
  <c r="M264" i="10"/>
  <c r="M263" i="10"/>
  <c r="M262" i="10"/>
  <c r="M261" i="10"/>
  <c r="M260" i="10"/>
  <c r="M259" i="10"/>
  <c r="M258" i="10"/>
  <c r="M257" i="10"/>
  <c r="M256" i="10"/>
  <c r="M255" i="10"/>
  <c r="M254" i="10"/>
  <c r="M253" i="10"/>
  <c r="M252" i="10"/>
  <c r="M251" i="10"/>
  <c r="M250" i="10"/>
  <c r="M249" i="10"/>
  <c r="M248" i="10"/>
  <c r="M247" i="10"/>
  <c r="M246" i="10"/>
  <c r="M245" i="10"/>
  <c r="M244" i="10"/>
  <c r="M243" i="10"/>
  <c r="M242" i="10"/>
  <c r="M241" i="10"/>
  <c r="M240" i="10"/>
  <c r="M239" i="10"/>
  <c r="M238" i="10"/>
  <c r="M237" i="10"/>
  <c r="M236" i="10"/>
  <c r="M235" i="10"/>
  <c r="M234" i="10"/>
  <c r="M233" i="10"/>
  <c r="M232" i="10"/>
  <c r="M231" i="10"/>
  <c r="M230" i="10"/>
  <c r="M229" i="10"/>
  <c r="M228" i="10"/>
  <c r="M227" i="10"/>
  <c r="M226" i="10"/>
  <c r="M225" i="10"/>
  <c r="M224" i="10"/>
  <c r="M223" i="10"/>
  <c r="M222" i="10"/>
  <c r="M221" i="10"/>
  <c r="M220" i="10"/>
  <c r="M219" i="10"/>
  <c r="M218" i="10"/>
  <c r="M217" i="10"/>
  <c r="M216" i="10"/>
  <c r="M215" i="10"/>
  <c r="M214" i="10"/>
  <c r="M213" i="10"/>
  <c r="M212" i="10"/>
  <c r="M211" i="10"/>
  <c r="M210" i="10"/>
  <c r="M209" i="10"/>
  <c r="M208" i="10"/>
  <c r="M207" i="10"/>
  <c r="M206" i="10"/>
  <c r="M205" i="10"/>
  <c r="M204" i="10"/>
  <c r="M203" i="10"/>
  <c r="M202" i="10"/>
  <c r="M201" i="10"/>
  <c r="M200" i="10"/>
  <c r="M199" i="10"/>
  <c r="M198" i="10"/>
  <c r="M197" i="10"/>
  <c r="M196" i="10"/>
  <c r="M195" i="10"/>
  <c r="M194" i="10"/>
  <c r="M193" i="10"/>
  <c r="M192" i="10"/>
  <c r="M191" i="10"/>
  <c r="M190" i="10"/>
  <c r="M189" i="10"/>
  <c r="M188" i="10"/>
  <c r="M187" i="10"/>
  <c r="M186" i="10"/>
  <c r="M185" i="10"/>
  <c r="M184" i="10"/>
  <c r="M183" i="10"/>
  <c r="M182" i="10"/>
  <c r="M181" i="10"/>
  <c r="M180" i="10"/>
  <c r="M179" i="10"/>
  <c r="M178" i="10"/>
  <c r="M177" i="10"/>
  <c r="M176" i="10"/>
  <c r="M175" i="10"/>
  <c r="M174" i="10"/>
  <c r="M173" i="10"/>
  <c r="M172" i="10"/>
  <c r="M171" i="10"/>
  <c r="M170" i="10"/>
  <c r="M169" i="10"/>
  <c r="M168" i="10"/>
  <c r="M167" i="10"/>
  <c r="M166" i="10"/>
  <c r="M165" i="10"/>
  <c r="M164" i="10"/>
  <c r="M163" i="10"/>
  <c r="M162" i="10"/>
  <c r="M161" i="10"/>
  <c r="M160" i="10"/>
  <c r="M159" i="10"/>
  <c r="M158" i="10"/>
  <c r="M157" i="10"/>
  <c r="M156" i="10"/>
  <c r="M155" i="10"/>
  <c r="M154" i="10"/>
  <c r="M153" i="10"/>
  <c r="M152" i="10"/>
  <c r="M151" i="10"/>
  <c r="M150" i="10"/>
  <c r="M149" i="10"/>
  <c r="M148" i="10"/>
  <c r="M147" i="10"/>
  <c r="M146" i="10"/>
  <c r="M145" i="10"/>
  <c r="M144" i="10"/>
  <c r="M143" i="10"/>
  <c r="M142" i="10"/>
  <c r="M141" i="10"/>
  <c r="M140" i="10"/>
  <c r="M139" i="10"/>
  <c r="M138" i="10"/>
  <c r="M137" i="10"/>
  <c r="M136" i="10"/>
  <c r="M135" i="10"/>
  <c r="M134" i="10"/>
  <c r="M133" i="10"/>
  <c r="M132" i="10"/>
  <c r="M131" i="10"/>
  <c r="M130" i="10"/>
  <c r="M129" i="10"/>
  <c r="M128" i="10"/>
  <c r="M127" i="10"/>
  <c r="M126" i="10"/>
  <c r="M125" i="10"/>
  <c r="M124" i="10"/>
  <c r="M123" i="10"/>
  <c r="M122" i="10"/>
  <c r="M121" i="10"/>
  <c r="M120" i="10"/>
  <c r="M119" i="10"/>
  <c r="M118" i="10"/>
  <c r="M117" i="10"/>
  <c r="M116" i="10"/>
  <c r="M115" i="10"/>
  <c r="M114" i="10"/>
  <c r="M113" i="10"/>
  <c r="M112" i="10"/>
  <c r="M111" i="10"/>
  <c r="M110" i="10"/>
  <c r="M109" i="10"/>
  <c r="M108" i="10"/>
  <c r="M107" i="10"/>
  <c r="M106" i="10"/>
  <c r="M105" i="10"/>
  <c r="M104" i="10"/>
  <c r="M103" i="10"/>
  <c r="M102" i="10"/>
  <c r="M101" i="10"/>
  <c r="M100" i="10"/>
  <c r="M99" i="10"/>
  <c r="M98" i="10"/>
  <c r="M97" i="10"/>
  <c r="M96" i="10"/>
  <c r="M95" i="10"/>
  <c r="M94" i="10"/>
  <c r="M93" i="10"/>
  <c r="M92" i="10"/>
  <c r="M91" i="10"/>
  <c r="M90" i="10"/>
  <c r="M89" i="10"/>
  <c r="M88" i="10"/>
  <c r="M87" i="10"/>
  <c r="M86" i="10"/>
  <c r="M85" i="10"/>
  <c r="M84" i="10"/>
  <c r="M83" i="10"/>
  <c r="M82" i="10"/>
  <c r="M81" i="10"/>
  <c r="M80" i="10"/>
  <c r="M79" i="10"/>
  <c r="M78" i="10"/>
  <c r="M77" i="10"/>
  <c r="M76" i="10"/>
  <c r="M75" i="10"/>
  <c r="M74" i="10"/>
  <c r="M73" i="10"/>
  <c r="M72" i="10"/>
  <c r="M71" i="10"/>
  <c r="M70" i="10"/>
  <c r="M69" i="10"/>
  <c r="M68" i="10"/>
  <c r="M67" i="10"/>
  <c r="M66" i="10"/>
  <c r="M65" i="10"/>
  <c r="M64" i="10"/>
  <c r="M63" i="10"/>
  <c r="M62" i="10"/>
  <c r="M61" i="10"/>
  <c r="M60" i="10"/>
  <c r="M59" i="10"/>
  <c r="M58" i="10"/>
  <c r="M57" i="10"/>
  <c r="M56" i="10"/>
  <c r="M55" i="10"/>
  <c r="M54" i="10"/>
  <c r="M53" i="10"/>
  <c r="M52" i="10"/>
  <c r="M51" i="10"/>
  <c r="M50" i="10"/>
  <c r="M49" i="10"/>
  <c r="M48" i="10"/>
  <c r="M47" i="10"/>
  <c r="M46" i="10"/>
  <c r="M45" i="10"/>
  <c r="M44" i="10"/>
  <c r="M43" i="10"/>
  <c r="M42" i="10"/>
  <c r="M41" i="10"/>
  <c r="M40" i="10"/>
  <c r="M39" i="10"/>
  <c r="M38" i="10"/>
  <c r="M37" i="10"/>
  <c r="M36" i="10"/>
  <c r="M35" i="10"/>
  <c r="M34" i="10"/>
  <c r="M33" i="10"/>
  <c r="M32" i="10"/>
  <c r="M31" i="10"/>
  <c r="M30" i="10"/>
  <c r="M29" i="10"/>
  <c r="M28" i="10"/>
  <c r="M27" i="10"/>
  <c r="M26" i="10"/>
  <c r="M25" i="10"/>
  <c r="M24" i="10"/>
  <c r="M23" i="10"/>
  <c r="M22" i="10"/>
  <c r="M21" i="10"/>
  <c r="M20" i="10"/>
  <c r="M19" i="10"/>
  <c r="M18" i="10"/>
  <c r="M17" i="10"/>
  <c r="M16" i="10"/>
  <c r="M15" i="10"/>
  <c r="M14" i="10"/>
  <c r="M13" i="10"/>
  <c r="M12" i="10"/>
  <c r="M11" i="10"/>
  <c r="M10" i="10"/>
  <c r="M9" i="10"/>
  <c r="M235" i="9"/>
  <c r="M234" i="9"/>
  <c r="M233" i="9"/>
  <c r="M232" i="9"/>
  <c r="M231" i="9"/>
  <c r="M230" i="9"/>
  <c r="M229" i="9"/>
  <c r="M228" i="9"/>
  <c r="M227" i="9"/>
  <c r="M226" i="9"/>
  <c r="M225" i="9"/>
  <c r="M224" i="9"/>
  <c r="M223" i="9"/>
  <c r="M222" i="9"/>
  <c r="M221" i="9"/>
  <c r="M220" i="9"/>
  <c r="M219" i="9"/>
  <c r="M218" i="9"/>
  <c r="M217" i="9"/>
  <c r="M216" i="9"/>
  <c r="M215" i="9"/>
  <c r="M214" i="9"/>
  <c r="M213" i="9"/>
  <c r="M212" i="9"/>
  <c r="M211" i="9"/>
  <c r="M210" i="9"/>
  <c r="M209" i="9"/>
  <c r="M208" i="9"/>
  <c r="M207" i="9"/>
  <c r="M206" i="9"/>
  <c r="M205" i="9"/>
  <c r="M204" i="9"/>
  <c r="M203" i="9"/>
  <c r="M202" i="9"/>
  <c r="M201" i="9"/>
  <c r="M200" i="9"/>
  <c r="M199" i="9"/>
  <c r="M198" i="9"/>
  <c r="M197" i="9"/>
  <c r="M196" i="9"/>
  <c r="M195" i="9"/>
  <c r="M194" i="9"/>
  <c r="M193" i="9"/>
  <c r="M192" i="9"/>
  <c r="M191" i="9"/>
  <c r="M190" i="9"/>
  <c r="M189" i="9"/>
  <c r="M188" i="9"/>
  <c r="M187" i="9"/>
  <c r="M186" i="9"/>
  <c r="M185" i="9"/>
  <c r="M184" i="9"/>
  <c r="M183" i="9"/>
  <c r="M182" i="9"/>
  <c r="M181" i="9"/>
  <c r="M180" i="9"/>
  <c r="M179" i="9"/>
  <c r="M178" i="9"/>
  <c r="M177" i="9"/>
  <c r="M176" i="9"/>
  <c r="M175" i="9"/>
  <c r="M174" i="9"/>
  <c r="M173" i="9"/>
  <c r="M172" i="9"/>
  <c r="M171" i="9"/>
  <c r="M170" i="9"/>
  <c r="M169" i="9"/>
  <c r="M168" i="9"/>
  <c r="M167" i="9"/>
  <c r="M166" i="9"/>
  <c r="M165" i="9"/>
  <c r="M164" i="9"/>
  <c r="M163" i="9"/>
  <c r="M162" i="9"/>
  <c r="M161" i="9"/>
  <c r="M160" i="9"/>
  <c r="M159" i="9"/>
  <c r="M158" i="9"/>
  <c r="M157" i="9"/>
  <c r="M156" i="9"/>
  <c r="M155" i="9"/>
  <c r="M154" i="9"/>
  <c r="M153" i="9"/>
  <c r="M152" i="9"/>
  <c r="M151" i="9"/>
  <c r="M150" i="9"/>
  <c r="M149" i="9"/>
  <c r="M148" i="9"/>
  <c r="M147" i="9"/>
  <c r="M146" i="9"/>
  <c r="M145" i="9"/>
  <c r="M144" i="9"/>
  <c r="M143" i="9"/>
  <c r="M142" i="9"/>
  <c r="M141" i="9"/>
  <c r="M140" i="9"/>
  <c r="M139" i="9"/>
  <c r="M138" i="9"/>
  <c r="M137" i="9"/>
  <c r="M136" i="9"/>
  <c r="M135" i="9"/>
  <c r="M134" i="9"/>
  <c r="M133" i="9"/>
  <c r="M132" i="9"/>
  <c r="M131" i="9"/>
  <c r="M130" i="9"/>
  <c r="M129" i="9"/>
  <c r="M128" i="9"/>
  <c r="M127" i="9"/>
  <c r="M126" i="9"/>
  <c r="M125" i="9"/>
  <c r="M124" i="9"/>
  <c r="M123" i="9"/>
  <c r="M122" i="9"/>
  <c r="M121" i="9"/>
  <c r="M120" i="9"/>
  <c r="M119" i="9"/>
  <c r="M118" i="9"/>
  <c r="M117" i="9"/>
  <c r="M116" i="9"/>
  <c r="M115" i="9"/>
  <c r="M114" i="9"/>
  <c r="M113" i="9"/>
  <c r="M112" i="9"/>
  <c r="M111" i="9"/>
  <c r="M110" i="9"/>
  <c r="M109" i="9"/>
  <c r="M108" i="9"/>
  <c r="M107" i="9"/>
  <c r="M106" i="9"/>
  <c r="M105" i="9"/>
  <c r="M104" i="9"/>
  <c r="M103" i="9"/>
  <c r="M102" i="9"/>
  <c r="M101" i="9"/>
  <c r="M100" i="9"/>
  <c r="M99" i="9"/>
  <c r="M98" i="9"/>
  <c r="M97" i="9"/>
  <c r="M96" i="9"/>
  <c r="M95" i="9"/>
  <c r="M94" i="9"/>
  <c r="M93" i="9"/>
  <c r="M92" i="9"/>
  <c r="M91" i="9"/>
  <c r="M90" i="9"/>
  <c r="M89" i="9"/>
  <c r="M88" i="9"/>
  <c r="M87" i="9"/>
  <c r="M86" i="9"/>
  <c r="M85" i="9"/>
  <c r="M84" i="9"/>
  <c r="M83" i="9"/>
  <c r="M82" i="9"/>
  <c r="M81" i="9"/>
  <c r="M80" i="9"/>
  <c r="M79" i="9"/>
  <c r="M78" i="9"/>
  <c r="M77" i="9"/>
  <c r="M76" i="9"/>
  <c r="M75" i="9"/>
  <c r="M74" i="9"/>
  <c r="M73" i="9"/>
  <c r="M72" i="9"/>
  <c r="M71" i="9"/>
  <c r="M70" i="9"/>
  <c r="M69" i="9"/>
  <c r="M68" i="9"/>
  <c r="M67" i="9"/>
  <c r="M66" i="9"/>
  <c r="M65" i="9"/>
  <c r="M64" i="9"/>
  <c r="M63" i="9"/>
  <c r="M62" i="9"/>
  <c r="M61" i="9"/>
  <c r="M60" i="9"/>
  <c r="M59" i="9"/>
  <c r="M58" i="9"/>
  <c r="M57" i="9"/>
  <c r="M56" i="9"/>
  <c r="M55" i="9"/>
  <c r="M54" i="9"/>
  <c r="M53" i="9"/>
  <c r="M52" i="9"/>
  <c r="M51" i="9"/>
  <c r="M50" i="9"/>
  <c r="M49" i="9"/>
  <c r="M48" i="9"/>
  <c r="M47" i="9"/>
  <c r="M46" i="9"/>
  <c r="M45" i="9"/>
  <c r="M44" i="9"/>
  <c r="M43" i="9"/>
  <c r="M42" i="9"/>
  <c r="M41" i="9"/>
  <c r="M40" i="9"/>
  <c r="M39" i="9"/>
  <c r="M38" i="9"/>
  <c r="M37" i="9"/>
  <c r="M36" i="9"/>
  <c r="M35" i="9"/>
  <c r="M34" i="9"/>
  <c r="M33" i="9"/>
  <c r="M32" i="9"/>
  <c r="M31" i="9"/>
  <c r="M30" i="9"/>
  <c r="M29" i="9"/>
  <c r="M28" i="9"/>
  <c r="M27" i="9"/>
  <c r="M26" i="9"/>
  <c r="M25" i="9"/>
  <c r="M24" i="9"/>
  <c r="M23" i="9"/>
  <c r="M22" i="9"/>
  <c r="M21" i="9"/>
  <c r="M20" i="9"/>
  <c r="M19" i="9"/>
  <c r="M18" i="9"/>
  <c r="M17" i="9"/>
  <c r="M16" i="9"/>
  <c r="M15" i="9"/>
  <c r="M14" i="9"/>
  <c r="M13" i="9"/>
  <c r="M12" i="9"/>
  <c r="M11" i="9"/>
  <c r="M10" i="9"/>
  <c r="M479" i="8"/>
  <c r="M478" i="8"/>
  <c r="M477" i="8"/>
  <c r="M476" i="8"/>
  <c r="M475" i="8"/>
  <c r="M474" i="8"/>
  <c r="M473" i="8"/>
  <c r="M472" i="8"/>
  <c r="M471" i="8"/>
  <c r="M470" i="8"/>
  <c r="M469" i="8"/>
  <c r="M468" i="8"/>
  <c r="M467" i="8"/>
  <c r="M466" i="8"/>
  <c r="M465" i="8"/>
  <c r="M464" i="8"/>
  <c r="M463" i="8"/>
  <c r="M462" i="8"/>
  <c r="M461" i="8"/>
  <c r="M460" i="8"/>
  <c r="M459" i="8"/>
  <c r="M458" i="8"/>
  <c r="M457" i="8"/>
  <c r="M456" i="8"/>
  <c r="M455" i="8"/>
  <c r="M454" i="8"/>
  <c r="M453" i="8"/>
  <c r="M452" i="8"/>
  <c r="M451" i="8"/>
  <c r="M450" i="8"/>
  <c r="M449" i="8"/>
  <c r="M448" i="8"/>
  <c r="M447" i="8"/>
  <c r="M446" i="8"/>
  <c r="M445" i="8"/>
  <c r="M444" i="8"/>
  <c r="M443" i="8"/>
  <c r="M442" i="8"/>
  <c r="M441" i="8"/>
  <c r="M440" i="8"/>
  <c r="M439" i="8"/>
  <c r="M438" i="8"/>
  <c r="M437" i="8"/>
  <c r="M436" i="8"/>
  <c r="M435" i="8"/>
  <c r="M434" i="8"/>
  <c r="M433" i="8"/>
  <c r="M432" i="8"/>
  <c r="M431" i="8"/>
  <c r="M430" i="8"/>
  <c r="M429" i="8"/>
  <c r="M428" i="8"/>
  <c r="M427" i="8"/>
  <c r="M426" i="8"/>
  <c r="M425" i="8"/>
  <c r="M424" i="8"/>
  <c r="M423" i="8"/>
  <c r="M422" i="8"/>
  <c r="M421" i="8"/>
  <c r="M420" i="8"/>
  <c r="M419" i="8"/>
  <c r="M418" i="8"/>
  <c r="M417" i="8"/>
  <c r="M416" i="8"/>
  <c r="M415" i="8"/>
  <c r="M414" i="8"/>
  <c r="M413" i="8"/>
  <c r="M412" i="8"/>
  <c r="M411" i="8"/>
  <c r="M410" i="8"/>
  <c r="M409" i="8"/>
  <c r="M408" i="8"/>
  <c r="M407" i="8"/>
  <c r="M406" i="8"/>
  <c r="M405" i="8"/>
  <c r="M404" i="8"/>
  <c r="M403" i="8"/>
  <c r="M402" i="8"/>
  <c r="M401" i="8"/>
  <c r="M400" i="8"/>
  <c r="M399" i="8"/>
  <c r="M398" i="8"/>
  <c r="M397" i="8"/>
  <c r="M396" i="8"/>
  <c r="M395" i="8"/>
  <c r="M394" i="8"/>
  <c r="M393" i="8"/>
  <c r="M392" i="8"/>
  <c r="M391" i="8"/>
  <c r="M390" i="8"/>
  <c r="M389" i="8"/>
  <c r="M388" i="8"/>
  <c r="M387" i="8"/>
  <c r="M386" i="8"/>
  <c r="M385" i="8"/>
  <c r="M384" i="8"/>
  <c r="M383" i="8"/>
  <c r="M382" i="8"/>
  <c r="M381" i="8"/>
  <c r="M380" i="8"/>
  <c r="M379" i="8"/>
  <c r="M378" i="8"/>
  <c r="M377" i="8"/>
  <c r="M376" i="8"/>
  <c r="M375" i="8"/>
  <c r="M374" i="8"/>
  <c r="M373" i="8"/>
  <c r="M372" i="8"/>
  <c r="M371" i="8"/>
  <c r="M370" i="8"/>
  <c r="M369" i="8"/>
  <c r="M368" i="8"/>
  <c r="M367" i="8"/>
  <c r="M366" i="8"/>
  <c r="M365" i="8"/>
  <c r="M364" i="8"/>
  <c r="M363" i="8"/>
  <c r="M362" i="8"/>
  <c r="M361" i="8"/>
  <c r="M360" i="8"/>
  <c r="M359" i="8"/>
  <c r="M358" i="8"/>
  <c r="M357" i="8"/>
  <c r="M356" i="8"/>
  <c r="M355" i="8"/>
  <c r="M354" i="8"/>
  <c r="M353" i="8"/>
  <c r="M352" i="8"/>
  <c r="M351" i="8"/>
  <c r="M350" i="8"/>
  <c r="M349" i="8"/>
  <c r="M348" i="8"/>
  <c r="M347" i="8"/>
  <c r="M346" i="8"/>
  <c r="M345" i="8"/>
  <c r="M344" i="8"/>
  <c r="M343" i="8"/>
  <c r="M342" i="8"/>
  <c r="M341" i="8"/>
  <c r="M340" i="8"/>
  <c r="M339" i="8"/>
  <c r="M338" i="8"/>
  <c r="M337" i="8"/>
  <c r="M336" i="8"/>
  <c r="M335" i="8"/>
  <c r="M334" i="8"/>
  <c r="M333" i="8"/>
  <c r="M332" i="8"/>
  <c r="M331" i="8"/>
  <c r="M330" i="8"/>
  <c r="M329" i="8"/>
  <c r="M328" i="8"/>
  <c r="M327" i="8"/>
  <c r="M326" i="8"/>
  <c r="M325" i="8"/>
  <c r="M324" i="8"/>
  <c r="M323" i="8"/>
  <c r="M322" i="8"/>
  <c r="M321" i="8"/>
  <c r="M320" i="8"/>
  <c r="M319" i="8"/>
  <c r="M318" i="8"/>
  <c r="M317" i="8"/>
  <c r="M316" i="8"/>
  <c r="M315" i="8"/>
  <c r="M314" i="8"/>
  <c r="M313" i="8"/>
  <c r="M312" i="8"/>
  <c r="M311" i="8"/>
  <c r="M310" i="8"/>
  <c r="M309" i="8"/>
  <c r="M308" i="8"/>
  <c r="M307" i="8"/>
  <c r="M306" i="8"/>
  <c r="M305" i="8"/>
  <c r="M304" i="8"/>
  <c r="M303" i="8"/>
  <c r="M302" i="8"/>
  <c r="M301" i="8"/>
  <c r="M300" i="8"/>
  <c r="M299" i="8"/>
  <c r="M298" i="8"/>
  <c r="M297" i="8"/>
  <c r="M296" i="8"/>
  <c r="M295" i="8"/>
  <c r="M294" i="8"/>
  <c r="M293" i="8"/>
  <c r="M292" i="8"/>
  <c r="M291" i="8"/>
  <c r="M290" i="8"/>
  <c r="M289" i="8"/>
  <c r="M288" i="8"/>
  <c r="M287" i="8"/>
  <c r="M286" i="8"/>
  <c r="M285" i="8"/>
  <c r="M284" i="8"/>
  <c r="M283" i="8"/>
  <c r="M282" i="8"/>
  <c r="M281" i="8"/>
  <c r="M280" i="8"/>
  <c r="M279" i="8"/>
  <c r="M278" i="8"/>
  <c r="M277" i="8"/>
  <c r="M276" i="8"/>
  <c r="M275" i="8"/>
  <c r="M274" i="8"/>
  <c r="M273" i="8"/>
  <c r="M272" i="8"/>
  <c r="M271" i="8"/>
  <c r="M270" i="8"/>
  <c r="M269" i="8"/>
  <c r="M268" i="8"/>
  <c r="M267" i="8"/>
  <c r="M266" i="8"/>
  <c r="M265" i="8"/>
  <c r="M264" i="8"/>
  <c r="M263" i="8"/>
  <c r="M262" i="8"/>
  <c r="M261" i="8"/>
  <c r="M260" i="8"/>
  <c r="M259" i="8"/>
  <c r="M258" i="8"/>
  <c r="M257" i="8"/>
  <c r="M256" i="8"/>
  <c r="M255" i="8"/>
  <c r="M254" i="8"/>
  <c r="M253" i="8"/>
  <c r="M252" i="8"/>
  <c r="M251" i="8"/>
  <c r="M250" i="8"/>
  <c r="M249" i="8"/>
  <c r="M248" i="8"/>
  <c r="M247" i="8"/>
  <c r="M246" i="8"/>
  <c r="M245" i="8"/>
  <c r="M244" i="8"/>
  <c r="M243" i="8"/>
  <c r="M242" i="8"/>
  <c r="M241" i="8"/>
  <c r="M240" i="8"/>
  <c r="M239" i="8"/>
  <c r="M238" i="8"/>
  <c r="M237" i="8"/>
  <c r="M236" i="8"/>
  <c r="M235" i="8"/>
  <c r="M234" i="8"/>
  <c r="M233" i="8"/>
  <c r="M232" i="8"/>
  <c r="M231" i="8"/>
  <c r="M230" i="8"/>
  <c r="M229" i="8"/>
  <c r="M228" i="8"/>
  <c r="M227" i="8"/>
  <c r="M226" i="8"/>
  <c r="M225" i="8"/>
  <c r="M224" i="8"/>
  <c r="M223" i="8"/>
  <c r="M222" i="8"/>
  <c r="M221" i="8"/>
  <c r="M220" i="8"/>
  <c r="M219" i="8"/>
  <c r="M218" i="8"/>
  <c r="M217" i="8"/>
  <c r="M216" i="8"/>
  <c r="M215" i="8"/>
  <c r="M214" i="8"/>
  <c r="M213" i="8"/>
  <c r="M212" i="8"/>
  <c r="M211" i="8"/>
  <c r="M210" i="8"/>
  <c r="M209" i="8"/>
  <c r="M208" i="8"/>
  <c r="M207" i="8"/>
  <c r="M206" i="8"/>
  <c r="M205" i="8"/>
  <c r="M204" i="8"/>
  <c r="M203" i="8"/>
  <c r="M202" i="8"/>
  <c r="M201" i="8"/>
  <c r="M200" i="8"/>
  <c r="M199" i="8"/>
  <c r="M198" i="8"/>
  <c r="M197" i="8"/>
  <c r="M196" i="8"/>
  <c r="M195" i="8"/>
  <c r="M194" i="8"/>
  <c r="M193" i="8"/>
  <c r="M192" i="8"/>
  <c r="M191" i="8"/>
  <c r="M190" i="8"/>
  <c r="M189" i="8"/>
  <c r="M188" i="8"/>
  <c r="M187" i="8"/>
  <c r="M186" i="8"/>
  <c r="M185" i="8"/>
  <c r="M184" i="8"/>
  <c r="M183" i="8"/>
  <c r="M182" i="8"/>
  <c r="M181" i="8"/>
  <c r="M180" i="8"/>
  <c r="M179" i="8"/>
  <c r="M178" i="8"/>
  <c r="M177" i="8"/>
  <c r="M176" i="8"/>
  <c r="M175" i="8"/>
  <c r="M174" i="8"/>
  <c r="M173" i="8"/>
  <c r="M172" i="8"/>
  <c r="M171" i="8"/>
  <c r="M170" i="8"/>
  <c r="M169" i="8"/>
  <c r="M168" i="8"/>
  <c r="M167" i="8"/>
  <c r="M166" i="8"/>
  <c r="M165" i="8"/>
  <c r="M164" i="8"/>
  <c r="M163" i="8"/>
  <c r="M162" i="8"/>
  <c r="M161" i="8"/>
  <c r="M160" i="8"/>
  <c r="M159" i="8"/>
  <c r="M158" i="8"/>
  <c r="M157" i="8"/>
  <c r="M156" i="8"/>
  <c r="M155" i="8"/>
  <c r="M154" i="8"/>
  <c r="M153" i="8"/>
  <c r="M152" i="8"/>
  <c r="M151" i="8"/>
  <c r="M150" i="8"/>
  <c r="M149" i="8"/>
  <c r="M148" i="8"/>
  <c r="M147" i="8"/>
  <c r="M146" i="8"/>
  <c r="M145" i="8"/>
  <c r="M144" i="8"/>
  <c r="M143" i="8"/>
  <c r="M142" i="8"/>
  <c r="M141" i="8"/>
  <c r="M140" i="8"/>
  <c r="M139" i="8"/>
  <c r="M138" i="8"/>
  <c r="M137" i="8"/>
  <c r="M136" i="8"/>
  <c r="M135" i="8"/>
  <c r="M134" i="8"/>
  <c r="M133" i="8"/>
  <c r="M132" i="8"/>
  <c r="M131" i="8"/>
  <c r="M130" i="8"/>
  <c r="M129" i="8"/>
  <c r="M128" i="8"/>
  <c r="M127" i="8"/>
  <c r="M126" i="8"/>
  <c r="M125" i="8"/>
  <c r="M124" i="8"/>
  <c r="M123" i="8"/>
  <c r="M122" i="8"/>
  <c r="M121" i="8"/>
  <c r="M120" i="8"/>
  <c r="M119" i="8"/>
  <c r="M118" i="8"/>
  <c r="M117" i="8"/>
  <c r="M116" i="8"/>
  <c r="M115" i="8"/>
  <c r="M114" i="8"/>
  <c r="M113" i="8"/>
  <c r="M112" i="8"/>
  <c r="M111" i="8"/>
  <c r="M110" i="8"/>
  <c r="M109" i="8"/>
  <c r="M108" i="8"/>
  <c r="M107" i="8"/>
  <c r="M106" i="8"/>
  <c r="M105" i="8"/>
  <c r="M104" i="8"/>
  <c r="M103" i="8"/>
  <c r="M102" i="8"/>
  <c r="M101" i="8"/>
  <c r="M100" i="8"/>
  <c r="M99" i="8"/>
  <c r="M98" i="8"/>
  <c r="M97" i="8"/>
  <c r="M96" i="8"/>
  <c r="M95" i="8"/>
  <c r="M94" i="8"/>
  <c r="M93" i="8"/>
  <c r="M92" i="8"/>
  <c r="M91" i="8"/>
  <c r="M90" i="8"/>
  <c r="M89" i="8"/>
  <c r="M88" i="8"/>
  <c r="M87" i="8"/>
  <c r="M86" i="8"/>
  <c r="M85" i="8"/>
  <c r="M84" i="8"/>
  <c r="M83" i="8"/>
  <c r="M82" i="8"/>
  <c r="M81" i="8"/>
  <c r="M80" i="8"/>
  <c r="M79" i="8"/>
  <c r="M78" i="8"/>
  <c r="M77" i="8"/>
  <c r="M76" i="8"/>
  <c r="M75" i="8"/>
  <c r="M74" i="8"/>
  <c r="M73" i="8"/>
  <c r="M72" i="8"/>
  <c r="M71" i="8"/>
  <c r="M70" i="8"/>
  <c r="M69" i="8"/>
  <c r="M68" i="8"/>
  <c r="M67" i="8"/>
  <c r="M66" i="8"/>
  <c r="M65" i="8"/>
  <c r="M64" i="8"/>
  <c r="M63" i="8"/>
  <c r="M62" i="8"/>
  <c r="M61" i="8"/>
  <c r="M60" i="8"/>
  <c r="M59" i="8"/>
  <c r="M58" i="8"/>
  <c r="M57" i="8"/>
  <c r="M56" i="8"/>
  <c r="M55" i="8"/>
  <c r="M54" i="8"/>
  <c r="M53" i="8"/>
  <c r="M52" i="8"/>
  <c r="M51" i="8"/>
  <c r="M50" i="8"/>
  <c r="M49" i="8"/>
  <c r="M48" i="8"/>
  <c r="M47" i="8"/>
  <c r="M46" i="8"/>
  <c r="M45" i="8"/>
  <c r="M44" i="8"/>
  <c r="M43" i="8"/>
  <c r="M42" i="8"/>
  <c r="M41" i="8"/>
  <c r="M40" i="8"/>
  <c r="M39" i="8"/>
  <c r="M38" i="8"/>
  <c r="M37" i="8"/>
  <c r="M36" i="8"/>
  <c r="M35" i="8"/>
  <c r="M34" i="8"/>
  <c r="M33" i="8"/>
  <c r="M32" i="8"/>
  <c r="M31" i="8"/>
  <c r="M30" i="8"/>
  <c r="M29" i="8"/>
  <c r="M28" i="8"/>
  <c r="M27" i="8"/>
  <c r="M26" i="8"/>
  <c r="M25" i="8"/>
  <c r="M24" i="8"/>
  <c r="M23" i="8"/>
  <c r="M22" i="8"/>
  <c r="M21" i="8"/>
  <c r="M20" i="8"/>
  <c r="M19" i="8"/>
  <c r="M18" i="8"/>
  <c r="M17" i="8"/>
  <c r="M16" i="8"/>
  <c r="M15" i="8"/>
  <c r="M14" i="8"/>
  <c r="M13" i="8"/>
  <c r="M12" i="8"/>
  <c r="M11" i="8"/>
  <c r="M10" i="8"/>
  <c r="M258" i="7"/>
  <c r="M257" i="7"/>
  <c r="M256" i="7"/>
  <c r="M255" i="7"/>
  <c r="M254" i="7"/>
  <c r="M253" i="7"/>
  <c r="M252" i="7"/>
  <c r="M251" i="7"/>
  <c r="M250" i="7"/>
  <c r="M249" i="7"/>
  <c r="M248" i="7"/>
  <c r="M247" i="7"/>
  <c r="M246" i="7"/>
  <c r="M245" i="7"/>
  <c r="M244" i="7"/>
  <c r="M243" i="7"/>
  <c r="M242" i="7"/>
  <c r="M241" i="7"/>
  <c r="M240" i="7"/>
  <c r="M239" i="7"/>
  <c r="M238" i="7"/>
  <c r="M237" i="7"/>
  <c r="M236" i="7"/>
  <c r="M235" i="7"/>
  <c r="M234" i="7"/>
  <c r="M233" i="7"/>
  <c r="M232" i="7"/>
  <c r="M231" i="7"/>
  <c r="M230" i="7"/>
  <c r="M229" i="7"/>
  <c r="M228" i="7"/>
  <c r="M227" i="7"/>
  <c r="M226" i="7"/>
  <c r="M225" i="7"/>
  <c r="M224" i="7"/>
  <c r="M223" i="7"/>
  <c r="M222" i="7"/>
  <c r="M221" i="7"/>
  <c r="M220" i="7"/>
  <c r="M219" i="7"/>
  <c r="M218" i="7"/>
  <c r="M217" i="7"/>
  <c r="M216" i="7"/>
  <c r="M215" i="7"/>
  <c r="M214" i="7"/>
  <c r="M213" i="7"/>
  <c r="M212" i="7"/>
  <c r="M211" i="7"/>
  <c r="M210" i="7"/>
  <c r="M209" i="7"/>
  <c r="M208" i="7"/>
  <c r="M207" i="7"/>
  <c r="M206" i="7"/>
  <c r="M205" i="7"/>
  <c r="M204" i="7"/>
  <c r="M203" i="7"/>
  <c r="M202" i="7"/>
  <c r="M201" i="7"/>
  <c r="M200" i="7"/>
  <c r="M199" i="7"/>
  <c r="M198" i="7"/>
  <c r="M197" i="7"/>
  <c r="M196" i="7"/>
  <c r="M195" i="7"/>
  <c r="M194" i="7"/>
  <c r="M193" i="7"/>
  <c r="M192" i="7"/>
  <c r="M191" i="7"/>
  <c r="M190" i="7"/>
  <c r="M189" i="7"/>
  <c r="M188" i="7"/>
  <c r="M187" i="7"/>
  <c r="M186" i="7"/>
  <c r="M185" i="7"/>
  <c r="M184" i="7"/>
  <c r="M183" i="7"/>
  <c r="M182" i="7"/>
  <c r="M181" i="7"/>
  <c r="M180" i="7"/>
  <c r="M179" i="7"/>
  <c r="M178" i="7"/>
  <c r="M177" i="7"/>
  <c r="M176" i="7"/>
  <c r="M175" i="7"/>
  <c r="M174" i="7"/>
  <c r="M173" i="7"/>
  <c r="M172" i="7"/>
  <c r="M171" i="7"/>
  <c r="M170" i="7"/>
  <c r="M169" i="7"/>
  <c r="M168" i="7"/>
  <c r="M167" i="7"/>
  <c r="M166" i="7"/>
  <c r="M165" i="7"/>
  <c r="M164" i="7"/>
  <c r="M163" i="7"/>
  <c r="M162" i="7"/>
  <c r="M161" i="7"/>
  <c r="M160" i="7"/>
  <c r="M159" i="7"/>
  <c r="M158" i="7"/>
  <c r="M157" i="7"/>
  <c r="M156" i="7"/>
  <c r="M155" i="7"/>
  <c r="M154" i="7"/>
  <c r="M153" i="7"/>
  <c r="M152" i="7"/>
  <c r="M151" i="7"/>
  <c r="M150" i="7"/>
  <c r="M149" i="7"/>
  <c r="M148" i="7"/>
  <c r="M147" i="7"/>
  <c r="M146" i="7"/>
  <c r="M145" i="7"/>
  <c r="M144" i="7"/>
  <c r="M143" i="7"/>
  <c r="M142" i="7"/>
  <c r="M141" i="7"/>
  <c r="M140" i="7"/>
  <c r="M139" i="7"/>
  <c r="M138" i="7"/>
  <c r="M137" i="7"/>
  <c r="M136" i="7"/>
  <c r="M135" i="7"/>
  <c r="M134" i="7"/>
  <c r="M133" i="7"/>
  <c r="M132" i="7"/>
  <c r="M131" i="7"/>
  <c r="M130" i="7"/>
  <c r="M129" i="7"/>
  <c r="M128" i="7"/>
  <c r="M127" i="7"/>
  <c r="M126" i="7"/>
  <c r="M125" i="7"/>
  <c r="M124" i="7"/>
  <c r="M123" i="7"/>
  <c r="M122" i="7"/>
  <c r="M121" i="7"/>
  <c r="M120" i="7"/>
  <c r="M119" i="7"/>
  <c r="M118" i="7"/>
  <c r="M117" i="7"/>
  <c r="M116" i="7"/>
  <c r="M115" i="7"/>
  <c r="M114" i="7"/>
  <c r="M113" i="7"/>
  <c r="M112" i="7"/>
  <c r="M111" i="7"/>
  <c r="M110" i="7"/>
  <c r="M109" i="7"/>
  <c r="M108" i="7"/>
  <c r="M107" i="7"/>
  <c r="M106" i="7"/>
  <c r="M105" i="7"/>
  <c r="M104" i="7"/>
  <c r="M103" i="7"/>
  <c r="M102" i="7"/>
  <c r="M101" i="7"/>
  <c r="M100" i="7"/>
  <c r="M99" i="7"/>
  <c r="M98" i="7"/>
  <c r="M97" i="7"/>
  <c r="M96" i="7"/>
  <c r="M95" i="7"/>
  <c r="M94" i="7"/>
  <c r="M93" i="7"/>
  <c r="M92" i="7"/>
  <c r="M91" i="7"/>
  <c r="M90" i="7"/>
  <c r="M89" i="7"/>
  <c r="M88" i="7"/>
  <c r="M87" i="7"/>
  <c r="M86" i="7"/>
  <c r="M85" i="7"/>
  <c r="M84" i="7"/>
  <c r="M83" i="7"/>
  <c r="M82" i="7"/>
  <c r="M81" i="7"/>
  <c r="M80" i="7"/>
  <c r="M79" i="7"/>
  <c r="M78" i="7"/>
  <c r="M77" i="7"/>
  <c r="M76" i="7"/>
  <c r="M75" i="7"/>
  <c r="M74" i="7"/>
  <c r="M73" i="7"/>
  <c r="M72" i="7"/>
  <c r="M71" i="7"/>
  <c r="M70" i="7"/>
  <c r="M69" i="7"/>
  <c r="M68" i="7"/>
  <c r="M67" i="7"/>
  <c r="M66" i="7"/>
  <c r="M65" i="7"/>
  <c r="M64" i="7"/>
  <c r="M63" i="7"/>
  <c r="M62" i="7"/>
  <c r="M61" i="7"/>
  <c r="M60" i="7"/>
  <c r="M59" i="7"/>
  <c r="M58" i="7"/>
  <c r="M57" i="7"/>
  <c r="M56" i="7"/>
  <c r="M55" i="7"/>
  <c r="M54" i="7"/>
  <c r="M53" i="7"/>
  <c r="M52" i="7"/>
  <c r="M51" i="7"/>
  <c r="M50" i="7"/>
  <c r="M49" i="7"/>
  <c r="M48" i="7"/>
  <c r="M47" i="7"/>
  <c r="M46" i="7"/>
  <c r="M45" i="7"/>
  <c r="M44" i="7"/>
  <c r="M43" i="7"/>
  <c r="M42" i="7"/>
  <c r="M41" i="7"/>
  <c r="M40" i="7"/>
  <c r="M39" i="7"/>
  <c r="M38" i="7"/>
  <c r="M37" i="7"/>
  <c r="M36" i="7"/>
  <c r="M35" i="7"/>
  <c r="M34" i="7"/>
  <c r="M33" i="7"/>
  <c r="M32" i="7"/>
  <c r="M31" i="7"/>
  <c r="M30" i="7"/>
  <c r="M29" i="7"/>
  <c r="M28" i="7"/>
  <c r="M27" i="7"/>
  <c r="M26" i="7"/>
  <c r="M25" i="7"/>
  <c r="M24" i="7"/>
  <c r="M23" i="7"/>
  <c r="M22" i="7"/>
  <c r="M21" i="7"/>
  <c r="M20" i="7"/>
  <c r="M19" i="7"/>
  <c r="M18" i="7"/>
  <c r="M17" i="7"/>
  <c r="M16" i="7"/>
  <c r="M15" i="7"/>
  <c r="M14" i="7"/>
  <c r="M13" i="7"/>
  <c r="M12" i="7"/>
  <c r="M11" i="7"/>
  <c r="M10" i="7"/>
  <c r="M611" i="6"/>
  <c r="M610" i="6"/>
  <c r="M609" i="6"/>
  <c r="M608" i="6"/>
  <c r="M607" i="6"/>
  <c r="M606" i="6"/>
  <c r="M605" i="6"/>
  <c r="M604" i="6"/>
  <c r="M603" i="6"/>
  <c r="M602" i="6"/>
  <c r="M601" i="6"/>
  <c r="M600" i="6"/>
  <c r="M599" i="6"/>
  <c r="M598" i="6"/>
  <c r="M597" i="6"/>
  <c r="M596" i="6"/>
  <c r="M595" i="6"/>
  <c r="M594" i="6"/>
  <c r="M593" i="6"/>
  <c r="M592" i="6"/>
  <c r="M591" i="6"/>
  <c r="M590" i="6"/>
  <c r="M589" i="6"/>
  <c r="M588" i="6"/>
  <c r="M587" i="6"/>
  <c r="M586" i="6"/>
  <c r="M585" i="6"/>
  <c r="M584" i="6"/>
  <c r="M583" i="6"/>
  <c r="M582" i="6"/>
  <c r="M581" i="6"/>
  <c r="M580" i="6"/>
  <c r="M579" i="6"/>
  <c r="M578" i="6"/>
  <c r="M577" i="6"/>
  <c r="M576" i="6"/>
  <c r="M575" i="6"/>
  <c r="M574" i="6"/>
  <c r="M573" i="6"/>
  <c r="M572" i="6"/>
  <c r="M571" i="6"/>
  <c r="M570" i="6"/>
  <c r="M569" i="6"/>
  <c r="M568" i="6"/>
  <c r="M567" i="6"/>
  <c r="M566" i="6"/>
  <c r="M565" i="6"/>
  <c r="M564" i="6"/>
  <c r="M563" i="6"/>
  <c r="M562" i="6"/>
  <c r="M561" i="6"/>
  <c r="M560" i="6"/>
  <c r="M559" i="6"/>
  <c r="M558" i="6"/>
  <c r="M557" i="6"/>
  <c r="M556" i="6"/>
  <c r="M555" i="6"/>
  <c r="M554" i="6"/>
  <c r="M553" i="6"/>
  <c r="M552" i="6"/>
  <c r="M551" i="6"/>
  <c r="M550" i="6"/>
  <c r="M549" i="6"/>
  <c r="M548" i="6"/>
  <c r="M547" i="6"/>
  <c r="M546" i="6"/>
  <c r="M545" i="6"/>
  <c r="M544" i="6"/>
  <c r="M543" i="6"/>
  <c r="M542" i="6"/>
  <c r="M541" i="6"/>
  <c r="M540" i="6"/>
  <c r="M539" i="6"/>
  <c r="M538" i="6"/>
  <c r="M537" i="6"/>
  <c r="M536" i="6"/>
  <c r="M535" i="6"/>
  <c r="M534" i="6"/>
  <c r="M533" i="6"/>
  <c r="M532" i="6"/>
  <c r="M531" i="6"/>
  <c r="M530" i="6"/>
  <c r="M529" i="6"/>
  <c r="M528" i="6"/>
  <c r="M527" i="6"/>
  <c r="M526" i="6"/>
  <c r="M525" i="6"/>
  <c r="M524" i="6"/>
  <c r="M523" i="6"/>
  <c r="M522" i="6"/>
  <c r="M521" i="6"/>
  <c r="M520" i="6"/>
  <c r="M519" i="6"/>
  <c r="M518" i="6"/>
  <c r="M517" i="6"/>
  <c r="M516" i="6"/>
  <c r="M515" i="6"/>
  <c r="M514" i="6"/>
  <c r="M513" i="6"/>
  <c r="M512" i="6"/>
  <c r="M511" i="6"/>
  <c r="M510" i="6"/>
  <c r="M509" i="6"/>
  <c r="M508" i="6"/>
  <c r="M507" i="6"/>
  <c r="M506" i="6"/>
  <c r="M505" i="6"/>
  <c r="M504" i="6"/>
  <c r="M503" i="6"/>
  <c r="M502" i="6"/>
  <c r="M501" i="6"/>
  <c r="M500" i="6"/>
  <c r="M499" i="6"/>
  <c r="M498" i="6"/>
  <c r="M497" i="6"/>
  <c r="M496" i="6"/>
  <c r="M495" i="6"/>
  <c r="M494" i="6"/>
  <c r="M493" i="6"/>
  <c r="M492" i="6"/>
  <c r="M491" i="6"/>
  <c r="M490" i="6"/>
  <c r="M489" i="6"/>
  <c r="M488" i="6"/>
  <c r="M487" i="6"/>
  <c r="M486" i="6"/>
  <c r="M485" i="6"/>
  <c r="M484" i="6"/>
  <c r="M483" i="6"/>
  <c r="M482" i="6"/>
  <c r="M481" i="6"/>
  <c r="M480" i="6"/>
  <c r="M479" i="6"/>
  <c r="M478" i="6"/>
  <c r="M477" i="6"/>
  <c r="M476" i="6"/>
  <c r="M475" i="6"/>
  <c r="M474" i="6"/>
  <c r="M473" i="6"/>
  <c r="M472" i="6"/>
  <c r="M471" i="6"/>
  <c r="M470" i="6"/>
  <c r="M469" i="6"/>
  <c r="M468" i="6"/>
  <c r="M467" i="6"/>
  <c r="M466" i="6"/>
  <c r="M465" i="6"/>
  <c r="M464" i="6"/>
  <c r="M463" i="6"/>
  <c r="M462" i="6"/>
  <c r="M461" i="6"/>
  <c r="M460" i="6"/>
  <c r="M459" i="6"/>
  <c r="M458" i="6"/>
  <c r="M457" i="6"/>
  <c r="M456" i="6"/>
  <c r="M455" i="6"/>
  <c r="M454" i="6"/>
  <c r="M453" i="6"/>
  <c r="M452" i="6"/>
  <c r="M451" i="6"/>
  <c r="M450" i="6"/>
  <c r="M449" i="6"/>
  <c r="M448" i="6"/>
  <c r="M447" i="6"/>
  <c r="M446" i="6"/>
  <c r="M445" i="6"/>
  <c r="M444" i="6"/>
  <c r="M443" i="6"/>
  <c r="M442" i="6"/>
  <c r="M441" i="6"/>
  <c r="M440" i="6"/>
  <c r="M439" i="6"/>
  <c r="M438" i="6"/>
  <c r="M437" i="6"/>
  <c r="M436" i="6"/>
  <c r="M435" i="6"/>
  <c r="M434" i="6"/>
  <c r="M433" i="6"/>
  <c r="M432" i="6"/>
  <c r="M431" i="6"/>
  <c r="M430" i="6"/>
  <c r="M429" i="6"/>
  <c r="M428" i="6"/>
  <c r="M427" i="6"/>
  <c r="M426" i="6"/>
  <c r="M425" i="6"/>
  <c r="M424" i="6"/>
  <c r="M423" i="6"/>
  <c r="M422" i="6"/>
  <c r="M421" i="6"/>
  <c r="M420" i="6"/>
  <c r="M419" i="6"/>
  <c r="M418" i="6"/>
  <c r="M417" i="6"/>
  <c r="M416" i="6"/>
  <c r="M415" i="6"/>
  <c r="M414" i="6"/>
  <c r="M413" i="6"/>
  <c r="M412" i="6"/>
  <c r="M411" i="6"/>
  <c r="M410" i="6"/>
  <c r="M409" i="6"/>
  <c r="M408" i="6"/>
  <c r="M407" i="6"/>
  <c r="M406" i="6"/>
  <c r="M405" i="6"/>
  <c r="M404" i="6"/>
  <c r="M403" i="6"/>
  <c r="M402" i="6"/>
  <c r="M401" i="6"/>
  <c r="M400" i="6"/>
  <c r="M399" i="6"/>
  <c r="M398" i="6"/>
  <c r="M397" i="6"/>
  <c r="M396" i="6"/>
  <c r="M395" i="6"/>
  <c r="M394" i="6"/>
  <c r="M393" i="6"/>
  <c r="M392" i="6"/>
  <c r="M391" i="6"/>
  <c r="M390" i="6"/>
  <c r="M389" i="6"/>
  <c r="M388" i="6"/>
  <c r="M387" i="6"/>
  <c r="M386" i="6"/>
  <c r="M385" i="6"/>
  <c r="M384" i="6"/>
  <c r="M383" i="6"/>
  <c r="M382" i="6"/>
  <c r="M381" i="6"/>
  <c r="M380" i="6"/>
  <c r="M379" i="6"/>
  <c r="M378" i="6"/>
  <c r="M377" i="6"/>
  <c r="M376" i="6"/>
  <c r="M375" i="6"/>
  <c r="M374" i="6"/>
  <c r="M373" i="6"/>
  <c r="M372" i="6"/>
  <c r="M371" i="6"/>
  <c r="M370" i="6"/>
  <c r="M369" i="6"/>
  <c r="M368" i="6"/>
  <c r="M367" i="6"/>
  <c r="M366" i="6"/>
  <c r="M365" i="6"/>
  <c r="M364" i="6"/>
  <c r="M363" i="6"/>
  <c r="M362" i="6"/>
  <c r="M361" i="6"/>
  <c r="M360" i="6"/>
  <c r="M359" i="6"/>
  <c r="M358" i="6"/>
  <c r="M357" i="6"/>
  <c r="M356" i="6"/>
  <c r="M355" i="6"/>
  <c r="M354" i="6"/>
  <c r="M353" i="6"/>
  <c r="M352" i="6"/>
  <c r="M351" i="6"/>
  <c r="M350" i="6"/>
  <c r="M349" i="6"/>
  <c r="M348" i="6"/>
  <c r="M347" i="6"/>
  <c r="M346" i="6"/>
  <c r="M345" i="6"/>
  <c r="M344" i="6"/>
  <c r="M343" i="6"/>
  <c r="M342" i="6"/>
  <c r="M341" i="6"/>
  <c r="M340" i="6"/>
  <c r="M339" i="6"/>
  <c r="M338" i="6"/>
  <c r="M337" i="6"/>
  <c r="M336" i="6"/>
  <c r="M335" i="6"/>
  <c r="M334" i="6"/>
  <c r="M333" i="6"/>
  <c r="M332" i="6"/>
  <c r="M331" i="6"/>
  <c r="M330" i="6"/>
  <c r="M329" i="6"/>
  <c r="M328" i="6"/>
  <c r="M327" i="6"/>
  <c r="M326" i="6"/>
  <c r="M325" i="6"/>
  <c r="M324" i="6"/>
  <c r="M323" i="6"/>
  <c r="M322" i="6"/>
  <c r="M321" i="6"/>
  <c r="M320" i="6"/>
  <c r="M319" i="6"/>
  <c r="M318" i="6"/>
  <c r="M317" i="6"/>
  <c r="M316" i="6"/>
  <c r="M315" i="6"/>
  <c r="M314" i="6"/>
  <c r="M313" i="6"/>
  <c r="M312" i="6"/>
  <c r="M311" i="6"/>
  <c r="M310" i="6"/>
  <c r="M309" i="6"/>
  <c r="M308" i="6"/>
  <c r="M307" i="6"/>
  <c r="M306" i="6"/>
  <c r="M305" i="6"/>
  <c r="M304" i="6"/>
  <c r="M303" i="6"/>
  <c r="M302" i="6"/>
  <c r="M301" i="6"/>
  <c r="M300" i="6"/>
  <c r="M299" i="6"/>
  <c r="M298" i="6"/>
  <c r="M297" i="6"/>
  <c r="M296" i="6"/>
  <c r="M295" i="6"/>
  <c r="M294" i="6"/>
  <c r="M293" i="6"/>
  <c r="M292" i="6"/>
  <c r="M291" i="6"/>
  <c r="M290" i="6"/>
  <c r="M289" i="6"/>
  <c r="M288" i="6"/>
  <c r="M287" i="6"/>
  <c r="M286" i="6"/>
  <c r="M285" i="6"/>
  <c r="M284" i="6"/>
  <c r="M283" i="6"/>
  <c r="M282" i="6"/>
  <c r="M281" i="6"/>
  <c r="M280" i="6"/>
  <c r="M279" i="6"/>
  <c r="M278" i="6"/>
  <c r="M277" i="6"/>
  <c r="M276" i="6"/>
  <c r="M275" i="6"/>
  <c r="M274" i="6"/>
  <c r="M273" i="6"/>
  <c r="M272" i="6"/>
  <c r="M271" i="6"/>
  <c r="M270" i="6"/>
  <c r="M269" i="6"/>
  <c r="M268" i="6"/>
  <c r="M267" i="6"/>
  <c r="M266" i="6"/>
  <c r="M265" i="6"/>
  <c r="M264" i="6"/>
  <c r="M263" i="6"/>
  <c r="M262" i="6"/>
  <c r="M261" i="6"/>
  <c r="M260" i="6"/>
  <c r="M259" i="6"/>
  <c r="M258" i="6"/>
  <c r="M257" i="6"/>
  <c r="M256" i="6"/>
  <c r="M255" i="6"/>
  <c r="M254" i="6"/>
  <c r="M253" i="6"/>
  <c r="M252" i="6"/>
  <c r="M251" i="6"/>
  <c r="M250" i="6"/>
  <c r="M249" i="6"/>
  <c r="M248" i="6"/>
  <c r="M247" i="6"/>
  <c r="M246" i="6"/>
  <c r="M245" i="6"/>
  <c r="M244" i="6"/>
  <c r="M243" i="6"/>
  <c r="M242" i="6"/>
  <c r="M241" i="6"/>
  <c r="M240" i="6"/>
  <c r="M239" i="6"/>
  <c r="M238" i="6"/>
  <c r="M237" i="6"/>
  <c r="M236" i="6"/>
  <c r="M235" i="6"/>
  <c r="M234" i="6"/>
  <c r="M233" i="6"/>
  <c r="M232" i="6"/>
  <c r="M231" i="6"/>
  <c r="M230" i="6"/>
  <c r="M229" i="6"/>
  <c r="M228" i="6"/>
  <c r="M227" i="6"/>
  <c r="M226" i="6"/>
  <c r="M225" i="6"/>
  <c r="M224" i="6"/>
  <c r="M223" i="6"/>
  <c r="M222" i="6"/>
  <c r="M221" i="6"/>
  <c r="M220" i="6"/>
  <c r="M219" i="6"/>
  <c r="M218" i="6"/>
  <c r="M217" i="6"/>
  <c r="M216" i="6"/>
  <c r="M215" i="6"/>
  <c r="M214" i="6"/>
  <c r="M213" i="6"/>
  <c r="M212" i="6"/>
  <c r="M211" i="6"/>
  <c r="M210" i="6"/>
  <c r="M209" i="6"/>
  <c r="M208" i="6"/>
  <c r="M207" i="6"/>
  <c r="M206" i="6"/>
  <c r="M205" i="6"/>
  <c r="M204" i="6"/>
  <c r="M203" i="6"/>
  <c r="M202" i="6"/>
  <c r="M201" i="6"/>
  <c r="M200" i="6"/>
  <c r="M199" i="6"/>
  <c r="M198" i="6"/>
  <c r="M197" i="6"/>
  <c r="M196" i="6"/>
  <c r="M195" i="6"/>
  <c r="M194" i="6"/>
  <c r="M193" i="6"/>
  <c r="M192" i="6"/>
  <c r="M191" i="6"/>
  <c r="M190" i="6"/>
  <c r="M189" i="6"/>
  <c r="M188" i="6"/>
  <c r="M187" i="6"/>
  <c r="M186" i="6"/>
  <c r="M185" i="6"/>
  <c r="M184" i="6"/>
  <c r="M183" i="6"/>
  <c r="M182" i="6"/>
  <c r="M181" i="6"/>
  <c r="M180" i="6"/>
  <c r="M179" i="6"/>
  <c r="M178" i="6"/>
  <c r="M177" i="6"/>
  <c r="M176" i="6"/>
  <c r="M175" i="6"/>
  <c r="M174" i="6"/>
  <c r="M173" i="6"/>
  <c r="M172" i="6"/>
  <c r="M171" i="6"/>
  <c r="M170" i="6"/>
  <c r="M169" i="6"/>
  <c r="M168" i="6"/>
  <c r="M167" i="6"/>
  <c r="M166" i="6"/>
  <c r="M165" i="6"/>
  <c r="M164" i="6"/>
  <c r="M163" i="6"/>
  <c r="M162" i="6"/>
  <c r="M161" i="6"/>
  <c r="M160" i="6"/>
  <c r="M159" i="6"/>
  <c r="M158" i="6"/>
  <c r="M157" i="6"/>
  <c r="M156" i="6"/>
  <c r="M155" i="6"/>
  <c r="M154" i="6"/>
  <c r="M153" i="6"/>
  <c r="M152" i="6"/>
  <c r="M151" i="6"/>
  <c r="M150" i="6"/>
  <c r="M149" i="6"/>
  <c r="M148" i="6"/>
  <c r="M147" i="6"/>
  <c r="M146" i="6"/>
  <c r="M145" i="6"/>
  <c r="M144" i="6"/>
  <c r="M143" i="6"/>
  <c r="M142" i="6"/>
  <c r="M141" i="6"/>
  <c r="M140" i="6"/>
  <c r="M139" i="6"/>
  <c r="M138" i="6"/>
  <c r="M137" i="6"/>
  <c r="M136" i="6"/>
  <c r="M135" i="6"/>
  <c r="M134" i="6"/>
  <c r="M133" i="6"/>
  <c r="M132" i="6"/>
  <c r="M131" i="6"/>
  <c r="M130" i="6"/>
  <c r="M129" i="6"/>
  <c r="M128" i="6"/>
  <c r="M127" i="6"/>
  <c r="M126" i="6"/>
  <c r="M125" i="6"/>
  <c r="M124" i="6"/>
  <c r="M123" i="6"/>
  <c r="M122" i="6"/>
  <c r="M121" i="6"/>
  <c r="M120" i="6"/>
  <c r="M119" i="6"/>
  <c r="M118" i="6"/>
  <c r="M117" i="6"/>
  <c r="M116" i="6"/>
  <c r="M115" i="6"/>
  <c r="M114" i="6"/>
  <c r="M113" i="6"/>
  <c r="M112" i="6"/>
  <c r="M111" i="6"/>
  <c r="M110" i="6"/>
  <c r="M109" i="6"/>
  <c r="M108" i="6"/>
  <c r="M107" i="6"/>
  <c r="M106" i="6"/>
  <c r="M105" i="6"/>
  <c r="M104" i="6"/>
  <c r="M103" i="6"/>
  <c r="M102" i="6"/>
  <c r="M101" i="6"/>
  <c r="M100" i="6"/>
  <c r="M99" i="6"/>
  <c r="M98" i="6"/>
  <c r="M97" i="6"/>
  <c r="M96" i="6"/>
  <c r="M95" i="6"/>
  <c r="M94" i="6"/>
  <c r="M93" i="6"/>
  <c r="M92" i="6"/>
  <c r="M91" i="6"/>
  <c r="M90" i="6"/>
  <c r="M89" i="6"/>
  <c r="M88" i="6"/>
  <c r="M87" i="6"/>
  <c r="M86" i="6"/>
  <c r="M85" i="6"/>
  <c r="M84" i="6"/>
  <c r="M83" i="6"/>
  <c r="M82" i="6"/>
  <c r="M81" i="6"/>
  <c r="M80" i="6"/>
  <c r="M79" i="6"/>
  <c r="M78" i="6"/>
  <c r="M77" i="6"/>
  <c r="M76" i="6"/>
  <c r="M75" i="6"/>
  <c r="M74" i="6"/>
  <c r="M73" i="6"/>
  <c r="M72" i="6"/>
  <c r="M71" i="6"/>
  <c r="M70" i="6"/>
  <c r="M69" i="6"/>
  <c r="M68" i="6"/>
  <c r="M67" i="6"/>
  <c r="M66" i="6"/>
  <c r="M65" i="6"/>
  <c r="M64" i="6"/>
  <c r="M63" i="6"/>
  <c r="M62" i="6"/>
  <c r="M61" i="6"/>
  <c r="M60" i="6"/>
  <c r="M59" i="6"/>
  <c r="M58" i="6"/>
  <c r="M57" i="6"/>
  <c r="M56" i="6"/>
  <c r="M55" i="6"/>
  <c r="M54" i="6"/>
  <c r="M53" i="6"/>
  <c r="M52" i="6"/>
  <c r="M51" i="6"/>
  <c r="M50" i="6"/>
  <c r="M49" i="6"/>
  <c r="M48" i="6"/>
  <c r="M47" i="6"/>
  <c r="M46" i="6"/>
  <c r="M45" i="6"/>
  <c r="M44" i="6"/>
  <c r="M43" i="6"/>
  <c r="M42" i="6"/>
  <c r="M41" i="6"/>
  <c r="M40" i="6"/>
  <c r="M39" i="6"/>
  <c r="M38" i="6"/>
  <c r="M37" i="6"/>
  <c r="M36" i="6"/>
  <c r="M35" i="6"/>
  <c r="M34" i="6"/>
  <c r="M33" i="6"/>
  <c r="M32" i="6"/>
  <c r="M31" i="6"/>
  <c r="M30" i="6"/>
  <c r="M29" i="6"/>
  <c r="M28" i="6"/>
  <c r="M27" i="6"/>
  <c r="M26" i="6"/>
  <c r="M25" i="6"/>
  <c r="M24" i="6"/>
  <c r="M23" i="6"/>
  <c r="M22" i="6"/>
  <c r="M21" i="6"/>
  <c r="M20" i="6"/>
  <c r="M19" i="6"/>
  <c r="M18" i="6"/>
  <c r="M17" i="6"/>
  <c r="M16" i="6"/>
  <c r="M15" i="6"/>
  <c r="M14" i="6"/>
  <c r="M13" i="6"/>
  <c r="M12" i="6"/>
  <c r="M11" i="6"/>
  <c r="M10" i="6"/>
  <c r="M9" i="6"/>
  <c r="M406" i="5"/>
  <c r="M405" i="5"/>
  <c r="M404" i="5"/>
  <c r="M403" i="5"/>
  <c r="M402" i="5"/>
  <c r="M401" i="5"/>
  <c r="M400" i="5"/>
  <c r="M399" i="5"/>
  <c r="M398" i="5"/>
  <c r="M397" i="5"/>
  <c r="M396" i="5"/>
  <c r="M395" i="5"/>
  <c r="M394" i="5"/>
  <c r="M393" i="5"/>
  <c r="M392" i="5"/>
  <c r="M391" i="5"/>
  <c r="M390" i="5"/>
  <c r="M389" i="5"/>
  <c r="M388" i="5"/>
  <c r="M387" i="5"/>
  <c r="M386" i="5"/>
  <c r="M385" i="5"/>
  <c r="M384" i="5"/>
  <c r="M383" i="5"/>
  <c r="M382" i="5"/>
  <c r="M381" i="5"/>
  <c r="M380" i="5"/>
  <c r="M379" i="5"/>
  <c r="M378" i="5"/>
  <c r="M377" i="5"/>
  <c r="M376" i="5"/>
  <c r="M375" i="5"/>
  <c r="M374" i="5"/>
  <c r="M373" i="5"/>
  <c r="M372" i="5"/>
  <c r="M371" i="5"/>
  <c r="M370" i="5"/>
  <c r="M369" i="5"/>
  <c r="M368" i="5"/>
  <c r="M367" i="5"/>
  <c r="M366" i="5"/>
  <c r="M365" i="5"/>
  <c r="M364" i="5"/>
  <c r="M363" i="5"/>
  <c r="M362" i="5"/>
  <c r="M361" i="5"/>
  <c r="M360" i="5"/>
  <c r="M359" i="5"/>
  <c r="M358" i="5"/>
  <c r="M357" i="5"/>
  <c r="M356" i="5"/>
  <c r="M355" i="5"/>
  <c r="M354" i="5"/>
  <c r="M353" i="5"/>
  <c r="M352" i="5"/>
  <c r="M351" i="5"/>
  <c r="M350" i="5"/>
  <c r="M349" i="5"/>
  <c r="M348" i="5"/>
  <c r="M347" i="5"/>
  <c r="M346" i="5"/>
  <c r="M345" i="5"/>
  <c r="M344" i="5"/>
  <c r="M343" i="5"/>
  <c r="M342" i="5"/>
  <c r="M341" i="5"/>
  <c r="M340" i="5"/>
  <c r="M339" i="5"/>
  <c r="M338" i="5"/>
  <c r="M337" i="5"/>
  <c r="M336" i="5"/>
  <c r="M335" i="5"/>
  <c r="M334" i="5"/>
  <c r="M333" i="5"/>
  <c r="M332" i="5"/>
  <c r="M331" i="5"/>
  <c r="M330" i="5"/>
  <c r="M329" i="5"/>
  <c r="M328" i="5"/>
  <c r="M327" i="5"/>
  <c r="M326" i="5"/>
  <c r="M325" i="5"/>
  <c r="M324" i="5"/>
  <c r="M323" i="5"/>
  <c r="M322" i="5"/>
  <c r="M321" i="5"/>
  <c r="M320" i="5"/>
  <c r="M319" i="5"/>
  <c r="M318" i="5"/>
  <c r="M317" i="5"/>
  <c r="M316" i="5"/>
  <c r="M315" i="5"/>
  <c r="M314" i="5"/>
  <c r="M313" i="5"/>
  <c r="M312" i="5"/>
  <c r="M311" i="5"/>
  <c r="M310" i="5"/>
  <c r="M309" i="5"/>
  <c r="M308" i="5"/>
  <c r="M307" i="5"/>
  <c r="M306" i="5"/>
  <c r="M305" i="5"/>
  <c r="M304" i="5"/>
  <c r="M303" i="5"/>
  <c r="M302" i="5"/>
  <c r="M301" i="5"/>
  <c r="M300" i="5"/>
  <c r="M299" i="5"/>
  <c r="M298" i="5"/>
  <c r="M297" i="5"/>
  <c r="M296" i="5"/>
  <c r="M295" i="5"/>
  <c r="M294" i="5"/>
  <c r="M293" i="5"/>
  <c r="M292" i="5"/>
  <c r="M291" i="5"/>
  <c r="M290" i="5"/>
  <c r="M289" i="5"/>
  <c r="M288" i="5"/>
  <c r="M287" i="5"/>
  <c r="M286" i="5"/>
  <c r="M285" i="5"/>
  <c r="M284" i="5"/>
  <c r="M283" i="5"/>
  <c r="M282" i="5"/>
  <c r="M281" i="5"/>
  <c r="M280" i="5"/>
  <c r="M279" i="5"/>
  <c r="M278" i="5"/>
  <c r="M277" i="5"/>
  <c r="M276" i="5"/>
  <c r="M275" i="5"/>
  <c r="M274" i="5"/>
  <c r="M273" i="5"/>
  <c r="M272" i="5"/>
  <c r="M271" i="5"/>
  <c r="M270" i="5"/>
  <c r="M269" i="5"/>
  <c r="M268" i="5"/>
  <c r="M267" i="5"/>
  <c r="M266" i="5"/>
  <c r="M265" i="5"/>
  <c r="M264" i="5"/>
  <c r="M263" i="5"/>
  <c r="M262" i="5"/>
  <c r="M261" i="5"/>
  <c r="M260" i="5"/>
  <c r="M259" i="5"/>
  <c r="M258" i="5"/>
  <c r="M257" i="5"/>
  <c r="M256" i="5"/>
  <c r="M255" i="5"/>
  <c r="M254" i="5"/>
  <c r="M253" i="5"/>
  <c r="M252" i="5"/>
  <c r="M251" i="5"/>
  <c r="M250" i="5"/>
  <c r="M249" i="5"/>
  <c r="M248" i="5"/>
  <c r="M247" i="5"/>
  <c r="M246" i="5"/>
  <c r="M245" i="5"/>
  <c r="M244" i="5"/>
  <c r="M243" i="5"/>
  <c r="M242" i="5"/>
  <c r="M241" i="5"/>
  <c r="M240" i="5"/>
  <c r="M239" i="5"/>
  <c r="M238" i="5"/>
  <c r="M237" i="5"/>
  <c r="M236" i="5"/>
  <c r="M235" i="5"/>
  <c r="M234" i="5"/>
  <c r="M233" i="5"/>
  <c r="M232" i="5"/>
  <c r="M231" i="5"/>
  <c r="M230" i="5"/>
  <c r="M229" i="5"/>
  <c r="M228" i="5"/>
  <c r="M227" i="5"/>
  <c r="M226" i="5"/>
  <c r="M225" i="5"/>
  <c r="M224" i="5"/>
  <c r="M223" i="5"/>
  <c r="M222" i="5"/>
  <c r="M221" i="5"/>
  <c r="M220" i="5"/>
  <c r="M219" i="5"/>
  <c r="M218" i="5"/>
  <c r="M217" i="5"/>
  <c r="M216" i="5"/>
  <c r="M215" i="5"/>
  <c r="M214" i="5"/>
  <c r="M213" i="5"/>
  <c r="M212" i="5"/>
  <c r="M211" i="5"/>
  <c r="M210" i="5"/>
  <c r="M209" i="5"/>
  <c r="M208" i="5"/>
  <c r="M207" i="5"/>
  <c r="M206" i="5"/>
  <c r="M205" i="5"/>
  <c r="M204" i="5"/>
  <c r="M203" i="5"/>
  <c r="M202" i="5"/>
  <c r="M201" i="5"/>
  <c r="M200" i="5"/>
  <c r="M199" i="5"/>
  <c r="M198" i="5"/>
  <c r="M197" i="5"/>
  <c r="M196" i="5"/>
  <c r="M195" i="5"/>
  <c r="M194" i="5"/>
  <c r="M193" i="5"/>
  <c r="M192" i="5"/>
  <c r="M191" i="5"/>
  <c r="M190" i="5"/>
  <c r="M189" i="5"/>
  <c r="M188" i="5"/>
  <c r="M187" i="5"/>
  <c r="M186" i="5"/>
  <c r="M185" i="5"/>
  <c r="M184" i="5"/>
  <c r="M183" i="5"/>
  <c r="M182" i="5"/>
  <c r="M181" i="5"/>
  <c r="M180" i="5"/>
  <c r="M179" i="5"/>
  <c r="M178" i="5"/>
  <c r="M177" i="5"/>
  <c r="M176" i="5"/>
  <c r="M175" i="5"/>
  <c r="M174" i="5"/>
  <c r="M173" i="5"/>
  <c r="M172" i="5"/>
  <c r="M171" i="5"/>
  <c r="M170" i="5"/>
  <c r="M169" i="5"/>
  <c r="M168" i="5"/>
  <c r="M167" i="5"/>
  <c r="M166" i="5"/>
  <c r="M165" i="5"/>
  <c r="M164" i="5"/>
  <c r="M163" i="5"/>
  <c r="M162" i="5"/>
  <c r="M161" i="5"/>
  <c r="M160" i="5"/>
  <c r="M159" i="5"/>
  <c r="M158" i="5"/>
  <c r="M157" i="5"/>
  <c r="M156" i="5"/>
  <c r="M155" i="5"/>
  <c r="M154" i="5"/>
  <c r="M153" i="5"/>
  <c r="M152" i="5"/>
  <c r="M151" i="5"/>
  <c r="M150" i="5"/>
  <c r="M149" i="5"/>
  <c r="M148" i="5"/>
  <c r="M147" i="5"/>
  <c r="M146" i="5"/>
  <c r="M145" i="5"/>
  <c r="M144" i="5"/>
  <c r="M143" i="5"/>
  <c r="M142" i="5"/>
  <c r="M141" i="5"/>
  <c r="M140" i="5"/>
  <c r="M139" i="5"/>
  <c r="M138" i="5"/>
  <c r="M137" i="5"/>
  <c r="M136" i="5"/>
  <c r="M135" i="5"/>
  <c r="M134" i="5"/>
  <c r="M133" i="5"/>
  <c r="M132" i="5"/>
  <c r="M131" i="5"/>
  <c r="M130" i="5"/>
  <c r="M129" i="5"/>
  <c r="M128" i="5"/>
  <c r="M127" i="5"/>
  <c r="M126" i="5"/>
  <c r="M125" i="5"/>
  <c r="M124" i="5"/>
  <c r="M123" i="5"/>
  <c r="M122" i="5"/>
  <c r="M121" i="5"/>
  <c r="M120" i="5"/>
  <c r="M119" i="5"/>
  <c r="M118" i="5"/>
  <c r="M117" i="5"/>
  <c r="M116" i="5"/>
  <c r="M115" i="5"/>
  <c r="M114" i="5"/>
  <c r="M113" i="5"/>
  <c r="M112" i="5"/>
  <c r="M111" i="5"/>
  <c r="M110" i="5"/>
  <c r="M109" i="5"/>
  <c r="M108" i="5"/>
  <c r="M107" i="5"/>
  <c r="M106" i="5"/>
  <c r="M105" i="5"/>
  <c r="M104" i="5"/>
  <c r="M103" i="5"/>
  <c r="M102" i="5"/>
  <c r="M101" i="5"/>
  <c r="M100" i="5"/>
  <c r="M99" i="5"/>
  <c r="M98" i="5"/>
  <c r="M97" i="5"/>
  <c r="M96" i="5"/>
  <c r="M95" i="5"/>
  <c r="M94" i="5"/>
  <c r="M93" i="5"/>
  <c r="M92" i="5"/>
  <c r="M91" i="5"/>
  <c r="M90" i="5"/>
  <c r="M89" i="5"/>
  <c r="M88" i="5"/>
  <c r="M87" i="5"/>
  <c r="M86" i="5"/>
  <c r="M85" i="5"/>
  <c r="M84" i="5"/>
  <c r="M83" i="5"/>
  <c r="M82" i="5"/>
  <c r="M81" i="5"/>
  <c r="M80" i="5"/>
  <c r="M79" i="5"/>
  <c r="M78" i="5"/>
  <c r="M77" i="5"/>
  <c r="M76" i="5"/>
  <c r="M75" i="5"/>
  <c r="M74" i="5"/>
  <c r="M73" i="5"/>
  <c r="M72" i="5"/>
  <c r="M71" i="5"/>
  <c r="M70" i="5"/>
  <c r="M69" i="5"/>
  <c r="M68" i="5"/>
  <c r="M67" i="5"/>
  <c r="M66" i="5"/>
  <c r="M65" i="5"/>
  <c r="M64" i="5"/>
  <c r="M63" i="5"/>
  <c r="M62" i="5"/>
  <c r="M61" i="5"/>
  <c r="M60" i="5"/>
  <c r="M59" i="5"/>
  <c r="M58" i="5"/>
  <c r="M57" i="5"/>
  <c r="M56" i="5"/>
  <c r="M55" i="5"/>
  <c r="M54" i="5"/>
  <c r="M53" i="5"/>
  <c r="M52" i="5"/>
  <c r="M51" i="5"/>
  <c r="M50" i="5"/>
  <c r="M49" i="5"/>
  <c r="M48" i="5"/>
  <c r="M47" i="5"/>
  <c r="M46" i="5"/>
  <c r="M45" i="5"/>
  <c r="M44" i="5"/>
  <c r="M43" i="5"/>
  <c r="M42" i="5"/>
  <c r="M41" i="5"/>
  <c r="M40" i="5"/>
  <c r="M39" i="5"/>
  <c r="M38" i="5"/>
  <c r="M37" i="5"/>
  <c r="M36" i="5"/>
  <c r="M35" i="5"/>
  <c r="M34" i="5"/>
  <c r="M33" i="5"/>
  <c r="M32" i="5"/>
  <c r="M31" i="5"/>
  <c r="M30" i="5"/>
  <c r="M29" i="5"/>
  <c r="M28" i="5"/>
  <c r="M27" i="5"/>
  <c r="M26" i="5"/>
  <c r="M25" i="5"/>
  <c r="M24" i="5"/>
  <c r="M23" i="5"/>
  <c r="M22" i="5"/>
  <c r="M21" i="5"/>
  <c r="M20" i="5"/>
  <c r="M19" i="5"/>
  <c r="M18" i="5"/>
  <c r="M17" i="5"/>
  <c r="M16" i="5"/>
  <c r="M15" i="5"/>
  <c r="M14" i="5"/>
  <c r="M13" i="5"/>
  <c r="M12" i="5"/>
  <c r="M11" i="5"/>
  <c r="M10" i="5"/>
  <c r="L13" i="4"/>
  <c r="L12" i="4"/>
  <c r="L11" i="4"/>
  <c r="L10" i="4"/>
  <c r="L92" i="3"/>
  <c r="L91" i="3"/>
  <c r="L90" i="3"/>
  <c r="L89" i="3"/>
  <c r="L88" i="3"/>
  <c r="L87" i="3"/>
  <c r="L86" i="3"/>
  <c r="L85" i="3"/>
  <c r="L84" i="3"/>
  <c r="L83" i="3"/>
  <c r="L82" i="3"/>
  <c r="L81" i="3"/>
  <c r="L80" i="3"/>
  <c r="L79" i="3"/>
  <c r="L78" i="3"/>
  <c r="L77" i="3"/>
  <c r="L76" i="3"/>
  <c r="L75" i="3"/>
  <c r="L74" i="3"/>
  <c r="L73" i="3"/>
  <c r="L72" i="3"/>
  <c r="L71" i="3"/>
  <c r="L70" i="3"/>
  <c r="L69" i="3"/>
  <c r="L68" i="3"/>
  <c r="L67" i="3"/>
  <c r="L66" i="3"/>
  <c r="L65" i="3"/>
  <c r="L64" i="3"/>
  <c r="L63" i="3"/>
  <c r="L62" i="3"/>
  <c r="L61" i="3"/>
  <c r="L60" i="3"/>
  <c r="L59" i="3"/>
  <c r="L58" i="3"/>
  <c r="L57" i="3"/>
  <c r="L56" i="3"/>
  <c r="L55" i="3"/>
  <c r="L54" i="3"/>
  <c r="L53" i="3"/>
  <c r="L52" i="3"/>
  <c r="L51" i="3"/>
  <c r="L50" i="3"/>
  <c r="L49" i="3"/>
  <c r="L48" i="3"/>
  <c r="L47" i="3"/>
  <c r="L46" i="3"/>
  <c r="L45" i="3"/>
  <c r="L44" i="3"/>
  <c r="L43" i="3"/>
  <c r="L42" i="3"/>
  <c r="L41" i="3"/>
  <c r="L40" i="3"/>
  <c r="L39" i="3"/>
  <c r="L38" i="3"/>
  <c r="L37" i="3"/>
  <c r="L36" i="3"/>
  <c r="L35" i="3"/>
  <c r="L34" i="3"/>
  <c r="L33" i="3"/>
  <c r="L32" i="3"/>
  <c r="L31" i="3"/>
  <c r="L30" i="3"/>
  <c r="L29" i="3"/>
  <c r="L28" i="3"/>
  <c r="L27" i="3"/>
  <c r="L26" i="3"/>
  <c r="L25" i="3"/>
  <c r="L24" i="3"/>
  <c r="L23" i="3"/>
  <c r="L22" i="3"/>
  <c r="L21" i="3"/>
  <c r="L20" i="3"/>
  <c r="L19" i="3"/>
  <c r="L18" i="3"/>
  <c r="L17" i="3"/>
  <c r="L16" i="3"/>
  <c r="L15" i="3"/>
  <c r="L14" i="3"/>
  <c r="L13" i="3"/>
  <c r="L12" i="3"/>
  <c r="L11" i="3"/>
  <c r="L10" i="3"/>
  <c r="L9" i="3"/>
  <c r="L301" i="2"/>
  <c r="L300" i="2"/>
  <c r="L299" i="2"/>
  <c r="L298" i="2"/>
  <c r="L297" i="2"/>
  <c r="L296" i="2"/>
  <c r="L295" i="2"/>
  <c r="L294" i="2"/>
  <c r="L293" i="2"/>
  <c r="L292" i="2"/>
  <c r="L291" i="2"/>
  <c r="L290" i="2"/>
  <c r="L289" i="2"/>
  <c r="L288" i="2"/>
  <c r="L287" i="2"/>
  <c r="L286" i="2"/>
  <c r="L285" i="2"/>
  <c r="L284" i="2"/>
  <c r="L283" i="2"/>
  <c r="L282" i="2"/>
  <c r="L281" i="2"/>
  <c r="L280" i="2"/>
  <c r="L279" i="2"/>
  <c r="L278" i="2"/>
  <c r="L277" i="2"/>
  <c r="L276" i="2"/>
  <c r="L275" i="2"/>
  <c r="L274" i="2"/>
  <c r="L273" i="2"/>
  <c r="L272" i="2"/>
  <c r="L271" i="2"/>
  <c r="L270" i="2"/>
  <c r="L269" i="2"/>
  <c r="L268" i="2"/>
  <c r="L267" i="2"/>
  <c r="L266" i="2"/>
  <c r="L265" i="2"/>
  <c r="L264" i="2"/>
  <c r="L263" i="2"/>
  <c r="L262" i="2"/>
  <c r="L261" i="2"/>
  <c r="L260" i="2"/>
  <c r="L259" i="2"/>
  <c r="L258" i="2"/>
  <c r="L257" i="2"/>
  <c r="L256" i="2"/>
  <c r="L255" i="2"/>
  <c r="L254" i="2"/>
  <c r="L253" i="2"/>
  <c r="L252" i="2"/>
  <c r="L251" i="2"/>
  <c r="L250" i="2"/>
  <c r="L249" i="2"/>
  <c r="L248" i="2"/>
  <c r="L247" i="2"/>
  <c r="L246" i="2"/>
  <c r="L245" i="2"/>
  <c r="L244" i="2"/>
  <c r="L243" i="2"/>
  <c r="L242" i="2"/>
  <c r="L241" i="2"/>
  <c r="L240" i="2"/>
  <c r="L239" i="2"/>
  <c r="L238" i="2"/>
  <c r="L237" i="2"/>
  <c r="L236" i="2"/>
  <c r="L235" i="2"/>
  <c r="L234" i="2"/>
  <c r="L233" i="2"/>
  <c r="L232" i="2"/>
  <c r="L231" i="2"/>
  <c r="L230" i="2"/>
  <c r="L229" i="2"/>
  <c r="L228" i="2"/>
  <c r="L227" i="2"/>
  <c r="L226" i="2"/>
  <c r="L225" i="2"/>
  <c r="L224" i="2"/>
  <c r="L223" i="2"/>
  <c r="L222" i="2"/>
  <c r="L221" i="2"/>
  <c r="L220" i="2"/>
  <c r="L219" i="2"/>
  <c r="L218" i="2"/>
  <c r="L217" i="2"/>
  <c r="L216" i="2"/>
  <c r="L215" i="2"/>
  <c r="L214" i="2"/>
  <c r="L213" i="2"/>
  <c r="L212" i="2"/>
  <c r="L211" i="2"/>
  <c r="L210" i="2"/>
  <c r="L209" i="2"/>
  <c r="L208" i="2"/>
  <c r="L207" i="2"/>
  <c r="L206" i="2"/>
  <c r="L205" i="2"/>
  <c r="L204" i="2"/>
  <c r="L203" i="2"/>
  <c r="L202" i="2"/>
  <c r="L201" i="2"/>
  <c r="L200" i="2"/>
  <c r="L199" i="2"/>
  <c r="L198" i="2"/>
  <c r="L197" i="2"/>
  <c r="L196" i="2"/>
  <c r="L195" i="2"/>
  <c r="L194" i="2"/>
  <c r="L193" i="2"/>
  <c r="L192" i="2"/>
  <c r="L191" i="2"/>
  <c r="L190" i="2"/>
  <c r="L189" i="2"/>
  <c r="L188" i="2"/>
  <c r="L187" i="2"/>
  <c r="L186" i="2"/>
  <c r="L185" i="2"/>
  <c r="L184" i="2"/>
  <c r="L183" i="2"/>
  <c r="L182" i="2"/>
  <c r="L181" i="2"/>
  <c r="L180" i="2"/>
  <c r="L179" i="2"/>
  <c r="L178" i="2"/>
  <c r="L177" i="2"/>
  <c r="L176" i="2"/>
  <c r="L175" i="2"/>
  <c r="L174" i="2"/>
  <c r="L173" i="2"/>
  <c r="L172" i="2"/>
  <c r="L171" i="2"/>
  <c r="L170" i="2"/>
  <c r="L169" i="2"/>
  <c r="L168" i="2"/>
  <c r="L167" i="2"/>
  <c r="L166" i="2"/>
  <c r="L165" i="2"/>
  <c r="L164" i="2"/>
  <c r="L163" i="2"/>
  <c r="L162" i="2"/>
  <c r="L161" i="2"/>
  <c r="L160" i="2"/>
  <c r="L159" i="2"/>
  <c r="L158" i="2"/>
  <c r="L157" i="2"/>
  <c r="L156" i="2"/>
  <c r="L155" i="2"/>
  <c r="L154" i="2"/>
  <c r="L153" i="2"/>
  <c r="L152" i="2"/>
  <c r="L151" i="2"/>
  <c r="L150" i="2"/>
  <c r="L149" i="2"/>
  <c r="L148" i="2"/>
  <c r="L147" i="2"/>
  <c r="L146" i="2"/>
  <c r="L145" i="2"/>
  <c r="L144" i="2"/>
  <c r="L143" i="2"/>
  <c r="L142" i="2"/>
  <c r="L141" i="2"/>
  <c r="L140" i="2"/>
  <c r="L139" i="2"/>
  <c r="L138" i="2"/>
  <c r="L137" i="2"/>
  <c r="L136" i="2"/>
  <c r="L135" i="2"/>
  <c r="L134" i="2"/>
  <c r="L133" i="2"/>
  <c r="L132" i="2"/>
  <c r="L131" i="2"/>
  <c r="L130" i="2"/>
  <c r="L129" i="2"/>
  <c r="L128" i="2"/>
  <c r="L127" i="2"/>
  <c r="L126" i="2"/>
  <c r="L125" i="2"/>
  <c r="L124" i="2"/>
  <c r="L123" i="2"/>
  <c r="L122" i="2"/>
  <c r="L121" i="2"/>
  <c r="L120" i="2"/>
  <c r="L119" i="2"/>
  <c r="L118" i="2"/>
  <c r="L117" i="2"/>
  <c r="L116" i="2"/>
  <c r="L115" i="2"/>
  <c r="L114" i="2"/>
  <c r="L113" i="2"/>
  <c r="L112" i="2"/>
  <c r="L111" i="2"/>
  <c r="L110" i="2"/>
  <c r="L109" i="2"/>
  <c r="L108" i="2"/>
  <c r="L107" i="2"/>
  <c r="L106" i="2"/>
  <c r="L105" i="2"/>
  <c r="L104" i="2"/>
  <c r="L103" i="2"/>
  <c r="L102" i="2"/>
  <c r="L101" i="2"/>
  <c r="L100" i="2"/>
  <c r="L99" i="2"/>
  <c r="L98" i="2"/>
  <c r="L97" i="2"/>
  <c r="L96" i="2"/>
  <c r="L95" i="2"/>
  <c r="L94" i="2"/>
  <c r="L93" i="2"/>
  <c r="L92" i="2"/>
  <c r="L91" i="2"/>
  <c r="L90" i="2"/>
  <c r="L89" i="2"/>
  <c r="L88" i="2"/>
  <c r="L87" i="2"/>
  <c r="L86" i="2"/>
  <c r="L85" i="2"/>
  <c r="L84" i="2"/>
  <c r="L83" i="2"/>
  <c r="L82" i="2"/>
  <c r="L81" i="2"/>
  <c r="L80" i="2"/>
  <c r="L79" i="2"/>
  <c r="L78" i="2"/>
  <c r="L77" i="2"/>
  <c r="L76" i="2"/>
  <c r="L75" i="2"/>
  <c r="L74" i="2"/>
  <c r="L73" i="2"/>
  <c r="L72" i="2"/>
  <c r="L71" i="2"/>
  <c r="L70" i="2"/>
  <c r="L69" i="2"/>
  <c r="L68" i="2"/>
  <c r="L67" i="2"/>
  <c r="L66" i="2"/>
  <c r="L65" i="2"/>
  <c r="L64" i="2"/>
  <c r="L63" i="2"/>
  <c r="L62" i="2"/>
  <c r="L61" i="2"/>
  <c r="L60" i="2"/>
  <c r="L59" i="2"/>
  <c r="L58" i="2"/>
  <c r="L57" i="2"/>
  <c r="L56" i="2"/>
  <c r="L55" i="2"/>
  <c r="L54" i="2"/>
  <c r="L53" i="2"/>
  <c r="L52" i="2"/>
  <c r="L51" i="2"/>
  <c r="L50" i="2"/>
  <c r="L49" i="2"/>
  <c r="L48" i="2"/>
  <c r="L47" i="2"/>
  <c r="L46" i="2"/>
  <c r="L45" i="2"/>
  <c r="L44" i="2"/>
  <c r="L43" i="2"/>
  <c r="L42" i="2"/>
  <c r="L41" i="2"/>
  <c r="L40" i="2"/>
  <c r="L39" i="2"/>
  <c r="L38" i="2"/>
  <c r="L37" i="2"/>
  <c r="L36" i="2"/>
  <c r="L35" i="2"/>
  <c r="L34" i="2"/>
  <c r="L33" i="2"/>
  <c r="L32" i="2"/>
  <c r="L31" i="2"/>
  <c r="L30" i="2"/>
  <c r="L29" i="2"/>
  <c r="L28" i="2"/>
  <c r="L27" i="2"/>
  <c r="L26" i="2"/>
  <c r="L25" i="2"/>
  <c r="L24" i="2"/>
  <c r="L23" i="2"/>
  <c r="L22" i="2"/>
  <c r="L21" i="2"/>
  <c r="L20" i="2"/>
  <c r="L19" i="2"/>
  <c r="L18" i="2"/>
  <c r="L17" i="2"/>
  <c r="L16" i="2"/>
  <c r="L15" i="2"/>
  <c r="L14" i="2"/>
  <c r="L13" i="2"/>
  <c r="L12" i="2"/>
  <c r="L11" i="2"/>
  <c r="L10" i="2"/>
  <c r="L9" i="2"/>
  <c r="M179" i="1"/>
  <c r="M178" i="1"/>
  <c r="M177" i="1"/>
  <c r="M176" i="1"/>
  <c r="M175" i="1"/>
  <c r="M174" i="1"/>
  <c r="M173" i="1"/>
  <c r="M172" i="1"/>
  <c r="M171" i="1"/>
  <c r="M170" i="1"/>
  <c r="M169" i="1"/>
  <c r="M168" i="1"/>
  <c r="M167" i="1"/>
  <c r="M166" i="1"/>
  <c r="M165" i="1"/>
  <c r="M164" i="1"/>
  <c r="M163" i="1"/>
  <c r="M162" i="1"/>
  <c r="M161" i="1"/>
  <c r="M160" i="1"/>
  <c r="M159" i="1"/>
  <c r="M158" i="1"/>
  <c r="M157" i="1"/>
  <c r="M156" i="1"/>
  <c r="M155" i="1"/>
  <c r="M154" i="1"/>
  <c r="M153" i="1"/>
  <c r="M152" i="1"/>
  <c r="M151" i="1"/>
  <c r="M150" i="1"/>
  <c r="M149" i="1"/>
  <c r="M148" i="1"/>
  <c r="M147" i="1"/>
  <c r="M146" i="1"/>
  <c r="M145" i="1"/>
  <c r="M144" i="1"/>
  <c r="M143" i="1"/>
  <c r="M142" i="1"/>
  <c r="M141" i="1"/>
  <c r="M140" i="1"/>
  <c r="M139" i="1"/>
  <c r="M138" i="1"/>
  <c r="M137" i="1"/>
  <c r="M136" i="1"/>
  <c r="M135" i="1"/>
  <c r="M134" i="1"/>
  <c r="M133" i="1"/>
  <c r="M132" i="1"/>
  <c r="M131" i="1"/>
  <c r="M130" i="1"/>
  <c r="M129" i="1"/>
  <c r="M128" i="1"/>
  <c r="M127" i="1"/>
  <c r="M126" i="1"/>
  <c r="M125" i="1"/>
  <c r="M124" i="1"/>
  <c r="M123" i="1"/>
  <c r="M122" i="1"/>
  <c r="M121" i="1"/>
  <c r="M120" i="1"/>
  <c r="M119" i="1"/>
  <c r="M118" i="1"/>
  <c r="M117" i="1"/>
  <c r="M116" i="1"/>
  <c r="M115" i="1"/>
  <c r="M114" i="1"/>
  <c r="M113" i="1"/>
  <c r="M112" i="1"/>
  <c r="M111" i="1"/>
  <c r="M110" i="1"/>
  <c r="M109" i="1"/>
  <c r="M108" i="1"/>
  <c r="M107" i="1"/>
  <c r="M106" i="1"/>
  <c r="M105" i="1"/>
  <c r="M104" i="1"/>
  <c r="M103" i="1"/>
  <c r="M102" i="1"/>
  <c r="M101" i="1"/>
  <c r="M100" i="1"/>
  <c r="M99" i="1"/>
  <c r="M98" i="1"/>
  <c r="M97" i="1"/>
  <c r="M96" i="1"/>
  <c r="M95" i="1"/>
  <c r="M94" i="1"/>
  <c r="M93" i="1"/>
  <c r="M92" i="1"/>
  <c r="M91" i="1"/>
  <c r="M90" i="1"/>
  <c r="M89" i="1"/>
  <c r="M88" i="1"/>
  <c r="M87" i="1"/>
  <c r="M86" i="1"/>
  <c r="M85" i="1"/>
  <c r="M84" i="1"/>
  <c r="M83" i="1"/>
  <c r="M82" i="1"/>
  <c r="M81" i="1"/>
  <c r="M80" i="1"/>
  <c r="M79" i="1"/>
  <c r="M78" i="1"/>
  <c r="M77" i="1"/>
  <c r="M76" i="1"/>
  <c r="M75" i="1"/>
  <c r="M74" i="1"/>
  <c r="L73" i="1"/>
  <c r="L72" i="1"/>
  <c r="L71" i="1"/>
  <c r="L70" i="1"/>
  <c r="L69" i="1"/>
  <c r="L68" i="1"/>
  <c r="L67" i="1"/>
  <c r="L66" i="1"/>
  <c r="L65" i="1"/>
  <c r="L64" i="1"/>
  <c r="L63" i="1"/>
  <c r="L62" i="1"/>
  <c r="L61" i="1"/>
  <c r="L60" i="1"/>
  <c r="L59" i="1"/>
  <c r="L58" i="1"/>
  <c r="L57" i="1"/>
  <c r="L56" i="1"/>
  <c r="L55" i="1"/>
  <c r="L54" i="1"/>
  <c r="L53" i="1"/>
  <c r="L52" i="1"/>
  <c r="L51" i="1"/>
  <c r="L50" i="1"/>
  <c r="L49" i="1"/>
  <c r="L48" i="1"/>
  <c r="L47" i="1"/>
  <c r="L46" i="1"/>
  <c r="L45" i="1"/>
  <c r="L44" i="1"/>
  <c r="L43" i="1"/>
  <c r="L42" i="1"/>
  <c r="L41" i="1"/>
  <c r="L40" i="1"/>
  <c r="L39" i="1"/>
  <c r="L38" i="1"/>
  <c r="L37" i="1"/>
  <c r="L36" i="1"/>
  <c r="L35" i="1"/>
  <c r="L34" i="1"/>
  <c r="L33" i="1"/>
  <c r="L32" i="1"/>
  <c r="L31" i="1"/>
  <c r="L30" i="1"/>
  <c r="L29" i="1"/>
  <c r="L28" i="1"/>
  <c r="L27" i="1"/>
  <c r="L26" i="1"/>
  <c r="L25" i="1"/>
  <c r="L24" i="1"/>
  <c r="L23" i="1"/>
  <c r="L22" i="1"/>
  <c r="L21" i="1"/>
  <c r="L20" i="1"/>
  <c r="L19" i="1"/>
  <c r="L18" i="1"/>
  <c r="L17" i="1"/>
  <c r="L16" i="1"/>
  <c r="L15" i="1"/>
  <c r="L14" i="1"/>
  <c r="L13" i="1"/>
  <c r="L12" i="1"/>
  <c r="L11" i="1"/>
  <c r="L10" i="1"/>
  <c r="L9" i="1"/>
</calcChain>
</file>

<file path=xl/sharedStrings.xml><?xml version="1.0" encoding="utf-8"?>
<sst xmlns="http://schemas.openxmlformats.org/spreadsheetml/2006/main" count="105153" uniqueCount="14398">
  <si>
    <t>LOCATION</t>
  </si>
  <si>
    <t>LOT #</t>
  </si>
  <si>
    <t>CATEGORY</t>
  </si>
  <si>
    <t>RETURN TYPE</t>
  </si>
  <si>
    <t># OF PALLETS</t>
  </si>
  <si>
    <t># OF CARTONS</t>
  </si>
  <si>
    <t>WEIGHT</t>
  </si>
  <si>
    <t>TOTAL ORIGINAL COST</t>
  </si>
  <si>
    <t>TOTAL ORIGINAL RETAIL</t>
  </si>
  <si>
    <t># OF UNITS</t>
  </si>
  <si>
    <t xml:space="preserve"> FL</t>
  </si>
  <si>
    <t>CHILDRENS APPAREL &amp; ACCESSORIES</t>
  </si>
  <si>
    <t>STORE STOCK</t>
  </si>
  <si>
    <t>UPC</t>
  </si>
  <si>
    <t>ITEM DESCRIPTION</t>
  </si>
  <si>
    <t>ORIGINAL QTY</t>
  </si>
  <si>
    <t>ORIGINAL COST</t>
  </si>
  <si>
    <t>ORIGINAL RETAIL</t>
  </si>
  <si>
    <t>VENDOR / STYLE #</t>
  </si>
  <si>
    <t>COLOR</t>
  </si>
  <si>
    <t>SIZE</t>
  </si>
  <si>
    <t>DEPARTMENT NAME</t>
  </si>
  <si>
    <t>VENDOR NAME</t>
  </si>
  <si>
    <t>FABRIC CONTENT</t>
  </si>
  <si>
    <t>IMAGE</t>
  </si>
  <si>
    <t>882506835375</t>
  </si>
  <si>
    <t>SPORT COAT</t>
  </si>
  <si>
    <t>BNCO11SA0415</t>
  </si>
  <si>
    <t>NAVY</t>
  </si>
  <si>
    <t>10 REG/MED</t>
  </si>
  <si>
    <t>DRESSWEAR2-20</t>
  </si>
  <si>
    <t>LAUREN/PEERLESS CLOTHING</t>
  </si>
  <si>
    <t>POLYESTER/VISCOSE/ELASTANE</t>
  </si>
  <si>
    <t>882506828308</t>
  </si>
  <si>
    <t>JACKET</t>
  </si>
  <si>
    <t>BLAY11UA0060</t>
  </si>
  <si>
    <t>PINK</t>
  </si>
  <si>
    <t>16 REG/MED</t>
  </si>
  <si>
    <t>100% COTTON</t>
  </si>
  <si>
    <t>736576068297</t>
  </si>
  <si>
    <t>KP W BOYS LONG PANT SETBASIC</t>
  </si>
  <si>
    <t>WHITE</t>
  </si>
  <si>
    <t>24MOS</t>
  </si>
  <si>
    <t>LAYETTE</t>
  </si>
  <si>
    <t>LAUREN MADISON/HADDAD BROTHERS INC</t>
  </si>
  <si>
    <t>POLYESTER; SHIRT: POLYESTER/COTTON</t>
  </si>
  <si>
    <t>887407714170</t>
  </si>
  <si>
    <t>REAL DEAL SUEDE</t>
  </si>
  <si>
    <t>LT/PAS GRY</t>
  </si>
  <si>
    <t>3 M</t>
  </si>
  <si>
    <t>KIDS SHOES</t>
  </si>
  <si>
    <t>KENNETH COLE/SYNCLAIRE BRANDS</t>
  </si>
  <si>
    <t>NUBUCK LEATHER UPPER; RUBBER SOLE</t>
  </si>
  <si>
    <t>880680775715</t>
  </si>
  <si>
    <t>CARPENTER DENIM SHORT</t>
  </si>
  <si>
    <t>TBMCC024-100</t>
  </si>
  <si>
    <t>18</t>
  </si>
  <si>
    <t>TH BOYS 8-20</t>
  </si>
  <si>
    <t>TOMMY HILFIGER/KHQ INVESTMENTS LLC</t>
  </si>
  <si>
    <t>191539407863</t>
  </si>
  <si>
    <t>EMBROIDERED STARS</t>
  </si>
  <si>
    <t>B68604-DV</t>
  </si>
  <si>
    <t>BLACK</t>
  </si>
  <si>
    <t>6X</t>
  </si>
  <si>
    <t>GRLS 2-6X DRS</t>
  </si>
  <si>
    <t>BONNIE JEAN/GERSON &amp; GERSON</t>
  </si>
  <si>
    <t>SHELL: NYLON; LINING/NETTING/UNDERSKIRT &amp; CRINOLINE: POLYESTER</t>
  </si>
  <si>
    <t>191539407825</t>
  </si>
  <si>
    <t>3T SLIM</t>
  </si>
  <si>
    <t>191524499118</t>
  </si>
  <si>
    <t>3STRIPES DRESS</t>
  </si>
  <si>
    <t>DV2887</t>
  </si>
  <si>
    <t>SMALL S/S</t>
  </si>
  <si>
    <t>GIRLS ACTIVE</t>
  </si>
  <si>
    <t>ADIDAS AMERICA INC</t>
  </si>
  <si>
    <t>COTTON/ELASTANE</t>
  </si>
  <si>
    <t>191524655934</t>
  </si>
  <si>
    <t>SUPERSTAR PANTS</t>
  </si>
  <si>
    <t>DV2880</t>
  </si>
  <si>
    <t>BLUE</t>
  </si>
  <si>
    <t>2-20 ACTIVE</t>
  </si>
  <si>
    <t>RECYCLED POLYESTER</t>
  </si>
  <si>
    <t>191524655965</t>
  </si>
  <si>
    <t>193579337049</t>
  </si>
  <si>
    <t>CALVIN COLORBLOCK SHIRT</t>
  </si>
  <si>
    <t>TBFCB36F-405</t>
  </si>
  <si>
    <t>DARK BLUE</t>
  </si>
  <si>
    <t>COTTON</t>
  </si>
  <si>
    <t>191539481467</t>
  </si>
  <si>
    <t>HOUNDSTOOTH COAT DRESS</t>
  </si>
  <si>
    <t>X59310-CL</t>
  </si>
  <si>
    <t>18MOS</t>
  </si>
  <si>
    <t>GIRLS 3-24 MO</t>
  </si>
  <si>
    <t>DRESS BODICE: POLYESTER/SPANDEX; SKIRT/LINING: POLYESTER; COAT: POLYESTER/SPANDEX; COAT LINING: POLYESTER</t>
  </si>
  <si>
    <t>193579207243</t>
  </si>
  <si>
    <t>STANDARD SLIM PANT</t>
  </si>
  <si>
    <t>35H65202-01</t>
  </si>
  <si>
    <t>14</t>
  </si>
  <si>
    <t>BOYS STREETWR</t>
  </si>
  <si>
    <t>CALVIN KLEIN/KHQ INVESTMENT LLC</t>
  </si>
  <si>
    <t>COTTON/SPANDEX</t>
  </si>
  <si>
    <t>887407891017</t>
  </si>
  <si>
    <t>TRETORN NYLITE POM POM</t>
  </si>
  <si>
    <t>DARK PINK</t>
  </si>
  <si>
    <t>4 M</t>
  </si>
  <si>
    <t>MISC/SYNCLAIRE BRANDS</t>
  </si>
  <si>
    <t>887407916512</t>
  </si>
  <si>
    <t>GOLD</t>
  </si>
  <si>
    <t>5 M</t>
  </si>
  <si>
    <t>193579337155</t>
  </si>
  <si>
    <t>OLIVER LS SHIRT</t>
  </si>
  <si>
    <t>TBFCB41F-100</t>
  </si>
  <si>
    <t>193579294465</t>
  </si>
  <si>
    <t>FELIX POLO</t>
  </si>
  <si>
    <t>TBFCB27F-100</t>
  </si>
  <si>
    <t>622363876315</t>
  </si>
  <si>
    <t>TUXEDO SHIRT</t>
  </si>
  <si>
    <t>BSHLSSWA0000</t>
  </si>
  <si>
    <t>18 REG/MED</t>
  </si>
  <si>
    <t>COTTON/POLYESTER</t>
  </si>
  <si>
    <t>193585056279</t>
  </si>
  <si>
    <t>COLORBLOCK TRICOT J</t>
  </si>
  <si>
    <t>AP5460</t>
  </si>
  <si>
    <t>5</t>
  </si>
  <si>
    <t>ADIDAS 2-7/LOLLYTOGS LTD</t>
  </si>
  <si>
    <t>POLYESTER</t>
  </si>
  <si>
    <t>191539446633</t>
  </si>
  <si>
    <t>RED AND GOLD RIENDEER DR</t>
  </si>
  <si>
    <t>X59240-PS</t>
  </si>
  <si>
    <t>RED</t>
  </si>
  <si>
    <t>DRESS AND BOWS: POLYESTER/METALLIC; LINING: POLYESTER; DIAPER COVER: POLYESTER</t>
  </si>
  <si>
    <t>192042881232</t>
  </si>
  <si>
    <t>WINTER TRUCK SWEATER VES</t>
  </si>
  <si>
    <t>TFFCR16C-035</t>
  </si>
  <si>
    <t>MED GRAY</t>
  </si>
  <si>
    <t>BOYS 3-24 MON</t>
  </si>
  <si>
    <t>NAUTICA/F &amp; T APPAREL LLC</t>
  </si>
  <si>
    <t>VEST/PANTS: COTTON; SHIRT: COTTON/POLYESTER</t>
  </si>
  <si>
    <t>193579077242</t>
  </si>
  <si>
    <t>RUGBY STRIPE KNIT FLEECE</t>
  </si>
  <si>
    <t>35H55011-54</t>
  </si>
  <si>
    <t>633716829087</t>
  </si>
  <si>
    <t>GRIND MUSCLE SHORT SET</t>
  </si>
  <si>
    <t>855891G</t>
  </si>
  <si>
    <t>2T</t>
  </si>
  <si>
    <t>JORDAN 2-7/HADDAD APPAREL GROUP</t>
  </si>
  <si>
    <t>191539476135</t>
  </si>
  <si>
    <t>LUREX SWTR TO BROCAD</t>
  </si>
  <si>
    <t>X59649-PL</t>
  </si>
  <si>
    <t>3-6MOS</t>
  </si>
  <si>
    <t>BODICE: METALLIC/COTTON/POLYESTER; SKIRT: COTTON/POLYESTER/METALLIC; LINING/DIAPER COVER: POLYESTER</t>
  </si>
  <si>
    <t>192136233367</t>
  </si>
  <si>
    <t>COLLECTION 2 PLAID SET</t>
  </si>
  <si>
    <t>CARTER'S</t>
  </si>
  <si>
    <t>WILLIAM CARTER-BABY</t>
  </si>
  <si>
    <t>BODYSUIT/PANTS: COTTON; FAUX SUEDE: POLYESTER; SUSPENDERS: RAYON/POLYESTER/COTTON/ELASTIC</t>
  </si>
  <si>
    <t>193147926668</t>
  </si>
  <si>
    <t>G NK TROPHY TIGHT</t>
  </si>
  <si>
    <t>CI9940</t>
  </si>
  <si>
    <t>MED</t>
  </si>
  <si>
    <t>NIKE</t>
  </si>
  <si>
    <t>POLYESTER/SPANDEX; LINING: POLYESTER/SPANDEX</t>
  </si>
  <si>
    <t>617845362981</t>
  </si>
  <si>
    <t>FUTURA FRENCH TERRY FZ H</t>
  </si>
  <si>
    <t>8ME324G</t>
  </si>
  <si>
    <t>CHARCOAL</t>
  </si>
  <si>
    <t>7</t>
  </si>
  <si>
    <t>NIKE 2-7/HADDAD GROUP</t>
  </si>
  <si>
    <t>617846948443</t>
  </si>
  <si>
    <t>L52C HIGH RISE ANKLE STRA</t>
  </si>
  <si>
    <t>410237F</t>
  </si>
  <si>
    <t>LT/PASBLUE</t>
  </si>
  <si>
    <t>16</t>
  </si>
  <si>
    <t>2-16 BR SPRTS</t>
  </si>
  <si>
    <t>LEVI'S/HADDAD APPAREL-BIG</t>
  </si>
  <si>
    <t>COTTON/POLYESTER/VISCOSE/ELASTANE</t>
  </si>
  <si>
    <t>617846948429</t>
  </si>
  <si>
    <t>12</t>
  </si>
  <si>
    <t>617846948405</t>
  </si>
  <si>
    <t>8</t>
  </si>
  <si>
    <t>9328337409</t>
  </si>
  <si>
    <t>BLAZ LVG 710 RAYON SUPER</t>
  </si>
  <si>
    <t>414523F</t>
  </si>
  <si>
    <t>VISCOSE/POLYESTER/ELASTANE</t>
  </si>
  <si>
    <t>807746668552</t>
  </si>
  <si>
    <t>NAVY SWEATER DRESS WITH</t>
  </si>
  <si>
    <t>MAB15091</t>
  </si>
  <si>
    <t>BLUEBERI/BLUEBERRY BLVD LLC</t>
  </si>
  <si>
    <t>191539461438</t>
  </si>
  <si>
    <t>SEQUIN BODICE SANTA</t>
  </si>
  <si>
    <t>X59020-DL</t>
  </si>
  <si>
    <t>DRESS: POLYESTER/SPANDEX; FRONT BODICE/FAUX FUR/BAND/BOW/LINING: POLYESTER</t>
  </si>
  <si>
    <t>193147053050</t>
  </si>
  <si>
    <t>G NK DRY SHORT TEMPO</t>
  </si>
  <si>
    <t>BV2653</t>
  </si>
  <si>
    <t>MED PINK</t>
  </si>
  <si>
    <t>XL</t>
  </si>
  <si>
    <t>887346170150</t>
  </si>
  <si>
    <t>GOLD CHARLIE PANT BASIC</t>
  </si>
  <si>
    <t>T160018</t>
  </si>
  <si>
    <t>BEIGEKHAKI</t>
  </si>
  <si>
    <t>TOMMY SEPARATES/KHQ INVSTMNT BOYS</t>
  </si>
  <si>
    <t>885854040033</t>
  </si>
  <si>
    <t>30/1 BASIC JERSEY-SS CN-</t>
  </si>
  <si>
    <t>2-20 POLO FAS</t>
  </si>
  <si>
    <t>RL CHILDRENSWEAR/POLO RALPH LAUREN</t>
  </si>
  <si>
    <t>ALL COTTON</t>
  </si>
  <si>
    <t>885854835820</t>
  </si>
  <si>
    <t>30/1 JERSEY-SS CN-TOPS-T</t>
  </si>
  <si>
    <t>4T SLIM</t>
  </si>
  <si>
    <t>192609195093</t>
  </si>
  <si>
    <t>LONG BF TEE</t>
  </si>
  <si>
    <t>ED7870</t>
  </si>
  <si>
    <t>XLARGE S/S</t>
  </si>
  <si>
    <t>732995076141</t>
  </si>
  <si>
    <t>GRAFFITI PANT</t>
  </si>
  <si>
    <t>100044731BO</t>
  </si>
  <si>
    <t>XLRG</t>
  </si>
  <si>
    <t>PBIDEOLOGYBOY</t>
  </si>
  <si>
    <t>MMG-IDEOLOGY</t>
  </si>
  <si>
    <t>192399793424</t>
  </si>
  <si>
    <t>D2M MELANGE TIGHT</t>
  </si>
  <si>
    <t>AK4605</t>
  </si>
  <si>
    <t>ADIDAS (SZ 7-16)/LOLLYTOGS LTD</t>
  </si>
  <si>
    <t>POLYESTER/ELASTANE</t>
  </si>
  <si>
    <t>192399593420</t>
  </si>
  <si>
    <t>TRAINER PANT</t>
  </si>
  <si>
    <t>AK4593</t>
  </si>
  <si>
    <t>LRG</t>
  </si>
  <si>
    <t>193579297107</t>
  </si>
  <si>
    <t>SPORT LOGO SS HOODIE KNI</t>
  </si>
  <si>
    <t>35H64141-95</t>
  </si>
  <si>
    <t>192136225577</t>
  </si>
  <si>
    <t>3MOS</t>
  </si>
  <si>
    <t>TOP: COTTON; PANTS: COTTON/ELASTANE; HEADBAND: COTTON/ELASTANE</t>
  </si>
  <si>
    <t>791088819072</t>
  </si>
  <si>
    <t>PEACH/PINK SWEATER WITH</t>
  </si>
  <si>
    <t>F869549</t>
  </si>
  <si>
    <t>MED BEIGE</t>
  </si>
  <si>
    <t>RARE EDITIONS</t>
  </si>
  <si>
    <t>TOP SHELL/LINING/LACE/MESH: POLYESTER; PANTS: COTTON/SPANDEX, EXCLUSIVE OF DECORATION</t>
  </si>
  <si>
    <t>791088818969</t>
  </si>
  <si>
    <t>HOT PINK PLAID LEGGING S</t>
  </si>
  <si>
    <t>F869539</t>
  </si>
  <si>
    <t>TOP SHELL: COTTON; TOP LINING: POLYESTER/COTTON; LACE: POLYESTER; LEGGINGS: COTTON/POLYESTER/SPANDEX</t>
  </si>
  <si>
    <t>193579423698</t>
  </si>
  <si>
    <t>PRINT TULIP SPORT SHORT</t>
  </si>
  <si>
    <t>35H35601-08</t>
  </si>
  <si>
    <t>12-14(LRG)</t>
  </si>
  <si>
    <t>CK PERFORMANCE/KHQ INVESTMENT LLC</t>
  </si>
  <si>
    <t>193579423650</t>
  </si>
  <si>
    <t>COLORBLOCK LOGO TULIP SH</t>
  </si>
  <si>
    <t>35H35600-50</t>
  </si>
  <si>
    <t>SILVER</t>
  </si>
  <si>
    <t>633716766207</t>
  </si>
  <si>
    <t>502 SHORT</t>
  </si>
  <si>
    <t>916288F</t>
  </si>
  <si>
    <t>LEVIBOYS 8-20</t>
  </si>
  <si>
    <t>LEVI'S/HADDAD APPAREL GROUP</t>
  </si>
  <si>
    <t>617845174713</t>
  </si>
  <si>
    <t>511 PERF SHORT</t>
  </si>
  <si>
    <t>918505F</t>
  </si>
  <si>
    <t>MED BLUE</t>
  </si>
  <si>
    <t>COTTON/POLYESTER/ELASTANE</t>
  </si>
  <si>
    <t>633716766177</t>
  </si>
  <si>
    <t>193579423681</t>
  </si>
  <si>
    <t>8-10 MED</t>
  </si>
  <si>
    <t>192136239383</t>
  </si>
  <si>
    <t>COLLECTION 2 VEST</t>
  </si>
  <si>
    <t>BODY: POLYESTER; FLANNEL YOKE AND NECK: COTTON</t>
  </si>
  <si>
    <t>193579423674</t>
  </si>
  <si>
    <t>193579423629</t>
  </si>
  <si>
    <t>193579423704</t>
  </si>
  <si>
    <t>193579423643</t>
  </si>
  <si>
    <t>193579423636</t>
  </si>
  <si>
    <t>193149884805</t>
  </si>
  <si>
    <t>B NSW TEE LS BABYTEETH</t>
  </si>
  <si>
    <t>CI9645</t>
  </si>
  <si>
    <t>192810212732</t>
  </si>
  <si>
    <t>PLAY UP PRINTED SHORT</t>
  </si>
  <si>
    <t>UNDER ARMOUR</t>
  </si>
  <si>
    <t>192810453685</t>
  </si>
  <si>
    <t>STUNT 2.0 SHORT</t>
  </si>
  <si>
    <t>BRIGHT PUR</t>
  </si>
  <si>
    <t>SML</t>
  </si>
  <si>
    <t>192810453807</t>
  </si>
  <si>
    <t>192810453630</t>
  </si>
  <si>
    <t>192810212749</t>
  </si>
  <si>
    <t>192810212787</t>
  </si>
  <si>
    <t>732997876022</t>
  </si>
  <si>
    <t>CAMO SHERPA</t>
  </si>
  <si>
    <t>100067588BO</t>
  </si>
  <si>
    <t>EPCTHRD B2-20</t>
  </si>
  <si>
    <t>EPIC THREADS-EDI/TOPSV BIG BOY 8-20</t>
  </si>
  <si>
    <t>48238295089</t>
  </si>
  <si>
    <t>SJ S/S FASHION TOP</t>
  </si>
  <si>
    <t>SJ1232463</t>
  </si>
  <si>
    <t>LT/PASPINK</t>
  </si>
  <si>
    <t>7-16 COLLECT</t>
  </si>
  <si>
    <t>SEAN JOHN/EVY OF CALIFORNIA</t>
  </si>
  <si>
    <t>193579422745</t>
  </si>
  <si>
    <t>RUNNING LOGO BOXY CROP T</t>
  </si>
  <si>
    <t>35H34501-52</t>
  </si>
  <si>
    <t>DARKPURPLE</t>
  </si>
  <si>
    <t>IMPORTED</t>
  </si>
  <si>
    <t>193579422721</t>
  </si>
  <si>
    <t>193579422738</t>
  </si>
  <si>
    <t>889799595191</t>
  </si>
  <si>
    <t>MINNIE 3PC SET</t>
  </si>
  <si>
    <t>MW761GZSMA</t>
  </si>
  <si>
    <t>ASSORTED</t>
  </si>
  <si>
    <t>6</t>
  </si>
  <si>
    <t>KIDS SLEEP</t>
  </si>
  <si>
    <t>AMERICAN MARKETING ENT GIRLS</t>
  </si>
  <si>
    <t>191358569483</t>
  </si>
  <si>
    <t>CORE TRICOT PANT- RE</t>
  </si>
  <si>
    <t>AK5414</t>
  </si>
  <si>
    <t>4</t>
  </si>
  <si>
    <t>192769048277</t>
  </si>
  <si>
    <t>TUNIC06160-ELECTRIC WAVE</t>
  </si>
  <si>
    <t>LARGE</t>
  </si>
  <si>
    <t>KIDS SWIMWEAR</t>
  </si>
  <si>
    <t>MALIBU DESIGN GROUP GIRLS</t>
  </si>
  <si>
    <t>NYLON/SPANDEX</t>
  </si>
  <si>
    <t>192769048246</t>
  </si>
  <si>
    <t>TUNIC06007-IM A MERMAID</t>
  </si>
  <si>
    <t>887407912705</t>
  </si>
  <si>
    <t>TAP SASHA</t>
  </si>
  <si>
    <t>MANMADE UPPER; RUBBER SOLE</t>
  </si>
  <si>
    <t>880680835303</t>
  </si>
  <si>
    <t>EXTENDED SHOULDER TEE</t>
  </si>
  <si>
    <t>35G34110-95</t>
  </si>
  <si>
    <t>193579419899</t>
  </si>
  <si>
    <t>FAUX 2FER TANK</t>
  </si>
  <si>
    <t>35H34500-10</t>
  </si>
  <si>
    <t>POLYESTER/RAYON</t>
  </si>
  <si>
    <t>193579423131</t>
  </si>
  <si>
    <t>SLIT COLD SHOULDER CROP</t>
  </si>
  <si>
    <t>35H34507-51</t>
  </si>
  <si>
    <t>48238365874</t>
  </si>
  <si>
    <t>HK SUMMER PARTY SET</t>
  </si>
  <si>
    <t>TF6367GHK0374</t>
  </si>
  <si>
    <t>GRLS2-16 CLAS</t>
  </si>
  <si>
    <t>HELLO KITTY/EVY OF CALIFORNIA</t>
  </si>
  <si>
    <t>192042852607</t>
  </si>
  <si>
    <t>NAUTICA YM LOWELL SHORT</t>
  </si>
  <si>
    <t>NUFCC691-253</t>
  </si>
  <si>
    <t>DARK BEIGE</t>
  </si>
  <si>
    <t>NAUTICA/F &amp; T APPAREL LLC-CONSIGN</t>
  </si>
  <si>
    <t>90% POLYESTER 10% SPANDEX</t>
  </si>
  <si>
    <t>732997009871</t>
  </si>
  <si>
    <t>CAMO TRICOT JACKET</t>
  </si>
  <si>
    <t>100061175LB</t>
  </si>
  <si>
    <t>GREEN</t>
  </si>
  <si>
    <t>EPIC THREADS-EDI/TOPSVILLE INC</t>
  </si>
  <si>
    <t>191539373274</t>
  </si>
  <si>
    <t>TIE SHOULDER PEBBLE CREP</t>
  </si>
  <si>
    <t>S28079-RV</t>
  </si>
  <si>
    <t>POLYESTER/SPANDEX</t>
  </si>
  <si>
    <t>193579107239</t>
  </si>
  <si>
    <t>2PC CREAM CAT COLD SHOUL</t>
  </si>
  <si>
    <t>11H22668-99</t>
  </si>
  <si>
    <t>KIDS HEADQUARTERS/GENERIC</t>
  </si>
  <si>
    <t>TOP: COTTON/POLYESTER; LEGGINGS: COTTON/POLYESTER/SPANDEX</t>
  </si>
  <si>
    <t>193579422929</t>
  </si>
  <si>
    <t>COLORBLOCK SPORTS TOP</t>
  </si>
  <si>
    <t>35H34503-96</t>
  </si>
  <si>
    <t>COTTON/VISCOSE</t>
  </si>
  <si>
    <t>193579422943</t>
  </si>
  <si>
    <t>193579422974</t>
  </si>
  <si>
    <t>LOGO BANDED SPORTS TOP</t>
  </si>
  <si>
    <t>35H34504-01</t>
  </si>
  <si>
    <t>193579422950</t>
  </si>
  <si>
    <t>193579423100</t>
  </si>
  <si>
    <t>FLORAL SPORTS TOP</t>
  </si>
  <si>
    <t>35H34506-08</t>
  </si>
  <si>
    <t>191603943556</t>
  </si>
  <si>
    <t>GOTHAM CITY HERO</t>
  </si>
  <si>
    <t>2JDCB1699</t>
  </si>
  <si>
    <t>3</t>
  </si>
  <si>
    <t>BOYS 2-7</t>
  </si>
  <si>
    <t>HYBRID 2-7/HYBRID PROMOTIONS-MCYCON</t>
  </si>
  <si>
    <t>T-SHIRT AND SHORTS: POLYESTER</t>
  </si>
  <si>
    <t>191603943594</t>
  </si>
  <si>
    <t>191603943587</t>
  </si>
  <si>
    <t>732996573410</t>
  </si>
  <si>
    <t>FLORAL SMOCK ROMPER</t>
  </si>
  <si>
    <t>100057095GR</t>
  </si>
  <si>
    <t>DARK GREEN</t>
  </si>
  <si>
    <t>EPICTHREADS G</t>
  </si>
  <si>
    <t>RAYON</t>
  </si>
  <si>
    <t>28399590339</t>
  </si>
  <si>
    <t>BBAB NO COLOR BASIC</t>
  </si>
  <si>
    <t>NO COLOR</t>
  </si>
  <si>
    <t>NO SIZE</t>
  </si>
  <si>
    <t>GUND/SPIN MASTER INC</t>
  </si>
  <si>
    <t>193148154800</t>
  </si>
  <si>
    <t>G NSW TEE SCOOP VERB</t>
  </si>
  <si>
    <t>CI8268</t>
  </si>
  <si>
    <t>193148154817</t>
  </si>
  <si>
    <t>193148154824</t>
  </si>
  <si>
    <t>193148141671</t>
  </si>
  <si>
    <t>B NSW TEE DISTORTED ICON</t>
  </si>
  <si>
    <t>CI9615</t>
  </si>
  <si>
    <t>193149883457</t>
  </si>
  <si>
    <t>B NSW TEE JDI PRINT</t>
  </si>
  <si>
    <t>CI9618</t>
  </si>
  <si>
    <t>193148154831</t>
  </si>
  <si>
    <t>193149883464</t>
  </si>
  <si>
    <t>193149883433</t>
  </si>
  <si>
    <t>192399961588</t>
  </si>
  <si>
    <t>SS LINEAR THANK YOU TEE</t>
  </si>
  <si>
    <t>AA4669</t>
  </si>
  <si>
    <t>883498456531</t>
  </si>
  <si>
    <t>WHITE DOT</t>
  </si>
  <si>
    <t>TIELT1ATS919</t>
  </si>
  <si>
    <t>ALL SILK</t>
  </si>
  <si>
    <t>192399963902</t>
  </si>
  <si>
    <t>SS FRONT VENTED TEE</t>
  </si>
  <si>
    <t>AA4676</t>
  </si>
  <si>
    <t>192399964855</t>
  </si>
  <si>
    <t>SS DROP SHOULDER TEE</t>
  </si>
  <si>
    <t>AA4683</t>
  </si>
  <si>
    <t>192399964862</t>
  </si>
  <si>
    <t>192810454613</t>
  </si>
  <si>
    <t>CROSSFADE TEE</t>
  </si>
  <si>
    <t>192399961595</t>
  </si>
  <si>
    <t>880680472966</t>
  </si>
  <si>
    <t>TURQ/COR 2PC GIRAFFE SET</t>
  </si>
  <si>
    <t>11G02624-99</t>
  </si>
  <si>
    <t>GENERIC/KHQ INVESTMENT LLC</t>
  </si>
  <si>
    <t>TOP: COTTON/POLYESTER; PANTS: COTTON/POLYESTER/SPANDEX</t>
  </si>
  <si>
    <t>732997010006</t>
  </si>
  <si>
    <t>CAMO TRICOT PANT</t>
  </si>
  <si>
    <t>100061176LB</t>
  </si>
  <si>
    <t>192136181293</t>
  </si>
  <si>
    <t>CORE SETS 2F19 PINK FLOR</t>
  </si>
  <si>
    <t>MEDIUM RED</t>
  </si>
  <si>
    <t>6MOS</t>
  </si>
  <si>
    <t>TOP: COTTON; LEGGINGS: COTTON/ELASTANE</t>
  </si>
  <si>
    <t>192136308508</t>
  </si>
  <si>
    <t>KNIT SETF19 BPW GREEN DI</t>
  </si>
  <si>
    <t>12MOS</t>
  </si>
  <si>
    <t>26217500461</t>
  </si>
  <si>
    <t>32MM STRETCH WEB W/ TAB</t>
  </si>
  <si>
    <t>12TL03X008</t>
  </si>
  <si>
    <t>NAUTICA/RANDA ACCESSORIES LEATHER</t>
  </si>
  <si>
    <t>COTTON/POLYESTER/BONDED LEATHER/RUBBER</t>
  </si>
  <si>
    <t>191539226594</t>
  </si>
  <si>
    <t>FULL FASHION SWEATER KNI</t>
  </si>
  <si>
    <t>W66977-SL</t>
  </si>
  <si>
    <t>COTTON/ METALLIC</t>
  </si>
  <si>
    <t>26217297170</t>
  </si>
  <si>
    <t>BROWN ENGRAVED TOMMY</t>
  </si>
  <si>
    <t>12TL02XZ01</t>
  </si>
  <si>
    <t>BROWN</t>
  </si>
  <si>
    <t>POLYURETHANE/POLYESTER/LEATHER</t>
  </si>
  <si>
    <t>26217620466</t>
  </si>
  <si>
    <t>32MM CE EMBSD LOGO PLAQ</t>
  </si>
  <si>
    <t>12TL02XZ07</t>
  </si>
  <si>
    <t>LEATHER/POLYURETHANE</t>
  </si>
  <si>
    <t>192399500428</t>
  </si>
  <si>
    <t>THREE STRIPE BLOCKED SHO</t>
  </si>
  <si>
    <t>AH4243</t>
  </si>
  <si>
    <t>ADIDAS (SZ 2-6X)/LOLLYTOGS LTD</t>
  </si>
  <si>
    <t>640013643896</t>
  </si>
  <si>
    <t>BOYS SKULLY PRINT CHINO</t>
  </si>
  <si>
    <t>UB1191533</t>
  </si>
  <si>
    <t>8-20 CLSFCTNS</t>
  </si>
  <si>
    <t>UNIVIBE/FAMMA GROUP INC</t>
  </si>
  <si>
    <t>193579472290</t>
  </si>
  <si>
    <t>EDDIE LS TEE</t>
  </si>
  <si>
    <t>TBHCA17F-405</t>
  </si>
  <si>
    <t>841574174229</t>
  </si>
  <si>
    <t>GOING BANANAS 1 PIECE</t>
  </si>
  <si>
    <t>GS2-456</t>
  </si>
  <si>
    <t>YELLOW</t>
  </si>
  <si>
    <t>SOLO INTL GIRLS SWIMWEAR/SOLO INTL</t>
  </si>
  <si>
    <t>SHELL: POLYESTER/LINING; LINING: POLYESTER</t>
  </si>
  <si>
    <t>756845987401</t>
  </si>
  <si>
    <t>MILK 2 PC SET</t>
  </si>
  <si>
    <t>2361FI410</t>
  </si>
  <si>
    <t>NEWBORN</t>
  </si>
  <si>
    <t>1ST IMPRESSNS</t>
  </si>
  <si>
    <t>FIRST IMPRESSIONS-EDI/IMPACT IMPORT</t>
  </si>
  <si>
    <t>192136068471</t>
  </si>
  <si>
    <t>F19 BPW MULTI DINO SS</t>
  </si>
  <si>
    <t>CARTER TODLER</t>
  </si>
  <si>
    <t>WILLIAM CARTER-TODDLER PLAYWEAR</t>
  </si>
  <si>
    <t>888282683902</t>
  </si>
  <si>
    <t>SUNDOWN SWIM TRUNK</t>
  </si>
  <si>
    <t>LBS9212</t>
  </si>
  <si>
    <t>M HIDARY &amp; CO INC BOYS</t>
  </si>
  <si>
    <t>POLYESTER; LINING: POLYESTER</t>
  </si>
  <si>
    <t>883953728289</t>
  </si>
  <si>
    <t>LIGH SWEET BEAR FOOTIE</t>
  </si>
  <si>
    <t>LBQ03984N</t>
  </si>
  <si>
    <t>JETSET-MAMIYE BROTHERS</t>
  </si>
  <si>
    <t>888282684527</t>
  </si>
  <si>
    <t>SUMMER STRIPE SWIM TRUNK</t>
  </si>
  <si>
    <t>LBS9386</t>
  </si>
  <si>
    <t>888282684541</t>
  </si>
  <si>
    <t>633731109409</t>
  </si>
  <si>
    <t>NOTHIN BUT HEAT SS TEE</t>
  </si>
  <si>
    <t>86F612G</t>
  </si>
  <si>
    <t>192135506943</t>
  </si>
  <si>
    <t>S19 BSPS PANDA TUTU</t>
  </si>
  <si>
    <t>TOP: COTTON; PANTS TOP SKIRT: POLYESTER; PANTS BOTTOM SKIRT/PANTS: COTTON</t>
  </si>
  <si>
    <t>640013645920</t>
  </si>
  <si>
    <t>HOWARD SHARKIE PRINT</t>
  </si>
  <si>
    <t>UB1191462</t>
  </si>
  <si>
    <t>732995070774</t>
  </si>
  <si>
    <t>TENNIS SKORT</t>
  </si>
  <si>
    <t>100049037LG</t>
  </si>
  <si>
    <t>4T REG</t>
  </si>
  <si>
    <t>PB ACTIVE</t>
  </si>
  <si>
    <t>IDEOLOGY-EDI/2-6X</t>
  </si>
  <si>
    <t>888822006598</t>
  </si>
  <si>
    <t>DAZZLE + MESH MUSCLE TEE</t>
  </si>
  <si>
    <t>PUMA KIDS/PUMA UNITED NORTH AMERICA</t>
  </si>
  <si>
    <t>45299058363</t>
  </si>
  <si>
    <t>CORE NO SHOW 6PK</t>
  </si>
  <si>
    <t>CP10022</t>
  </si>
  <si>
    <t>KIDS FURNISH</t>
  </si>
  <si>
    <t>CHAMPION SOCKS/HANDCRAFT MFG BOYS</t>
  </si>
  <si>
    <t>192136032724</t>
  </si>
  <si>
    <t>F19 JUST BE YOU DOG TEE</t>
  </si>
  <si>
    <t>LT/PAS ORG</t>
  </si>
  <si>
    <t>756845987418</t>
  </si>
  <si>
    <t>3 PCK XO BIBS</t>
  </si>
  <si>
    <t>2362FI410</t>
  </si>
  <si>
    <t>OSFA</t>
  </si>
  <si>
    <t>FRONT: COTTON; BACK: COTTON/POLYESTER</t>
  </si>
  <si>
    <t>608356142377</t>
  </si>
  <si>
    <t>SWEATER CARDIGAN BASIC</t>
  </si>
  <si>
    <t>100006338R</t>
  </si>
  <si>
    <t>FIRST IMPRESSIONS-MMG</t>
  </si>
  <si>
    <t>COTTON/NYLON</t>
  </si>
  <si>
    <t>732997489659</t>
  </si>
  <si>
    <t>HOODED JACKET</t>
  </si>
  <si>
    <t>100063738BB</t>
  </si>
  <si>
    <t>191603768371</t>
  </si>
  <si>
    <t>STARS SPLATTER</t>
  </si>
  <si>
    <t>2JSWC3973</t>
  </si>
  <si>
    <t>HYBRID PROMOTIONS</t>
  </si>
  <si>
    <t>192136262589</t>
  </si>
  <si>
    <t>SLOGAN BSF19 G BS PINK A</t>
  </si>
  <si>
    <t>192135627822</t>
  </si>
  <si>
    <t>S19 PRINTED BS WHT FISH</t>
  </si>
  <si>
    <t>732997547038</t>
  </si>
  <si>
    <t>WOODLAND KNIT DRESS</t>
  </si>
  <si>
    <t>100063057BG</t>
  </si>
  <si>
    <t>732997406731</t>
  </si>
  <si>
    <t>T FOREST PRNT JOGGER</t>
  </si>
  <si>
    <t>100064417TB</t>
  </si>
  <si>
    <t>192136249108</t>
  </si>
  <si>
    <t>SLOGAN BSF19 G BS PINK L</t>
  </si>
  <si>
    <t>192136032595</t>
  </si>
  <si>
    <t>SLOGAN BSF19 G BS PINK M</t>
  </si>
  <si>
    <t>732995328196</t>
  </si>
  <si>
    <t>DINO TEETH SS TEE</t>
  </si>
  <si>
    <t>100046647LB</t>
  </si>
  <si>
    <t>756845995086</t>
  </si>
  <si>
    <t>BEAR 2PK BIBS</t>
  </si>
  <si>
    <t>732995879995</t>
  </si>
  <si>
    <t>SIDE STRIPE TANK</t>
  </si>
  <si>
    <t>100056737LB</t>
  </si>
  <si>
    <t>TANK: COTTON/POLYESTER 160-G; POCKET: COTTON</t>
  </si>
  <si>
    <t>732995880977</t>
  </si>
  <si>
    <t>LIMITED EDITION TEE</t>
  </si>
  <si>
    <t>100056721LB</t>
  </si>
  <si>
    <t>COTTON/POLYESTER 160-G</t>
  </si>
  <si>
    <t>732995880953</t>
  </si>
  <si>
    <t>732995880946</t>
  </si>
  <si>
    <t>732995880960</t>
  </si>
  <si>
    <t>732996583730</t>
  </si>
  <si>
    <t>LEGENDS TEE</t>
  </si>
  <si>
    <t>100056728LB</t>
  </si>
  <si>
    <t>2T REG</t>
  </si>
  <si>
    <t>701570934190</t>
  </si>
  <si>
    <t>MINNIE MOUSE</t>
  </si>
  <si>
    <t>MW402GNSZA-IVH</t>
  </si>
  <si>
    <t>NATURAL</t>
  </si>
  <si>
    <t>PLANET SOX/CENTRIC SOCKS LLC GIRLS</t>
  </si>
  <si>
    <t>732995251999</t>
  </si>
  <si>
    <t>BOWTIE BOOTIES</t>
  </si>
  <si>
    <t>0-6 MOS</t>
  </si>
  <si>
    <t>732997490150</t>
  </si>
  <si>
    <t>FOREST PRINT JOGGER</t>
  </si>
  <si>
    <t>100064417BB</t>
  </si>
  <si>
    <t>6-9MOS</t>
  </si>
  <si>
    <t>732997490174</t>
  </si>
  <si>
    <t>732997768860</t>
  </si>
  <si>
    <t>T VELOUR LEGGING</t>
  </si>
  <si>
    <t>100063967TG</t>
  </si>
  <si>
    <t>MED PURPLE</t>
  </si>
  <si>
    <t>COTTON/POLYESTER/SPANDEX</t>
  </si>
  <si>
    <t>732997482131</t>
  </si>
  <si>
    <t>METALLIC PUMPKIN TEE</t>
  </si>
  <si>
    <t>100063088BG</t>
  </si>
  <si>
    <t>COTTON EXCLUSIVE OF DECORATION; RIBBON: POLYESTER</t>
  </si>
  <si>
    <t>732995251906</t>
  </si>
  <si>
    <t>STRAWBERRY HAT BASIC</t>
  </si>
  <si>
    <t>100041917BG</t>
  </si>
  <si>
    <t>6-12 MOS</t>
  </si>
  <si>
    <t>732995251920</t>
  </si>
  <si>
    <t>732996892221</t>
  </si>
  <si>
    <t>HEART ANIMAL LEGGING</t>
  </si>
  <si>
    <t>100052409BG</t>
  </si>
  <si>
    <t>732997347508</t>
  </si>
  <si>
    <t>EYELET RUFLE LEGGING</t>
  </si>
  <si>
    <t>100059419BG</t>
  </si>
  <si>
    <t>732997340455</t>
  </si>
  <si>
    <t>MAGIC PEPLUM</t>
  </si>
  <si>
    <t>100059312BG</t>
  </si>
  <si>
    <t>191603919575</t>
  </si>
  <si>
    <t>BEACH DAY</t>
  </si>
  <si>
    <t>1JBY0473</t>
  </si>
  <si>
    <t>2</t>
  </si>
  <si>
    <t>191603919582</t>
  </si>
  <si>
    <t>191603919629</t>
  </si>
  <si>
    <t>732996173627</t>
  </si>
  <si>
    <t>STRIPE SHORT</t>
  </si>
  <si>
    <t>POLYESTER/COTTON</t>
  </si>
  <si>
    <t>732995798807</t>
  </si>
  <si>
    <t>CHERRIES TEE BASIC</t>
  </si>
  <si>
    <t>100042520BG</t>
  </si>
  <si>
    <t>732997340943</t>
  </si>
  <si>
    <t>BIG DINO TEE</t>
  </si>
  <si>
    <t>100064388BB</t>
  </si>
  <si>
    <t>732995891447</t>
  </si>
  <si>
    <t>CHERRY CHECK SHORT BASIC</t>
  </si>
  <si>
    <t>100042533BG</t>
  </si>
  <si>
    <t>732995882216</t>
  </si>
  <si>
    <t>DINOSAUR AOP TANK BASIC</t>
  </si>
  <si>
    <t>100043937BB</t>
  </si>
  <si>
    <t>732996958927</t>
  </si>
  <si>
    <t>BEAR HAT</t>
  </si>
  <si>
    <t>100063187BB</t>
  </si>
  <si>
    <t>HAT: COTTON; FAUX FUR TRIM: POLYESTER</t>
  </si>
  <si>
    <t>732996889115</t>
  </si>
  <si>
    <t>SS JUMP ROPE BNY TEE</t>
  </si>
  <si>
    <t>100056173BG</t>
  </si>
  <si>
    <t>ORANGE</t>
  </si>
  <si>
    <t>887622855429</t>
  </si>
  <si>
    <t>DESE SLIM FIT PULL ON JOG</t>
  </si>
  <si>
    <t>27F55633-27</t>
  </si>
  <si>
    <t>UNDER ARMOUR 2-7/KHQ INVESTMENT LLC</t>
  </si>
  <si>
    <t>192170422673</t>
  </si>
  <si>
    <t>CALISTA-CR</t>
  </si>
  <si>
    <t>WILLIAM CARTER/VIDA SHOES</t>
  </si>
  <si>
    <t>192170306294</t>
  </si>
  <si>
    <t>DAMON8-CR</t>
  </si>
  <si>
    <t>PURPLE</t>
  </si>
  <si>
    <t>FL</t>
  </si>
  <si>
    <t>883498271516</t>
  </si>
  <si>
    <t>BBBY1DTY0031</t>
  </si>
  <si>
    <t>GRAY</t>
  </si>
  <si>
    <t>DKNY/PEERLESS CLOTHING INTL</t>
  </si>
  <si>
    <t>800773107186</t>
  </si>
  <si>
    <t>BLAC BLAY11SA0135 SB 2BTN</t>
  </si>
  <si>
    <t>BLAY11SA0135</t>
  </si>
  <si>
    <t>8 REG/MED</t>
  </si>
  <si>
    <t>736576077763</t>
  </si>
  <si>
    <t>791088774937</t>
  </si>
  <si>
    <t>SATIN SKATER</t>
  </si>
  <si>
    <t>F562839</t>
  </si>
  <si>
    <t>BRGHT PINK</t>
  </si>
  <si>
    <t>7-16 DRESSES</t>
  </si>
  <si>
    <t>809115455121</t>
  </si>
  <si>
    <t>IVOR SLVLESS PRINCESS BOD</t>
  </si>
  <si>
    <t>LF-1004-L</t>
  </si>
  <si>
    <t>BLUSH BY US ANGELS/S &amp; C BRIDAL LLC</t>
  </si>
  <si>
    <t>884733947838</t>
  </si>
  <si>
    <t>MODAL FRENCH TERRY-RUFFL</t>
  </si>
  <si>
    <t>9MOS</t>
  </si>
  <si>
    <t>INFANT COLL</t>
  </si>
  <si>
    <t>POLO RPLNSHMNT/POLO RL CHILDRENSWEA</t>
  </si>
  <si>
    <t>COTTON/MODAL/ELASTANE</t>
  </si>
  <si>
    <t>887999402646</t>
  </si>
  <si>
    <t>TH-GLAM BONNIE-T-PEA</t>
  </si>
  <si>
    <t>8 M</t>
  </si>
  <si>
    <t>TOMMY HILFIGER/SYNCLAIRE BRANDS</t>
  </si>
  <si>
    <t>CANVAS UPPER; RUBBER SOLE; POLYESTER LINING</t>
  </si>
  <si>
    <t>191965970320</t>
  </si>
  <si>
    <t>TIRO19 PNTY</t>
  </si>
  <si>
    <t>DZ8778</t>
  </si>
  <si>
    <t>193579350611</t>
  </si>
  <si>
    <t>WAYNE BASKETBALL JACKET</t>
  </si>
  <si>
    <t>TBFCM07J-649</t>
  </si>
  <si>
    <t>TH BOYS 2-7</t>
  </si>
  <si>
    <t>192399526947</t>
  </si>
  <si>
    <t>SOLID WOVEN JACKET</t>
  </si>
  <si>
    <t>AP5452</t>
  </si>
  <si>
    <t>ADIDAS 8-20/LOLLYTOGS LTD</t>
  </si>
  <si>
    <t>192504205804</t>
  </si>
  <si>
    <t>HIGHLINE SLAB YOUTH 17</t>
  </si>
  <si>
    <t>EQBBS03343</t>
  </si>
  <si>
    <t>BRIGHTBLUE</t>
  </si>
  <si>
    <t>29</t>
  </si>
  <si>
    <t>KIDS SURF</t>
  </si>
  <si>
    <t>QUIKSILVER/BOARDRIDERS WHOLESALE</t>
  </si>
  <si>
    <t>791088772346</t>
  </si>
  <si>
    <t>BROCADE</t>
  </si>
  <si>
    <t>F762869</t>
  </si>
  <si>
    <t>POLYESTER/RAYON/METALLIC</t>
  </si>
  <si>
    <t>887407889540</t>
  </si>
  <si>
    <t>TRETORN MARLEY CANDY</t>
  </si>
  <si>
    <t>12 M</t>
  </si>
  <si>
    <t>882506830110</t>
  </si>
  <si>
    <t>SUIT SEP PANT</t>
  </si>
  <si>
    <t>BEDGPZ1Y0434</t>
  </si>
  <si>
    <t>POLYESTER/RAYON/SPANDEX</t>
  </si>
  <si>
    <t>191539481474</t>
  </si>
  <si>
    <t>193579207410</t>
  </si>
  <si>
    <t>SLIM STRAIGHT LOGO DENIM</t>
  </si>
  <si>
    <t>35H65209-74</t>
  </si>
  <si>
    <t>193579207458</t>
  </si>
  <si>
    <t>193579207465</t>
  </si>
  <si>
    <t>192504205323</t>
  </si>
  <si>
    <t>HIGHLINE SLAB BOY 14</t>
  </si>
  <si>
    <t>EQKBS03200</t>
  </si>
  <si>
    <t>4AVGREGMED</t>
  </si>
  <si>
    <t>192504205330</t>
  </si>
  <si>
    <t>192504210501</t>
  </si>
  <si>
    <t>HIGHLINE CHOPPA BOY 14</t>
  </si>
  <si>
    <t>EQKBS03221</t>
  </si>
  <si>
    <t>193579294809</t>
  </si>
  <si>
    <t>TITO POLO</t>
  </si>
  <si>
    <t>TBFCB33F-615</t>
  </si>
  <si>
    <t>193579337179</t>
  </si>
  <si>
    <t>887622767524</t>
  </si>
  <si>
    <t>LOGO JOGGER PANT</t>
  </si>
  <si>
    <t>35F55303-40</t>
  </si>
  <si>
    <t>791088818099</t>
  </si>
  <si>
    <t>RED SLVLESS TIERED DRS</t>
  </si>
  <si>
    <t>F869739</t>
  </si>
  <si>
    <t>POLYESTER; DIAPER COVER: POLYESTER</t>
  </si>
  <si>
    <t>791088774210</t>
  </si>
  <si>
    <t>PINK OFF SHOULDER W BOW</t>
  </si>
  <si>
    <t>F863159</t>
  </si>
  <si>
    <t>DRESS/DIAPER COVER: POLYESTER</t>
  </si>
  <si>
    <t>193579472924</t>
  </si>
  <si>
    <t>FOSTER SHIRT</t>
  </si>
  <si>
    <t>TBHCB05F-424</t>
  </si>
  <si>
    <t>622363876278</t>
  </si>
  <si>
    <t>732995299717</t>
  </si>
  <si>
    <t>CAMO COACH JACKET</t>
  </si>
  <si>
    <t>100046836BO</t>
  </si>
  <si>
    <t>633731399053</t>
  </si>
  <si>
    <t>BLOCKED DIAMOND SHORT</t>
  </si>
  <si>
    <t>856301G</t>
  </si>
  <si>
    <t>DARK RED</t>
  </si>
  <si>
    <t>192564345380</t>
  </si>
  <si>
    <t>INFINITY LAYERED SS</t>
  </si>
  <si>
    <t>DARKORANGE</t>
  </si>
  <si>
    <t>192564346110</t>
  </si>
  <si>
    <t>191539475688</t>
  </si>
  <si>
    <t>JAQ STRIPE EMPIRE</t>
  </si>
  <si>
    <t>X59366-PL</t>
  </si>
  <si>
    <t>BODICE: POLYESTER/SPANDEX; SKIRT: POLYESTER/METALLIC; BAND/BOW/LINING/DIAPER COVER: POLYESTER</t>
  </si>
  <si>
    <t>192614789355</t>
  </si>
  <si>
    <t>PURPLE PRITNED LEGGING</t>
  </si>
  <si>
    <t>EK5583</t>
  </si>
  <si>
    <t>LARGE S/S</t>
  </si>
  <si>
    <t>617847174506</t>
  </si>
  <si>
    <t>LVB STRETCH CARGO TAPER</t>
  </si>
  <si>
    <t>8M9004F</t>
  </si>
  <si>
    <t>633716668976</t>
  </si>
  <si>
    <t>LVB 511 WARP STRETCH JEA</t>
  </si>
  <si>
    <t>8M9000F</t>
  </si>
  <si>
    <t>617844455448</t>
  </si>
  <si>
    <t>710 SUPER SKINNY JEA</t>
  </si>
  <si>
    <t>41R702F</t>
  </si>
  <si>
    <t>12 REG</t>
  </si>
  <si>
    <t>617846663773</t>
  </si>
  <si>
    <t>PLAY ALL DAY COVERAL</t>
  </si>
  <si>
    <t>5NB954G</t>
  </si>
  <si>
    <t>NIKE/HADDAD APPAREL GROUP</t>
  </si>
  <si>
    <t>887346170143</t>
  </si>
  <si>
    <t>193579018429</t>
  </si>
  <si>
    <t>FLORAL SLEEVELESS HOODIE</t>
  </si>
  <si>
    <t>35G34605-10</t>
  </si>
  <si>
    <t>887407826606</t>
  </si>
  <si>
    <t>MMK TORI WILMINGTON</t>
  </si>
  <si>
    <t>DARKYELLOW</t>
  </si>
  <si>
    <t>2 M</t>
  </si>
  <si>
    <t>MICHAEL KORS/SYNCLAIRE BRANDS INC</t>
  </si>
  <si>
    <t>192609195109</t>
  </si>
  <si>
    <t>MEDIUM S/S</t>
  </si>
  <si>
    <t>192399794131</t>
  </si>
  <si>
    <t>LINEAR SPLIT TIGHT</t>
  </si>
  <si>
    <t>AK4610</t>
  </si>
  <si>
    <t>DARK GRAY</t>
  </si>
  <si>
    <t>193579297053</t>
  </si>
  <si>
    <t>LOGO RUGBY STRIPE SS HOO</t>
  </si>
  <si>
    <t>35H64140-51</t>
  </si>
  <si>
    <t>738386765649</t>
  </si>
  <si>
    <t>CANDYCANE TURTLENECK JUM</t>
  </si>
  <si>
    <t>72464H6</t>
  </si>
  <si>
    <t>BRIGHT RED</t>
  </si>
  <si>
    <t>GOOD LAD CO INC</t>
  </si>
  <si>
    <t>193579018665</t>
  </si>
  <si>
    <t>SIDE STRIPE SKOOTER</t>
  </si>
  <si>
    <t>35G35006-10</t>
  </si>
  <si>
    <t>880680431871</t>
  </si>
  <si>
    <t>HALF BACK SHORT</t>
  </si>
  <si>
    <t>27G55607-01</t>
  </si>
  <si>
    <t>192136239208</t>
  </si>
  <si>
    <t>COLLECTION 2 PLAID DRESS</t>
  </si>
  <si>
    <t>DRESS: VISCOSE; DIAPER COVER: COTTON</t>
  </si>
  <si>
    <t>9328276876</t>
  </si>
  <si>
    <t>JAN JORDAN PIN HAT</t>
  </si>
  <si>
    <t>9A0049A</t>
  </si>
  <si>
    <t>LT/PAS RED</t>
  </si>
  <si>
    <t>2-14GIRLS ACC</t>
  </si>
  <si>
    <t>POLYESTER; INTERIOR SWEATBAND: COTTON</t>
  </si>
  <si>
    <t>192136237365</t>
  </si>
  <si>
    <t>COLLECTION 2 GINGHAM SET</t>
  </si>
  <si>
    <t>9328442066</t>
  </si>
  <si>
    <t>9328442059</t>
  </si>
  <si>
    <t>9328442042</t>
  </si>
  <si>
    <t>633716766184</t>
  </si>
  <si>
    <t>9328442073</t>
  </si>
  <si>
    <t>732996380698</t>
  </si>
  <si>
    <t>JUMPSUIT</t>
  </si>
  <si>
    <t>100055491GR</t>
  </si>
  <si>
    <t>IDEOLOGY-EDI/7-16</t>
  </si>
  <si>
    <t>193149884799</t>
  </si>
  <si>
    <t>192135999370</t>
  </si>
  <si>
    <t>CARDIGAN SETF19 G CARDIS</t>
  </si>
  <si>
    <t>JACKET/BODYSUIT: COTTON; PANTS: COTTON/POLYESTER/ELASTANE</t>
  </si>
  <si>
    <t>636206206535</t>
  </si>
  <si>
    <t>OTTOMAN PANT</t>
  </si>
  <si>
    <t>100031614LB</t>
  </si>
  <si>
    <t>MMG-ID/IDEOLOGY</t>
  </si>
  <si>
    <t>192135026878</t>
  </si>
  <si>
    <t>F18 SHERPA COLLAR ZIP FR</t>
  </si>
  <si>
    <t>243I030</t>
  </si>
  <si>
    <t>JACKET: POLYESTER; FAUX FLEECE LINING: POLYESTER</t>
  </si>
  <si>
    <t>193579419837</t>
  </si>
  <si>
    <t>35H34500-01</t>
  </si>
  <si>
    <t>732996348117</t>
  </si>
  <si>
    <t>PERFORMANCE BOMBER</t>
  </si>
  <si>
    <t>100055489LG</t>
  </si>
  <si>
    <t>732995324976</t>
  </si>
  <si>
    <t>GRAFFITI DENIM</t>
  </si>
  <si>
    <t>100046689LB</t>
  </si>
  <si>
    <t>193112053528</t>
  </si>
  <si>
    <t>JETT JAE</t>
  </si>
  <si>
    <t>1 M</t>
  </si>
  <si>
    <t>MANMADE UPPER, MANMADE LINING, RUBBER SOLE</t>
  </si>
  <si>
    <t>633716855116</t>
  </si>
  <si>
    <t>REMIX CAP</t>
  </si>
  <si>
    <t>9A0199A</t>
  </si>
  <si>
    <t>633716634742</t>
  </si>
  <si>
    <t>JANJORDANTAPINGFLATBRIM</t>
  </si>
  <si>
    <t>9A0099A</t>
  </si>
  <si>
    <t>WINE</t>
  </si>
  <si>
    <t>617844745808</t>
  </si>
  <si>
    <t>CAP JORDAN</t>
  </si>
  <si>
    <t>9A0128A</t>
  </si>
  <si>
    <t>617846282998</t>
  </si>
  <si>
    <t>DECONSTRUCTED 23 CAP</t>
  </si>
  <si>
    <t>9A0156A</t>
  </si>
  <si>
    <t>617846283001</t>
  </si>
  <si>
    <t>617847111778</t>
  </si>
  <si>
    <t>JAN JORDAN MESH CAP</t>
  </si>
  <si>
    <t>9A0078A</t>
  </si>
  <si>
    <t>617847111785</t>
  </si>
  <si>
    <t>633716855093</t>
  </si>
  <si>
    <t>732996527253</t>
  </si>
  <si>
    <t>KNIT LEGGING SET BASIC</t>
  </si>
  <si>
    <t>100055523LG</t>
  </si>
  <si>
    <t>MED GREEN</t>
  </si>
  <si>
    <t>IDEOLOGY GIRLS 2-6X-EDI/TOPSVILLE</t>
  </si>
  <si>
    <t>COTTON/POLYESTER; LEGGINGS: POLYESTER/SPANDEX</t>
  </si>
  <si>
    <t>880680846392</t>
  </si>
  <si>
    <t>CHANGE THE WORLD TEE</t>
  </si>
  <si>
    <t>TGSCA39V-100</t>
  </si>
  <si>
    <t>TOMMYGRLS7-16</t>
  </si>
  <si>
    <t>TOMMY GIRL/KHQ INVESTMENT LLC</t>
  </si>
  <si>
    <t>732996195919</t>
  </si>
  <si>
    <t>NEUTRAL HOODED CARDI</t>
  </si>
  <si>
    <t>192136010142</t>
  </si>
  <si>
    <t>F19 BPW BLUE PLD HD SET</t>
  </si>
  <si>
    <t>193149882016</t>
  </si>
  <si>
    <t>B NSW TEE FOOTBALL P</t>
  </si>
  <si>
    <t>BQ2584</t>
  </si>
  <si>
    <t>883498451574</t>
  </si>
  <si>
    <t>SUMMER SOLID</t>
  </si>
  <si>
    <t>TIELT1ATS914</t>
  </si>
  <si>
    <t>TURQ/AQUA</t>
  </si>
  <si>
    <t>880680491820</t>
  </si>
  <si>
    <t>HOODED SHIRT &amp; SHORTS</t>
  </si>
  <si>
    <t>10G52664-99</t>
  </si>
  <si>
    <t>KIDS HEADQUARTERS/KHQ INVESTMENT</t>
  </si>
  <si>
    <t>T-SHIRT: COTTON/POLYESTER; SHORTS: ALL COTTON</t>
  </si>
  <si>
    <t>191045809915</t>
  </si>
  <si>
    <t>NAUTICA THONG EVA SANDAL</t>
  </si>
  <si>
    <t>ASHEN</t>
  </si>
  <si>
    <t>E S ORIGINALS INC</t>
  </si>
  <si>
    <t>RUBBER UPPER, RUBBER SOLE</t>
  </si>
  <si>
    <t>191045856230</t>
  </si>
  <si>
    <t>NAUTICA GIRLS ANGELFISH</t>
  </si>
  <si>
    <t>BASTIEN</t>
  </si>
  <si>
    <t>TEXTILE UPPER, RUBBER SOLE</t>
  </si>
  <si>
    <t>191045804699</t>
  </si>
  <si>
    <t>191045804682</t>
  </si>
  <si>
    <t>191045804705</t>
  </si>
  <si>
    <t>191539425003</t>
  </si>
  <si>
    <t>FUR SHRUG</t>
  </si>
  <si>
    <t>W58706-SL</t>
  </si>
  <si>
    <t>FAUX FUR &amp; LINING: POLYESTER</t>
  </si>
  <si>
    <t>191045809946</t>
  </si>
  <si>
    <t>191045804675</t>
  </si>
  <si>
    <t>191045804668</t>
  </si>
  <si>
    <t>13 M</t>
  </si>
  <si>
    <t>191045809922</t>
  </si>
  <si>
    <t>46094960424</t>
  </si>
  <si>
    <t>3PK LOGO BRALETTES</t>
  </si>
  <si>
    <t>MAIDENFORM/DELTA GALIL USA GIRLS</t>
  </si>
  <si>
    <t>192136011118</t>
  </si>
  <si>
    <t>KNIT SETF19 BPW TREX CD</t>
  </si>
  <si>
    <t>193579295677</t>
  </si>
  <si>
    <t>SIDE LOGO TEE</t>
  </si>
  <si>
    <t>TBFCA14J-615</t>
  </si>
  <si>
    <t>192399509742</t>
  </si>
  <si>
    <t>4KRFT 3 STRIPE SHORT</t>
  </si>
  <si>
    <t>AH5419</t>
  </si>
  <si>
    <t>191045804392</t>
  </si>
  <si>
    <t>NAUTICA GIRLS ICE CREAM</t>
  </si>
  <si>
    <t>DELLA</t>
  </si>
  <si>
    <t>191045804385</t>
  </si>
  <si>
    <t>617845198085</t>
  </si>
  <si>
    <t>PERFORM BASIC NO SHOW</t>
  </si>
  <si>
    <t>RN0017G</t>
  </si>
  <si>
    <t>NIKE/HADDAD APPAREL SOCKS BOYS</t>
  </si>
  <si>
    <t>COTTON/NYLON/POLYESTER/ELASTANE</t>
  </si>
  <si>
    <t>617844227878</t>
  </si>
  <si>
    <t>UN0017G</t>
  </si>
  <si>
    <t>9328753728</t>
  </si>
  <si>
    <t>JORDAN JUMPMAN CREW 3 PK</t>
  </si>
  <si>
    <t>WJ0010G</t>
  </si>
  <si>
    <t>POLYESTER/NYLON/ELASTANE</t>
  </si>
  <si>
    <t>617844227885</t>
  </si>
  <si>
    <t>617845198092</t>
  </si>
  <si>
    <t>9328753711</t>
  </si>
  <si>
    <t>636189787236</t>
  </si>
  <si>
    <t>BLUE VARSITY JOGGER</t>
  </si>
  <si>
    <t>100026100LB</t>
  </si>
  <si>
    <t>192135612064</t>
  </si>
  <si>
    <t>S19 BLK AND WHITE STRIPE</t>
  </si>
  <si>
    <t>239G885</t>
  </si>
  <si>
    <t>192135617687</t>
  </si>
  <si>
    <t>S19 CHERRY HAPPY BLACK P</t>
  </si>
  <si>
    <t>239G881</t>
  </si>
  <si>
    <t>TUNIC: COTTON/POLYESTER; LEGGINGS: COTTON/POLYESTER/SPANDEX</t>
  </si>
  <si>
    <t>192170564960</t>
  </si>
  <si>
    <t>GIRLS FASHION BOOT</t>
  </si>
  <si>
    <t>CF192602</t>
  </si>
  <si>
    <t>11</t>
  </si>
  <si>
    <t>POLYURETHANE</t>
  </si>
  <si>
    <t>192042355962</t>
  </si>
  <si>
    <t>SKINNY BERMUDA SATEEN SH</t>
  </si>
  <si>
    <t>NCE0125E</t>
  </si>
  <si>
    <t>GRLS 2-6X COL</t>
  </si>
  <si>
    <t>46094957196</t>
  </si>
  <si>
    <t>2PK HIPSTER MONOGRAM</t>
  </si>
  <si>
    <t>CALVIN KLN BRAS/DELTA GALIL UW GRLS</t>
  </si>
  <si>
    <t>COTTON/MODAL/SPANDEX</t>
  </si>
  <si>
    <t>46094957202</t>
  </si>
  <si>
    <t>46094957080</t>
  </si>
  <si>
    <t>2PK BRALETTE MONOGRAM</t>
  </si>
  <si>
    <t>9328298779</t>
  </si>
  <si>
    <t>JAB23JACQUARDCAP</t>
  </si>
  <si>
    <t>9A1419A</t>
  </si>
  <si>
    <t>617846189556</t>
  </si>
  <si>
    <t>46094957233</t>
  </si>
  <si>
    <t>48283002816</t>
  </si>
  <si>
    <t>7-16 5-POCKET SHORT REG</t>
  </si>
  <si>
    <t>NDE0066E</t>
  </si>
  <si>
    <t>10 REG</t>
  </si>
  <si>
    <t>46094831779</t>
  </si>
  <si>
    <t>3PK SMLS BRAS V,CRP,RCBK</t>
  </si>
  <si>
    <t>M4378</t>
  </si>
  <si>
    <t>46094840092</t>
  </si>
  <si>
    <t>2PK CLASSIC CROP BRA</t>
  </si>
  <si>
    <t>M6100</t>
  </si>
  <si>
    <t>640013643681</t>
  </si>
  <si>
    <t>DUARTE</t>
  </si>
  <si>
    <t>UB1191535</t>
  </si>
  <si>
    <t>640013784780</t>
  </si>
  <si>
    <t>BOYS SCOUT CTN/NYLON</t>
  </si>
  <si>
    <t>UB1191534</t>
  </si>
  <si>
    <t>732996347899</t>
  </si>
  <si>
    <t>SKORT</t>
  </si>
  <si>
    <t>100055485LG</t>
  </si>
  <si>
    <t>28399065882</t>
  </si>
  <si>
    <t>NO C MY 1ST TEDDY - TANBASIC</t>
  </si>
  <si>
    <t>POLYESTER FIBERS</t>
  </si>
  <si>
    <t>191539444226</t>
  </si>
  <si>
    <t>GOLD CARDIGAN</t>
  </si>
  <si>
    <t>W59274-SL</t>
  </si>
  <si>
    <t>COTTON/METALLIC</t>
  </si>
  <si>
    <t>732995521559</t>
  </si>
  <si>
    <t>TIE DYE KNIT SHORT</t>
  </si>
  <si>
    <t>100046713LB</t>
  </si>
  <si>
    <t>9328753650</t>
  </si>
  <si>
    <t>JORDAN NO SHOW 3PK</t>
  </si>
  <si>
    <t>WJ0008G</t>
  </si>
  <si>
    <t>9328753667</t>
  </si>
  <si>
    <t>9328753698</t>
  </si>
  <si>
    <t>JORDAN JUMPMAN ANKLE 3PK</t>
  </si>
  <si>
    <t>WJ0009G</t>
  </si>
  <si>
    <t>192136166672</t>
  </si>
  <si>
    <t>BOY 1PCF19 B 1PC MULTI D</t>
  </si>
  <si>
    <t>732996574660</t>
  </si>
  <si>
    <t>BLUE BTTN DWN SKIRT</t>
  </si>
  <si>
    <t>100057133GR</t>
  </si>
  <si>
    <t>807748026848</t>
  </si>
  <si>
    <t>NIKE CREW 6 PACK S</t>
  </si>
  <si>
    <t>BNK3426C</t>
  </si>
  <si>
    <t>NIKE/HADDAD HOSIERY LLC</t>
  </si>
  <si>
    <t>732996348230</t>
  </si>
  <si>
    <t>GRAPHIC LEGGING</t>
  </si>
  <si>
    <t>100055516LG</t>
  </si>
  <si>
    <t>732995051919</t>
  </si>
  <si>
    <t>PH REAL BLOCKED LEG</t>
  </si>
  <si>
    <t>100044504GR</t>
  </si>
  <si>
    <t>883953728531</t>
  </si>
  <si>
    <t>LIGH CUTE BEAR FOOTIE</t>
  </si>
  <si>
    <t>LBQ03988N</t>
  </si>
  <si>
    <t>46094840283</t>
  </si>
  <si>
    <t>SPORT BRA</t>
  </si>
  <si>
    <t>M6130</t>
  </si>
  <si>
    <t>NYLON/SPANDEX/POLYESTER</t>
  </si>
  <si>
    <t>46094840290</t>
  </si>
  <si>
    <t>191888761364</t>
  </si>
  <si>
    <t>CREW 3PK-GF CAMO</t>
  </si>
  <si>
    <t>SX6383</t>
  </si>
  <si>
    <t>BGEOVERFLW</t>
  </si>
  <si>
    <t>NIKE USA INC SOCKS BOYS</t>
  </si>
  <si>
    <t>POLYESTER/SPANDEX/NYLON</t>
  </si>
  <si>
    <t>888408280879</t>
  </si>
  <si>
    <t>CREW 3PK GFX BLOCK</t>
  </si>
  <si>
    <t>SX7563</t>
  </si>
  <si>
    <t>BRNOVERFLW</t>
  </si>
  <si>
    <t>191888761371</t>
  </si>
  <si>
    <t>46094938706</t>
  </si>
  <si>
    <t>MF RCRBCK SPORT BRA</t>
  </si>
  <si>
    <t>46094938690</t>
  </si>
  <si>
    <t>46094938683</t>
  </si>
  <si>
    <t>46094938713</t>
  </si>
  <si>
    <t>617846293291</t>
  </si>
  <si>
    <t>JHB JORDAN NEP</t>
  </si>
  <si>
    <t>UJ0181G</t>
  </si>
  <si>
    <t>617846293321</t>
  </si>
  <si>
    <t>WJ0181G</t>
  </si>
  <si>
    <t>617846742485</t>
  </si>
  <si>
    <t>JORDAN DIAMOND HIGH CREW</t>
  </si>
  <si>
    <t>WJ0099G</t>
  </si>
  <si>
    <t>617847522949</t>
  </si>
  <si>
    <t>NIKE DF PERFORM BASIC</t>
  </si>
  <si>
    <t>RN0015G</t>
  </si>
  <si>
    <t>COTTON/POLYESTER/NYLON/ELASTANE</t>
  </si>
  <si>
    <t>617846293260</t>
  </si>
  <si>
    <t>RJ0181G</t>
  </si>
  <si>
    <t>617845873739</t>
  </si>
  <si>
    <t>JHB RECON</t>
  </si>
  <si>
    <t>UJ0167G</t>
  </si>
  <si>
    <t>617846742096</t>
  </si>
  <si>
    <t>UJ0099G</t>
  </si>
  <si>
    <t>696114340820</t>
  </si>
  <si>
    <t>MULTI COVERALL W DEER</t>
  </si>
  <si>
    <t>350520-MA</t>
  </si>
  <si>
    <t>MAX AND OLIVIA/CLOUD NINE CLOTHING</t>
  </si>
  <si>
    <t>46094964811</t>
  </si>
  <si>
    <t>RIB RACERBACK CROP</t>
  </si>
  <si>
    <t>46094964859</t>
  </si>
  <si>
    <t>732997489680</t>
  </si>
  <si>
    <t>FUZZY OWL CREW</t>
  </si>
  <si>
    <t>100063740BB</t>
  </si>
  <si>
    <t>636202118542</t>
  </si>
  <si>
    <t>11" BEAR PLUSH</t>
  </si>
  <si>
    <t>46094948828</t>
  </si>
  <si>
    <t>MF SMLS CROP BRA</t>
  </si>
  <si>
    <t>46094948811</t>
  </si>
  <si>
    <t>732996169170</t>
  </si>
  <si>
    <t>11 INCH PINEAPPLE</t>
  </si>
  <si>
    <t>100060131BG</t>
  </si>
  <si>
    <t>MED BROWN</t>
  </si>
  <si>
    <t>732996169163</t>
  </si>
  <si>
    <t>11 INCH NARWHAL</t>
  </si>
  <si>
    <t>100060129BG</t>
  </si>
  <si>
    <t>636206544064</t>
  </si>
  <si>
    <t>8" COW PLUSH</t>
  </si>
  <si>
    <t>POLYESTER; POLYFILL BODY FILLING: POLYESTER</t>
  </si>
  <si>
    <t>46094949023</t>
  </si>
  <si>
    <t>SEAMLESS SPORT BRA</t>
  </si>
  <si>
    <t>46094948996</t>
  </si>
  <si>
    <t>636202118498</t>
  </si>
  <si>
    <t>8" OWL PLUSH</t>
  </si>
  <si>
    <t>BODY AND FACE: ACRYLIC/POLYESTER; BELLY AND BEAK: POLYESTER</t>
  </si>
  <si>
    <t>46094831120</t>
  </si>
  <si>
    <t>DOUBLE LACE RUCHED CROP</t>
  </si>
  <si>
    <t>M4390</t>
  </si>
  <si>
    <t>46094831144</t>
  </si>
  <si>
    <t>46094948750</t>
  </si>
  <si>
    <t>46094948897</t>
  </si>
  <si>
    <t>46094948774</t>
  </si>
  <si>
    <t>46094645727</t>
  </si>
  <si>
    <t>RUCHED CRP SMLS W LACE BASIC</t>
  </si>
  <si>
    <t>M4217A</t>
  </si>
  <si>
    <t>732995103939</t>
  </si>
  <si>
    <t>STRIPE BIKINI BOTTOM</t>
  </si>
  <si>
    <t>100046179GR</t>
  </si>
  <si>
    <t>POLYESTER/SPANDEX; LINING: POLYESTER</t>
  </si>
  <si>
    <t>732995884531</t>
  </si>
  <si>
    <t>SMILEY FACE TEE</t>
  </si>
  <si>
    <t>100056753BO</t>
  </si>
  <si>
    <t>46094634929</t>
  </si>
  <si>
    <t>MF SEAMLESS CROP BASIC</t>
  </si>
  <si>
    <t>M4217</t>
  </si>
  <si>
    <t>46094634943</t>
  </si>
  <si>
    <t>46094634936</t>
  </si>
  <si>
    <t>732995035100</t>
  </si>
  <si>
    <t>9 INCH SWAN</t>
  </si>
  <si>
    <t>SWAN: POLYESTER; FAUX LEATHER CROWN: POLYESTER</t>
  </si>
  <si>
    <t>46094700037</t>
  </si>
  <si>
    <t>LACE-BACKA BRALETTE</t>
  </si>
  <si>
    <t>M4360</t>
  </si>
  <si>
    <t>COTTON/SPANDEX; LACE: NYLON/SPANDEX</t>
  </si>
  <si>
    <t>732995035094</t>
  </si>
  <si>
    <t>8 INCH BROWN BEAR</t>
  </si>
  <si>
    <t>732996169248</t>
  </si>
  <si>
    <t>9 INCH OCTOPUS</t>
  </si>
  <si>
    <t>46094831335</t>
  </si>
  <si>
    <t>732995520316</t>
  </si>
  <si>
    <t>SOLID HI NECK TANK</t>
  </si>
  <si>
    <t>100053096GR</t>
  </si>
  <si>
    <t>46094831274</t>
  </si>
  <si>
    <t>732995800180</t>
  </si>
  <si>
    <t>PATCHWORK ROMPER BASIC</t>
  </si>
  <si>
    <t>100045210BG</t>
  </si>
  <si>
    <t>732996169187</t>
  </si>
  <si>
    <t>9 INCH CRAB</t>
  </si>
  <si>
    <t>MED ORANGE</t>
  </si>
  <si>
    <t>732996526904</t>
  </si>
  <si>
    <t>KEYHOLE BACK TEE BASIC</t>
  </si>
  <si>
    <t>100055511LG</t>
  </si>
  <si>
    <t>3T REG</t>
  </si>
  <si>
    <t>640013784568</t>
  </si>
  <si>
    <t>BOYS NEUTRA TANK</t>
  </si>
  <si>
    <t>UB119780</t>
  </si>
  <si>
    <t>636202118511</t>
  </si>
  <si>
    <t>8" LION PLUSH</t>
  </si>
  <si>
    <t>BODY: POLYESTER; ARMS, TAIL EARS AND LEGS: ACRYLIC/POLYESTER</t>
  </si>
  <si>
    <t>636202118535</t>
  </si>
  <si>
    <t>8" MONKEY PLUSH</t>
  </si>
  <si>
    <t>LT/PAS BWN</t>
  </si>
  <si>
    <t>192136088660</t>
  </si>
  <si>
    <t>SLOGAN BSF19 B BS IVORY</t>
  </si>
  <si>
    <t>732996583921</t>
  </si>
  <si>
    <t>FOSSIL TEE</t>
  </si>
  <si>
    <t>100056732LB</t>
  </si>
  <si>
    <t>756845987432</t>
  </si>
  <si>
    <t>2 PCK MILK BIBS</t>
  </si>
  <si>
    <t>2364FI410</t>
  </si>
  <si>
    <t>756845987180</t>
  </si>
  <si>
    <t>STRPE BNDANA BIB SET</t>
  </si>
  <si>
    <t>2355FI410</t>
  </si>
  <si>
    <t>46094965139</t>
  </si>
  <si>
    <t>SMLS HIPSTER</t>
  </si>
  <si>
    <t>46094965177</t>
  </si>
  <si>
    <t>732996892702</t>
  </si>
  <si>
    <t>T RUFFLE BACK JOGGER</t>
  </si>
  <si>
    <t>100052414TG</t>
  </si>
  <si>
    <t>732996892696</t>
  </si>
  <si>
    <t>732996892672</t>
  </si>
  <si>
    <t>T LOVE STRIPE LEGING</t>
  </si>
  <si>
    <t>100052413TG</t>
  </si>
  <si>
    <t>732996892542</t>
  </si>
  <si>
    <t>T DITSY FLRL LEGGING</t>
  </si>
  <si>
    <t>100055463TG</t>
  </si>
  <si>
    <t>732996892450</t>
  </si>
  <si>
    <t>T BIRD LEGGING</t>
  </si>
  <si>
    <t>100052408TG</t>
  </si>
  <si>
    <t>732996892436</t>
  </si>
  <si>
    <t>732996892641</t>
  </si>
  <si>
    <t>T BORDER STRIPE PANT</t>
  </si>
  <si>
    <t>100052410TG</t>
  </si>
  <si>
    <t>732996892474</t>
  </si>
  <si>
    <t>T RIBBED BOW PANT</t>
  </si>
  <si>
    <t>100052411TG</t>
  </si>
  <si>
    <t>732997351611</t>
  </si>
  <si>
    <t>T EYELET RUFLE LEGIN</t>
  </si>
  <si>
    <t>100059419TG</t>
  </si>
  <si>
    <t>732996891842</t>
  </si>
  <si>
    <t>T SS DITSY FLWR TNIC</t>
  </si>
  <si>
    <t>100056179TG</t>
  </si>
  <si>
    <t>732997204436</t>
  </si>
  <si>
    <t>STRIPE KNEE PANT</t>
  </si>
  <si>
    <t>100064419BB</t>
  </si>
  <si>
    <t>732996245713</t>
  </si>
  <si>
    <t>WATERMELON BIB</t>
  </si>
  <si>
    <t>100053797BG</t>
  </si>
  <si>
    <t>POLYESTER/COTTON/SPANDEX</t>
  </si>
  <si>
    <t>46094949351</t>
  </si>
  <si>
    <t>MF SMLS GIRLSHORT</t>
  </si>
  <si>
    <t>46094949382</t>
  </si>
  <si>
    <t>46094949368</t>
  </si>
  <si>
    <t>732996890968</t>
  </si>
  <si>
    <t>T SS ZEBRA FLNCE TEE</t>
  </si>
  <si>
    <t>100052364TG</t>
  </si>
  <si>
    <t>732996890951</t>
  </si>
  <si>
    <t>732995252071</t>
  </si>
  <si>
    <t>ORANGE HAT BASIC</t>
  </si>
  <si>
    <t>732996892351</t>
  </si>
  <si>
    <t>RUFFLE BACK JOGGER</t>
  </si>
  <si>
    <t>100052414BG</t>
  </si>
  <si>
    <t>732996891934</t>
  </si>
  <si>
    <t>T SS GIRL POWER TEE</t>
  </si>
  <si>
    <t>100056316TG</t>
  </si>
  <si>
    <t>BODY: COTTON; SLEEVES: COTTON/POLYESTER</t>
  </si>
  <si>
    <t>80538090568</t>
  </si>
  <si>
    <t>2 PPK GIRL TIGHT MICRO</t>
  </si>
  <si>
    <t>TRIMFIT INC GIRLS</t>
  </si>
  <si>
    <t>732996891149</t>
  </si>
  <si>
    <t>T SS YOU AND ME TEE</t>
  </si>
  <si>
    <t>100056317TG</t>
  </si>
  <si>
    <t>732996891156</t>
  </si>
  <si>
    <t>732996280462</t>
  </si>
  <si>
    <t>B CIRCLE YOGA PANT</t>
  </si>
  <si>
    <t>100054873BB</t>
  </si>
  <si>
    <t>732996892283</t>
  </si>
  <si>
    <t>LOVE STRIPE LEGGING</t>
  </si>
  <si>
    <t>100052413BG</t>
  </si>
  <si>
    <t>732996892214</t>
  </si>
  <si>
    <t>732996892092</t>
  </si>
  <si>
    <t>SPLATTER LEGGING</t>
  </si>
  <si>
    <t>100052412BG</t>
  </si>
  <si>
    <t>732996892146</t>
  </si>
  <si>
    <t>DITSY FLORAL LEGGING</t>
  </si>
  <si>
    <t>100055463BG</t>
  </si>
  <si>
    <t>732996891996</t>
  </si>
  <si>
    <t>BIRD LEGGING</t>
  </si>
  <si>
    <t>100052408BG</t>
  </si>
  <si>
    <t>732996892153</t>
  </si>
  <si>
    <t>732996891071</t>
  </si>
  <si>
    <t>T SS JUMP ROPE TEE</t>
  </si>
  <si>
    <t>100056173TG</t>
  </si>
  <si>
    <t>732996960500</t>
  </si>
  <si>
    <t>BEAR CUFF SLIM JOGGR</t>
  </si>
  <si>
    <t>100063172BB</t>
  </si>
  <si>
    <t>732996891088</t>
  </si>
  <si>
    <t>732996245010</t>
  </si>
  <si>
    <t>CANDY BODYSUIT</t>
  </si>
  <si>
    <t>100053782BG</t>
  </si>
  <si>
    <t>732994881821</t>
  </si>
  <si>
    <t>SOLID BERMUDA BASIC</t>
  </si>
  <si>
    <t>100043345BG</t>
  </si>
  <si>
    <t>732996959986</t>
  </si>
  <si>
    <t>PINDOT LEGGING</t>
  </si>
  <si>
    <t>100063168BG</t>
  </si>
  <si>
    <t>LT/PAS PUR</t>
  </si>
  <si>
    <t>PANTS/RUFFLES: COTTON; BOW: POLYESTER</t>
  </si>
  <si>
    <t>732996959948</t>
  </si>
  <si>
    <t>732996960159</t>
  </si>
  <si>
    <t>FLORAL SLIM JOGGER</t>
  </si>
  <si>
    <t>100063169BG</t>
  </si>
  <si>
    <t>732996960081</t>
  </si>
  <si>
    <t>732996960036</t>
  </si>
  <si>
    <t>732996210087</t>
  </si>
  <si>
    <t>ANIMAL GEO TUNIC BASIC</t>
  </si>
  <si>
    <t>100052321BG</t>
  </si>
  <si>
    <t>732996890289</t>
  </si>
  <si>
    <t>SS HEART TUNIC</t>
  </si>
  <si>
    <t>100052354BG</t>
  </si>
  <si>
    <t>732996890647</t>
  </si>
  <si>
    <t>SS LION TUNIC</t>
  </si>
  <si>
    <t>100056180BG</t>
  </si>
  <si>
    <t>732996890609</t>
  </si>
  <si>
    <t>SS DITSY FLOWR TUNIC</t>
  </si>
  <si>
    <t>100056179BG</t>
  </si>
  <si>
    <t>732996890333</t>
  </si>
  <si>
    <t>SS CUTOUT FLWR TUNIC</t>
  </si>
  <si>
    <t>100052371BG</t>
  </si>
  <si>
    <t>732996890456</t>
  </si>
  <si>
    <t>SS BEAR TUNIC</t>
  </si>
  <si>
    <t>100056175BG</t>
  </si>
  <si>
    <t>732996890319</t>
  </si>
  <si>
    <t>732996959528</t>
  </si>
  <si>
    <t>CATS BODYSUIT</t>
  </si>
  <si>
    <t>100063151BG</t>
  </si>
  <si>
    <t>732996959504</t>
  </si>
  <si>
    <t>732996959672</t>
  </si>
  <si>
    <t>KOALA BODYSUIT</t>
  </si>
  <si>
    <t>100063156BB</t>
  </si>
  <si>
    <t>732996959368</t>
  </si>
  <si>
    <t>OWL BODYSUIT</t>
  </si>
  <si>
    <t>100063148BG</t>
  </si>
  <si>
    <t>LT BEIGE</t>
  </si>
  <si>
    <t>732995635546</t>
  </si>
  <si>
    <t>CHMBRY RFL BLOOMER BASIC</t>
  </si>
  <si>
    <t>100042535BG</t>
  </si>
  <si>
    <t>732996959740</t>
  </si>
  <si>
    <t>SHEEP BODYSUIT</t>
  </si>
  <si>
    <t>SHELL: COTTON/SPANDEX; TRIM: POLYESTER</t>
  </si>
  <si>
    <t>732996959375</t>
  </si>
  <si>
    <t>732996959665</t>
  </si>
  <si>
    <t>732996959474</t>
  </si>
  <si>
    <t>APPLE BODYSUIT</t>
  </si>
  <si>
    <t>100063150BG</t>
  </si>
  <si>
    <t>SHELL: COTTON/SPANDEX; BOW: POLYESTER</t>
  </si>
  <si>
    <t>732995635560</t>
  </si>
  <si>
    <t>732995635553</t>
  </si>
  <si>
    <t>732995635584</t>
  </si>
  <si>
    <t>732996959351</t>
  </si>
  <si>
    <t>732995635577</t>
  </si>
  <si>
    <t>732996889702</t>
  </si>
  <si>
    <t>LS CUTE TEE</t>
  </si>
  <si>
    <t>100052358BG</t>
  </si>
  <si>
    <t>46094831946</t>
  </si>
  <si>
    <t>MF SMLS GIRLSHORT BASIC</t>
  </si>
  <si>
    <t>M4114</t>
  </si>
  <si>
    <t>732996212098</t>
  </si>
  <si>
    <t>STRIPE SWING TOP BASIC</t>
  </si>
  <si>
    <t>100052307BG</t>
  </si>
  <si>
    <t>732996279770</t>
  </si>
  <si>
    <t>FLAMINGO BODYSUIT</t>
  </si>
  <si>
    <t>100054857BG</t>
  </si>
  <si>
    <t>46094636060</t>
  </si>
  <si>
    <t>MF GIRLSHORT SEAMLESS BASIC</t>
  </si>
  <si>
    <t>NYLON/POLYESTER/SPANDEX</t>
  </si>
  <si>
    <t>732996888798</t>
  </si>
  <si>
    <t>SS ZEBRA FLOUNCE TEE</t>
  </si>
  <si>
    <t>100052364BG</t>
  </si>
  <si>
    <t>46094831816</t>
  </si>
  <si>
    <t>MF SMLS HIPSTER BASIC</t>
  </si>
  <si>
    <t>M4101</t>
  </si>
  <si>
    <t>732996889269</t>
  </si>
  <si>
    <t>SS PANDA TEE</t>
  </si>
  <si>
    <t>100056318BG</t>
  </si>
  <si>
    <t>46094636053</t>
  </si>
  <si>
    <t>46094832004</t>
  </si>
  <si>
    <t>732997340967</t>
  </si>
  <si>
    <t>732996889481</t>
  </si>
  <si>
    <t>LOVE MOM RUFFLE TEE</t>
  </si>
  <si>
    <t>100052356BG</t>
  </si>
  <si>
    <t>732996890548</t>
  </si>
  <si>
    <t>SS BUTTERFLY TEE</t>
  </si>
  <si>
    <t>100056178BG</t>
  </si>
  <si>
    <t>732996890500</t>
  </si>
  <si>
    <t>SS SPORTY PUPPY TEE</t>
  </si>
  <si>
    <t>100056177BG</t>
  </si>
  <si>
    <t>732996890517</t>
  </si>
  <si>
    <t>732996890555</t>
  </si>
  <si>
    <t>732995251937</t>
  </si>
  <si>
    <t>LEMON BIB</t>
  </si>
  <si>
    <t>LT/PAS YEL</t>
  </si>
  <si>
    <t>732996279848</t>
  </si>
  <si>
    <t>G NARWHAL BODYSUIT</t>
  </si>
  <si>
    <t>100054858BG</t>
  </si>
  <si>
    <t>732996210148</t>
  </si>
  <si>
    <t>ICE CREAM BOW TEE BASIC</t>
  </si>
  <si>
    <t>100052323BG</t>
  </si>
  <si>
    <t>732996889191</t>
  </si>
  <si>
    <t>SS YOU AND ME TEE</t>
  </si>
  <si>
    <t>100056317BG</t>
  </si>
  <si>
    <t>732996889238</t>
  </si>
  <si>
    <t>732996213040</t>
  </si>
  <si>
    <t>SIDE STRIPE SHORT BASIC</t>
  </si>
  <si>
    <t>100052348BG</t>
  </si>
  <si>
    <t>732996213064</t>
  </si>
  <si>
    <t>732996213088</t>
  </si>
  <si>
    <t>732996213057</t>
  </si>
  <si>
    <t>732996213071</t>
  </si>
  <si>
    <t>732996889146</t>
  </si>
  <si>
    <t>SS CHEETAH TEE</t>
  </si>
  <si>
    <t>100056176BG</t>
  </si>
  <si>
    <t>732996889184</t>
  </si>
  <si>
    <t>46094832028</t>
  </si>
  <si>
    <t>CMFRT GIRLSHORT W/ LCE</t>
  </si>
  <si>
    <t>M4371</t>
  </si>
  <si>
    <t>46094832035</t>
  </si>
  <si>
    <t>732996889139</t>
  </si>
  <si>
    <t>732996900872</t>
  </si>
  <si>
    <t>SS SLOTH TEE</t>
  </si>
  <si>
    <t>100056340BB</t>
  </si>
  <si>
    <t>732996212159</t>
  </si>
  <si>
    <t>LION TEE BASIC</t>
  </si>
  <si>
    <t>100052309BG</t>
  </si>
  <si>
    <t>732995174939</t>
  </si>
  <si>
    <t>HELLO BABY TOTE BAG</t>
  </si>
  <si>
    <t>732996212340</t>
  </si>
  <si>
    <t>DADDYS SUNSHINE TEE BASIC</t>
  </si>
  <si>
    <t>100052325BG</t>
  </si>
  <si>
    <t>732996901053</t>
  </si>
  <si>
    <t>SS MONSTER TEE</t>
  </si>
  <si>
    <t>100060512BB</t>
  </si>
  <si>
    <t>888737827479</t>
  </si>
  <si>
    <t>GUS5</t>
  </si>
  <si>
    <t>GUS5-CR</t>
  </si>
  <si>
    <t>882506828261</t>
  </si>
  <si>
    <t>12 REG/MED</t>
  </si>
  <si>
    <t>192042693354</t>
  </si>
  <si>
    <t>PATCHWORK BLAZER</t>
  </si>
  <si>
    <t>T8J0039-631</t>
  </si>
  <si>
    <t>TOMMY HILFIGER DRESS WEAR/F &amp; T APP</t>
  </si>
  <si>
    <t>192042693378</t>
  </si>
  <si>
    <t>20</t>
  </si>
  <si>
    <t>884733980798</t>
  </si>
  <si>
    <t>COTTON JERSEY-FLORAL LEG</t>
  </si>
  <si>
    <t>791088829132</t>
  </si>
  <si>
    <t>FLORAL ILLUSION NECK PLU</t>
  </si>
  <si>
    <t>F568879</t>
  </si>
  <si>
    <t>14.5CHUBBY</t>
  </si>
  <si>
    <t>SHELL, LINING: POLYESTER</t>
  </si>
  <si>
    <t>791088825448</t>
  </si>
  <si>
    <t>LEOPARD GLITTER PLUS</t>
  </si>
  <si>
    <t>F568869</t>
  </si>
  <si>
    <t>16 PRETEEN</t>
  </si>
  <si>
    <t>791088825431</t>
  </si>
  <si>
    <t>747941654212</t>
  </si>
  <si>
    <t>BLK &amp; WHITE ALLOVER PRIN</t>
  </si>
  <si>
    <t>SC329D04QAU</t>
  </si>
  <si>
    <t>SWAT FAME INC</t>
  </si>
  <si>
    <t>736576076803</t>
  </si>
  <si>
    <t>736576076797</t>
  </si>
  <si>
    <t>791088772278</t>
  </si>
  <si>
    <t>MERMAID METALLIC</t>
  </si>
  <si>
    <t>F462799</t>
  </si>
  <si>
    <t>POLYESTER/METALIC; LINING: POLYESTER</t>
  </si>
  <si>
    <t>637348179213</t>
  </si>
  <si>
    <t>SATIN FLORAL SKATER</t>
  </si>
  <si>
    <t>2252N33</t>
  </si>
  <si>
    <t>BCX/BYER CALIFORNIA</t>
  </si>
  <si>
    <t>791088704231</t>
  </si>
  <si>
    <t>OFF SHOULDER MAXI</t>
  </si>
  <si>
    <t>E458999</t>
  </si>
  <si>
    <t>193579337063</t>
  </si>
  <si>
    <t>885031495342</t>
  </si>
  <si>
    <t>FLAT FRONT-BT-SHO</t>
  </si>
  <si>
    <t>677338874353</t>
  </si>
  <si>
    <t>SR-ZULY</t>
  </si>
  <si>
    <t>CG57404</t>
  </si>
  <si>
    <t>STRIDE RITE/VIDA SHOES INT'L INC</t>
  </si>
  <si>
    <t>FAUX-LEATHER UPPER; RUBBER SOLE</t>
  </si>
  <si>
    <t>791088840960</t>
  </si>
  <si>
    <t>KNIT LONG SLEEVES PINK</t>
  </si>
  <si>
    <t>F869749</t>
  </si>
  <si>
    <t>BODICE: POLYESTER/SPANDEX; SKIRT AND LINING: POLYESTER; DIAPER COVER: POLYESTER</t>
  </si>
  <si>
    <t>191539408396</t>
  </si>
  <si>
    <t>BLUSH FLORAL W TULLE</t>
  </si>
  <si>
    <t>B58505-PS</t>
  </si>
  <si>
    <t>BODICE: NYLON/SPANDEX; LINING, SKIRT, PANTY: POLYESTER</t>
  </si>
  <si>
    <t>791088851638</t>
  </si>
  <si>
    <t>RED GLITTER LACE DRE</t>
  </si>
  <si>
    <t>H816129</t>
  </si>
  <si>
    <t>SHELL: NYLON/SPANDEX; LINING: POLYESTER</t>
  </si>
  <si>
    <t>193112188008</t>
  </si>
  <si>
    <t>BRODY LACE</t>
  </si>
  <si>
    <t>HONEY</t>
  </si>
  <si>
    <t>LEATHER; POLYURETHANE LINING; RUBBER SOLE</t>
  </si>
  <si>
    <t>193112187995</t>
  </si>
  <si>
    <t>193579334550</t>
  </si>
  <si>
    <t>BRADY LS SHIRT</t>
  </si>
  <si>
    <t>TBFCB35F-615</t>
  </si>
  <si>
    <t>192810076433</t>
  </si>
  <si>
    <t>ARMOUR HG NOVELTY HEATHE</t>
  </si>
  <si>
    <t>191274997186</t>
  </si>
  <si>
    <t>DONUTS TIME</t>
  </si>
  <si>
    <t>ERLDS03035</t>
  </si>
  <si>
    <t>2 REG</t>
  </si>
  <si>
    <t>ROXY/QUIKSILVER/BOARDRIDERS 2-6X</t>
  </si>
  <si>
    <t>807746655248</t>
  </si>
  <si>
    <t>PNK W WHT AND GLD FLORAL</t>
  </si>
  <si>
    <t>MAB13236</t>
  </si>
  <si>
    <t>SHELL: NYLON; LINING: POLYESTER</t>
  </si>
  <si>
    <t>791088825271</t>
  </si>
  <si>
    <t>GOLD GLITTER DRESS</t>
  </si>
  <si>
    <t>F868919</t>
  </si>
  <si>
    <t>791088815883</t>
  </si>
  <si>
    <t>RED EMBRIOADERED DRS</t>
  </si>
  <si>
    <t>F868889</t>
  </si>
  <si>
    <t>791088825295</t>
  </si>
  <si>
    <t>880680836218</t>
  </si>
  <si>
    <t>YD MULTI RIB ROMPER</t>
  </si>
  <si>
    <t>TGSCH38S-411</t>
  </si>
  <si>
    <t>193579330279</t>
  </si>
  <si>
    <t>BIG H CREW</t>
  </si>
  <si>
    <t>TGFCB11S-626</t>
  </si>
  <si>
    <t>191539491558</t>
  </si>
  <si>
    <t>GREEN BROCADE WITH REIND</t>
  </si>
  <si>
    <t>X59245-PS</t>
  </si>
  <si>
    <t>DRESS: POLYESTER/METALLIC THREAD; BAND AND BOW: POLYESTER/METALLIC THREAD; LINING: POLYESTER; DIAPER COVER: POLYESTER</t>
  </si>
  <si>
    <t>191539410825</t>
  </si>
  <si>
    <t>PATCH ATHLETIC DRESS</t>
  </si>
  <si>
    <t>B48547-DV</t>
  </si>
  <si>
    <t>GERSON &amp; GERSON</t>
  </si>
  <si>
    <t>SHELL: COTTON/NYLON; LINING: POLYESTER</t>
  </si>
  <si>
    <t>191539410849</t>
  </si>
  <si>
    <t>791088770168</t>
  </si>
  <si>
    <t>PRINTED CHIFFON 2 PIECE</t>
  </si>
  <si>
    <t>S490289</t>
  </si>
  <si>
    <t>RARE EDITIONS FOR GIRLS-CONSIGNEMNT</t>
  </si>
  <si>
    <t>193579330293</t>
  </si>
  <si>
    <t>TGFCB11V-626</t>
  </si>
  <si>
    <t>756998891730</t>
  </si>
  <si>
    <t>OPTIC CAMO CROSSBACK TAN</t>
  </si>
  <si>
    <t>NESS9617DS</t>
  </si>
  <si>
    <t>NIKE SWIM/SUPREME/PERRY ELLIS GIRLS</t>
  </si>
  <si>
    <t>756998992864</t>
  </si>
  <si>
    <t>GLITCH SPIDERBACK MIDKIN</t>
  </si>
  <si>
    <t>NESS9607DS</t>
  </si>
  <si>
    <t>SHELL: POLYESTER/SPANDEX; LINING: POLYESTER</t>
  </si>
  <si>
    <t>756998891594</t>
  </si>
  <si>
    <t>RIFT CROSSBACK ONE PIECE</t>
  </si>
  <si>
    <t>NESS9602DS</t>
  </si>
  <si>
    <t>NYLON/SPANDEX; LINING: POLYESTER</t>
  </si>
  <si>
    <t>791088836291</t>
  </si>
  <si>
    <t>BLACK/RED VELVET BDC</t>
  </si>
  <si>
    <t>H816879</t>
  </si>
  <si>
    <t>TOP: POLYESTER/SPANDEX; SKIRT AND LINING: POLYESTER; DIAPER COVER: POLYESTER</t>
  </si>
  <si>
    <t>191539492081</t>
  </si>
  <si>
    <t>SHIMMER TOP WITH MULTI M</t>
  </si>
  <si>
    <t>X59324-PS</t>
  </si>
  <si>
    <t>BODICE: POLYESTER/SPANDEX; SKIRT/LINING/DIAPER COVER: POLYESTER</t>
  </si>
  <si>
    <t>191524530286</t>
  </si>
  <si>
    <t>3STRIPES LEGGIN</t>
  </si>
  <si>
    <t>DV2874</t>
  </si>
  <si>
    <t>193147058062</t>
  </si>
  <si>
    <t>B NK AVALANCHE AOP SHORT</t>
  </si>
  <si>
    <t>BV3436</t>
  </si>
  <si>
    <t>193147058079</t>
  </si>
  <si>
    <t>192136215714</t>
  </si>
  <si>
    <t>COSTUMEF19 N COSTUME AVO</t>
  </si>
  <si>
    <t>COSTUME: POLYESTER; LINING: POLYESTER; T-SHIRT: COTTON; TIGHTS: 100% POLYESTER</t>
  </si>
  <si>
    <t>747941638809</t>
  </si>
  <si>
    <t>SWAT PLACEHOLDER</t>
  </si>
  <si>
    <t>S4544D01GXV</t>
  </si>
  <si>
    <t>46094874356</t>
  </si>
  <si>
    <t>2PC S/S SHIRT W LONG PA</t>
  </si>
  <si>
    <t>M1116</t>
  </si>
  <si>
    <t>CALVIN KLEIN SLEEP/DELTA GALIL BOYS</t>
  </si>
  <si>
    <t>732995167634</t>
  </si>
  <si>
    <t>ASYM BTTN OVERALL</t>
  </si>
  <si>
    <t>100047060GR</t>
  </si>
  <si>
    <t>191539440112</t>
  </si>
  <si>
    <t>CREAM SWEATER W CHEETAH</t>
  </si>
  <si>
    <t>W58701-PL</t>
  </si>
  <si>
    <t>SWEATER: COTTON; MESH UNDERSKIRT: POLYESTER; LEGGINGS: COTTON/SPANDEX</t>
  </si>
  <si>
    <t>191539477187</t>
  </si>
  <si>
    <t>REINDEER COVERALL</t>
  </si>
  <si>
    <t>X59611-CL</t>
  </si>
  <si>
    <t>COTTON/SPANDEX; TRIM: POLYESTER</t>
  </si>
  <si>
    <t>191539461001</t>
  </si>
  <si>
    <t>PLAID TRAPEZE</t>
  </si>
  <si>
    <t>X59367-PS</t>
  </si>
  <si>
    <t>DRESS: POLYESTER/METALLIC; BAND/BOW: NYLON/METALLIC/POLYESTER; LINING/DIAPER COVER: POLYESTER</t>
  </si>
  <si>
    <t>192500040966</t>
  </si>
  <si>
    <t>G NK DRY TEMPO SHORT AOP</t>
  </si>
  <si>
    <t>AV6378</t>
  </si>
  <si>
    <t>BODY:RECYCLED/ POLYESTER LINING:RECYCLED/POLYESTER</t>
  </si>
  <si>
    <t>192500040980</t>
  </si>
  <si>
    <t>732996570303</t>
  </si>
  <si>
    <t>FLORAL FOIL JUMPSUIT</t>
  </si>
  <si>
    <t>100057085GR</t>
  </si>
  <si>
    <t>RAYON; TRIM: POLYESTER</t>
  </si>
  <si>
    <t>732997343456</t>
  </si>
  <si>
    <t>STATEMENT SKIRT SET</t>
  </si>
  <si>
    <t>100062975BG</t>
  </si>
  <si>
    <t>SWEATER: COTTON/RAYON/POLYESTER; SKIRT BODY: POLYESTER; SKIRT LINING: POLYESTER/COTTON; ROSETTE: POLYESTER</t>
  </si>
  <si>
    <t>46094874462</t>
  </si>
  <si>
    <t>2PC TSHIRT W/ SHORT</t>
  </si>
  <si>
    <t>M1117</t>
  </si>
  <si>
    <t>192399793394</t>
  </si>
  <si>
    <t>192399793400</t>
  </si>
  <si>
    <t>192500028933</t>
  </si>
  <si>
    <t>G NSW SHORT JERSEY</t>
  </si>
  <si>
    <t>AQ9055</t>
  </si>
  <si>
    <t>192500029886</t>
  </si>
  <si>
    <t>G NK TROPHY BREATHE</t>
  </si>
  <si>
    <t>AQ9086</t>
  </si>
  <si>
    <t>886061594616</t>
  </si>
  <si>
    <t>829268769975</t>
  </si>
  <si>
    <t>WRAP WITH RUFFLE SLEEVE</t>
  </si>
  <si>
    <t>1NYAERNB</t>
  </si>
  <si>
    <t>SELF ESTEEM/ALL ACCESS APPAREL</t>
  </si>
  <si>
    <t>KIMONO: POLYESTER; ROMPER: POLYESTER/RAYON</t>
  </si>
  <si>
    <t>829268769951</t>
  </si>
  <si>
    <t>829268769968</t>
  </si>
  <si>
    <t>192399959158</t>
  </si>
  <si>
    <t>LINEAR HOODIE</t>
  </si>
  <si>
    <t>AA4653</t>
  </si>
  <si>
    <t>880680855479</t>
  </si>
  <si>
    <t>TH MASCOT TEE</t>
  </si>
  <si>
    <t>TGFCA07S-100</t>
  </si>
  <si>
    <t>192769048321</t>
  </si>
  <si>
    <t>DRESS04592-CRINKLE TREAS</t>
  </si>
  <si>
    <t>M</t>
  </si>
  <si>
    <t>192769048338</t>
  </si>
  <si>
    <t>633716766214</t>
  </si>
  <si>
    <t>732995191707</t>
  </si>
  <si>
    <t>CROP RUFFLE CARDI</t>
  </si>
  <si>
    <t>100047740GR</t>
  </si>
  <si>
    <t>COTTON/ACRYLIC</t>
  </si>
  <si>
    <t>732995191721</t>
  </si>
  <si>
    <t>732995191691</t>
  </si>
  <si>
    <t>48238368141</t>
  </si>
  <si>
    <t>CHILL JASMINE DRESS</t>
  </si>
  <si>
    <t>TD6386GD6964</t>
  </si>
  <si>
    <t>EVY/EVY OF CALIFORNIA-LITTLE</t>
  </si>
  <si>
    <t>DRESS/LINING: POLYESTER</t>
  </si>
  <si>
    <t>889799600529</t>
  </si>
  <si>
    <t>TOP WING 2FOR SET</t>
  </si>
  <si>
    <t>EO001ESLMA</t>
  </si>
  <si>
    <t>AMERICAN MARKETING ENT BOYS</t>
  </si>
  <si>
    <t>732995104431</t>
  </si>
  <si>
    <t>MERMAID RASHGRD SET</t>
  </si>
  <si>
    <t>100046206LG</t>
  </si>
  <si>
    <t>633731315695</t>
  </si>
  <si>
    <t>BLU WHT 3 PCS COVERALL S</t>
  </si>
  <si>
    <t>56F818G</t>
  </si>
  <si>
    <t>192399970078</t>
  </si>
  <si>
    <t>EXPLODED OUTLINE LINEAR</t>
  </si>
  <si>
    <t>AA4704</t>
  </si>
  <si>
    <t>880680218984</t>
  </si>
  <si>
    <t>DIAMONIQUE 2-PCE SWIM</t>
  </si>
  <si>
    <t>TGSCK13H-100</t>
  </si>
  <si>
    <t>TOMMY HILFIGER GIRL SWIM/KHQ INVEST</t>
  </si>
  <si>
    <t>732995523171</t>
  </si>
  <si>
    <t>GRAFFITI DENIM SHORT</t>
  </si>
  <si>
    <t>100048204BO</t>
  </si>
  <si>
    <t>46094873953</t>
  </si>
  <si>
    <t>S/S DRESS</t>
  </si>
  <si>
    <t>M2121</t>
  </si>
  <si>
    <t>CALVIN KLEIN SLEEP/DELTA GALIL GRLS</t>
  </si>
  <si>
    <t>829268769654</t>
  </si>
  <si>
    <t>HIGH LOW DRESS</t>
  </si>
  <si>
    <t>1QNXNZBF</t>
  </si>
  <si>
    <t>KIMONO: POLYESTER; TOP: COTTON/POLYESTER</t>
  </si>
  <si>
    <t>829268769647</t>
  </si>
  <si>
    <t>829268770049</t>
  </si>
  <si>
    <t>883498504591</t>
  </si>
  <si>
    <t>SKYLINE VIEW</t>
  </si>
  <si>
    <t>TIEDTTAY3054</t>
  </si>
  <si>
    <t>SILK/NYLON</t>
  </si>
  <si>
    <t>191967181953</t>
  </si>
  <si>
    <t>2PC FLUTTER TOP /RUFFLE</t>
  </si>
  <si>
    <t>S3DK233G</t>
  </si>
  <si>
    <t>DKNY GIRLS SWIM/SAMSUNG C&amp;T AMERICA</t>
  </si>
  <si>
    <t>889338677104</t>
  </si>
  <si>
    <t>F18 LBB 4PC SET NEUTRAL</t>
  </si>
  <si>
    <t>126H522</t>
  </si>
  <si>
    <t>193579107260</t>
  </si>
  <si>
    <t>COTTON/POLYESTER; LEGGINGS: COTTON/POLYESTER/SPANDEX</t>
  </si>
  <si>
    <t>617846445270</t>
  </si>
  <si>
    <t>PINK JUST DO IT</t>
  </si>
  <si>
    <t>06E890G</t>
  </si>
  <si>
    <t>0-3</t>
  </si>
  <si>
    <t>192769048871</t>
  </si>
  <si>
    <t>2 PC BIKINI05928-PICNIC</t>
  </si>
  <si>
    <t>192769049212</t>
  </si>
  <si>
    <t>2 PC TANKINI05434-CAST A</t>
  </si>
  <si>
    <t>192769049052</t>
  </si>
  <si>
    <t>2 PC TANKINI05444-WASH I</t>
  </si>
  <si>
    <t>880680628271</t>
  </si>
  <si>
    <t>CALVIN MOSAIC VOLLEY SHO</t>
  </si>
  <si>
    <t>35G66723-35</t>
  </si>
  <si>
    <t>CALVIN KLEIN BOY SWIM/KHQ INVESTMNT</t>
  </si>
  <si>
    <t>732996380179</t>
  </si>
  <si>
    <t>CAGE LEGGING</t>
  </si>
  <si>
    <t>100055473GR</t>
  </si>
  <si>
    <t>732996104997</t>
  </si>
  <si>
    <t>732996380155</t>
  </si>
  <si>
    <t>732996104973</t>
  </si>
  <si>
    <t>732996380162</t>
  </si>
  <si>
    <t>732996380148</t>
  </si>
  <si>
    <t>732996526478</t>
  </si>
  <si>
    <t>KNIT SHORT SET BASIC</t>
  </si>
  <si>
    <t>100054251LG</t>
  </si>
  <si>
    <t>191539372857</t>
  </si>
  <si>
    <t>COLD SHOULDER YARN DYED</t>
  </si>
  <si>
    <t>S38290-RV</t>
  </si>
  <si>
    <t>732996442440</t>
  </si>
  <si>
    <t>FLRL TIGER JUMPSUIT</t>
  </si>
  <si>
    <t>100056986LG</t>
  </si>
  <si>
    <t>EPCTHRD G2-6X</t>
  </si>
  <si>
    <t>732996084886</t>
  </si>
  <si>
    <t>TIERED SMOCK TOP</t>
  </si>
  <si>
    <t>100057130GR</t>
  </si>
  <si>
    <t>732995050509</t>
  </si>
  <si>
    <t>CHEVRON TRACK PANT</t>
  </si>
  <si>
    <t>100044438GR</t>
  </si>
  <si>
    <t>732995050493</t>
  </si>
  <si>
    <t>193149875216</t>
  </si>
  <si>
    <t>G NSW TEE DPTL FUTUR</t>
  </si>
  <si>
    <t>CI8289</t>
  </si>
  <si>
    <t>193149871799</t>
  </si>
  <si>
    <t>B NK DRY TEE LEG SWO</t>
  </si>
  <si>
    <t>AR5307</t>
  </si>
  <si>
    <t>193149778005</t>
  </si>
  <si>
    <t>G NSW TEE SCOOP FUTURE F</t>
  </si>
  <si>
    <t>CI8222</t>
  </si>
  <si>
    <t>193149875223</t>
  </si>
  <si>
    <t>193149882009</t>
  </si>
  <si>
    <t>193149875230</t>
  </si>
  <si>
    <t>193149778012</t>
  </si>
  <si>
    <t>192399963896</t>
  </si>
  <si>
    <t>192399454172</t>
  </si>
  <si>
    <t>SHAPED HEM TANK</t>
  </si>
  <si>
    <t>AA4610</t>
  </si>
  <si>
    <t>192399487491</t>
  </si>
  <si>
    <t>ALL ME BRA</t>
  </si>
  <si>
    <t>AB7013</t>
  </si>
  <si>
    <t>192504332463</t>
  </si>
  <si>
    <t>REGGAE TOWN MKJ0</t>
  </si>
  <si>
    <t>ERGHA03145</t>
  </si>
  <si>
    <t>OSFA REG</t>
  </si>
  <si>
    <t>ROXY/QUIKSILVER/BOARDRIDERS 7-16</t>
  </si>
  <si>
    <t>192136181286</t>
  </si>
  <si>
    <t>192136323426</t>
  </si>
  <si>
    <t>KNIT SETF19 BPW MONSTER</t>
  </si>
  <si>
    <t>192136181309</t>
  </si>
  <si>
    <t>732995051612</t>
  </si>
  <si>
    <t>PRETTY FRC 2FER TEE</t>
  </si>
  <si>
    <t>100044400GR</t>
  </si>
  <si>
    <t>COTTON/POLYESTER; SPORTS BRA: POLYESTER/SPANDEX</t>
  </si>
  <si>
    <t>26217620398</t>
  </si>
  <si>
    <t>32MM FES PIECED MIX</t>
  </si>
  <si>
    <t>12TL01XZ09</t>
  </si>
  <si>
    <t>POLYURETHANE/LEATHER/POLYESTER</t>
  </si>
  <si>
    <t>26217620473</t>
  </si>
  <si>
    <t>26217620374</t>
  </si>
  <si>
    <t>26217620381</t>
  </si>
  <si>
    <t>732995697841</t>
  </si>
  <si>
    <t>NO REST TANK BASIC</t>
  </si>
  <si>
    <t>100044709BO</t>
  </si>
  <si>
    <t>IDEOLOGY BOYS 8-20/EDI/TOPSVILLE</t>
  </si>
  <si>
    <t>732996104881</t>
  </si>
  <si>
    <t>7/8HGH WAIST LEGGING</t>
  </si>
  <si>
    <t>100055472GR</t>
  </si>
  <si>
    <t>829268926316</t>
  </si>
  <si>
    <t>BUTTON SHOULDER TIE FRON</t>
  </si>
  <si>
    <t>1VXUNZQG</t>
  </si>
  <si>
    <t>BRIGHT GRN</t>
  </si>
  <si>
    <t>RAYON/SPANDEX</t>
  </si>
  <si>
    <t>732996336237</t>
  </si>
  <si>
    <t>MESH SHORT</t>
  </si>
  <si>
    <t>100055484GR</t>
  </si>
  <si>
    <t>732995050257</t>
  </si>
  <si>
    <t>FUTURE MESH 2FER TEE</t>
  </si>
  <si>
    <t>100044398GR</t>
  </si>
  <si>
    <t>POLYESTER/SPANDEX; CONTRAST: POLYESTER</t>
  </si>
  <si>
    <t>732995050233</t>
  </si>
  <si>
    <t>732995050264</t>
  </si>
  <si>
    <t>640013643889</t>
  </si>
  <si>
    <t>640013784773</t>
  </si>
  <si>
    <t>640013784797</t>
  </si>
  <si>
    <t>640013648358</t>
  </si>
  <si>
    <t>JUNIPER</t>
  </si>
  <si>
    <t>UB1191733</t>
  </si>
  <si>
    <t>640013645616</t>
  </si>
  <si>
    <t>JUNGLE</t>
  </si>
  <si>
    <t>UB1191736</t>
  </si>
  <si>
    <t>640013791689</t>
  </si>
  <si>
    <t>PICARD KNIT SHORT</t>
  </si>
  <si>
    <t>UB1191700</t>
  </si>
  <si>
    <t>640013791672</t>
  </si>
  <si>
    <t>640013643841</t>
  </si>
  <si>
    <t>CHART</t>
  </si>
  <si>
    <t>UB1191527</t>
  </si>
  <si>
    <t>640013643667</t>
  </si>
  <si>
    <t>732996441337</t>
  </si>
  <si>
    <t>GINGHAM RUFFLE DRESS</t>
  </si>
  <si>
    <t>100056968LG</t>
  </si>
  <si>
    <t>732996441320</t>
  </si>
  <si>
    <t>732996441269</t>
  </si>
  <si>
    <t>732996441252</t>
  </si>
  <si>
    <t>732996336008</t>
  </si>
  <si>
    <t>PRINTED SHORT</t>
  </si>
  <si>
    <t>100055481GR</t>
  </si>
  <si>
    <t>SHELL/INNER BRIEF: POLYESTER; MESH INSET: POLYESTER/SPANDEX</t>
  </si>
  <si>
    <t>732996347936</t>
  </si>
  <si>
    <t>884630153813</t>
  </si>
  <si>
    <t>SOLID PPBGWST SHORT</t>
  </si>
  <si>
    <t>K8571S</t>
  </si>
  <si>
    <t>MONTEAU INC-BIG</t>
  </si>
  <si>
    <t>841574174380</t>
  </si>
  <si>
    <t>UNICORN GLAM 2 PIECE</t>
  </si>
  <si>
    <t>GS4-455</t>
  </si>
  <si>
    <t>841574174403</t>
  </si>
  <si>
    <t>841574174182</t>
  </si>
  <si>
    <t>GS2-455</t>
  </si>
  <si>
    <t>841574174397</t>
  </si>
  <si>
    <t>841574174458</t>
  </si>
  <si>
    <t>GS4-456</t>
  </si>
  <si>
    <t>732995051506</t>
  </si>
  <si>
    <t>OMBRE 2FER TANK</t>
  </si>
  <si>
    <t>100044396GR</t>
  </si>
  <si>
    <t>732995051490</t>
  </si>
  <si>
    <t>732996105000</t>
  </si>
  <si>
    <t>100055474GR</t>
  </si>
  <si>
    <t>732996105024</t>
  </si>
  <si>
    <t>732996174389</t>
  </si>
  <si>
    <t>RAINBOW SHORTALL SET BASIC</t>
  </si>
  <si>
    <t>100053813BG</t>
  </si>
  <si>
    <t>732995521573</t>
  </si>
  <si>
    <t>732996105062</t>
  </si>
  <si>
    <t>BLOCKED LEGGING</t>
  </si>
  <si>
    <t>100055475GR</t>
  </si>
  <si>
    <t>POLYESTER/SPANDEX; MESH: NYLON/SPANDEX</t>
  </si>
  <si>
    <t>732996380476</t>
  </si>
  <si>
    <t>SIDE INSET CAPRI</t>
  </si>
  <si>
    <t>100055480GR</t>
  </si>
  <si>
    <t>732996380674</t>
  </si>
  <si>
    <t>732996380469</t>
  </si>
  <si>
    <t>732995050721</t>
  </si>
  <si>
    <t>PH REAL FLOWER CAPRI</t>
  </si>
  <si>
    <t>100044352GR</t>
  </si>
  <si>
    <t>732995050424</t>
  </si>
  <si>
    <t>BOXER SHORT</t>
  </si>
  <si>
    <t>100044432GR</t>
  </si>
  <si>
    <t>192136031581</t>
  </si>
  <si>
    <t>CARDIF19 B CARDI FLC GRE</t>
  </si>
  <si>
    <t>192136031598</t>
  </si>
  <si>
    <t>192136175360</t>
  </si>
  <si>
    <t>BOY 1PCF19 B 1PC BURGAND</t>
  </si>
  <si>
    <t>756845987371</t>
  </si>
  <si>
    <t>690691004533</t>
  </si>
  <si>
    <t>LOVE FLIP SEQUIN TEE</t>
  </si>
  <si>
    <t>1663209KP089</t>
  </si>
  <si>
    <t>BEAUTEES/KWDZ MFG LLC/DESIGN ZONE</t>
  </si>
  <si>
    <t>732995051889</t>
  </si>
  <si>
    <t>732995103809</t>
  </si>
  <si>
    <t>GIRLS SLAY RASH GARD</t>
  </si>
  <si>
    <t>100046176GR</t>
  </si>
  <si>
    <t>732995103755</t>
  </si>
  <si>
    <t>SHELL RASH GUARD</t>
  </si>
  <si>
    <t>100046175GR</t>
  </si>
  <si>
    <t>48283014352</t>
  </si>
  <si>
    <t>S/S PIQUE POLO HUSKY</t>
  </si>
  <si>
    <t>N881691E</t>
  </si>
  <si>
    <t>26 HUSKY</t>
  </si>
  <si>
    <t>732995051759</t>
  </si>
  <si>
    <t>PR FLOWER SKORT</t>
  </si>
  <si>
    <t>100044427GR</t>
  </si>
  <si>
    <t>732995051766</t>
  </si>
  <si>
    <t>732995051742</t>
  </si>
  <si>
    <t>732995045864</t>
  </si>
  <si>
    <t>HEATHER MESH SHORT</t>
  </si>
  <si>
    <t>100044431GR</t>
  </si>
  <si>
    <t>735869404606</t>
  </si>
  <si>
    <t>MESH FOOTBALL JERSEY</t>
  </si>
  <si>
    <t>C5407R</t>
  </si>
  <si>
    <t>CHAMPION 2-7/BELUGA INC</t>
  </si>
  <si>
    <t>888282684428</t>
  </si>
  <si>
    <t>DIGITAL CAMO SWIM TRUNK</t>
  </si>
  <si>
    <t>LBS9379</t>
  </si>
  <si>
    <t>633731131509</t>
  </si>
  <si>
    <t>GIRLS AOP TEMPO SHORT</t>
  </si>
  <si>
    <t>36F659G</t>
  </si>
  <si>
    <t>BODY: POLYESTER; LINING: POLYESTER/ELASTANE</t>
  </si>
  <si>
    <t>633731131462</t>
  </si>
  <si>
    <t>633731131486</t>
  </si>
  <si>
    <t>633731131516</t>
  </si>
  <si>
    <t>885779990574</t>
  </si>
  <si>
    <t>RAYON CHALLIS PORK CHOP</t>
  </si>
  <si>
    <t>IS119K0290</t>
  </si>
  <si>
    <t>8 REG</t>
  </si>
  <si>
    <t>VANILLA STAR/REVISE CLOTHING INC</t>
  </si>
  <si>
    <t>192042329901</t>
  </si>
  <si>
    <t>S/S PERFORMANCE POLO</t>
  </si>
  <si>
    <t>NDA0358E</t>
  </si>
  <si>
    <t>192136003755</t>
  </si>
  <si>
    <t>SINGLE DRESSF19 G DRESS</t>
  </si>
  <si>
    <t>192136002406</t>
  </si>
  <si>
    <t>192135977101</t>
  </si>
  <si>
    <t>1 PCF19 G 1 PC CHEETAH</t>
  </si>
  <si>
    <t>885872993700</t>
  </si>
  <si>
    <t>HEART EYES SMILEY FACE H</t>
  </si>
  <si>
    <t>1663347K8495</t>
  </si>
  <si>
    <t>732996320229</t>
  </si>
  <si>
    <t>COLOR DENIM SHORTS BASIC</t>
  </si>
  <si>
    <t>100054720BB</t>
  </si>
  <si>
    <t>756500009585</t>
  </si>
  <si>
    <t>PASTEL PINK PLAID</t>
  </si>
  <si>
    <t>81K91590</t>
  </si>
  <si>
    <t>NAUTICA/PVH NECKWEAR INC</t>
  </si>
  <si>
    <t>756500009592</t>
  </si>
  <si>
    <t>732996336435</t>
  </si>
  <si>
    <t>MESH SKIMMER TEE</t>
  </si>
  <si>
    <t>100055502GR</t>
  </si>
  <si>
    <t>732996320168</t>
  </si>
  <si>
    <t>WHITE DENIM SHORT BASIC</t>
  </si>
  <si>
    <t>100052629BB</t>
  </si>
  <si>
    <t>706255618419</t>
  </si>
  <si>
    <t>CHAR RUN LIKE A GIRL CAPBASIC</t>
  </si>
  <si>
    <t>G6404CM431</t>
  </si>
  <si>
    <t>884630153981</t>
  </si>
  <si>
    <t>CAMO PRINT SHORT</t>
  </si>
  <si>
    <t>K8589</t>
  </si>
  <si>
    <t>SHELL 1: POLYESTER/SPANDEX; SHELL 2: POLYESTER/RAYON/SPANDEX</t>
  </si>
  <si>
    <t>732995064780</t>
  </si>
  <si>
    <t>PH REAL FLOWER SKORT</t>
  </si>
  <si>
    <t>100044427LG</t>
  </si>
  <si>
    <t>732995103823</t>
  </si>
  <si>
    <t>TWOFER TANKINI</t>
  </si>
  <si>
    <t>100046177GR</t>
  </si>
  <si>
    <t>POLYESTER/SPANDEX/MESH, LINING: POLYESTER</t>
  </si>
  <si>
    <t>696114340844</t>
  </si>
  <si>
    <t>696114340837</t>
  </si>
  <si>
    <t>735869409823</t>
  </si>
  <si>
    <t>FLORAL PRINT SHORT</t>
  </si>
  <si>
    <t>C7550M</t>
  </si>
  <si>
    <t>CHAMPION/BELUGA INC</t>
  </si>
  <si>
    <t>735869409878</t>
  </si>
  <si>
    <t>732996442334</t>
  </si>
  <si>
    <t>FRUIT TULLE DRESS</t>
  </si>
  <si>
    <t>100056983LG</t>
  </si>
  <si>
    <t>COTTON/POLYESTER; LINING: POLYESTER</t>
  </si>
  <si>
    <t>732995103878</t>
  </si>
  <si>
    <t>HIGH NECK TANKINI</t>
  </si>
  <si>
    <t>100046178GR</t>
  </si>
  <si>
    <t>696114340769</t>
  </si>
  <si>
    <t>MULTI NIGHTGOWN W SOCKS</t>
  </si>
  <si>
    <t>150180-MA</t>
  </si>
  <si>
    <t>NIGHTGOWN AND SOCKS: POLYESTER</t>
  </si>
  <si>
    <t>696114340776</t>
  </si>
  <si>
    <t>696114340790</t>
  </si>
  <si>
    <t>PLAID NIGHTGOWN W SOCKS</t>
  </si>
  <si>
    <t>150140-MA</t>
  </si>
  <si>
    <t>696114340806</t>
  </si>
  <si>
    <t>696114340783</t>
  </si>
  <si>
    <t>696114340813</t>
  </si>
  <si>
    <t>732996335872</t>
  </si>
  <si>
    <t>732996335797</t>
  </si>
  <si>
    <t>732996336169</t>
  </si>
  <si>
    <t>732996336053</t>
  </si>
  <si>
    <t>732996336046</t>
  </si>
  <si>
    <t>636206946943</t>
  </si>
  <si>
    <t>WATERMELON TANKINI BASIC</t>
  </si>
  <si>
    <t>100030076BG</t>
  </si>
  <si>
    <t>696114339985</t>
  </si>
  <si>
    <t>MULTI PRINT W SOCKS</t>
  </si>
  <si>
    <t>750413-MA</t>
  </si>
  <si>
    <t>PAJAMAS: COTTON/SPANDEX; SOCKS: POLYESTER</t>
  </si>
  <si>
    <t>696114340066</t>
  </si>
  <si>
    <t>RED BELIEVE W SOCKS</t>
  </si>
  <si>
    <t>750423-MA</t>
  </si>
  <si>
    <t>696114340028</t>
  </si>
  <si>
    <t>696114340035</t>
  </si>
  <si>
    <t>696114339978</t>
  </si>
  <si>
    <t>696114339954</t>
  </si>
  <si>
    <t>696114339992</t>
  </si>
  <si>
    <t>726895238884</t>
  </si>
  <si>
    <t>732996105352</t>
  </si>
  <si>
    <t>BRA TOP</t>
  </si>
  <si>
    <t>100055492GR</t>
  </si>
  <si>
    <t>735869409496</t>
  </si>
  <si>
    <t>C5550M</t>
  </si>
  <si>
    <t>BABY BELUGA/BELUGA INC</t>
  </si>
  <si>
    <t>633716909864</t>
  </si>
  <si>
    <t>G2HG SPORTSWEAR LOGO TEE</t>
  </si>
  <si>
    <t>214900F</t>
  </si>
  <si>
    <t>LEVI'S/HADDAD APPAREL-LITTLE</t>
  </si>
  <si>
    <t>732996525709</t>
  </si>
  <si>
    <t>MUSCLE TANK BASIC</t>
  </si>
  <si>
    <t>100054246GR</t>
  </si>
  <si>
    <t>IDEOLOGY GIRLS 7-16-EDI/TOPSVILLE</t>
  </si>
  <si>
    <t>732996525617</t>
  </si>
  <si>
    <t>732996525631</t>
  </si>
  <si>
    <t>732995552690</t>
  </si>
  <si>
    <t>STRONGER TEE BASIC</t>
  </si>
  <si>
    <t>100044682GR</t>
  </si>
  <si>
    <t>732995552706</t>
  </si>
  <si>
    <t>732996380766</t>
  </si>
  <si>
    <t>TAB BACK BRA</t>
  </si>
  <si>
    <t>100055498GR</t>
  </si>
  <si>
    <t>732996380780</t>
  </si>
  <si>
    <t>732997307038</t>
  </si>
  <si>
    <t>PINK PLAID TOP</t>
  </si>
  <si>
    <t>100063643BG</t>
  </si>
  <si>
    <t>192135384381</t>
  </si>
  <si>
    <t>S19 INTERLOCK NAVY DINO</t>
  </si>
  <si>
    <t>732994877534</t>
  </si>
  <si>
    <t>SHE BELIEVED TANK BASIC</t>
  </si>
  <si>
    <t>100044690GR</t>
  </si>
  <si>
    <t>735869459712</t>
  </si>
  <si>
    <t>MESH SHORT WITH TAPING</t>
  </si>
  <si>
    <t>7500CM</t>
  </si>
  <si>
    <t>735869459736</t>
  </si>
  <si>
    <t>735869459729</t>
  </si>
  <si>
    <t>732996245515</t>
  </si>
  <si>
    <t>WATERMELON TUTU</t>
  </si>
  <si>
    <t>100053791BG</t>
  </si>
  <si>
    <t>SKIRT, LINING: COTTON/POLYESTER; TULLE TRIM: POLYESTER</t>
  </si>
  <si>
    <t>732996245478</t>
  </si>
  <si>
    <t>732996245553</t>
  </si>
  <si>
    <t>732997559529</t>
  </si>
  <si>
    <t>SOLID FLEECE SHORT</t>
  </si>
  <si>
    <t>100069121LB</t>
  </si>
  <si>
    <t>732997559505</t>
  </si>
  <si>
    <t>732995696509</t>
  </si>
  <si>
    <t>LIMITLESS SS TEE BASIC</t>
  </si>
  <si>
    <t>100045245LB</t>
  </si>
  <si>
    <t>IDEOLOGY BOYS 2-7-EDI/TOPSVILLE</t>
  </si>
  <si>
    <t>732995696431</t>
  </si>
  <si>
    <t>732995103724</t>
  </si>
  <si>
    <t>STRAPPY BIKINI TOP</t>
  </si>
  <si>
    <t>100046174GR</t>
  </si>
  <si>
    <t>732995696561</t>
  </si>
  <si>
    <t>BALLER SS TEE BASIC</t>
  </si>
  <si>
    <t>100045246LB</t>
  </si>
  <si>
    <t>732996086231</t>
  </si>
  <si>
    <t>PALM BIKINI BRIEF</t>
  </si>
  <si>
    <t>100054236GR</t>
  </si>
  <si>
    <t>732995552904</t>
  </si>
  <si>
    <t>OUT DREAM TANK BASIC</t>
  </si>
  <si>
    <t>100044688GR</t>
  </si>
  <si>
    <t>732996245690</t>
  </si>
  <si>
    <t>WATERMELON HAT BASIC</t>
  </si>
  <si>
    <t>100053796BG</t>
  </si>
  <si>
    <t>732996245706</t>
  </si>
  <si>
    <t>732996245683</t>
  </si>
  <si>
    <t>732995051292</t>
  </si>
  <si>
    <t>OMBRE BRA</t>
  </si>
  <si>
    <t>100044379GR</t>
  </si>
  <si>
    <t>732995051278</t>
  </si>
  <si>
    <t>732995051254</t>
  </si>
  <si>
    <t>ABSTRACT FLOWERS BRA</t>
  </si>
  <si>
    <t>100044377GR</t>
  </si>
  <si>
    <t>732995051261</t>
  </si>
  <si>
    <t>732995050189</t>
  </si>
  <si>
    <t>GIRLS SLAY BRA</t>
  </si>
  <si>
    <t>100044378GR</t>
  </si>
  <si>
    <t>732995051247</t>
  </si>
  <si>
    <t>192135400678</t>
  </si>
  <si>
    <t>S19 SUR NAVY GIRAFFE</t>
  </si>
  <si>
    <t>192135476598</t>
  </si>
  <si>
    <t>S19 SUR RED SLOTH</t>
  </si>
  <si>
    <t>732996526034</t>
  </si>
  <si>
    <t>STRAPPY TANK BASIC</t>
  </si>
  <si>
    <t>100055503GR</t>
  </si>
  <si>
    <t>732995566277</t>
  </si>
  <si>
    <t>100044682LG</t>
  </si>
  <si>
    <t>732996175270</t>
  </si>
  <si>
    <t>STRIPE TERRY SUNSUIT BASIC</t>
  </si>
  <si>
    <t>732996175317</t>
  </si>
  <si>
    <t>732996175348</t>
  </si>
  <si>
    <t>732996175294</t>
  </si>
  <si>
    <t>732996175256</t>
  </si>
  <si>
    <t>732995520217</t>
  </si>
  <si>
    <t>STRIPE HI NECK TANK</t>
  </si>
  <si>
    <t>100053095GR</t>
  </si>
  <si>
    <t>735869346586</t>
  </si>
  <si>
    <t>SCRIPT TIE TEE</t>
  </si>
  <si>
    <t>C5480M</t>
  </si>
  <si>
    <t>735869459644</t>
  </si>
  <si>
    <t>2500CM</t>
  </si>
  <si>
    <t>633716717285</t>
  </si>
  <si>
    <t>GFX BASKETBALL BDYSUIT</t>
  </si>
  <si>
    <t>56E748G</t>
  </si>
  <si>
    <t>735869459637</t>
  </si>
  <si>
    <t>735869459651</t>
  </si>
  <si>
    <t>617844790839</t>
  </si>
  <si>
    <t>HEART BODYSUIT</t>
  </si>
  <si>
    <t>06D936G</t>
  </si>
  <si>
    <t>735869399070</t>
  </si>
  <si>
    <t>2 TIER SCRIPT TANK</t>
  </si>
  <si>
    <t>C5406M</t>
  </si>
  <si>
    <t>735869459668</t>
  </si>
  <si>
    <t>696114316948</t>
  </si>
  <si>
    <t>PLAID SHORT WITH LACE</t>
  </si>
  <si>
    <t>640078-MA</t>
  </si>
  <si>
    <t>SLEEP ON IT/CLOUD NINE CLTHNG GIRLS</t>
  </si>
  <si>
    <t>POLYESTER; LACE: POLYESTER</t>
  </si>
  <si>
    <t>696114316924</t>
  </si>
  <si>
    <t>696114316917</t>
  </si>
  <si>
    <t>696114316931</t>
  </si>
  <si>
    <t>640013644039</t>
  </si>
  <si>
    <t>BOYS JOSEPH RAGLAN</t>
  </si>
  <si>
    <t>UB119403</t>
  </si>
  <si>
    <t>735869224921</t>
  </si>
  <si>
    <t>HORIZONTAL SCRIPT TEE</t>
  </si>
  <si>
    <t>C5431R</t>
  </si>
  <si>
    <t>732996082585</t>
  </si>
  <si>
    <t>UNICORN FLAG TANK</t>
  </si>
  <si>
    <t>100057022GR</t>
  </si>
  <si>
    <t>732996245560</t>
  </si>
  <si>
    <t>METALLIC SKIRT</t>
  </si>
  <si>
    <t>100053794BG</t>
  </si>
  <si>
    <t>732995559750</t>
  </si>
  <si>
    <t>TIEDYE CHALLIS TOP</t>
  </si>
  <si>
    <t>100057042GR</t>
  </si>
  <si>
    <t>RAYON; EXCLUSIVE OF DECORATION</t>
  </si>
  <si>
    <t>732994839969</t>
  </si>
  <si>
    <t>MONKEY SUNSUIT BASIC</t>
  </si>
  <si>
    <t>100043391BB</t>
  </si>
  <si>
    <t>732996245720</t>
  </si>
  <si>
    <t>WTERMELON HEADBND PK BASIC</t>
  </si>
  <si>
    <t>100053798BG</t>
  </si>
  <si>
    <t>732995251500</t>
  </si>
  <si>
    <t>TULLE BLOOMER</t>
  </si>
  <si>
    <t>100041951BG</t>
  </si>
  <si>
    <t>LT/PAS GRN</t>
  </si>
  <si>
    <t>COTTON/SPANDEX/POLYESTER</t>
  </si>
  <si>
    <t>732995521993</t>
  </si>
  <si>
    <t>FUTURE IS NOW SS TEE</t>
  </si>
  <si>
    <t>100046646LB</t>
  </si>
  <si>
    <t>732996959054</t>
  </si>
  <si>
    <t>PEPLUM CARDIGAN</t>
  </si>
  <si>
    <t>100063200BG</t>
  </si>
  <si>
    <t>732996959030</t>
  </si>
  <si>
    <t>732996959108</t>
  </si>
  <si>
    <t>DOT CARDIGAN</t>
  </si>
  <si>
    <t>732996959092</t>
  </si>
  <si>
    <t>732996959085</t>
  </si>
  <si>
    <t>886608711698</t>
  </si>
  <si>
    <t>STONE SOUNDS TANK</t>
  </si>
  <si>
    <t>C4511902</t>
  </si>
  <si>
    <t>VOLCOM INC</t>
  </si>
  <si>
    <t>735869350057</t>
  </si>
  <si>
    <t>SCRIPT LOGO WRA</t>
  </si>
  <si>
    <t>C5477R</t>
  </si>
  <si>
    <t>735869407331</t>
  </si>
  <si>
    <t>CHAMPION CREST SHORT</t>
  </si>
  <si>
    <t>C5763R</t>
  </si>
  <si>
    <t>732995880151</t>
  </si>
  <si>
    <t>SUNSET TANK</t>
  </si>
  <si>
    <t>100056746LB</t>
  </si>
  <si>
    <t>732996959009</t>
  </si>
  <si>
    <t>PINDOT CARDIGAN</t>
  </si>
  <si>
    <t>100063199BG</t>
  </si>
  <si>
    <t>732996958996</t>
  </si>
  <si>
    <t>608381742368</t>
  </si>
  <si>
    <t>SOLID TEE</t>
  </si>
  <si>
    <t>100043508LG</t>
  </si>
  <si>
    <t>608381742399</t>
  </si>
  <si>
    <t>608381742269</t>
  </si>
  <si>
    <t>608381742375</t>
  </si>
  <si>
    <t>732996986265</t>
  </si>
  <si>
    <t>SUNSET SS TEE</t>
  </si>
  <si>
    <t>100056913LG</t>
  </si>
  <si>
    <t>732996435121</t>
  </si>
  <si>
    <t>PARROT OMBRE TANK</t>
  </si>
  <si>
    <t>100056906LG</t>
  </si>
  <si>
    <t>732996435084</t>
  </si>
  <si>
    <t>TIGER POCKET SS TEE</t>
  </si>
  <si>
    <t>100056905LG</t>
  </si>
  <si>
    <t>732996989570</t>
  </si>
  <si>
    <t>LEOPARD STARS SS TEE</t>
  </si>
  <si>
    <t>100056919LG</t>
  </si>
  <si>
    <t>732996436746</t>
  </si>
  <si>
    <t>AOP TIGER TANK</t>
  </si>
  <si>
    <t>100056911LG</t>
  </si>
  <si>
    <t>732996435138</t>
  </si>
  <si>
    <t>732996241111</t>
  </si>
  <si>
    <t>T STRIPE GYM SHORT BASIC</t>
  </si>
  <si>
    <t>100053747TB</t>
  </si>
  <si>
    <t>732994852081</t>
  </si>
  <si>
    <t>T BLUE MARLED SHORT BASIC</t>
  </si>
  <si>
    <t>100041924TB</t>
  </si>
  <si>
    <t>732996892443</t>
  </si>
  <si>
    <t>732996892535</t>
  </si>
  <si>
    <t>732996906010</t>
  </si>
  <si>
    <t>T STRIPED SHORT</t>
  </si>
  <si>
    <t>100060361TB</t>
  </si>
  <si>
    <t>732996905037</t>
  </si>
  <si>
    <t>CB JOGGER</t>
  </si>
  <si>
    <t>100053771BB</t>
  </si>
  <si>
    <t>732994855884</t>
  </si>
  <si>
    <t>T CHAMBRAY SHORT BASIC</t>
  </si>
  <si>
    <t>100041914TB</t>
  </si>
  <si>
    <t>732996176109</t>
  </si>
  <si>
    <t>SUNFLOWER DRESS</t>
  </si>
  <si>
    <t>100053808BG</t>
  </si>
  <si>
    <t>732996175980</t>
  </si>
  <si>
    <t>COASTAL DRESS</t>
  </si>
  <si>
    <t>100053806BG</t>
  </si>
  <si>
    <t>732996176260</t>
  </si>
  <si>
    <t>MERMAID DRESS</t>
  </si>
  <si>
    <t>100053810BG</t>
  </si>
  <si>
    <t>732996891859</t>
  </si>
  <si>
    <t>732996891750</t>
  </si>
  <si>
    <t>T SS BEAR TUNIC</t>
  </si>
  <si>
    <t>100056175TG</t>
  </si>
  <si>
    <t>732996891965</t>
  </si>
  <si>
    <t>T SS BIRD TUNIC</t>
  </si>
  <si>
    <t>100056320TG</t>
  </si>
  <si>
    <t>732996891644</t>
  </si>
  <si>
    <t>T SS CUT FLWR TUNIC</t>
  </si>
  <si>
    <t>100052371TG</t>
  </si>
  <si>
    <t>732995797992</t>
  </si>
  <si>
    <t>T CHMBRY RFL BLOOMER BASIC</t>
  </si>
  <si>
    <t>100042535TG</t>
  </si>
  <si>
    <t>732995798005</t>
  </si>
  <si>
    <t>732997482100</t>
  </si>
  <si>
    <t>732997482094</t>
  </si>
  <si>
    <t>732997482087</t>
  </si>
  <si>
    <t>732995797787</t>
  </si>
  <si>
    <t>T STRIPE FLOUNCE TEE BASIC</t>
  </si>
  <si>
    <t>100042518TG</t>
  </si>
  <si>
    <t>732996211763</t>
  </si>
  <si>
    <t>T ANIMAL GEO KNOT TE BASIC</t>
  </si>
  <si>
    <t>100059553TG</t>
  </si>
  <si>
    <t>732995251883</t>
  </si>
  <si>
    <t>LEMON HAT BASIC</t>
  </si>
  <si>
    <t>732995251913</t>
  </si>
  <si>
    <t>732995251876</t>
  </si>
  <si>
    <t>732995251890</t>
  </si>
  <si>
    <t>732996892337</t>
  </si>
  <si>
    <t>732996891217</t>
  </si>
  <si>
    <t>T SS GIRAFFE TEE</t>
  </si>
  <si>
    <t>100056319TG</t>
  </si>
  <si>
    <t>732996892375</t>
  </si>
  <si>
    <t>732996891941</t>
  </si>
  <si>
    <t>732996905600</t>
  </si>
  <si>
    <t>T LS ELEPHANT TEE</t>
  </si>
  <si>
    <t>100056111TB</t>
  </si>
  <si>
    <t>732994854917</t>
  </si>
  <si>
    <t>SOLID WOVEN SHORT BASIC</t>
  </si>
  <si>
    <t>100041908BB</t>
  </si>
  <si>
    <t>732994854900</t>
  </si>
  <si>
    <t>732994855075</t>
  </si>
  <si>
    <t>732997481820</t>
  </si>
  <si>
    <t>HIPSTER PUMPKIN TEE</t>
  </si>
  <si>
    <t>100063084BB</t>
  </si>
  <si>
    <t>COTTON/POLYESTER; BOW: COTTON/POLYESTER</t>
  </si>
  <si>
    <t>732994938716</t>
  </si>
  <si>
    <t>B CIRCLE JOGGER</t>
  </si>
  <si>
    <t>100043489BB</t>
  </si>
  <si>
    <t>732994938709</t>
  </si>
  <si>
    <t>G HEART JOGGER</t>
  </si>
  <si>
    <t>100043486BG</t>
  </si>
  <si>
    <t>732997481899</t>
  </si>
  <si>
    <t>732997481837</t>
  </si>
  <si>
    <t>732996891125</t>
  </si>
  <si>
    <t>T SS CHEETAH TEE</t>
  </si>
  <si>
    <t>100056176TG</t>
  </si>
  <si>
    <t>732996892290</t>
  </si>
  <si>
    <t>732996892313</t>
  </si>
  <si>
    <t>732996892306</t>
  </si>
  <si>
    <t>732996960579</t>
  </si>
  <si>
    <t>MARLED POCKET JOGGER</t>
  </si>
  <si>
    <t>100063175BB</t>
  </si>
  <si>
    <t>732996960562</t>
  </si>
  <si>
    <t>732996960555</t>
  </si>
  <si>
    <t>732994855228</t>
  </si>
  <si>
    <t>CARIBEAN PLAID SHORT BASIC</t>
  </si>
  <si>
    <t>100041911BB</t>
  </si>
  <si>
    <t>732996242033</t>
  </si>
  <si>
    <t>STRIPE GYM SHORT BASIC</t>
  </si>
  <si>
    <t>100053747BB</t>
  </si>
  <si>
    <t>732996242002</t>
  </si>
  <si>
    <t>732996213132</t>
  </si>
  <si>
    <t>T SIDE STRIPE SHORT BASIC</t>
  </si>
  <si>
    <t>100052348TG</t>
  </si>
  <si>
    <t>732996242057</t>
  </si>
  <si>
    <t>SLUB KNIT SHORT BASIC</t>
  </si>
  <si>
    <t>100053749BB</t>
  </si>
  <si>
    <t>732996242088</t>
  </si>
  <si>
    <t>732996242071</t>
  </si>
  <si>
    <t>732996242040</t>
  </si>
  <si>
    <t>732996241999</t>
  </si>
  <si>
    <t>732996242019</t>
  </si>
  <si>
    <t>732996242026</t>
  </si>
  <si>
    <t>732996891095</t>
  </si>
  <si>
    <t>732996892054</t>
  </si>
  <si>
    <t>RIBBED BOW PANT</t>
  </si>
  <si>
    <t>100052411BG</t>
  </si>
  <si>
    <t>732996960494</t>
  </si>
  <si>
    <t>732996960517</t>
  </si>
  <si>
    <t>732996892269</t>
  </si>
  <si>
    <t>BORDER STRIPE PANT</t>
  </si>
  <si>
    <t>100052410BG</t>
  </si>
  <si>
    <t>732996245379</t>
  </si>
  <si>
    <t>CHILL BODYSUIT</t>
  </si>
  <si>
    <t>100053789BB</t>
  </si>
  <si>
    <t>732996245164</t>
  </si>
  <si>
    <t>732994855327</t>
  </si>
  <si>
    <t>CHAMBRAY SHORT BASIC</t>
  </si>
  <si>
    <t>100041914BB</t>
  </si>
  <si>
    <t>732996280059</t>
  </si>
  <si>
    <t>FRUIT SHORT</t>
  </si>
  <si>
    <t>100054862BG</t>
  </si>
  <si>
    <t>732994855310</t>
  </si>
  <si>
    <t>732996280332</t>
  </si>
  <si>
    <t>STRIPE LEGGING</t>
  </si>
  <si>
    <t>100054868BB</t>
  </si>
  <si>
    <t>732996890449</t>
  </si>
  <si>
    <t>732996890340</t>
  </si>
  <si>
    <t>732995016208</t>
  </si>
  <si>
    <t>BLUE MARLED SHORT BASIC</t>
  </si>
  <si>
    <t>100041924BB</t>
  </si>
  <si>
    <t>732995016215</t>
  </si>
  <si>
    <t>732996905181</t>
  </si>
  <si>
    <t>CAMO SHORT</t>
  </si>
  <si>
    <t>100060360BB</t>
  </si>
  <si>
    <t>732996959603</t>
  </si>
  <si>
    <t>FOX BODYSUIT</t>
  </si>
  <si>
    <t>100063155BB</t>
  </si>
  <si>
    <t>SHELL: COTTON/POLYESTER/SPANDEX; TRIM: POLYESTER</t>
  </si>
  <si>
    <t>732996959856</t>
  </si>
  <si>
    <t>SHERPA BEAR BODYSUIT</t>
  </si>
  <si>
    <t>100063159BB</t>
  </si>
  <si>
    <t>732996959610</t>
  </si>
  <si>
    <t>732996173597</t>
  </si>
  <si>
    <t>732996173580</t>
  </si>
  <si>
    <t>732996173542</t>
  </si>
  <si>
    <t>732996173566</t>
  </si>
  <si>
    <t>732996173610</t>
  </si>
  <si>
    <t>732996173634</t>
  </si>
  <si>
    <t>732996173573</t>
  </si>
  <si>
    <t>732996173603</t>
  </si>
  <si>
    <t>732996959795</t>
  </si>
  <si>
    <t>ACORN BODYSUIT</t>
  </si>
  <si>
    <t>SHELL: COTTON/SPANDEX; TRIM: COTTON/POLYESTER</t>
  </si>
  <si>
    <t>732996212074</t>
  </si>
  <si>
    <t>732997481950</t>
  </si>
  <si>
    <t>CREEPIN BAT TEE</t>
  </si>
  <si>
    <t>100063085BB</t>
  </si>
  <si>
    <t>BODY: 100% COTTON; SLEEVES: COTTON/POLYESTER</t>
  </si>
  <si>
    <t>732997481929</t>
  </si>
  <si>
    <t>732997481912</t>
  </si>
  <si>
    <t>732996888774</t>
  </si>
  <si>
    <t>732996889467</t>
  </si>
  <si>
    <t>732996212463</t>
  </si>
  <si>
    <t>DOLPHIN SHORT BASIC</t>
  </si>
  <si>
    <t>100044646BG</t>
  </si>
  <si>
    <t>732996212500</t>
  </si>
  <si>
    <t>732996212487</t>
  </si>
  <si>
    <t>732996209814</t>
  </si>
  <si>
    <t>CIRCUS TEE BASIC</t>
  </si>
  <si>
    <t>100052304BG</t>
  </si>
  <si>
    <t>732996890739</t>
  </si>
  <si>
    <t>SS GIRL POWER TEE</t>
  </si>
  <si>
    <t>100056316BG</t>
  </si>
  <si>
    <t>732996890777</t>
  </si>
  <si>
    <t>732996890753</t>
  </si>
  <si>
    <t>732995252101</t>
  </si>
  <si>
    <t>ORANGE BIB</t>
  </si>
  <si>
    <t>732995251944</t>
  </si>
  <si>
    <t>STRAWBERRY BIB</t>
  </si>
  <si>
    <t>100041920BG</t>
  </si>
  <si>
    <t>732996245737</t>
  </si>
  <si>
    <t>PINEAPPLE BIB</t>
  </si>
  <si>
    <t>732996905303</t>
  </si>
  <si>
    <t>T SS FOOTBALL TEE</t>
  </si>
  <si>
    <t>100056327TB</t>
  </si>
  <si>
    <t>732996905426</t>
  </si>
  <si>
    <t>T SS MONSTER TEE</t>
  </si>
  <si>
    <t>100060512TB</t>
  </si>
  <si>
    <t>608356316518</t>
  </si>
  <si>
    <t>LS HELICOPTER TEE BASIC</t>
  </si>
  <si>
    <t>100031247BB</t>
  </si>
  <si>
    <t>732996240800</t>
  </si>
  <si>
    <t>DANCING TIGER TEE BASIC</t>
  </si>
  <si>
    <t>100053727BB</t>
  </si>
  <si>
    <t>732996210131</t>
  </si>
  <si>
    <t>732996240763</t>
  </si>
  <si>
    <t>732996240053</t>
  </si>
  <si>
    <t>HOT DOG TEE BASIC</t>
  </si>
  <si>
    <t>100053729BB</t>
  </si>
  <si>
    <t>732996240077</t>
  </si>
  <si>
    <t>732996889221</t>
  </si>
  <si>
    <t>732996889214</t>
  </si>
  <si>
    <t>732995797701</t>
  </si>
  <si>
    <t>RAINBOW STRIPE SHORT BASIC</t>
  </si>
  <si>
    <t>100042531BG</t>
  </si>
  <si>
    <t>732995797688</t>
  </si>
  <si>
    <t>732995579666</t>
  </si>
  <si>
    <t>SOLID KEYHOLE CAPRI BASIC</t>
  </si>
  <si>
    <t>100042508BG</t>
  </si>
  <si>
    <t>732996889085</t>
  </si>
  <si>
    <t>SS FLOWER CHICKS TEE</t>
  </si>
  <si>
    <t>100056172BG</t>
  </si>
  <si>
    <t>732996240879</t>
  </si>
  <si>
    <t>GOOD VIBES TANK BASIC</t>
  </si>
  <si>
    <t>100053739BB</t>
  </si>
  <si>
    <t>732995174946</t>
  </si>
  <si>
    <t>BABY CHICK TOTE BAG</t>
  </si>
  <si>
    <t>732996240626</t>
  </si>
  <si>
    <t>SAILBOAT TEE BASIC</t>
  </si>
  <si>
    <t>100053740BB</t>
  </si>
  <si>
    <t>732996900896</t>
  </si>
  <si>
    <t>SS ELEPHANT TEE</t>
  </si>
  <si>
    <t>100056347BB</t>
  </si>
  <si>
    <t>732996889092</t>
  </si>
  <si>
    <t>732996260679</t>
  </si>
  <si>
    <t>RUGBY PKT TEE BASIC</t>
  </si>
  <si>
    <t>100053742BB</t>
  </si>
  <si>
    <t>732996900490</t>
  </si>
  <si>
    <t>BEST KID EVER TEE</t>
  </si>
  <si>
    <t>100053756BB</t>
  </si>
  <si>
    <t>732996240138</t>
  </si>
  <si>
    <t>FISHING BEAR TEE BASIC</t>
  </si>
  <si>
    <t>100053730BB</t>
  </si>
  <si>
    <t>732995575392</t>
  </si>
  <si>
    <t>HAPPY LOUD TEE BASIC</t>
  </si>
  <si>
    <t>100041991BB</t>
  </si>
  <si>
    <t>732995175523</t>
  </si>
  <si>
    <t>EASTER VEST TEE BASIC</t>
  </si>
  <si>
    <t>100041965BB</t>
  </si>
  <si>
    <t>732996239835</t>
  </si>
  <si>
    <t>HERE FOR SNACKS TEE BASIC</t>
  </si>
  <si>
    <t>100053725BB</t>
  </si>
  <si>
    <t>732996240572</t>
  </si>
  <si>
    <t>TACO TEE BASIC</t>
  </si>
  <si>
    <t>100053738BB</t>
  </si>
  <si>
    <t>732995881899</t>
  </si>
  <si>
    <t>IM SO AWESOME TANK BASIC</t>
  </si>
  <si>
    <t>100043926BB</t>
  </si>
  <si>
    <t>732996958958</t>
  </si>
  <si>
    <t>CAT BIB</t>
  </si>
  <si>
    <t>100063196BG</t>
  </si>
  <si>
    <t>732996958941</t>
  </si>
  <si>
    <t>FOX BIB</t>
  </si>
  <si>
    <t>100063194BB</t>
  </si>
  <si>
    <t>60% COTTON,40% POLYESTER</t>
  </si>
  <si>
    <t>192136025924</t>
  </si>
  <si>
    <t>BSW 4PC CONSTRUCTION</t>
  </si>
  <si>
    <t>WILLIAM CARTER-TODDLER SLEEPWEAR</t>
  </si>
  <si>
    <t>192135978818</t>
  </si>
  <si>
    <t>BSPSF19 G BSPS PINK MOUS</t>
  </si>
  <si>
    <t>8717447072218</t>
  </si>
  <si>
    <t>GREY CAM3 CLASSIC+ GRYMBASIC</t>
  </si>
  <si>
    <t>231116GR01</t>
  </si>
  <si>
    <t>BUGABOO NORTH AMERICA INC</t>
  </si>
  <si>
    <t>CHASSIS: ALUMINUM; SUN CANOPY, BASSINET, MATTRESS AND UNDER-SEAT BASKET: POLYESTER; FAUX LEATHER: POLYURETHANE</t>
  </si>
  <si>
    <t>47406134519</t>
  </si>
  <si>
    <t>CS ATLAS 65 GLACIER_8AK00</t>
  </si>
  <si>
    <t>GRACO/CENTURY/NEWELL RUBBERMAID</t>
  </si>
  <si>
    <t>METAL/PLASTIC</t>
  </si>
  <si>
    <t>884733095522</t>
  </si>
  <si>
    <t>PINK BLANKET</t>
  </si>
  <si>
    <t>791088672202</t>
  </si>
  <si>
    <t>BLUSH MESH FLORAL EM</t>
  </si>
  <si>
    <t>E454159</t>
  </si>
  <si>
    <t>DRESS/LINING: POLYESTER, EXCLUSIVE OF DECORATION</t>
  </si>
  <si>
    <t>44213463740</t>
  </si>
  <si>
    <t>MW LINE BLUEFISH H&amp;L BASIC</t>
  </si>
  <si>
    <t>CG23579</t>
  </si>
  <si>
    <t>6.5 M</t>
  </si>
  <si>
    <t>SPERRY/WOLVERINE WORLD WIDE INC</t>
  </si>
  <si>
    <t>884733894446</t>
  </si>
  <si>
    <t>SEASONAL FLEECE-PO SHORT</t>
  </si>
  <si>
    <t>193579207359</t>
  </si>
  <si>
    <t>SKINNY JEAN SIDE STRIPE</t>
  </si>
  <si>
    <t>35H65206-73</t>
  </si>
  <si>
    <t>191539401168</t>
  </si>
  <si>
    <t>B48604-DV</t>
  </si>
  <si>
    <t>SHELL: NYLON; NETTING &amp; LINING: POLYESTER</t>
  </si>
  <si>
    <t>193148053608</t>
  </si>
  <si>
    <t>G NSW TSHIRT DRESS FUTUR</t>
  </si>
  <si>
    <t>CJ6927</t>
  </si>
  <si>
    <t>884733763629</t>
  </si>
  <si>
    <t>PERFORMANCE LISLE-SS KC-</t>
  </si>
  <si>
    <t>807746663595</t>
  </si>
  <si>
    <t>RED TULLE DRESS WITH FUR</t>
  </si>
  <si>
    <t>MAB15080</t>
  </si>
  <si>
    <t>SHRUG: FAUX FUR/BODY: POLYESTER; DRESS: POLYESTER</t>
  </si>
  <si>
    <t>193579207434</t>
  </si>
  <si>
    <t>633716998042</t>
  </si>
  <si>
    <t>WOVEN COLORBLK HALF ZIP</t>
  </si>
  <si>
    <t>969993E</t>
  </si>
  <si>
    <t>CONVERSE/HADDAD APPAREL GROUP LTD</t>
  </si>
  <si>
    <t>NYLON; LINING: POLYESTER</t>
  </si>
  <si>
    <t>889766052498</t>
  </si>
  <si>
    <t>YOUTH TIRO 17 TRAINING P</t>
  </si>
  <si>
    <t>BS3691</t>
  </si>
  <si>
    <t>791088851621</t>
  </si>
  <si>
    <t>192500037089</t>
  </si>
  <si>
    <t>B NIKE AIR TANK</t>
  </si>
  <si>
    <t>AQ9669</t>
  </si>
  <si>
    <t>886060836021</t>
  </si>
  <si>
    <t>G NSW TGHT FAVORITES AIR</t>
  </si>
  <si>
    <t>AQ8833</t>
  </si>
  <si>
    <t>191539408600</t>
  </si>
  <si>
    <t>GOLD W PINK FLORAL AND S</t>
  </si>
  <si>
    <t>B58574-PS</t>
  </si>
  <si>
    <t>BODICE: POLYESTER/METALLIC THREADING; SKIRT: NYLON; LINING, PANTY: POLYESTER</t>
  </si>
  <si>
    <t>887866895205</t>
  </si>
  <si>
    <t>PRINTED ARCADIA</t>
  </si>
  <si>
    <t>2273K24</t>
  </si>
  <si>
    <t>192042881379</t>
  </si>
  <si>
    <t>CENTER CABLE/PLAID SWEAT</t>
  </si>
  <si>
    <t>TFFCR23C-306</t>
  </si>
  <si>
    <t>192042881393</t>
  </si>
  <si>
    <t>192042881386</t>
  </si>
  <si>
    <t>791088808090</t>
  </si>
  <si>
    <t>BURGUNDY VELVET DRES</t>
  </si>
  <si>
    <t>H817119</t>
  </si>
  <si>
    <t>DRESS: POLYESTER/SPANDEX; LINING: POLYESTER; DIAPER COVER: POLYESTER</t>
  </si>
  <si>
    <t>791088853960</t>
  </si>
  <si>
    <t>NAVY/GOLD VELVET BDC</t>
  </si>
  <si>
    <t>H817649</t>
  </si>
  <si>
    <t>192136217121</t>
  </si>
  <si>
    <t>COSTUMEF19 G COSTUME PIN</t>
  </si>
  <si>
    <t>COSTUME: POLYESTER; LINING: POLYESTER; T-SHIRT: COTTON; TIGHTS: POLYESTER</t>
  </si>
  <si>
    <t>617845967001</t>
  </si>
  <si>
    <t>NAVY WOVEN JOGGER</t>
  </si>
  <si>
    <t>81R807F</t>
  </si>
  <si>
    <t>9328375517</t>
  </si>
  <si>
    <t>LVG 710 RAYON SUPER</t>
  </si>
  <si>
    <t>9328846253</t>
  </si>
  <si>
    <t>710 LOLA ANKLE SKINNY</t>
  </si>
  <si>
    <t>414688F</t>
  </si>
  <si>
    <t>191539461421</t>
  </si>
  <si>
    <t>887346170167</t>
  </si>
  <si>
    <t>884733808160</t>
  </si>
  <si>
    <t>RED LS CN-TP-TSH</t>
  </si>
  <si>
    <t>633716011710</t>
  </si>
  <si>
    <t>NIKE STAR FUTURA TANK SE</t>
  </si>
  <si>
    <t>36F186G</t>
  </si>
  <si>
    <t>TANK: POLYESTER/VISCOSE; SHORTS; COTTON/POLYESTER</t>
  </si>
  <si>
    <t>9328414063</t>
  </si>
  <si>
    <t>SLIM FIT PULL ON</t>
  </si>
  <si>
    <t>910119F</t>
  </si>
  <si>
    <t>192136239239</t>
  </si>
  <si>
    <t>633716766191</t>
  </si>
  <si>
    <t>192136239222</t>
  </si>
  <si>
    <t>9328414087</t>
  </si>
  <si>
    <t>192136004554</t>
  </si>
  <si>
    <t>JUMPER SETF19 G JUMPER S</t>
  </si>
  <si>
    <t>T-SHIRT AND JUMPER: COTTON; TIGHTS: COTTON/POLYESTER/ELASTANE</t>
  </si>
  <si>
    <t>192135616970</t>
  </si>
  <si>
    <t>S19 CORAL SCOOP NECK AND</t>
  </si>
  <si>
    <t>293G484</t>
  </si>
  <si>
    <t>4-5</t>
  </si>
  <si>
    <t>TOP: COTTON/POLYESTER; LEGGINGS: COTTON/ELASTANE</t>
  </si>
  <si>
    <t>192135503225</t>
  </si>
  <si>
    <t>S19 CARDI SET YLW HEART</t>
  </si>
  <si>
    <t>HOODIE, BODYSUIT: COTTON; PANTS: COTTON/POLYESTER/ELASTANE</t>
  </si>
  <si>
    <t>193579419875</t>
  </si>
  <si>
    <t>617846837907</t>
  </si>
  <si>
    <t>STEP UP SHORTY SHORT</t>
  </si>
  <si>
    <t>316328F</t>
  </si>
  <si>
    <t>RAMIE/COTTON/POLYESTER/ELASTANE</t>
  </si>
  <si>
    <t>48238366505</t>
  </si>
  <si>
    <t>HK SUMMER BOW SKIRT SET</t>
  </si>
  <si>
    <t>TF6368GHK0441</t>
  </si>
  <si>
    <t>COTTON/POLYESTER; BOTTOM: POLYESTER/COTTON; LINING: POLYESTER</t>
  </si>
  <si>
    <t>617844824480</t>
  </si>
  <si>
    <t>SPORT BALL THERMAL PULLO</t>
  </si>
  <si>
    <t>8ME095G</t>
  </si>
  <si>
    <t>193146761536</t>
  </si>
  <si>
    <t>B NK DRY SHORT TROPH</t>
  </si>
  <si>
    <t>192135557068</t>
  </si>
  <si>
    <t>S19 MERMAID SCALE 2 PCGI</t>
  </si>
  <si>
    <t>WILLIAM CARTER COMPANY GIRLS</t>
  </si>
  <si>
    <t>POLYESTER/ELASTANE; LINING: POLYESTER</t>
  </si>
  <si>
    <t>795459804148</t>
  </si>
  <si>
    <t>STRAPPY NECK DETAIL 1PC</t>
  </si>
  <si>
    <t>MBW270003</t>
  </si>
  <si>
    <t>BREAKING WAVES GIRLS</t>
  </si>
  <si>
    <t>SHELL: NYLON/SPANDEX</t>
  </si>
  <si>
    <t>732995555851</t>
  </si>
  <si>
    <t>TENCEL SMOCK WOVEN</t>
  </si>
  <si>
    <t>100047058GR</t>
  </si>
  <si>
    <t>LYOCELL</t>
  </si>
  <si>
    <t>884411366104</t>
  </si>
  <si>
    <t>HOLIDAY MARIO LUIGI</t>
  </si>
  <si>
    <t>2YNIN4582</t>
  </si>
  <si>
    <t>192136012252</t>
  </si>
  <si>
    <t>F19 BPW BLUE STRP HD SET</t>
  </si>
  <si>
    <t>192136176343</t>
  </si>
  <si>
    <t>CORE SETS 2F19 MUSTARD R</t>
  </si>
  <si>
    <t>192136010852</t>
  </si>
  <si>
    <t>WOVEN SETF19 BPW BLUE ST</t>
  </si>
  <si>
    <t>192136233961</t>
  </si>
  <si>
    <t>COZY DRESSF19 G DRESS GO</t>
  </si>
  <si>
    <t>DRESS: COTTON/POLYESTER/METALLIC; DIAPER COVER: COTTON</t>
  </si>
  <si>
    <t>617846585679</t>
  </si>
  <si>
    <t>RJ0010G</t>
  </si>
  <si>
    <t>726895607086</t>
  </si>
  <si>
    <t>SMILEY ROMPER</t>
  </si>
  <si>
    <t>100018028L</t>
  </si>
  <si>
    <t>192136010944</t>
  </si>
  <si>
    <t>48283891144</t>
  </si>
  <si>
    <t>CORE KEN TEE BASIC</t>
  </si>
  <si>
    <t>T880096</t>
  </si>
  <si>
    <t>640013643858</t>
  </si>
  <si>
    <t>192135735442</t>
  </si>
  <si>
    <t>S19 GREEN SCHIFFLI PRINT</t>
  </si>
  <si>
    <t>288G169</t>
  </si>
  <si>
    <t>732996105130</t>
  </si>
  <si>
    <t>CAGE CAPRI</t>
  </si>
  <si>
    <t>100055478GR</t>
  </si>
  <si>
    <t>696114346204</t>
  </si>
  <si>
    <t>RED SANTA ROBE</t>
  </si>
  <si>
    <t>25123-MA</t>
  </si>
  <si>
    <t>841574174212</t>
  </si>
  <si>
    <t>841574174335</t>
  </si>
  <si>
    <t>UNICORN GLAM 1 PIECE</t>
  </si>
  <si>
    <t>GS4-454</t>
  </si>
  <si>
    <t>696114346198</t>
  </si>
  <si>
    <t>732995103601</t>
  </si>
  <si>
    <t>SHELL ONE PIECE</t>
  </si>
  <si>
    <t>100046171GR</t>
  </si>
  <si>
    <t>732996105017</t>
  </si>
  <si>
    <t>192135727355</t>
  </si>
  <si>
    <t>S19 NAVY SCHIFFLI PULL O</t>
  </si>
  <si>
    <t>288G203</t>
  </si>
  <si>
    <t>690691005080</t>
  </si>
  <si>
    <t>UNICORN TIE DYE SEQUIN T</t>
  </si>
  <si>
    <t>J643359KP002</t>
  </si>
  <si>
    <t>617846742218</t>
  </si>
  <si>
    <t>DRI- FIT CTN CUSH CREW</t>
  </si>
  <si>
    <t>UN0009G</t>
  </si>
  <si>
    <t>POLYESTER/COTTON/NYLON/ELASTANE</t>
  </si>
  <si>
    <t>716106807077</t>
  </si>
  <si>
    <t>ADIDAS 6PK CREW SOCK</t>
  </si>
  <si>
    <t>5141766B</t>
  </si>
  <si>
    <t>ADIDAS SOCKS/AGRON INC BOYS</t>
  </si>
  <si>
    <t>883953728678</t>
  </si>
  <si>
    <t>LIGH MONKEY STAR FOOTIE</t>
  </si>
  <si>
    <t>LBQ03990N</t>
  </si>
  <si>
    <t>883953660978</t>
  </si>
  <si>
    <t>PINK DAMASK SCROLL FOOTI</t>
  </si>
  <si>
    <t>LBQ03515N</t>
  </si>
  <si>
    <t>883953661265</t>
  </si>
  <si>
    <t>PINK DAMASK SCROLL BLANBASIC</t>
  </si>
  <si>
    <t>LB703523N</t>
  </si>
  <si>
    <t>732996348391</t>
  </si>
  <si>
    <t>PRINTED CAPRI</t>
  </si>
  <si>
    <t>100055521LG</t>
  </si>
  <si>
    <t>888411179832</t>
  </si>
  <si>
    <t>3PK PERF CUSH CREW</t>
  </si>
  <si>
    <t>SX6959</t>
  </si>
  <si>
    <t>COTTON/NYLON/SPANDEX/POLYESTER</t>
  </si>
  <si>
    <t>192042329918</t>
  </si>
  <si>
    <t>192042329895</t>
  </si>
  <si>
    <t>192136170877</t>
  </si>
  <si>
    <t>PUMPKIN HAT</t>
  </si>
  <si>
    <t>COTTON; LINING: POLYESTER/COTTON</t>
  </si>
  <si>
    <t>732997491867</t>
  </si>
  <si>
    <t>PIECED CAMO CREW</t>
  </si>
  <si>
    <t>100063739BB</t>
  </si>
  <si>
    <t>732997491874</t>
  </si>
  <si>
    <t>732997491836</t>
  </si>
  <si>
    <t>735869409861</t>
  </si>
  <si>
    <t>696114339510</t>
  </si>
  <si>
    <t>WHITE REINDEER COVERALL</t>
  </si>
  <si>
    <t>35420-MA</t>
  </si>
  <si>
    <t>PAJAMA: COTTON/SPANDEX; BLANKIE BODY AND HEAD: COTTON/SPANDEX; BLANKIE FILL: POLYESTER</t>
  </si>
  <si>
    <t>696114340615</t>
  </si>
  <si>
    <t>GREY CAR 2PC W SOCKS</t>
  </si>
  <si>
    <t>75123-MA</t>
  </si>
  <si>
    <t>696114340653</t>
  </si>
  <si>
    <t>696114340622</t>
  </si>
  <si>
    <t>696114340332</t>
  </si>
  <si>
    <t>GREY SNOWMAN 2PC W SOCKS</t>
  </si>
  <si>
    <t>75183-MA</t>
  </si>
  <si>
    <t>608356139339</t>
  </si>
  <si>
    <t>732995522211</t>
  </si>
  <si>
    <t>COOL SEQUIN TEE BIG</t>
  </si>
  <si>
    <t>100049591LB</t>
  </si>
  <si>
    <t>732997491966</t>
  </si>
  <si>
    <t>TARTAN SHIRT</t>
  </si>
  <si>
    <t>100063734BB</t>
  </si>
  <si>
    <t>732997491959</t>
  </si>
  <si>
    <t>732995560206</t>
  </si>
  <si>
    <t>TIEDYE CHALLIS SHORT</t>
  </si>
  <si>
    <t>100057056GR</t>
  </si>
  <si>
    <t>735869459569</t>
  </si>
  <si>
    <t>732996245584</t>
  </si>
  <si>
    <t>192136251248</t>
  </si>
  <si>
    <t>192136031536</t>
  </si>
  <si>
    <t>PANTF19 G PANT FLC LGHT</t>
  </si>
  <si>
    <t>46094675380</t>
  </si>
  <si>
    <t>LACE BACK BRALETTE</t>
  </si>
  <si>
    <t>732996434285</t>
  </si>
  <si>
    <t>LEOPARD CHALLIS TOP</t>
  </si>
  <si>
    <t>100057048GR</t>
  </si>
  <si>
    <t>191603519966</t>
  </si>
  <si>
    <t>RED WHITE ROCK</t>
  </si>
  <si>
    <t>2JBPNT1068</t>
  </si>
  <si>
    <t>732996959016</t>
  </si>
  <si>
    <t>732996959047</t>
  </si>
  <si>
    <t>732996959023</t>
  </si>
  <si>
    <t>735869228899</t>
  </si>
  <si>
    <t>WHIT CHAMPION SCRIPT</t>
  </si>
  <si>
    <t>C5532R</t>
  </si>
  <si>
    <t>732996128382</t>
  </si>
  <si>
    <t>MED DENIM BERMUDA</t>
  </si>
  <si>
    <t>100061119LG</t>
  </si>
  <si>
    <t>732996128399</t>
  </si>
  <si>
    <t>732996128351</t>
  </si>
  <si>
    <t>732996958989</t>
  </si>
  <si>
    <t>732996958965</t>
  </si>
  <si>
    <t>732996985732</t>
  </si>
  <si>
    <t>BFLIES KNEE LEGGING</t>
  </si>
  <si>
    <t>100056898LG</t>
  </si>
  <si>
    <t>732996432199</t>
  </si>
  <si>
    <t>OMBRE LEGGING</t>
  </si>
  <si>
    <t>100056899LG</t>
  </si>
  <si>
    <t>732996432151</t>
  </si>
  <si>
    <t>608356583446</t>
  </si>
  <si>
    <t>PRNTD KNEE PTCH PNT BASIC</t>
  </si>
  <si>
    <t>100031241BB</t>
  </si>
  <si>
    <t>COTTON/POLYESTER; KNEE PATCHES: COTTON</t>
  </si>
  <si>
    <t>608356583729</t>
  </si>
  <si>
    <t>706258821946</t>
  </si>
  <si>
    <t>KNEE PATCH KNIT PANT BASIC</t>
  </si>
  <si>
    <t>6156FI419</t>
  </si>
  <si>
    <t>732994877879</t>
  </si>
  <si>
    <t>FRUIT SOCK PACK</t>
  </si>
  <si>
    <t>FIRST IMPRESSIONS-EDI/CRYSTAL HOS</t>
  </si>
  <si>
    <t>COTTON/NYLON/SPANDEX</t>
  </si>
  <si>
    <t>732995251487</t>
  </si>
  <si>
    <t>SOLID BLOOMER</t>
  </si>
  <si>
    <t>732994616119</t>
  </si>
  <si>
    <t>T LS HANDSOME 2FER</t>
  </si>
  <si>
    <t>100021540TB</t>
  </si>
  <si>
    <t>1ST IMPRS BOY</t>
  </si>
  <si>
    <t>636202890752</t>
  </si>
  <si>
    <t>T SS DOGGY 2FER TEE BASIC</t>
  </si>
  <si>
    <t>100035248TB</t>
  </si>
  <si>
    <t>732996960197</t>
  </si>
  <si>
    <t>LEAF SLIM JOGGER</t>
  </si>
  <si>
    <t>732996960012</t>
  </si>
  <si>
    <t>732996212432</t>
  </si>
  <si>
    <t>EYELET SHORT BASIC</t>
  </si>
  <si>
    <t>100042482BG</t>
  </si>
  <si>
    <t>732996212449</t>
  </si>
  <si>
    <t>732996959597</t>
  </si>
  <si>
    <t>732996959337</t>
  </si>
  <si>
    <t>732994601269</t>
  </si>
  <si>
    <t>LS DOG PKT TEE</t>
  </si>
  <si>
    <t>732997340974</t>
  </si>
  <si>
    <t>732996958934</t>
  </si>
  <si>
    <t>621346170143</t>
  </si>
  <si>
    <t>192136030416</t>
  </si>
  <si>
    <t>BSW 4PC GATOR</t>
  </si>
  <si>
    <t>COUNTRY OF ORIGIN</t>
  </si>
  <si>
    <t>887685956828</t>
  </si>
  <si>
    <t>DENIM-SULLIVAN-BOTTOMS</t>
  </si>
  <si>
    <t>10</t>
  </si>
  <si>
    <t>MADE IN EGYPT</t>
  </si>
  <si>
    <t>841120016690</t>
  </si>
  <si>
    <t>HALTER SWING</t>
  </si>
  <si>
    <t>AQ314</t>
  </si>
  <si>
    <t>AQUA/ZOE LTD</t>
  </si>
  <si>
    <t>MADE IN USA</t>
  </si>
  <si>
    <t>85% POLYESTER/15% METALLIC YARN; LINING: 100% POLYESTER</t>
  </si>
  <si>
    <t>797503070240</t>
  </si>
  <si>
    <t>IT TAKES TWO FLOWER BOMB</t>
  </si>
  <si>
    <t>24XAK5098</t>
  </si>
  <si>
    <t>BLANK NYC/BBC APPAREL GROUP LLC</t>
  </si>
  <si>
    <t>MADE IN CHINA</t>
  </si>
  <si>
    <t>POLYURETHANE/VISCOSE; LINING: POLYESTER/SPANDEX</t>
  </si>
  <si>
    <t>884733785546</t>
  </si>
  <si>
    <t>COTTON EYELET SET-SKS</t>
  </si>
  <si>
    <t>809115507813</t>
  </si>
  <si>
    <t>S/S LACE DRESS W/ EMB. W</t>
  </si>
  <si>
    <t>C5-377</t>
  </si>
  <si>
    <t>BODICE: POLYESTEREXCLUSIVE OF DECORATIONSKIRT:1ST LAYER/2ND LAYER, NYLON3RD LAYER: POLYESTERWOVEN LINING: POLYESTERMESH LINING: 100% POLYESTER</t>
  </si>
  <si>
    <t>882506835238</t>
  </si>
  <si>
    <t>SUIT SEP JACKET</t>
  </si>
  <si>
    <t>BLAY11PA0416</t>
  </si>
  <si>
    <t>882506835269</t>
  </si>
  <si>
    <t>882506836068</t>
  </si>
  <si>
    <t>BLAY11PA0436</t>
  </si>
  <si>
    <t>884733851395</t>
  </si>
  <si>
    <t>BASIC MESH-SS KC-TOPS</t>
  </si>
  <si>
    <t>8718859061968</t>
  </si>
  <si>
    <t>RUFFLE BIKINI IN VARIOUS</t>
  </si>
  <si>
    <t>SCOT AND SODA GIRLS/JAMARI INT'L</t>
  </si>
  <si>
    <t>92% NYLON/8% ELASTANE; LINING: POLYESTER</t>
  </si>
  <si>
    <t>7702781080600</t>
  </si>
  <si>
    <t>PEPLUM TANKINI BASIC</t>
  </si>
  <si>
    <t>3066KKB05</t>
  </si>
  <si>
    <t>MAAJI/ART MODE SAS</t>
  </si>
  <si>
    <t>MADE IN COLOMBIA</t>
  </si>
  <si>
    <t>86% NYLON/14% SPANDEX</t>
  </si>
  <si>
    <t>7702781080648</t>
  </si>
  <si>
    <t>191271397736</t>
  </si>
  <si>
    <t>BODIE</t>
  </si>
  <si>
    <t>JBKO1140</t>
  </si>
  <si>
    <t>JOHNNIE-O</t>
  </si>
  <si>
    <t>MADE IN PERU</t>
  </si>
  <si>
    <t>884733972397</t>
  </si>
  <si>
    <t>LT WT TERRY-LS BBALL-TPS</t>
  </si>
  <si>
    <t>MADE IN INDIA</t>
  </si>
  <si>
    <t>885854713883</t>
  </si>
  <si>
    <t>887346490494</t>
  </si>
  <si>
    <t>NAVY 3PC CUTUP SUITS</t>
  </si>
  <si>
    <t>T833026Q</t>
  </si>
  <si>
    <t>14 REG/MED</t>
  </si>
  <si>
    <t>JACKET, VEST, PANTS: POLYESTER/RAYON/WOOL</t>
  </si>
  <si>
    <t>884733626399</t>
  </si>
  <si>
    <t>OXFORD SET-ST-SHS</t>
  </si>
  <si>
    <t>SHIRT AND SHORTS: COTTON; BELT: POLYESTER</t>
  </si>
  <si>
    <t>884733810415</t>
  </si>
  <si>
    <t>SEASONAL FLEECE-LS CN-TO</t>
  </si>
  <si>
    <t>880680584287</t>
  </si>
  <si>
    <t>DENIM JACKET</t>
  </si>
  <si>
    <t>35G66000-84</t>
  </si>
  <si>
    <t>880680584263</t>
  </si>
  <si>
    <t>190930172219</t>
  </si>
  <si>
    <t>JULIET + ALANA</t>
  </si>
  <si>
    <t>GSET009I</t>
  </si>
  <si>
    <t>SOVEREIGN CODE/SUBSTANCE OVER-CONS</t>
  </si>
  <si>
    <t>SWEATSHIRT: COTTON; LEGGINGS: COTTON/SPANDEX</t>
  </si>
  <si>
    <t>190162233641</t>
  </si>
  <si>
    <t>GENO SINGLE END RP BASIC</t>
  </si>
  <si>
    <t>TR737JN192</t>
  </si>
  <si>
    <t>TRUE RELIGION/OVED PREMIUM-CONSIGN</t>
  </si>
  <si>
    <t>MADE IN MEXICO</t>
  </si>
  <si>
    <t>COTTON/TENCEL® LYOCELL/ELASTANE</t>
  </si>
  <si>
    <t>840699169844</t>
  </si>
  <si>
    <t>BUDDHA MINERAL TEE BASIC</t>
  </si>
  <si>
    <t>TR735WB13</t>
  </si>
  <si>
    <t>840699170901</t>
  </si>
  <si>
    <t>GENO RELAXED SLIM CLASSIBASIC</t>
  </si>
  <si>
    <t>TR935WB13</t>
  </si>
  <si>
    <t>627736330494</t>
  </si>
  <si>
    <t>NAVY BLUE MINI CHECK PAN</t>
  </si>
  <si>
    <t>BEWYPP0Y0020</t>
  </si>
  <si>
    <t>WOOL/POLYESTER/SPANDEX</t>
  </si>
  <si>
    <t>884733718674</t>
  </si>
  <si>
    <t>LT WT TERRY-LS CN-TOPS</t>
  </si>
  <si>
    <t>885854038290</t>
  </si>
  <si>
    <t>846649039700</t>
  </si>
  <si>
    <t>KR-SARAH SHINE-WHITE</t>
  </si>
  <si>
    <t>PATENT FAUX-LEATHER/GLITTER UPPER; RUBBER SOLE</t>
  </si>
  <si>
    <t>800773063017</t>
  </si>
  <si>
    <t>GREY WOOL TROUSER BASIC</t>
  </si>
  <si>
    <t>BKWEPY2V0000</t>
  </si>
  <si>
    <t>MICHAEL KORS/PEERLESS CLOTHING INTL</t>
  </si>
  <si>
    <t>WOOL</t>
  </si>
  <si>
    <t>190930171533</t>
  </si>
  <si>
    <t>SAV + ALANA</t>
  </si>
  <si>
    <t>GSET001I</t>
  </si>
  <si>
    <t>TEE: COTTON; LEGGINGS: COTTON/ELASTANE</t>
  </si>
  <si>
    <t>190930171526</t>
  </si>
  <si>
    <t>191539400802</t>
  </si>
  <si>
    <t>NAVY SATIN DRESS</t>
  </si>
  <si>
    <t>B48580-DV</t>
  </si>
  <si>
    <t>884733764336</t>
  </si>
  <si>
    <t>192926567917</t>
  </si>
  <si>
    <t>MULTI STRIPE POLO</t>
  </si>
  <si>
    <t>3G000018</t>
  </si>
  <si>
    <t>VINEYARD VINES</t>
  </si>
  <si>
    <t>92% POLYESTER/8% SPANDEX</t>
  </si>
  <si>
    <t>809115482325</t>
  </si>
  <si>
    <t>MULT CAP SLV ILLUSION NEC</t>
  </si>
  <si>
    <t>LF-1014-B</t>
  </si>
  <si>
    <t>841713165903</t>
  </si>
  <si>
    <t>TNKNI HALTER-TIKI BASIC</t>
  </si>
  <si>
    <t>ST04B-067-Y</t>
  </si>
  <si>
    <t>SHADE CRITTERS/8 OAK LANE LLC</t>
  </si>
  <si>
    <t>80% NYLON/20% SPANDEX; LINING: 92% NYLON/8% SPANDEX</t>
  </si>
  <si>
    <t>677338839772</t>
  </si>
  <si>
    <t>SR-SAWYER</t>
  </si>
  <si>
    <t>BG56715</t>
  </si>
  <si>
    <t>8 W</t>
  </si>
  <si>
    <t>MESH AND TEXTILE UPPER; RUBBER SOLE</t>
  </si>
  <si>
    <t>884733930670</t>
  </si>
  <si>
    <t>NATURAL STRETCH POP-PLAI</t>
  </si>
  <si>
    <t>880680836379</t>
  </si>
  <si>
    <t>LTWT DENIM JUMPSUIT</t>
  </si>
  <si>
    <t>TGSCH44S-496</t>
  </si>
  <si>
    <t>190930194662</t>
  </si>
  <si>
    <t>BERMAN</t>
  </si>
  <si>
    <t>P245KB</t>
  </si>
  <si>
    <t>190930217972</t>
  </si>
  <si>
    <t>KING</t>
  </si>
  <si>
    <t>K2049BB</t>
  </si>
  <si>
    <t>9</t>
  </si>
  <si>
    <t>60% COTTON/40% POLYESTER</t>
  </si>
  <si>
    <t>190930217965</t>
  </si>
  <si>
    <t>190930194655</t>
  </si>
  <si>
    <t>192926568778</t>
  </si>
  <si>
    <t>EDGARTOWN LS STRIPE</t>
  </si>
  <si>
    <t>3G000021</t>
  </si>
  <si>
    <t>PIMA COTTON/POLYESTER/SPANDEX</t>
  </si>
  <si>
    <t>193579358938</t>
  </si>
  <si>
    <t>ANGEL PULL ON ARC FIT</t>
  </si>
  <si>
    <t>TBFCC10F-232</t>
  </si>
  <si>
    <t>191539407849</t>
  </si>
  <si>
    <t>843744110389</t>
  </si>
  <si>
    <t>RUFFLE TANK</t>
  </si>
  <si>
    <t>G2596-008-304</t>
  </si>
  <si>
    <t>BELLA DAHL/EMJ APPAREL GROUP LLC</t>
  </si>
  <si>
    <t>MADE IN TUVALU</t>
  </si>
  <si>
    <t>55% LINEN/45% RAYON</t>
  </si>
  <si>
    <t>192399344657</t>
  </si>
  <si>
    <t>HYBRID JACKET</t>
  </si>
  <si>
    <t>AP5445</t>
  </si>
  <si>
    <t>829105822832</t>
  </si>
  <si>
    <t>TECNTRIC BASIC</t>
  </si>
  <si>
    <t>TECNTRCQ</t>
  </si>
  <si>
    <t>STEVIES (SUB) STEVE MADDEN</t>
  </si>
  <si>
    <t>SYNTHETIC UPPER; RUBBER SOLE</t>
  </si>
  <si>
    <t>190930210317</t>
  </si>
  <si>
    <t>BRYSON</t>
  </si>
  <si>
    <t>K1344BB</t>
  </si>
  <si>
    <t>193579207335</t>
  </si>
  <si>
    <t>192769008363</t>
  </si>
  <si>
    <t>DIGITAL NATION - BIKINI BASIC</t>
  </si>
  <si>
    <t>GOSSIP GIRL/NOVO FASHION USA LTD</t>
  </si>
  <si>
    <t>MADE IN INDONESIA</t>
  </si>
  <si>
    <t>81% NYLON/19% SPANDEX; LINING: 100% POLYESTER</t>
  </si>
  <si>
    <t>889604011724</t>
  </si>
  <si>
    <t>SOLID OXFORD SHIRT</t>
  </si>
  <si>
    <t>791088772360</t>
  </si>
  <si>
    <t>191539401212</t>
  </si>
  <si>
    <t>885854008507</t>
  </si>
  <si>
    <t>BASI LT WT MLTRY CN-SUFFIELD</t>
  </si>
  <si>
    <t>DARK BROWN</t>
  </si>
  <si>
    <t>193148053592</t>
  </si>
  <si>
    <t>193148053585</t>
  </si>
  <si>
    <t>884733792186</t>
  </si>
  <si>
    <t>TISSUE CHINO-FLAT FRONT-</t>
  </si>
  <si>
    <t>884733972076</t>
  </si>
  <si>
    <t>NTRL STRCH POPLN-LS BD</t>
  </si>
  <si>
    <t>883914589850</t>
  </si>
  <si>
    <t>UNICORN RAINBOW SKIRT</t>
  </si>
  <si>
    <t>LD375822T</t>
  </si>
  <si>
    <t>PINK &amp; VIOLET/VESTURE GROUP INC</t>
  </si>
  <si>
    <t>BODICE: POLYESTER/SPANDEX; LOWER BODY AND LINING: POLYESTER; TAFFETA: POLYESTER</t>
  </si>
  <si>
    <t>192769007816</t>
  </si>
  <si>
    <t>CRASH AND BURNOUT - BIKIBASIC</t>
  </si>
  <si>
    <t>81% NYLON/19% SPANDEX; OVERLAY &amp; LINING: 100% POLYESTER</t>
  </si>
  <si>
    <t>192769007892</t>
  </si>
  <si>
    <t>CRASH AND BURNOUT - 1 PCBASIC</t>
  </si>
  <si>
    <t>192769007885</t>
  </si>
  <si>
    <t>192769010045</t>
  </si>
  <si>
    <t>STAR - BIKINI BASIC</t>
  </si>
  <si>
    <t>TOP AND BOTTOMS: NYLON/SPANDEX; LINING: POLYESTER</t>
  </si>
  <si>
    <t>190930189996</t>
  </si>
  <si>
    <t>BOHO</t>
  </si>
  <si>
    <t>K1715KB</t>
  </si>
  <si>
    <t>190930194822</t>
  </si>
  <si>
    <t>VOLTAGE</t>
  </si>
  <si>
    <t>PM830KB</t>
  </si>
  <si>
    <t>190930194839</t>
  </si>
  <si>
    <t>192769008868</t>
  </si>
  <si>
    <t>ELECTRIC JUNGLE - BIKINIBASIC</t>
  </si>
  <si>
    <t>192769007878</t>
  </si>
  <si>
    <t>192769007830</t>
  </si>
  <si>
    <t>192769007908</t>
  </si>
  <si>
    <t>192769007915</t>
  </si>
  <si>
    <t>192769007922</t>
  </si>
  <si>
    <t>192769007861</t>
  </si>
  <si>
    <t>192769008882</t>
  </si>
  <si>
    <t>791088840977</t>
  </si>
  <si>
    <t>191539408402</t>
  </si>
  <si>
    <t>617847227448</t>
  </si>
  <si>
    <t>501 SKINNY</t>
  </si>
  <si>
    <t>414692F</t>
  </si>
  <si>
    <t>791088840953</t>
  </si>
  <si>
    <t>887407916499</t>
  </si>
  <si>
    <t>192769008479</t>
  </si>
  <si>
    <t>DIGITAL NATION - 1 PC BASIC</t>
  </si>
  <si>
    <t>791088851607</t>
  </si>
  <si>
    <t>809115543989</t>
  </si>
  <si>
    <t>SKATER DRESS</t>
  </si>
  <si>
    <t>LA-232</t>
  </si>
  <si>
    <t>98% POLYESTER/2% SPANDEX EXCLUSIVE OF DECORATION; LINING: 100% POLYESTER</t>
  </si>
  <si>
    <t>617847383151</t>
  </si>
  <si>
    <t>BLOCKED DIAMOND SHOR</t>
  </si>
  <si>
    <t>956301G</t>
  </si>
  <si>
    <t>JORDAN/HADDAD APPAREL GROUP LTD</t>
  </si>
  <si>
    <t>884733665633</t>
  </si>
  <si>
    <t>SS HENLEY-TOPS-KNIT</t>
  </si>
  <si>
    <t>883288185016</t>
  </si>
  <si>
    <t>190162743157</t>
  </si>
  <si>
    <t>THE CORY</t>
  </si>
  <si>
    <t>A929SH667</t>
  </si>
  <si>
    <t>AG/OVED PREMIUM LLC</t>
  </si>
  <si>
    <t>98% COTTON/2% SPANDEX</t>
  </si>
  <si>
    <t>192564355211</t>
  </si>
  <si>
    <t>SC30 SHORT</t>
  </si>
  <si>
    <t>807746655255</t>
  </si>
  <si>
    <t>791088825318</t>
  </si>
  <si>
    <t>617847625190</t>
  </si>
  <si>
    <t>510 SUPER SKINNY JEAN</t>
  </si>
  <si>
    <t>91R510F</t>
  </si>
  <si>
    <t>192042700670</t>
  </si>
  <si>
    <t>PINDOT VEST</t>
  </si>
  <si>
    <t>K8H0072-420</t>
  </si>
  <si>
    <t>CALVIN KLEIN/F &amp; T APPAREL LLC</t>
  </si>
  <si>
    <t>887346132271</t>
  </si>
  <si>
    <t>INFINITE BLUE VEST</t>
  </si>
  <si>
    <t>K823098</t>
  </si>
  <si>
    <t>POLYESTER/RAYON/WOOL</t>
  </si>
  <si>
    <t>192042694856</t>
  </si>
  <si>
    <t>SAILOR GINGHAM SHIRT W/</t>
  </si>
  <si>
    <t>T8B0180-642</t>
  </si>
  <si>
    <t>COTTON/POLYESTER; NECKTIE: POLYESTER</t>
  </si>
  <si>
    <t>192042881133</t>
  </si>
  <si>
    <t>TRIPLE CABLE/PRINT SWEAT</t>
  </si>
  <si>
    <t>TFFCR14C-605</t>
  </si>
  <si>
    <t>190162635025</t>
  </si>
  <si>
    <t>ARROW TEE BASIC</t>
  </si>
  <si>
    <t>TR719TE17</t>
  </si>
  <si>
    <t>6 REG/MED</t>
  </si>
  <si>
    <t>190162705247</t>
  </si>
  <si>
    <t>STARS AND STRIPE TEE BASIC</t>
  </si>
  <si>
    <t>TR729TE99</t>
  </si>
  <si>
    <t>190930195317</t>
  </si>
  <si>
    <t>STADIUM</t>
  </si>
  <si>
    <t>K2045KB</t>
  </si>
  <si>
    <t>190930211253</t>
  </si>
  <si>
    <t>CARRARA</t>
  </si>
  <si>
    <t>K2040BB</t>
  </si>
  <si>
    <t>192042881225</t>
  </si>
  <si>
    <t>190930194587</t>
  </si>
  <si>
    <t>791088808052</t>
  </si>
  <si>
    <t>791088836277</t>
  </si>
  <si>
    <t>791088836284</t>
  </si>
  <si>
    <t>791088808076</t>
  </si>
  <si>
    <t>192136233411</t>
  </si>
  <si>
    <t>732995075816</t>
  </si>
  <si>
    <t>GRAFFITI ACT JACKET</t>
  </si>
  <si>
    <t>100044730BO</t>
  </si>
  <si>
    <t>732995075830</t>
  </si>
  <si>
    <t>732995075847</t>
  </si>
  <si>
    <t>193579424503</t>
  </si>
  <si>
    <t>FLORAL CRISS CROSS LEGGI</t>
  </si>
  <si>
    <t>35H35701-08</t>
  </si>
  <si>
    <t>884733982327</t>
  </si>
  <si>
    <t>COTTON ENZYME JRSY-SS GR</t>
  </si>
  <si>
    <t>2-16 G/POL FA</t>
  </si>
  <si>
    <t>884733693858</t>
  </si>
  <si>
    <t>FLORAL SHORT-BT-SHO</t>
  </si>
  <si>
    <t>884733831793</t>
  </si>
  <si>
    <t>BASIC MESH-SS KC-TP-KNT</t>
  </si>
  <si>
    <t>617844848370</t>
  </si>
  <si>
    <t>ATH BEDR JEANS</t>
  </si>
  <si>
    <t>91H514F</t>
  </si>
  <si>
    <t>14 HUSKY</t>
  </si>
  <si>
    <t>192136239277</t>
  </si>
  <si>
    <t>COLLECTION 2 HOODIE SET</t>
  </si>
  <si>
    <t>SHIRT: COTTON; T-SHIRT: COTTON; PANTS: COTTON/POLYESTER/ELASTANE</t>
  </si>
  <si>
    <t>617845296323</t>
  </si>
  <si>
    <t>DK D GIRLS TRUE SKINNY JE</t>
  </si>
  <si>
    <t>41S613F</t>
  </si>
  <si>
    <t>12 SLIM</t>
  </si>
  <si>
    <t>192136239345</t>
  </si>
  <si>
    <t>193579205058</t>
  </si>
  <si>
    <t>LOGO WAISTBAND KNIT SHOR</t>
  </si>
  <si>
    <t>35H65000-02</t>
  </si>
  <si>
    <t>883498514255</t>
  </si>
  <si>
    <t>LOST IN SPACE</t>
  </si>
  <si>
    <t>TIEKTT3E0432</t>
  </si>
  <si>
    <t>100% SILK</t>
  </si>
  <si>
    <t>191539433770</t>
  </si>
  <si>
    <t>PLAID CROSSOVER</t>
  </si>
  <si>
    <t>X59015-PS</t>
  </si>
  <si>
    <t>DRESS: POLYESTER/METALLIC; LINING/DIAPER COVER: POLYESTER</t>
  </si>
  <si>
    <t>191539465528</t>
  </si>
  <si>
    <t>STRETCH TO ORGANZA</t>
  </si>
  <si>
    <t>X58941-PS</t>
  </si>
  <si>
    <t>BODICE: POLYESTER/SPANDEX; SKIRT/LINING/BAND/BOW; LINING/DIAPER COVER: POLYESTER</t>
  </si>
  <si>
    <t>191539461025</t>
  </si>
  <si>
    <t>191539461445</t>
  </si>
  <si>
    <t>191539433756</t>
  </si>
  <si>
    <t>191539433763</t>
  </si>
  <si>
    <t>883498514248</t>
  </si>
  <si>
    <t>AUTHENTIC PLAID</t>
  </si>
  <si>
    <t>TIEKTT3E0431</t>
  </si>
  <si>
    <t>883498514286</t>
  </si>
  <si>
    <t>MULTI GINGHAM CHECK</t>
  </si>
  <si>
    <t>TIEKTT3E0359</t>
  </si>
  <si>
    <t>883498454025</t>
  </si>
  <si>
    <t>ROYAL NATTE</t>
  </si>
  <si>
    <t>TIEKTT3E0373</t>
  </si>
  <si>
    <t>SILK</t>
  </si>
  <si>
    <t>191539461414</t>
  </si>
  <si>
    <t>884733957981</t>
  </si>
  <si>
    <t>SS POLO TEE-TOPS-T-SHIRT</t>
  </si>
  <si>
    <t>732997343401</t>
  </si>
  <si>
    <t>732997343418</t>
  </si>
  <si>
    <t>190177934069</t>
  </si>
  <si>
    <t>JIMMY HENLEY-TIE DYE</t>
  </si>
  <si>
    <t>H719SK861</t>
  </si>
  <si>
    <t>HUDSON KIDS/5 STAR PREMIUM</t>
  </si>
  <si>
    <t>193579127886</t>
  </si>
  <si>
    <t>PNK FAUX FUR COAT</t>
  </si>
  <si>
    <t>3H06657-99</t>
  </si>
  <si>
    <t>CALVIN KLEIN/KHQ INVESTMENT</t>
  </si>
  <si>
    <t>POLYESTER FAUX FUR</t>
  </si>
  <si>
    <t>193579127923</t>
  </si>
  <si>
    <t>745644371245</t>
  </si>
  <si>
    <t>B PUPPIES 2PK COVERALL</t>
  </si>
  <si>
    <t>LLN08395N</t>
  </si>
  <si>
    <t>745644370187</t>
  </si>
  <si>
    <t>G PUPPY 2PK COVERALL</t>
  </si>
  <si>
    <t>LLN08414N</t>
  </si>
  <si>
    <t>192609195079</t>
  </si>
  <si>
    <t>841372148729</t>
  </si>
  <si>
    <t>TECH STRIPE VOLLEY</t>
  </si>
  <si>
    <t>4PLB125</t>
  </si>
  <si>
    <t>ADIDAS/ORIGINAL SWIMWEAR COMPANY</t>
  </si>
  <si>
    <t>732995076066</t>
  </si>
  <si>
    <t>732995076134</t>
  </si>
  <si>
    <t>791088843640</t>
  </si>
  <si>
    <t>STRIPED TEIR SET</t>
  </si>
  <si>
    <t>H819389</t>
  </si>
  <si>
    <t>TOP/PANTS: COTTON/POLYESTER/SPANDEX; LACE: POLYESTER</t>
  </si>
  <si>
    <t>192399793417</t>
  </si>
  <si>
    <t>192136229735</t>
  </si>
  <si>
    <t>COLLECTION 2 VEST SET</t>
  </si>
  <si>
    <t>BODYSUIT: COTTON; VEST/PANTS: COTTON/POLYESTER</t>
  </si>
  <si>
    <t>732994808286</t>
  </si>
  <si>
    <t>COLOR BLOCK FZ HOODI</t>
  </si>
  <si>
    <t>100044450BO</t>
  </si>
  <si>
    <t>192135560204</t>
  </si>
  <si>
    <t>GSW 4PC RAINBOW</t>
  </si>
  <si>
    <t>193444282887</t>
  </si>
  <si>
    <t>UNITED WE WIN CIRCLE</t>
  </si>
  <si>
    <t>884733532850</t>
  </si>
  <si>
    <t>STRTCH JRSY-FLORAL LEGIN</t>
  </si>
  <si>
    <t>191169047644</t>
  </si>
  <si>
    <t>SPRINT SHORT</t>
  </si>
  <si>
    <t>883498514231</t>
  </si>
  <si>
    <t>FLAMINGOS BOW</t>
  </si>
  <si>
    <t>BOWKTMKB0005</t>
  </si>
  <si>
    <t>884733928585</t>
  </si>
  <si>
    <t>30/1 BSC JRSY-SS CN-TEE</t>
  </si>
  <si>
    <t>809115530309</t>
  </si>
  <si>
    <t>DREAM LIFE FR VELOUR,RAIBASIC</t>
  </si>
  <si>
    <t>JG-7035</t>
  </si>
  <si>
    <t>KIDS OUT/WEAR</t>
  </si>
  <si>
    <t>DREAM ANGELS/S &amp; C BRIDAL LLC</t>
  </si>
  <si>
    <t>TOP AND PANTS: POLYESTER</t>
  </si>
  <si>
    <t>633716011697</t>
  </si>
  <si>
    <t>617847212000</t>
  </si>
  <si>
    <t>TRIN SWEETIE FILIGREE SBASIC</t>
  </si>
  <si>
    <t>31R629F</t>
  </si>
  <si>
    <t>192136239352</t>
  </si>
  <si>
    <t>192136239369</t>
  </si>
  <si>
    <t>192136239420</t>
  </si>
  <si>
    <t>608381420648</t>
  </si>
  <si>
    <t>UNICORN PATCH DENIM</t>
  </si>
  <si>
    <t>100029680GR</t>
  </si>
  <si>
    <t>RAMIE/COTTON/POLYESTER/SPANDEX</t>
  </si>
  <si>
    <t>732994663960</t>
  </si>
  <si>
    <t>NOIR STATIC JACKET</t>
  </si>
  <si>
    <t>100029856G</t>
  </si>
  <si>
    <t>682875379780</t>
  </si>
  <si>
    <t>BLAC 4 IN HAND SOLID FORM</t>
  </si>
  <si>
    <t>47K82001</t>
  </si>
  <si>
    <t>IKE BEHAR/PVH NECKWEAR INC</t>
  </si>
  <si>
    <t>29407768795</t>
  </si>
  <si>
    <t>SOLID</t>
  </si>
  <si>
    <t>47K74007</t>
  </si>
  <si>
    <t>840006401674</t>
  </si>
  <si>
    <t>GRIZZLY SHADES</t>
  </si>
  <si>
    <t>KB-229</t>
  </si>
  <si>
    <t>KID DANGEROUS LLC</t>
  </si>
  <si>
    <t>MADE IN GUATEMALA</t>
  </si>
  <si>
    <t>192810213005</t>
  </si>
  <si>
    <t>791088815739</t>
  </si>
  <si>
    <t>PINK JUMPER WITH BOW UNI</t>
  </si>
  <si>
    <t>F869519</t>
  </si>
  <si>
    <t>TOP: COTTON/POLYESTER; DRESS: COTTON/RAYON; DRESS LINING: POLYESTER/COTTON</t>
  </si>
  <si>
    <t>191539365248</t>
  </si>
  <si>
    <t>SLEEVELESS SHORT SET W/F</t>
  </si>
  <si>
    <t>S28251-PV</t>
  </si>
  <si>
    <t>TOP: POLYESTER/RAYON; SHORTS: COTTON</t>
  </si>
  <si>
    <t>191358535754</t>
  </si>
  <si>
    <t>REPLENISHMENT CAPRI TIGH</t>
  </si>
  <si>
    <t>AK4459</t>
  </si>
  <si>
    <t>POLYESTER/SPANDEX; STRIPES: POLYESTER</t>
  </si>
  <si>
    <t>193579422691</t>
  </si>
  <si>
    <t>35H34501-37</t>
  </si>
  <si>
    <t>880680582368</t>
  </si>
  <si>
    <t>PIN STRIPE CREW SS TEE</t>
  </si>
  <si>
    <t>35G64049-13</t>
  </si>
  <si>
    <t>193579422622</t>
  </si>
  <si>
    <t>35H34501-10</t>
  </si>
  <si>
    <t>807746660044</t>
  </si>
  <si>
    <t>PINK SKATER SKIRT GRAY T</t>
  </si>
  <si>
    <t>MAB13278</t>
  </si>
  <si>
    <t>BODY: COTTON/POLYESTER; SKIRT SHELL: POLYESTER/LUREX® METALLIC THREADS/SPANDEX; LINING, DIAPER COVER: POLYESTER</t>
  </si>
  <si>
    <t>887407927631</t>
  </si>
  <si>
    <t>KR-SPLASH REBEL-BLAC</t>
  </si>
  <si>
    <t>617845920716</t>
  </si>
  <si>
    <t>D78- GIRLFRIEND SHORTY SH</t>
  </si>
  <si>
    <t>414536F</t>
  </si>
  <si>
    <t>191358569452</t>
  </si>
  <si>
    <t>190444518800</t>
  </si>
  <si>
    <t>DK G TRAINER PANT CHILD</t>
  </si>
  <si>
    <t>AK5378</t>
  </si>
  <si>
    <t>732997489789</t>
  </si>
  <si>
    <t>SOLID CORD JACKET</t>
  </si>
  <si>
    <t>100063742BB</t>
  </si>
  <si>
    <t>SHELL: COTTON; LINING: POLYESTER FAUX FUR</t>
  </si>
  <si>
    <t>732997336779</t>
  </si>
  <si>
    <t>BOW FUR VEST SET</t>
  </si>
  <si>
    <t>100062980BG</t>
  </si>
  <si>
    <t>TOP: COTTON; TRIM: POLYESTER TULLE; LEGGINGS: COTTON/SPANDEX; VEST &amp; TRIM: POLYESTER; VEST LINING: COTTON</t>
  </si>
  <si>
    <t>745644369952</t>
  </si>
  <si>
    <t>PUPPY LOVE 3PC SET</t>
  </si>
  <si>
    <t>LLE08410N</t>
  </si>
  <si>
    <t>745644315294</t>
  </si>
  <si>
    <t>CACTI ROMPER-HAT</t>
  </si>
  <si>
    <t>LCR08073N</t>
  </si>
  <si>
    <t>745644314990</t>
  </si>
  <si>
    <t>SAFARI ROMPER-HAT</t>
  </si>
  <si>
    <t>LCR08068N</t>
  </si>
  <si>
    <t>843340198194</t>
  </si>
  <si>
    <t>CAMO CLEAR</t>
  </si>
  <si>
    <t>B19GC42549</t>
  </si>
  <si>
    <t>ACCESSORY INNOVATIONS LLC</t>
  </si>
  <si>
    <t>POLYESTER/NYLON</t>
  </si>
  <si>
    <t>192135399958</t>
  </si>
  <si>
    <t>S19 CARDI SET GREY DINO</t>
  </si>
  <si>
    <t>HOODIE/BODYSUIT/PANTS: 100% COTTON</t>
  </si>
  <si>
    <t>192135399538</t>
  </si>
  <si>
    <t>S19 CARDI SET NAVY HTR</t>
  </si>
  <si>
    <t>633716805753</t>
  </si>
  <si>
    <t>SIDE SLIT SHORTY SHORT</t>
  </si>
  <si>
    <t>216326F</t>
  </si>
  <si>
    <t>633716805869</t>
  </si>
  <si>
    <t>316326F</t>
  </si>
  <si>
    <t>RAMIE/COTTON/ELASTANE</t>
  </si>
  <si>
    <t>48238369728</t>
  </si>
  <si>
    <t>HAPPY MOANA SET</t>
  </si>
  <si>
    <t>TF6761GD6946</t>
  </si>
  <si>
    <t>193146761475</t>
  </si>
  <si>
    <t>193146761482</t>
  </si>
  <si>
    <t>191632202846</t>
  </si>
  <si>
    <t>STL- UA PROTOTYPE LOGO SH</t>
  </si>
  <si>
    <t>884733809815</t>
  </si>
  <si>
    <t>JERSEY-SS VN-TOPS-T-SHIR</t>
  </si>
  <si>
    <t>884733951453</t>
  </si>
  <si>
    <t>JERSEY-SS CN-TP-TSH</t>
  </si>
  <si>
    <t>887622802126</t>
  </si>
  <si>
    <t>ROCKET SHIP SET</t>
  </si>
  <si>
    <t>10G52612-99</t>
  </si>
  <si>
    <t>SHIRT: COTTON/POLYESTER. SHORTS:COTTON</t>
  </si>
  <si>
    <t>193467013628</t>
  </si>
  <si>
    <t>DIP-DYE POM-POM DRESS</t>
  </si>
  <si>
    <t>M21141GB</t>
  </si>
  <si>
    <t>MINI SERIES/ANDY &amp; EVAN INDUSTRIES</t>
  </si>
  <si>
    <t>95% COTTON/5% SPANDEX</t>
  </si>
  <si>
    <t>880680428536</t>
  </si>
  <si>
    <t>UA PIECED POCKET SS</t>
  </si>
  <si>
    <t>27G54687-60</t>
  </si>
  <si>
    <t>UNDER ARMOUR/KHQ INVESTMENT LLC</t>
  </si>
  <si>
    <t>192136012061</t>
  </si>
  <si>
    <t>F19 BPW TREX HD SET</t>
  </si>
  <si>
    <t>192136012054</t>
  </si>
  <si>
    <t>192136012078</t>
  </si>
  <si>
    <t>192769049236</t>
  </si>
  <si>
    <t>732996031842</t>
  </si>
  <si>
    <t>BASKETBALL SET BASIC</t>
  </si>
  <si>
    <t>100054274LB</t>
  </si>
  <si>
    <t>SHIRT: COTTON/POLYESTER; SHORTS: POLYESTER</t>
  </si>
  <si>
    <t>628221642887</t>
  </si>
  <si>
    <t>GIRL T-SHIRT BASIC</t>
  </si>
  <si>
    <t>19YM36M620J</t>
  </si>
  <si>
    <t>MILES BABY/LE GROUPE LEMUR INC</t>
  </si>
  <si>
    <t>95% ORGANIC COTTON/5% ELASTANE</t>
  </si>
  <si>
    <t>884411366128</t>
  </si>
  <si>
    <t>732995520668</t>
  </si>
  <si>
    <t>100046709LB</t>
  </si>
  <si>
    <t>492033196827</t>
  </si>
  <si>
    <t>FLOWER HEADBAND</t>
  </si>
  <si>
    <t>LCFPASOMB-TH1</t>
  </si>
  <si>
    <t>N/A</t>
  </si>
  <si>
    <t>GIGI/DANBAR COOL THINGS INC</t>
  </si>
  <si>
    <t>WRAPPING: 100% POLYESTER; FRAME: 100% ALUMINUM; ACCENTS: 100% CRYSTAL; BACKING: 100% POLYURETHANE</t>
  </si>
  <si>
    <t>193148141664</t>
  </si>
  <si>
    <t>192500612606</t>
  </si>
  <si>
    <t>G NSW MUSCLE TANK FOLIAG</t>
  </si>
  <si>
    <t>BQ0987</t>
  </si>
  <si>
    <t>193149883365</t>
  </si>
  <si>
    <t>193148141688</t>
  </si>
  <si>
    <t>192399964831</t>
  </si>
  <si>
    <t>192810454637</t>
  </si>
  <si>
    <t>732995992946</t>
  </si>
  <si>
    <t>BUTTERFLY TULLE BLKT</t>
  </si>
  <si>
    <t>100044220BG</t>
  </si>
  <si>
    <t>COTTON; TULLE: POLYESTER</t>
  </si>
  <si>
    <t>193579113544</t>
  </si>
  <si>
    <t>SS GRY FR TERRY UNICORN</t>
  </si>
  <si>
    <t>11H02669-99</t>
  </si>
  <si>
    <t>TOP: COTTON/POLYESTER/NYLON/METALLIC; LEGGINGS: COTTON/POLYESTER/SPANDEX</t>
  </si>
  <si>
    <t>887622531583</t>
  </si>
  <si>
    <t>PNK 2PC PLUSH BUNNY SET</t>
  </si>
  <si>
    <t>11F02687-99</t>
  </si>
  <si>
    <t>TOP: COTTON/POLYESTER; FAUX FUR: POLYESTER; LEGGINGS: COTTON/POLYESTER/SPANDEX</t>
  </si>
  <si>
    <t>193579182472</t>
  </si>
  <si>
    <t>SS WHT FR TERRY CAT</t>
  </si>
  <si>
    <t>11H02668-99</t>
  </si>
  <si>
    <t>745644326498</t>
  </si>
  <si>
    <t>HEARTS 3PC PANT SET</t>
  </si>
  <si>
    <t>LCH08267N</t>
  </si>
  <si>
    <t>628221634929</t>
  </si>
  <si>
    <t>GIRL LEGGINGS</t>
  </si>
  <si>
    <t>19SM29R591J</t>
  </si>
  <si>
    <t>MILES CHILD/LE GROUPE LEMUR INC</t>
  </si>
  <si>
    <t>95% COTTON/5% ELASTANE</t>
  </si>
  <si>
    <t>732994136365</t>
  </si>
  <si>
    <t>RIP AND REPAIR DENIM</t>
  </si>
  <si>
    <t>100026672LB</t>
  </si>
  <si>
    <t>192136107408</t>
  </si>
  <si>
    <t>CORE SETS 1F19 FLORAL LS</t>
  </si>
  <si>
    <t>192136181279</t>
  </si>
  <si>
    <t>880680757872</t>
  </si>
  <si>
    <t>UA SUMMER VIBES SS</t>
  </si>
  <si>
    <t>27G54707-30</t>
  </si>
  <si>
    <t>MADE IN NICARAGUA</t>
  </si>
  <si>
    <t>50% COTTON/50% POLYESTER</t>
  </si>
  <si>
    <t>26217491363</t>
  </si>
  <si>
    <t>30MM STRETCH PU W/ PRINT</t>
  </si>
  <si>
    <t>12TL01XZ08</t>
  </si>
  <si>
    <t>POLYURETHANE/EVA/STRETCH WEBBING</t>
  </si>
  <si>
    <t>732994962025</t>
  </si>
  <si>
    <t>CHEVRON SHORT BASIC</t>
  </si>
  <si>
    <t>100044713BO</t>
  </si>
  <si>
    <t>46094957264</t>
  </si>
  <si>
    <t>889799671796</t>
  </si>
  <si>
    <t>PAW PATROL FLEECE TODLER</t>
  </si>
  <si>
    <t>WN657ELLMA</t>
  </si>
  <si>
    <t>732997559017</t>
  </si>
  <si>
    <t>KEITH DENIM SHORT</t>
  </si>
  <si>
    <t>100069118LB</t>
  </si>
  <si>
    <t>732997559024</t>
  </si>
  <si>
    <t>732997559055</t>
  </si>
  <si>
    <t>732996441344</t>
  </si>
  <si>
    <t>732995261059</t>
  </si>
  <si>
    <t>MESH COVERUP BASIC</t>
  </si>
  <si>
    <t>100049286GR</t>
  </si>
  <si>
    <t>682510332842</t>
  </si>
  <si>
    <t>BOYS BLITZING CAP</t>
  </si>
  <si>
    <t>27E50001-01</t>
  </si>
  <si>
    <t>UNDER ARMOUR ACC/KHQ INVESTMENT LLC</t>
  </si>
  <si>
    <t>POLYESTER/ELASTERELL</t>
  </si>
  <si>
    <t>884630153790</t>
  </si>
  <si>
    <t>191539444233</t>
  </si>
  <si>
    <t>884630153905</t>
  </si>
  <si>
    <t>732995103588</t>
  </si>
  <si>
    <t>8672813058</t>
  </si>
  <si>
    <t>BLAC GIRLS COTTON LEGGIBASIC</t>
  </si>
  <si>
    <t>UG13479</t>
  </si>
  <si>
    <t>HUE HOSIERY/KAYSER ROTH CORPORATION</t>
  </si>
  <si>
    <t>735869350668</t>
  </si>
  <si>
    <t>TAPED LEGGING</t>
  </si>
  <si>
    <t>C5350M</t>
  </si>
  <si>
    <t>735869350651</t>
  </si>
  <si>
    <t>735869350675</t>
  </si>
  <si>
    <t>682875731977</t>
  </si>
  <si>
    <t>RED TARTAN BOW-TIE</t>
  </si>
  <si>
    <t>47W84106</t>
  </si>
  <si>
    <t>682875731984</t>
  </si>
  <si>
    <t>XMAS DOG BOW TIE</t>
  </si>
  <si>
    <t>47W84107</t>
  </si>
  <si>
    <t>47406092277</t>
  </si>
  <si>
    <t>ACC PNP SH PINK_50443</t>
  </si>
  <si>
    <t>732995989397</t>
  </si>
  <si>
    <t>CAMO SHORT BASIC</t>
  </si>
  <si>
    <t>100054263BO</t>
  </si>
  <si>
    <t>732995989465</t>
  </si>
  <si>
    <t>192170275446</t>
  </si>
  <si>
    <t>FELINE</t>
  </si>
  <si>
    <t>FAUX LEATHER UPPER, RUBBER SOLE</t>
  </si>
  <si>
    <t>192135979075</t>
  </si>
  <si>
    <t>BSPSF19 B BSPS FIRETRUCK</t>
  </si>
  <si>
    <t>BODYSUIT/PANTS: 100% COTTON</t>
  </si>
  <si>
    <t>732995989489</t>
  </si>
  <si>
    <t>BBALL SHORT BASIC</t>
  </si>
  <si>
    <t>100054264BO</t>
  </si>
  <si>
    <t>732996574691</t>
  </si>
  <si>
    <t>46094840696</t>
  </si>
  <si>
    <t>2PK SEAMLESS SHORT</t>
  </si>
  <si>
    <t>M7125</t>
  </si>
  <si>
    <t>756845987388</t>
  </si>
  <si>
    <t>883953728760</t>
  </si>
  <si>
    <t>WHIT WELCOME WORLD FOOTIE</t>
  </si>
  <si>
    <t>LBQ03991N</t>
  </si>
  <si>
    <t>HAT AND BODYSUIT: COTTON</t>
  </si>
  <si>
    <t>735869405061</t>
  </si>
  <si>
    <t>TWO TONED JERSEY SHORTS</t>
  </si>
  <si>
    <t>C5523R</t>
  </si>
  <si>
    <t>883953661166</t>
  </si>
  <si>
    <t>NAVY SAILBOATS FOOTIE AND</t>
  </si>
  <si>
    <t>LBQ03518N</t>
  </si>
  <si>
    <t>735869405023</t>
  </si>
  <si>
    <t>192135976579</t>
  </si>
  <si>
    <t>1 PCF19 B 1PC RED VARSIT</t>
  </si>
  <si>
    <t>192135977002</t>
  </si>
  <si>
    <t>1 PCF19 B 1PC DOG PRINT</t>
  </si>
  <si>
    <t>192135977866</t>
  </si>
  <si>
    <t>1 PCF19 B 1PC NAVY STRIP</t>
  </si>
  <si>
    <t>192135976593</t>
  </si>
  <si>
    <t>690691021233</t>
  </si>
  <si>
    <t>GLITTER FIGHT SEQUIN TEE</t>
  </si>
  <si>
    <t>1663379KP184</t>
  </si>
  <si>
    <t>756500009752</t>
  </si>
  <si>
    <t>CAR- YELLOW</t>
  </si>
  <si>
    <t>81K91691</t>
  </si>
  <si>
    <t>192136082200</t>
  </si>
  <si>
    <t>F19 GIRL BOSS TOP</t>
  </si>
  <si>
    <t>192136053293</t>
  </si>
  <si>
    <t>F18 BPW DINO PRT HENLEY</t>
  </si>
  <si>
    <t>732997491850</t>
  </si>
  <si>
    <t>46094831465</t>
  </si>
  <si>
    <t>SEAMLESS STRAPPY BACK</t>
  </si>
  <si>
    <t>M4217S</t>
  </si>
  <si>
    <t>732997307113</t>
  </si>
  <si>
    <t>BLACK WASH JEAN</t>
  </si>
  <si>
    <t>100063727BG</t>
  </si>
  <si>
    <t>45299058295</t>
  </si>
  <si>
    <t>732995103861</t>
  </si>
  <si>
    <t>696114340318</t>
  </si>
  <si>
    <t>608356142346</t>
  </si>
  <si>
    <t>608356142773</t>
  </si>
  <si>
    <t>726895238952</t>
  </si>
  <si>
    <t>726895238891</t>
  </si>
  <si>
    <t>192136324577</t>
  </si>
  <si>
    <t>F19 BPW JACKOLANTERN TEE</t>
  </si>
  <si>
    <t>192136324607</t>
  </si>
  <si>
    <t>192136324591</t>
  </si>
  <si>
    <t>608356142339</t>
  </si>
  <si>
    <t>726895238877</t>
  </si>
  <si>
    <t>608356142735</t>
  </si>
  <si>
    <t>192136324638</t>
  </si>
  <si>
    <t>F19 BPW SKELETON TEE</t>
  </si>
  <si>
    <t>732995103984</t>
  </si>
  <si>
    <t>SHELL SHORT</t>
  </si>
  <si>
    <t>100046181GR</t>
  </si>
  <si>
    <t>849345094417</t>
  </si>
  <si>
    <t>BANDANA BIB SERENGETI</t>
  </si>
  <si>
    <t>WL7154</t>
  </si>
  <si>
    <t>ADEN + ANAIS INC</t>
  </si>
  <si>
    <t>COTTON MUSLIN</t>
  </si>
  <si>
    <t>880680736501</t>
  </si>
  <si>
    <t>NEW MATT TEE</t>
  </si>
  <si>
    <t>TBMCA004-428</t>
  </si>
  <si>
    <t>732997491973</t>
  </si>
  <si>
    <t>732997491935</t>
  </si>
  <si>
    <t>29534425615</t>
  </si>
  <si>
    <t>2 PC NAVY DOT BATHING SU</t>
  </si>
  <si>
    <t>2129MSS29-A</t>
  </si>
  <si>
    <t>PENELOPE MACK/BABYFAIR</t>
  </si>
  <si>
    <t>732996582139</t>
  </si>
  <si>
    <t>AOP FLORAL TEE</t>
  </si>
  <si>
    <t>100056762BO</t>
  </si>
  <si>
    <t>46094815489</t>
  </si>
  <si>
    <t>BRAA WIRELSA CMFRTA BASIC</t>
  </si>
  <si>
    <t>M2575</t>
  </si>
  <si>
    <t>36 A</t>
  </si>
  <si>
    <t>NYLON</t>
  </si>
  <si>
    <t>682875526993</t>
  </si>
  <si>
    <t>REPP STRIPE</t>
  </si>
  <si>
    <t>81K62462</t>
  </si>
  <si>
    <t>732995884609</t>
  </si>
  <si>
    <t>MOTORCYCLE TEE</t>
  </si>
  <si>
    <t>100056754BO</t>
  </si>
  <si>
    <t>732995103908</t>
  </si>
  <si>
    <t>192136107088</t>
  </si>
  <si>
    <t>F19 RAINBOW STRIPE LEG</t>
  </si>
  <si>
    <t>732995552942</t>
  </si>
  <si>
    <t>I AM TANK BASIC</t>
  </si>
  <si>
    <t>100044689GR</t>
  </si>
  <si>
    <t>46094819005</t>
  </si>
  <si>
    <t>MF SMLS CROP W/ WIDE</t>
  </si>
  <si>
    <t>M4217B</t>
  </si>
  <si>
    <t>NYLON/SPANDEX/ELASTANO</t>
  </si>
  <si>
    <t>192136103851</t>
  </si>
  <si>
    <t>KNIT TEEF19 BPW FIRETRUC</t>
  </si>
  <si>
    <t>46094819074</t>
  </si>
  <si>
    <t>640013644749</t>
  </si>
  <si>
    <t>LUCAS EXT CREW</t>
  </si>
  <si>
    <t>UB119400</t>
  </si>
  <si>
    <t>46094831304</t>
  </si>
  <si>
    <t>735869224891</t>
  </si>
  <si>
    <t>640013787675</t>
  </si>
  <si>
    <t>COLTON TROP PRINT TANK</t>
  </si>
  <si>
    <t>UB119712</t>
  </si>
  <si>
    <t>192136329602</t>
  </si>
  <si>
    <t>PANTF19 B PANT FLC NAVY</t>
  </si>
  <si>
    <t>732997547045</t>
  </si>
  <si>
    <t>732995328561</t>
  </si>
  <si>
    <t>PARTS OF SS TEE</t>
  </si>
  <si>
    <t>100046654LB</t>
  </si>
  <si>
    <t>192136099918</t>
  </si>
  <si>
    <t>SLOGAN BSF19 B BS BLUE P</t>
  </si>
  <si>
    <t>192136251026</t>
  </si>
  <si>
    <t>SLOGAN BSF19 B BS GREY G</t>
  </si>
  <si>
    <t>192136099901</t>
  </si>
  <si>
    <t>732996583914</t>
  </si>
  <si>
    <t>735869423843</t>
  </si>
  <si>
    <t>CONTRAST STRIPE SHORT</t>
  </si>
  <si>
    <t>5502CB</t>
  </si>
  <si>
    <t>735869423522</t>
  </si>
  <si>
    <t>VARSITY CHAMPION SS TEE</t>
  </si>
  <si>
    <t>5120CB</t>
  </si>
  <si>
    <t>735869228844</t>
  </si>
  <si>
    <t>735869216315</t>
  </si>
  <si>
    <t>CHMS CHAMPION SCRIPT</t>
  </si>
  <si>
    <t>732996128221</t>
  </si>
  <si>
    <t>SOLID BERMUDA</t>
  </si>
  <si>
    <t>100056888LG</t>
  </si>
  <si>
    <t>732996985718</t>
  </si>
  <si>
    <t>732995194944</t>
  </si>
  <si>
    <t>AOP BFLIES LEGGING</t>
  </si>
  <si>
    <t>100046476LG</t>
  </si>
  <si>
    <t>732996905006</t>
  </si>
  <si>
    <t>732997490167</t>
  </si>
  <si>
    <t>732997768877</t>
  </si>
  <si>
    <t>732997346808</t>
  </si>
  <si>
    <t>T SS UNICORN TEE</t>
  </si>
  <si>
    <t>100063728TG</t>
  </si>
  <si>
    <t>732997491218</t>
  </si>
  <si>
    <t>T SS AIRPLANE TEE</t>
  </si>
  <si>
    <t>100070023TB</t>
  </si>
  <si>
    <t>732994881791</t>
  </si>
  <si>
    <t>732996959993</t>
  </si>
  <si>
    <t>732997491126</t>
  </si>
  <si>
    <t>T SS FOREST N FOX TE</t>
  </si>
  <si>
    <t>100070019TB</t>
  </si>
  <si>
    <t>732996905235</t>
  </si>
  <si>
    <t>STRIPED SHORT</t>
  </si>
  <si>
    <t>100060361BB</t>
  </si>
  <si>
    <t>732996959863</t>
  </si>
  <si>
    <t>732997768273</t>
  </si>
  <si>
    <t>VELOUR LEGGING</t>
  </si>
  <si>
    <t>100063967BG</t>
  </si>
  <si>
    <t>732997768266</t>
  </si>
  <si>
    <t>46094831977</t>
  </si>
  <si>
    <t>732996212081</t>
  </si>
  <si>
    <t>732997491324</t>
  </si>
  <si>
    <t>T SS WOODLND ANIML T</t>
  </si>
  <si>
    <t>100070028TB</t>
  </si>
  <si>
    <t>816523024511</t>
  </si>
  <si>
    <t>RATTLE BALL-RAINBOW</t>
  </si>
  <si>
    <t>SKIP HOP</t>
  </si>
  <si>
    <t>732997491348</t>
  </si>
  <si>
    <t>732996210391</t>
  </si>
  <si>
    <t>ANIMAL GEO KNOT TEE BASIC</t>
  </si>
  <si>
    <t>100059553BG</t>
  </si>
  <si>
    <t>732997342404</t>
  </si>
  <si>
    <t>ROCKET SHIP TEE</t>
  </si>
  <si>
    <t>100064391BB</t>
  </si>
  <si>
    <t>732997342428</t>
  </si>
  <si>
    <t>732996905419</t>
  </si>
  <si>
    <t>46094831939</t>
  </si>
  <si>
    <t>SEAMLESS HIPSTER W.ELA</t>
  </si>
  <si>
    <t>M4101S</t>
  </si>
  <si>
    <t>732996889153</t>
  </si>
  <si>
    <t>732996889054</t>
  </si>
  <si>
    <t>608356121679</t>
  </si>
  <si>
    <t>BASIC LEGGING BASIC</t>
  </si>
  <si>
    <t>732996900919</t>
  </si>
  <si>
    <t>732995575224</t>
  </si>
  <si>
    <t>MR CHILL TEE BASIC</t>
  </si>
  <si>
    <t>100041998BB</t>
  </si>
  <si>
    <t>46094639009</t>
  </si>
  <si>
    <t>492033621947</t>
  </si>
  <si>
    <t>STRIPED GLITTER CLUTCH</t>
  </si>
  <si>
    <t>BAG46BL</t>
  </si>
  <si>
    <t>192170305525</t>
  </si>
  <si>
    <t>BRO-CR</t>
  </si>
  <si>
    <t>192170304450</t>
  </si>
  <si>
    <t>PAOW-BCR</t>
  </si>
  <si>
    <t>192170304443</t>
  </si>
  <si>
    <t>192170304467</t>
  </si>
  <si>
    <t>192170304481</t>
  </si>
  <si>
    <t>192170304429</t>
  </si>
  <si>
    <t>888737829602</t>
  </si>
  <si>
    <t>ALDUS</t>
  </si>
  <si>
    <t>ALDUS-CR</t>
  </si>
  <si>
    <t>888737829596</t>
  </si>
  <si>
    <t>192170300704</t>
  </si>
  <si>
    <t>DUNCAN-GCR</t>
  </si>
  <si>
    <t>888737829619</t>
  </si>
  <si>
    <t>192136025900</t>
  </si>
  <si>
    <t>192136020851</t>
  </si>
  <si>
    <t>GSW 4PC COTTONGSW 4PC PU</t>
  </si>
  <si>
    <t>WILLIAM CARTER-BABY SLEEPWEAR</t>
  </si>
  <si>
    <t>192136020875</t>
  </si>
  <si>
    <t>192170042628</t>
  </si>
  <si>
    <t>LIMERI2</t>
  </si>
  <si>
    <t>LIMERI2-CR</t>
  </si>
  <si>
    <t>492033621916</t>
  </si>
  <si>
    <t>POM POM CLUTCH</t>
  </si>
  <si>
    <t>BAG43ASST</t>
  </si>
  <si>
    <t>492033621923</t>
  </si>
  <si>
    <t>GLITTER CLUTCH</t>
  </si>
  <si>
    <t>BAG44ASST</t>
  </si>
  <si>
    <t>192170306256</t>
  </si>
  <si>
    <t>192170306263</t>
  </si>
  <si>
    <t>192170306270</t>
  </si>
  <si>
    <t>191730138351</t>
  </si>
  <si>
    <t>5PK CHOKER</t>
  </si>
  <si>
    <t>KNK-42049</t>
  </si>
  <si>
    <t>CAPELLI OF NEW YORK INC</t>
  </si>
  <si>
    <t>191928508379</t>
  </si>
  <si>
    <t>MOONDOGGY</t>
  </si>
  <si>
    <t>NF0A3CQIJK3</t>
  </si>
  <si>
    <t>NORTH FACE/VF OUTDOOR/VF CORP BOYS</t>
  </si>
  <si>
    <t>SHELL, LINING AND FILL: POLYESTER</t>
  </si>
  <si>
    <t>191930405246</t>
  </si>
  <si>
    <t>INFANT MOONDOGGY 2.0 DOW</t>
  </si>
  <si>
    <t>NF0A34UDA7L</t>
  </si>
  <si>
    <t>NORTH FACE/VF OUTDOOR INC/V F CORP</t>
  </si>
  <si>
    <t>SHELL/LINING/FAUX FUR: POLYESTER; FILL: DOWN</t>
  </si>
  <si>
    <t>884733873168</t>
  </si>
  <si>
    <t>TOWEL TERRY-TERRY HOODIE</t>
  </si>
  <si>
    <t>736576066156</t>
  </si>
  <si>
    <t>KP W BOYS SHORT SET BASIC</t>
  </si>
  <si>
    <t>884733980835</t>
  </si>
  <si>
    <t>884733577875</t>
  </si>
  <si>
    <t>LIGHT WEIGHT PONTE-SL PO</t>
  </si>
  <si>
    <t>192500032343</t>
  </si>
  <si>
    <t>G NSW TOP NOVELTY JERSEY</t>
  </si>
  <si>
    <t>AQ9183</t>
  </si>
  <si>
    <t>192810228115</t>
  </si>
  <si>
    <t>UA SCRIMMAGE 2.0</t>
  </si>
  <si>
    <t>192811297325</t>
  </si>
  <si>
    <t>191539407856</t>
  </si>
  <si>
    <t>191539407832</t>
  </si>
  <si>
    <t>617844631507</t>
  </si>
  <si>
    <t>WINGS FLEECE PANT</t>
  </si>
  <si>
    <t>754602G</t>
  </si>
  <si>
    <t>193579424176</t>
  </si>
  <si>
    <t>COLORBLOCK WINDBREAKER</t>
  </si>
  <si>
    <t>35H36500-08</t>
  </si>
  <si>
    <t>SHELL/LINING: POLYESTER</t>
  </si>
  <si>
    <t>193579408930</t>
  </si>
  <si>
    <t>FLAG PUFFER</t>
  </si>
  <si>
    <t>TGFCM08P-612</t>
  </si>
  <si>
    <t>TOMMY SEPARATES/KHQ INVSTMNT GIRLS</t>
  </si>
  <si>
    <t>SHELL AND LINING: POLYESTER</t>
  </si>
  <si>
    <t>191524660198</t>
  </si>
  <si>
    <t>191524499132</t>
  </si>
  <si>
    <t>192399489549</t>
  </si>
  <si>
    <t>ADIDAS TRICOT JACKET SET</t>
  </si>
  <si>
    <t>AG4320</t>
  </si>
  <si>
    <t>191633981900</t>
  </si>
  <si>
    <t>RIVAL JOGGER</t>
  </si>
  <si>
    <t>191633981528</t>
  </si>
  <si>
    <t>191539401175</t>
  </si>
  <si>
    <t>191539401182</t>
  </si>
  <si>
    <t>191539401199</t>
  </si>
  <si>
    <t>886061543362</t>
  </si>
  <si>
    <t>G NSW FZ JERSEY</t>
  </si>
  <si>
    <t>AQ9051</t>
  </si>
  <si>
    <t>880680837536</t>
  </si>
  <si>
    <t>DENIM SHORTALL</t>
  </si>
  <si>
    <t>TGSCH36V-100</t>
  </si>
  <si>
    <t>791088840946</t>
  </si>
  <si>
    <t>633716998035</t>
  </si>
  <si>
    <t>791088808236</t>
  </si>
  <si>
    <t>RED METALLIC BROCADE</t>
  </si>
  <si>
    <t>H816859</t>
  </si>
  <si>
    <t>SHELL: POLYESTER/METALLIC/COTTON/SPANDEX; LINING: POLYESTER; DIAPER COVER: POLYESTER</t>
  </si>
  <si>
    <t>633716998011</t>
  </si>
  <si>
    <t>633716998028</t>
  </si>
  <si>
    <t>191539408433</t>
  </si>
  <si>
    <t>791088808212</t>
  </si>
  <si>
    <t>791088808229</t>
  </si>
  <si>
    <t>791088808205</t>
  </si>
  <si>
    <t>791088851645</t>
  </si>
  <si>
    <t>883914559679</t>
  </si>
  <si>
    <t>UNICORN GLITTER SKIRT</t>
  </si>
  <si>
    <t>LD346150RM</t>
  </si>
  <si>
    <t>DRESS: POLYESTER/SPANDEX; LINING/HEADBAND: POLYESTER</t>
  </si>
  <si>
    <t>193579294700</t>
  </si>
  <si>
    <t>SLOANE POLO</t>
  </si>
  <si>
    <t>TBFCB32F-004</t>
  </si>
  <si>
    <t>633731402319</t>
  </si>
  <si>
    <t>886061981171</t>
  </si>
  <si>
    <t>B NK DRY SHORT ELITE SUP</t>
  </si>
  <si>
    <t>AQ9474</t>
  </si>
  <si>
    <t>791088815913</t>
  </si>
  <si>
    <t>791088825301</t>
  </si>
  <si>
    <t>9328773108</t>
  </si>
  <si>
    <t>DENIM JACKET BASIC</t>
  </si>
  <si>
    <t>214388F</t>
  </si>
  <si>
    <t>791088815906</t>
  </si>
  <si>
    <t>7613414586409</t>
  </si>
  <si>
    <t>PLAID LS DRESS WITH HOOD</t>
  </si>
  <si>
    <t>J93K22WAC40</t>
  </si>
  <si>
    <t>GUESS 7-16 GI</t>
  </si>
  <si>
    <t>GUESS INC</t>
  </si>
  <si>
    <t>VISCOSE</t>
  </si>
  <si>
    <t>880680833484</t>
  </si>
  <si>
    <t>PRINTED ITHACA SKIRT</t>
  </si>
  <si>
    <t>TGSCC08S-428</t>
  </si>
  <si>
    <t>192042452401</t>
  </si>
  <si>
    <t>MINI CABLE SWEATER</t>
  </si>
  <si>
    <t>TDC0018</t>
  </si>
  <si>
    <t>617846682385</t>
  </si>
  <si>
    <t>GRY 511 WARP STRETCH JEA</t>
  </si>
  <si>
    <t>919000F</t>
  </si>
  <si>
    <t>791088843947</t>
  </si>
  <si>
    <t>BLACK/GOLD VELVET LN</t>
  </si>
  <si>
    <t>H817639</t>
  </si>
  <si>
    <t>191539481559</t>
  </si>
  <si>
    <t>BURGUNDY PLAID LS DRESS</t>
  </si>
  <si>
    <t>X59124-CL</t>
  </si>
  <si>
    <t>DRESS, BAND &amp; BOW: POLYESTER/METALLIC THREADING; CARDIGAN: POLYESTER/SPANDEX; PANTY: POLYESTER</t>
  </si>
  <si>
    <t>732995299694</t>
  </si>
  <si>
    <t>191539446657</t>
  </si>
  <si>
    <t>192042880914</t>
  </si>
  <si>
    <t>BIRDSEYE TRAIN SWEATER V</t>
  </si>
  <si>
    <t>TFFCR05C-001</t>
  </si>
  <si>
    <t>VEST: COTTON; SHIRT/PANTS: COTTON/POLYESTER</t>
  </si>
  <si>
    <t>193579183417</t>
  </si>
  <si>
    <t>US SLASH ICON SET</t>
  </si>
  <si>
    <t>27H52660-42</t>
  </si>
  <si>
    <t>791088807543</t>
  </si>
  <si>
    <t>PUMPKIN DOT LEG SET</t>
  </si>
  <si>
    <t>F766299</t>
  </si>
  <si>
    <t>TOP, PANTS: COTTON/POLYESTER/SPANDEX</t>
  </si>
  <si>
    <t>791088799701</t>
  </si>
  <si>
    <t>PUMPKIN CHECK LEG SET</t>
  </si>
  <si>
    <t>F766279</t>
  </si>
  <si>
    <t>TOP, PANTS: COTTON/SPANDEX</t>
  </si>
  <si>
    <t>193579183462</t>
  </si>
  <si>
    <t>TOP: POLYESTER/SPANDEX; BOTTOM: COTTON/POLYESTER</t>
  </si>
  <si>
    <t>791088746736</t>
  </si>
  <si>
    <t>TURKEY DOT LEG SET</t>
  </si>
  <si>
    <t>F760459</t>
  </si>
  <si>
    <t>791088836826</t>
  </si>
  <si>
    <t>VELVET LNGSLVS BLK/WHT D</t>
  </si>
  <si>
    <t>H816269</t>
  </si>
  <si>
    <t>791088854004</t>
  </si>
  <si>
    <t>791088815500</t>
  </si>
  <si>
    <t>EMERALD VELVET DRESS (SI</t>
  </si>
  <si>
    <t>H816839</t>
  </si>
  <si>
    <t>DRESS: POLYESTER/SPANDEX; WAISTBAND/BOW/HEM: POLYESTER/NYLON/SPANDEX; LINING/DIAPER COVER: POLYESTER</t>
  </si>
  <si>
    <t>791088815517</t>
  </si>
  <si>
    <t>791088836819</t>
  </si>
  <si>
    <t>791088837298</t>
  </si>
  <si>
    <t>2PCS RED PLAID DRESS</t>
  </si>
  <si>
    <t>H817659</t>
  </si>
  <si>
    <t>DRESS: POLYESTER/LUREX®/METALLIC; LINING AND SKIRT RUFFLE: POLYESTER; CARDIGAN: POLYESTER/SPANDEX; LINING: POLYESTER; DIAPER COVER: POLYESTER</t>
  </si>
  <si>
    <t>791088815494</t>
  </si>
  <si>
    <t>791088853977</t>
  </si>
  <si>
    <t>791088836833</t>
  </si>
  <si>
    <t>829268634785</t>
  </si>
  <si>
    <t>ALL OVER EYELET BOMBER</t>
  </si>
  <si>
    <t>1TGNNZBJ</t>
  </si>
  <si>
    <t>JACKET: POLYESTER; TOP: COTTON/POLYESTER</t>
  </si>
  <si>
    <t>192135518236</t>
  </si>
  <si>
    <t>S19 C1 SUSPENDER SET</t>
  </si>
  <si>
    <t>BODYSUIT: COTTON; JEANS: COTTON/POLYESTER/ELASTANE; SUSPENDERS: ELASTIC</t>
  </si>
  <si>
    <t>191539475695</t>
  </si>
  <si>
    <t>886061501034</t>
  </si>
  <si>
    <t>G NSW CAPRI JERSEY</t>
  </si>
  <si>
    <t>AQ9050</t>
  </si>
  <si>
    <t>ALLCOTTON</t>
  </si>
  <si>
    <t>884733987551</t>
  </si>
  <si>
    <t>COTTON ENZYME JRSY-POLO</t>
  </si>
  <si>
    <t>617846948412</t>
  </si>
  <si>
    <t>617846948399</t>
  </si>
  <si>
    <t>732995696806</t>
  </si>
  <si>
    <t>WINDBREAKER JACKET BASIC</t>
  </si>
  <si>
    <t>100044721BO</t>
  </si>
  <si>
    <t>880680737539</t>
  </si>
  <si>
    <t>SLANTED LOGO POLO</t>
  </si>
  <si>
    <t>TBSCB084-100</t>
  </si>
  <si>
    <t>732995696837</t>
  </si>
  <si>
    <t>ATMOSPHERE JACKET BASIC</t>
  </si>
  <si>
    <t>100044722BO</t>
  </si>
  <si>
    <t>807746668569</t>
  </si>
  <si>
    <t>191539465504</t>
  </si>
  <si>
    <t>191539481634</t>
  </si>
  <si>
    <t>PLAIN RED DRESS WITH PLA</t>
  </si>
  <si>
    <t>X59248-PS</t>
  </si>
  <si>
    <t>DRESS/LINING/DIAPER COVER: POLYESTER; BAND/BOW/HEM: POLYESTER/METALLIC</t>
  </si>
  <si>
    <t>191539483805</t>
  </si>
  <si>
    <t>BRIGHT PLAID TAFFITA DRE</t>
  </si>
  <si>
    <t>X59699-PV</t>
  </si>
  <si>
    <t>DRESS/BAND/BOW: POLYESTER/METALLIC; LINING/DIAPER COVER: POLYESTER</t>
  </si>
  <si>
    <t>880680421988</t>
  </si>
  <si>
    <t>UA PLAY LIKE A BOSS SET</t>
  </si>
  <si>
    <t>27G52629-62</t>
  </si>
  <si>
    <t>191539465481</t>
  </si>
  <si>
    <t>880680421971</t>
  </si>
  <si>
    <t>193573022118</t>
  </si>
  <si>
    <t>TRUE EW SHORT</t>
  </si>
  <si>
    <t>C1001902</t>
  </si>
  <si>
    <t>46094874257</t>
  </si>
  <si>
    <t>2PC SLEEVELESS TOP WITH</t>
  </si>
  <si>
    <t>M1115</t>
  </si>
  <si>
    <t>192135563700</t>
  </si>
  <si>
    <t>BSW 4PC GREEN DINO</t>
  </si>
  <si>
    <t>192810462649</t>
  </si>
  <si>
    <t>RENEGADE 2.0 PRINTED</t>
  </si>
  <si>
    <t>633716876647</t>
  </si>
  <si>
    <t>NIKE AIR ROMPER</t>
  </si>
  <si>
    <t>36F064G</t>
  </si>
  <si>
    <t>191539442277</t>
  </si>
  <si>
    <t>BLUE PLAID LEGGING SET</t>
  </si>
  <si>
    <t>W58776-PL</t>
  </si>
  <si>
    <t>TOP: COTTON; LINING: POLYESTER/COTTON; LEGGINGS: COTTON/SPANDEX</t>
  </si>
  <si>
    <t>193579127909</t>
  </si>
  <si>
    <t>193579330033</t>
  </si>
  <si>
    <t>TGFCB11P-626</t>
  </si>
  <si>
    <t>193579330026</t>
  </si>
  <si>
    <t>191358684063</t>
  </si>
  <si>
    <t>YRC YOUTH ICONIC TRI</t>
  </si>
  <si>
    <t>AK5512</t>
  </si>
  <si>
    <t>192564328543</t>
  </si>
  <si>
    <t>FINALE SHOWTIME TEE</t>
  </si>
  <si>
    <t>91204085696</t>
  </si>
  <si>
    <t>192136225553</t>
  </si>
  <si>
    <t>192136225560</t>
  </si>
  <si>
    <t>880680752877</t>
  </si>
  <si>
    <t>FLAG PRINT SHORT</t>
  </si>
  <si>
    <t>TBSCC021-405</t>
  </si>
  <si>
    <t>791088604449</t>
  </si>
  <si>
    <t>WHITE SAILOR DRESS</t>
  </si>
  <si>
    <t>E844459</t>
  </si>
  <si>
    <t>880680752884</t>
  </si>
  <si>
    <t>880680752860</t>
  </si>
  <si>
    <t>192399959141</t>
  </si>
  <si>
    <t>617844320562</t>
  </si>
  <si>
    <t>SPORT MUSCLE SHORT SET</t>
  </si>
  <si>
    <t>86E985G</t>
  </si>
  <si>
    <t>880680632513</t>
  </si>
  <si>
    <t>POLO SET</t>
  </si>
  <si>
    <t>3G52647-99</t>
  </si>
  <si>
    <t>POLO: COTTON/POLYESTER; SHORTS: 100% COTTON</t>
  </si>
  <si>
    <t>887622800627</t>
  </si>
  <si>
    <t>GRN/BLU 3PC SHARK SET</t>
  </si>
  <si>
    <t>10G73601-99</t>
  </si>
  <si>
    <t>TOPS/PANTS: COTTON/POLYESTER</t>
  </si>
  <si>
    <t>887622867538</t>
  </si>
  <si>
    <t>3G52622-99</t>
  </si>
  <si>
    <t>SHIRT: COTTON/POLYESTER; SHORTS: COTTON</t>
  </si>
  <si>
    <t>192136225645</t>
  </si>
  <si>
    <t>COLLECTION 2 CARDIGAN</t>
  </si>
  <si>
    <t>192136227809</t>
  </si>
  <si>
    <t>COLLECTION 2 SET</t>
  </si>
  <si>
    <t>TOP: COTTON/VISCOSE; PANTS: COTTON/ELASTANE</t>
  </si>
  <si>
    <t>192136228110</t>
  </si>
  <si>
    <t>COLLECTION 2 BODYSUIT PA</t>
  </si>
  <si>
    <t>192136225669</t>
  </si>
  <si>
    <t>192136227823</t>
  </si>
  <si>
    <t>192136239406</t>
  </si>
  <si>
    <t>190828075332</t>
  </si>
  <si>
    <t>BRANSON BOYS DOOR BU</t>
  </si>
  <si>
    <t>480001MC</t>
  </si>
  <si>
    <t>HAWKE &amp; CO BOY/ZEE CO APPAREL CORP</t>
  </si>
  <si>
    <t>SHELL, FILL AND LINING: POLYESTER; HAT: POLYESTER</t>
  </si>
  <si>
    <t>732995191738</t>
  </si>
  <si>
    <t>192136019336</t>
  </si>
  <si>
    <t>GSW 4PC COTTONGSW 4PC BL</t>
  </si>
  <si>
    <t>889799600611</t>
  </si>
  <si>
    <t>PJ MASK 2FOR CTTN SET</t>
  </si>
  <si>
    <t>PJ188ESLMA</t>
  </si>
  <si>
    <t>192564327331</t>
  </si>
  <si>
    <t>PLAY UP PRINTED SHOR</t>
  </si>
  <si>
    <t>191539379047</t>
  </si>
  <si>
    <t>FISH KNIT SET</t>
  </si>
  <si>
    <t>S58278-PV</t>
  </si>
  <si>
    <t>791088824359</t>
  </si>
  <si>
    <t>RED PLAID RAINDEER JUMPE</t>
  </si>
  <si>
    <t>H816739</t>
  </si>
  <si>
    <t>DRESS: POLYESTER/COTTON; BODYSUIT: COTTON/POLYESTER; PANTY: POLYESTER</t>
  </si>
  <si>
    <t>791088824397</t>
  </si>
  <si>
    <t>192136226253</t>
  </si>
  <si>
    <t>BODYSUIT: COTTON; HOODIE: COTTON/POLYESTER; PANTS: COTTON/ELASTANE</t>
  </si>
  <si>
    <t>192135562093</t>
  </si>
  <si>
    <t>192135561690</t>
  </si>
  <si>
    <t>732994624367</t>
  </si>
  <si>
    <t>GOLD DOT PONTE DRESS</t>
  </si>
  <si>
    <t>100033851GR</t>
  </si>
  <si>
    <t>633716806040</t>
  </si>
  <si>
    <t>416326F</t>
  </si>
  <si>
    <t>617845920686</t>
  </si>
  <si>
    <t>617846837945</t>
  </si>
  <si>
    <t>L2H- CUT OFF SHORTY SHORT</t>
  </si>
  <si>
    <t>416327F</t>
  </si>
  <si>
    <t>617846837952</t>
  </si>
  <si>
    <t>190444518718</t>
  </si>
  <si>
    <t>TRAINER PANT CHILD</t>
  </si>
  <si>
    <t>732997489802</t>
  </si>
  <si>
    <t>193579018634</t>
  </si>
  <si>
    <t>35G34703-58</t>
  </si>
  <si>
    <t>732995070187</t>
  </si>
  <si>
    <t>HEART ACTIVE JACKET</t>
  </si>
  <si>
    <t>100045204LG</t>
  </si>
  <si>
    <t>192135399774</t>
  </si>
  <si>
    <t>S19 CARDI SET GREEN STRP</t>
  </si>
  <si>
    <t>732997336823</t>
  </si>
  <si>
    <t>PIECED FUR COAT</t>
  </si>
  <si>
    <t>100062983BG</t>
  </si>
  <si>
    <t>SHELL: POLYESTER FAUX FUR; LINING: COTTON</t>
  </si>
  <si>
    <t>732997336816</t>
  </si>
  <si>
    <t>193579423124</t>
  </si>
  <si>
    <t>193579422509</t>
  </si>
  <si>
    <t>633716924768</t>
  </si>
  <si>
    <t>BACK BLOCK JDI DRESS</t>
  </si>
  <si>
    <t>36E998G</t>
  </si>
  <si>
    <t>POLYESTER/VISCOSE</t>
  </si>
  <si>
    <t>880680741161</t>
  </si>
  <si>
    <t>LAURELEI TEE</t>
  </si>
  <si>
    <t>TGSCA14S-680</t>
  </si>
  <si>
    <t>883498504539</t>
  </si>
  <si>
    <t>CAMO DOT</t>
  </si>
  <si>
    <t>TIEDTTAY3044</t>
  </si>
  <si>
    <t>880680479187</t>
  </si>
  <si>
    <t>2PC PUPLE/GREEN MULTI HE</t>
  </si>
  <si>
    <t>11G22653-99</t>
  </si>
  <si>
    <t>TOP: POLYESTER; LEGGINGS: COTTON/POLYESTER/SPANDEX</t>
  </si>
  <si>
    <t>9328285182</t>
  </si>
  <si>
    <t>MIDI SHORT</t>
  </si>
  <si>
    <t>214897F</t>
  </si>
  <si>
    <t>193579192815</t>
  </si>
  <si>
    <t>3PC BDYSUIT SET</t>
  </si>
  <si>
    <t>3H70654-99</t>
  </si>
  <si>
    <t>193579423087</t>
  </si>
  <si>
    <t>193579423070</t>
  </si>
  <si>
    <t>192769048703</t>
  </si>
  <si>
    <t>1 PC06160-ELECTRIC WAVE</t>
  </si>
  <si>
    <t>9328793250</t>
  </si>
  <si>
    <t>SCHOOLS OUT 511 SHOR 3</t>
  </si>
  <si>
    <t>716289F</t>
  </si>
  <si>
    <t>191603943600</t>
  </si>
  <si>
    <t>SUPER DIAMOND LOGO</t>
  </si>
  <si>
    <t>2JDCB1700</t>
  </si>
  <si>
    <t>192503459376</t>
  </si>
  <si>
    <t>P2 WOVEN BOXER</t>
  </si>
  <si>
    <t>RKWBS2IUU</t>
  </si>
  <si>
    <t>POLO/HANESBRANDS UNDERWEAR BOYS</t>
  </si>
  <si>
    <t>732996442433</t>
  </si>
  <si>
    <t>880680580449</t>
  </si>
  <si>
    <t>PNK/WHT 2PC SHORT SET</t>
  </si>
  <si>
    <t>61G00638-99</t>
  </si>
  <si>
    <t>TOP/SHORTS: COTTON/POLYESTER</t>
  </si>
  <si>
    <t>880680580517</t>
  </si>
  <si>
    <t>NVY/RED 2PC STRIPED SET</t>
  </si>
  <si>
    <t>61G00639-99</t>
  </si>
  <si>
    <t>636193085625</t>
  </si>
  <si>
    <t>MOTO KNIT JOGGER</t>
  </si>
  <si>
    <t>100029373BO</t>
  </si>
  <si>
    <t>732996978932</t>
  </si>
  <si>
    <t>ZEBRA WRAP ROMPER</t>
  </si>
  <si>
    <t>100057096GR</t>
  </si>
  <si>
    <t>636193085564</t>
  </si>
  <si>
    <t>636193085601</t>
  </si>
  <si>
    <t>732995556643</t>
  </si>
  <si>
    <t>AOP FLORAL ROMPER</t>
  </si>
  <si>
    <t>100047038GR</t>
  </si>
  <si>
    <t>732995556681</t>
  </si>
  <si>
    <t>SUNFLOWER ROMPER</t>
  </si>
  <si>
    <t>100047040GR</t>
  </si>
  <si>
    <t>884733656884</t>
  </si>
  <si>
    <t>JERSEY-SS CN-TOPS-T-SHIR</t>
  </si>
  <si>
    <t>192136110156</t>
  </si>
  <si>
    <t>F19 CHAMBRAY CHERRY SET</t>
  </si>
  <si>
    <t>880680423326</t>
  </si>
  <si>
    <t>UA ALL OVER SS</t>
  </si>
  <si>
    <t>27G54602-06</t>
  </si>
  <si>
    <t>192136220954</t>
  </si>
  <si>
    <t>GSW 2PC LOVE TO BOOGIE</t>
  </si>
  <si>
    <t>192136220947</t>
  </si>
  <si>
    <t>192136220978</t>
  </si>
  <si>
    <t>883498393065</t>
  </si>
  <si>
    <t>SUNFISH</t>
  </si>
  <si>
    <t>TIELT1ATS958</t>
  </si>
  <si>
    <t>192399592386</t>
  </si>
  <si>
    <t>LOGO BRA</t>
  </si>
  <si>
    <t>AB7014</t>
  </si>
  <si>
    <t>688955024892</t>
  </si>
  <si>
    <t>RAINBOW OIL SLICK</t>
  </si>
  <si>
    <t>D19283</t>
  </si>
  <si>
    <t>STARPOINT/FAB/FASHION ACC BAZAAR</t>
  </si>
  <si>
    <t>POLYESTER; FAUX FUR: POLYESTER; SEQUINS: PU</t>
  </si>
  <si>
    <t>193579195465</t>
  </si>
  <si>
    <t>SS PURPLE 3D FLOWERS</t>
  </si>
  <si>
    <t>11H02666-99</t>
  </si>
  <si>
    <t>193579195472</t>
  </si>
  <si>
    <t>193579195441</t>
  </si>
  <si>
    <t>193579111588</t>
  </si>
  <si>
    <t>SS NVY WHY STRIPE HEART</t>
  </si>
  <si>
    <t>11H02673-99</t>
  </si>
  <si>
    <t>192136010838</t>
  </si>
  <si>
    <t>192136181262</t>
  </si>
  <si>
    <t>192136306528</t>
  </si>
  <si>
    <t>KNIT SETF19 BPW GREY MON</t>
  </si>
  <si>
    <t>783466317096</t>
  </si>
  <si>
    <t>UA CHARGED QTR 6 PACK</t>
  </si>
  <si>
    <t>U3214L6</t>
  </si>
  <si>
    <t>9-11</t>
  </si>
  <si>
    <t>UNDER ARMOUR SOCKS/GILDAN BOYS</t>
  </si>
  <si>
    <t>COTTON/POLYESTER/NYLON/SPANDEX</t>
  </si>
  <si>
    <t>192135534359</t>
  </si>
  <si>
    <t>S19 RED BLUE PLAID WITH</t>
  </si>
  <si>
    <t>229G919</t>
  </si>
  <si>
    <t>192136180524</t>
  </si>
  <si>
    <t>F19 G SETS HALLOWEEN UNI</t>
  </si>
  <si>
    <t>TOP: COTTON; LEGGINGS: COTTON/POLYESTER/METALLIC/ELASTANE; TULLE: POLYESTER</t>
  </si>
  <si>
    <t>889338672758</t>
  </si>
  <si>
    <t>126H519</t>
  </si>
  <si>
    <t>889338678217</t>
  </si>
  <si>
    <t>F18 LBB 3PC LAYETTE SET</t>
  </si>
  <si>
    <t>126H551</t>
  </si>
  <si>
    <t>889338674684</t>
  </si>
  <si>
    <t>F18 LBB CORE 2PK COVERAL</t>
  </si>
  <si>
    <t>126H508</t>
  </si>
  <si>
    <t>192136233985</t>
  </si>
  <si>
    <t>192135522448</t>
  </si>
  <si>
    <t>S19 DL BLACK PANDA</t>
  </si>
  <si>
    <t>TUNIC: COTTON; LEGGINGS: COTTON/SPANDEX</t>
  </si>
  <si>
    <t>193579294991</t>
  </si>
  <si>
    <t>HIGHLIGHTER</t>
  </si>
  <si>
    <t>TBFCA04J-508</t>
  </si>
  <si>
    <t>732995069785</t>
  </si>
  <si>
    <t>100044438LG</t>
  </si>
  <si>
    <t>191886362624</t>
  </si>
  <si>
    <t>Y NK ELITE CREW - 2P</t>
  </si>
  <si>
    <t>SX7309</t>
  </si>
  <si>
    <t>REDOVERFLW</t>
  </si>
  <si>
    <t>POLYESTER/COTTON/SPANDEX/NYLON</t>
  </si>
  <si>
    <t>732995331530</t>
  </si>
  <si>
    <t>RED TAPE SHORT</t>
  </si>
  <si>
    <t>100046711LB</t>
  </si>
  <si>
    <t>191045809854</t>
  </si>
  <si>
    <t>NAUTICA THONG SANDAL</t>
  </si>
  <si>
    <t>STETSON</t>
  </si>
  <si>
    <t>FAUX LEATHER UPPER</t>
  </si>
  <si>
    <t>46094831632</t>
  </si>
  <si>
    <t>SMLS MSH SPT BRA W/ T-BK</t>
  </si>
  <si>
    <t>M4323A</t>
  </si>
  <si>
    <t>192135605813</t>
  </si>
  <si>
    <t>S19 NAVY STRIPE SCHIFFLI</t>
  </si>
  <si>
    <t>229G940</t>
  </si>
  <si>
    <t>192135611432</t>
  </si>
  <si>
    <t>S19 WHITE SCHIFFLI STRIP</t>
  </si>
  <si>
    <t>229G941</t>
  </si>
  <si>
    <t>889338675551</t>
  </si>
  <si>
    <t>F18 LBB 3PC KNEE TMA GIR</t>
  </si>
  <si>
    <t>126H483</t>
  </si>
  <si>
    <t>PREMIE</t>
  </si>
  <si>
    <t>TEE AND PANTS: COTTON/POLYESTER; BODYSUIT: COTTON</t>
  </si>
  <si>
    <t>889338676558</t>
  </si>
  <si>
    <t>F18 LBB 3PC TMA SNUGGLE</t>
  </si>
  <si>
    <t>126H487</t>
  </si>
  <si>
    <t>192399454561</t>
  </si>
  <si>
    <t>VENTED TANK</t>
  </si>
  <si>
    <t>AA4611</t>
  </si>
  <si>
    <t>192399451089</t>
  </si>
  <si>
    <t>VENTED SIDESEAM TEE</t>
  </si>
  <si>
    <t>AA4607</t>
  </si>
  <si>
    <t>193585056514</t>
  </si>
  <si>
    <t>192170028127</t>
  </si>
  <si>
    <t>FULTON</t>
  </si>
  <si>
    <t>FULTON2</t>
  </si>
  <si>
    <t>46094957097</t>
  </si>
  <si>
    <t>880680491950</t>
  </si>
  <si>
    <t>ORG/CHAM 2PC HOODED SET</t>
  </si>
  <si>
    <t>10G72664-99</t>
  </si>
  <si>
    <t>TOP: COTTON/POLYESTER; CHAMBRAY/SHORTS: COTTON</t>
  </si>
  <si>
    <t>48283891175</t>
  </si>
  <si>
    <t>REGA KEN TEE BASIC</t>
  </si>
  <si>
    <t>46094831748</t>
  </si>
  <si>
    <t>192135732502</t>
  </si>
  <si>
    <t>S19 BLUE RIBBED WAISTBAN</t>
  </si>
  <si>
    <t>288G168</t>
  </si>
  <si>
    <t>192135316139</t>
  </si>
  <si>
    <t>F18 GREY POCKET PANT</t>
  </si>
  <si>
    <t>258H177</t>
  </si>
  <si>
    <t>732997383902</t>
  </si>
  <si>
    <t>CORD OVERALL</t>
  </si>
  <si>
    <t>100063711BG</t>
  </si>
  <si>
    <t>732996347905</t>
  </si>
  <si>
    <t>732996347912</t>
  </si>
  <si>
    <t>732997426241</t>
  </si>
  <si>
    <t>FURRY JACKET</t>
  </si>
  <si>
    <t>100063672BG</t>
  </si>
  <si>
    <t>POLYESTER SHERPA FLEECE</t>
  </si>
  <si>
    <t>732997426234</t>
  </si>
  <si>
    <t>732997426227</t>
  </si>
  <si>
    <t>732997426210</t>
  </si>
  <si>
    <t>732997426258</t>
  </si>
  <si>
    <t>47852945325</t>
  </si>
  <si>
    <t>BRIG 3PK SOLID CREW BASIC</t>
  </si>
  <si>
    <t>G41002GPK</t>
  </si>
  <si>
    <t>4-6X</t>
  </si>
  <si>
    <t>POLO RALPH LAUREN-HOT SOX GIRLS</t>
  </si>
  <si>
    <t>841574174571</t>
  </si>
  <si>
    <t>MERMAID GLAMOUR 2 PIECE</t>
  </si>
  <si>
    <t>GS4-481</t>
  </si>
  <si>
    <t>696114346181</t>
  </si>
  <si>
    <t>26217619149</t>
  </si>
  <si>
    <t>30MM PRINTED LOOP REVS</t>
  </si>
  <si>
    <t>12LV020Z04</t>
  </si>
  <si>
    <t>LEVI BELTS/RANDA ACCESSORIES</t>
  </si>
  <si>
    <t>LEATHER/POLYESTER/POLYURETHANE</t>
  </si>
  <si>
    <t>841574174298</t>
  </si>
  <si>
    <t>MERMAID GLAMOUR 1 PIECE</t>
  </si>
  <si>
    <t>GS4-452</t>
  </si>
  <si>
    <t>78715822088</t>
  </si>
  <si>
    <t>NO C P3 BOYS' ULTIMATE XT</t>
  </si>
  <si>
    <t>BUPBA7</t>
  </si>
  <si>
    <t>HANESBRANDS INC UW BOYS</t>
  </si>
  <si>
    <t>78715822200</t>
  </si>
  <si>
    <t>192555291054</t>
  </si>
  <si>
    <t>5-POCKET PANT</t>
  </si>
  <si>
    <t>JWYB022481</t>
  </si>
  <si>
    <t>JAYWALKER/TOPSON DOWNS OF CALIFORNI</t>
  </si>
  <si>
    <t>696114315965</t>
  </si>
  <si>
    <t>FLAG/76 SHORT SET</t>
  </si>
  <si>
    <t>54099-MA</t>
  </si>
  <si>
    <t>SLEEP ON IT/CLOUD NINE CLTHNG BOYS</t>
  </si>
  <si>
    <t>192136034650</t>
  </si>
  <si>
    <t>CARDIF19 G CARDI FLC PIN</t>
  </si>
  <si>
    <t>192136166665</t>
  </si>
  <si>
    <t>732995103793</t>
  </si>
  <si>
    <t>617847563409</t>
  </si>
  <si>
    <t>S/S CROPPED KNIT TOP</t>
  </si>
  <si>
    <t>314730F</t>
  </si>
  <si>
    <t>633716778378</t>
  </si>
  <si>
    <t>732996985046</t>
  </si>
  <si>
    <t>METALLIC STRPE JMPST</t>
  </si>
  <si>
    <t>100053841BG</t>
  </si>
  <si>
    <t>COTTON/SPANDEX/OTHER FIBERS</t>
  </si>
  <si>
    <t>732996985015</t>
  </si>
  <si>
    <t>46094840313</t>
  </si>
  <si>
    <t>888408280862</t>
  </si>
  <si>
    <t>885779990628</t>
  </si>
  <si>
    <t>IS119K0291</t>
  </si>
  <si>
    <t>7 REG</t>
  </si>
  <si>
    <t>46094815540</t>
  </si>
  <si>
    <t>192135474785</t>
  </si>
  <si>
    <t>S19 1PC GREY DINO PRINT</t>
  </si>
  <si>
    <t>192135476017</t>
  </si>
  <si>
    <t>S19 1PC GREY BEAR</t>
  </si>
  <si>
    <t>192136003724</t>
  </si>
  <si>
    <t>732995105452</t>
  </si>
  <si>
    <t>SOLID RASH GUARD</t>
  </si>
  <si>
    <t>100046220LB</t>
  </si>
  <si>
    <t>885872991782</t>
  </si>
  <si>
    <t>THIS IS BANANAS SEQUIN T</t>
  </si>
  <si>
    <t>8643298KM827</t>
  </si>
  <si>
    <t>192503446512</t>
  </si>
  <si>
    <t>P2 BOXER BRIEF</t>
  </si>
  <si>
    <t>RKBBS267D</t>
  </si>
  <si>
    <t>732996085760</t>
  </si>
  <si>
    <t>STRIPE SWIM TRUNK</t>
  </si>
  <si>
    <t>100054253LB</t>
  </si>
  <si>
    <t>735869408888</t>
  </si>
  <si>
    <t>AOP TANK 2 PC SET</t>
  </si>
  <si>
    <t>CS2010</t>
  </si>
  <si>
    <t>732997383681</t>
  </si>
  <si>
    <t>EMB SHERPA VEST</t>
  </si>
  <si>
    <t>100063605BG</t>
  </si>
  <si>
    <t>POLYESTER FAUX FUR; LINING: COTTON/POLYESTER</t>
  </si>
  <si>
    <t>732997383698</t>
  </si>
  <si>
    <t>732997383667</t>
  </si>
  <si>
    <t>732997383650</t>
  </si>
  <si>
    <t>732997383674</t>
  </si>
  <si>
    <t>192136214496</t>
  </si>
  <si>
    <t>BSW 2PC CTTNBSW 2PC THAN</t>
  </si>
  <si>
    <t>192136223573</t>
  </si>
  <si>
    <t>192136224532</t>
  </si>
  <si>
    <t>GSW 2PC BONES</t>
  </si>
  <si>
    <t>732997307144</t>
  </si>
  <si>
    <t>732997307120</t>
  </si>
  <si>
    <t>696114340905</t>
  </si>
  <si>
    <t>BLUE COVERALL W UNICORN</t>
  </si>
  <si>
    <t>350510-MA</t>
  </si>
  <si>
    <t>696114339527</t>
  </si>
  <si>
    <t>732994661065</t>
  </si>
  <si>
    <t>LEOPARD BRA</t>
  </si>
  <si>
    <t>100018431G</t>
  </si>
  <si>
    <t>732997360224</t>
  </si>
  <si>
    <t>FUR VEST</t>
  </si>
  <si>
    <t>100063606BG</t>
  </si>
  <si>
    <t>FIRST IMPRESSIONS-EDI/TOPSVILLE</t>
  </si>
  <si>
    <t>POLYESTER FAUX FUR; LINING: POLYESTER</t>
  </si>
  <si>
    <t>732997360231</t>
  </si>
  <si>
    <t>732997360217</t>
  </si>
  <si>
    <t>732997360248</t>
  </si>
  <si>
    <t>732997489697</t>
  </si>
  <si>
    <t>732997489703</t>
  </si>
  <si>
    <t>192136031192</t>
  </si>
  <si>
    <t>F19 LOVE UNICORN TEE</t>
  </si>
  <si>
    <t>696114340455</t>
  </si>
  <si>
    <t>BLUE REINDEER 2 PC W SOC</t>
  </si>
  <si>
    <t>75203-MA</t>
  </si>
  <si>
    <t>726895238921</t>
  </si>
  <si>
    <t>608356139346</t>
  </si>
  <si>
    <t>192136324621</t>
  </si>
  <si>
    <t>192135585504</t>
  </si>
  <si>
    <t>S19 DRESS WHITE WORDS</t>
  </si>
  <si>
    <t>732995261929</t>
  </si>
  <si>
    <t>SOLID SHORT BASIC</t>
  </si>
  <si>
    <t>100045206LG</t>
  </si>
  <si>
    <t>RAYON/POLYESTER/SPANDEX</t>
  </si>
  <si>
    <t>732997307021</t>
  </si>
  <si>
    <t>192135384824</t>
  </si>
  <si>
    <t>S19 INTERLOCK MONSTER</t>
  </si>
  <si>
    <t>192135980675</t>
  </si>
  <si>
    <t>INTERLOCK SNPF19 N SNP GBASIC</t>
  </si>
  <si>
    <t>192135480236</t>
  </si>
  <si>
    <t>S19 1PC GREY DUDE</t>
  </si>
  <si>
    <t>888510403289</t>
  </si>
  <si>
    <t>G 1pc jumpsuit floral</t>
  </si>
  <si>
    <t>118A013</t>
  </si>
  <si>
    <t>46094567296</t>
  </si>
  <si>
    <t>WHITE SPORTS BRA BASIC</t>
  </si>
  <si>
    <t>M2581</t>
  </si>
  <si>
    <t>46094948880</t>
  </si>
  <si>
    <t>633716801267</t>
  </si>
  <si>
    <t>FENTON BEAR TEE</t>
  </si>
  <si>
    <t>616606F</t>
  </si>
  <si>
    <t>9328685487</t>
  </si>
  <si>
    <t>FENTON GRAPHIC TEE</t>
  </si>
  <si>
    <t>9328685470</t>
  </si>
  <si>
    <t>617846952501</t>
  </si>
  <si>
    <t>BRGHT YELL</t>
  </si>
  <si>
    <t>9328685463</t>
  </si>
  <si>
    <t>608381424592</t>
  </si>
  <si>
    <t>G POLKA DOT SUNSUIT</t>
  </si>
  <si>
    <t>5571FI410</t>
  </si>
  <si>
    <t>192135477076</t>
  </si>
  <si>
    <t>S19 SUR BLUE CARS</t>
  </si>
  <si>
    <t>192135477038</t>
  </si>
  <si>
    <t>732996438122</t>
  </si>
  <si>
    <t>JAGUAR SEQ TANK</t>
  </si>
  <si>
    <t>100056928LG</t>
  </si>
  <si>
    <t>192135584835</t>
  </si>
  <si>
    <t>S19 SUR BLUE FISH</t>
  </si>
  <si>
    <t>192135588284</t>
  </si>
  <si>
    <t>S19 SUR ORANGE SHARK</t>
  </si>
  <si>
    <t>192135584354</t>
  </si>
  <si>
    <t>S19 SUR GREY CHAMELEON</t>
  </si>
  <si>
    <t>192135586778</t>
  </si>
  <si>
    <t>S19 SUR GREEN HOTDOG</t>
  </si>
  <si>
    <t>732995984637</t>
  </si>
  <si>
    <t>SKIMMER TEE BASIC</t>
  </si>
  <si>
    <t>100054245GR</t>
  </si>
  <si>
    <t>732995261295</t>
  </si>
  <si>
    <t>SCRIPT LOVE TEE BASIC</t>
  </si>
  <si>
    <t>100045184LG</t>
  </si>
  <si>
    <t>640013644398</t>
  </si>
  <si>
    <t>IRWIN TOUCAN</t>
  </si>
  <si>
    <t>UB1192034</t>
  </si>
  <si>
    <t>191603760276</t>
  </si>
  <si>
    <t>BATMAN LOGO STRIPE</t>
  </si>
  <si>
    <t>2JDCB1660</t>
  </si>
  <si>
    <t>732995137590</t>
  </si>
  <si>
    <t>COLOBLOCK SS TEE</t>
  </si>
  <si>
    <t>100040077GR</t>
  </si>
  <si>
    <t>732995137613</t>
  </si>
  <si>
    <t>80538104371</t>
  </si>
  <si>
    <t>2PK GLITTER UNICORN/SILV</t>
  </si>
  <si>
    <t>PRINTED: NYLON/SPANDEX; SHIMMER: NYLON/LUREX® METALLIC THREADS/SPANDEX</t>
  </si>
  <si>
    <t>192136041122</t>
  </si>
  <si>
    <t>F19 GOLD FLORAL LEGGING</t>
  </si>
  <si>
    <t>192135708804</t>
  </si>
  <si>
    <t>S19 TROPICAL FLORAL PRIN</t>
  </si>
  <si>
    <t>258H225</t>
  </si>
  <si>
    <t>732996583808</t>
  </si>
  <si>
    <t>SPLICED LION TEE</t>
  </si>
  <si>
    <t>100056730LB</t>
  </si>
  <si>
    <t>732996583792</t>
  </si>
  <si>
    <t>732996178004</t>
  </si>
  <si>
    <t>HIBISCUS SUNSUIT</t>
  </si>
  <si>
    <t>100053831BG</t>
  </si>
  <si>
    <t>732994838610</t>
  </si>
  <si>
    <t>BUTTERFLY SUNSUIT</t>
  </si>
  <si>
    <t>100043375BG</t>
  </si>
  <si>
    <t>706254682909</t>
  </si>
  <si>
    <t>HUDSON TEE</t>
  </si>
  <si>
    <t>100039652LB</t>
  </si>
  <si>
    <t>732994956062</t>
  </si>
  <si>
    <t>MOTO GLOW TEE</t>
  </si>
  <si>
    <t>100039660LB</t>
  </si>
  <si>
    <t>732997406717</t>
  </si>
  <si>
    <t>732997406724</t>
  </si>
  <si>
    <t>726895513691</t>
  </si>
  <si>
    <t>MOTHERS DAY TEE</t>
  </si>
  <si>
    <t>732996959061</t>
  </si>
  <si>
    <t>192136099925</t>
  </si>
  <si>
    <t>192135627679</t>
  </si>
  <si>
    <t>S19 SLOGAN LOVE NANA</t>
  </si>
  <si>
    <t>192136032601</t>
  </si>
  <si>
    <t>48238354700</t>
  </si>
  <si>
    <t>MAKE TODAY HAPPY S/S TEE</t>
  </si>
  <si>
    <t>TS5805GTRL0439</t>
  </si>
  <si>
    <t>732996431529</t>
  </si>
  <si>
    <t>AOP TIGER BERMUDA</t>
  </si>
  <si>
    <t>100056895LG</t>
  </si>
  <si>
    <t>732996583600</t>
  </si>
  <si>
    <t>EXPLORER TEE</t>
  </si>
  <si>
    <t>100056726LB</t>
  </si>
  <si>
    <t>732996583907</t>
  </si>
  <si>
    <t>732996583594</t>
  </si>
  <si>
    <t>732996583877</t>
  </si>
  <si>
    <t>732995328189</t>
  </si>
  <si>
    <t>732995328172</t>
  </si>
  <si>
    <t>732995328219</t>
  </si>
  <si>
    <t>732995881103</t>
  </si>
  <si>
    <t>OMBRE TEE</t>
  </si>
  <si>
    <t>100056722LB</t>
  </si>
  <si>
    <t>732995881134</t>
  </si>
  <si>
    <t>732996584034</t>
  </si>
  <si>
    <t>100056734LB</t>
  </si>
  <si>
    <t>732996584041</t>
  </si>
  <si>
    <t>732995881127</t>
  </si>
  <si>
    <t>732996583990</t>
  </si>
  <si>
    <t>732996583624</t>
  </si>
  <si>
    <t>732996584072</t>
  </si>
  <si>
    <t>T REX TEE</t>
  </si>
  <si>
    <t>100056735LB</t>
  </si>
  <si>
    <t>732996583617</t>
  </si>
  <si>
    <t>732995566147</t>
  </si>
  <si>
    <t>STRIPED BERMUDA</t>
  </si>
  <si>
    <t>100047658LG</t>
  </si>
  <si>
    <t>732996128252</t>
  </si>
  <si>
    <t>732996128269</t>
  </si>
  <si>
    <t>732996128245</t>
  </si>
  <si>
    <t>732996128238</t>
  </si>
  <si>
    <t>732996431390</t>
  </si>
  <si>
    <t>732996128276</t>
  </si>
  <si>
    <t>732995194999</t>
  </si>
  <si>
    <t>732996432182</t>
  </si>
  <si>
    <t>732996432175</t>
  </si>
  <si>
    <t>732996127972</t>
  </si>
  <si>
    <t>AOP STAR SCOOTER</t>
  </si>
  <si>
    <t>100056890LG</t>
  </si>
  <si>
    <t>732996127996</t>
  </si>
  <si>
    <t>732996127842</t>
  </si>
  <si>
    <t>BOW KNIT SHORT</t>
  </si>
  <si>
    <t>100056886LG</t>
  </si>
  <si>
    <t>732996128023</t>
  </si>
  <si>
    <t>732995489873</t>
  </si>
  <si>
    <t>SIDE HEART LEGGING</t>
  </si>
  <si>
    <t>100046660LG</t>
  </si>
  <si>
    <t>732996583846</t>
  </si>
  <si>
    <t>BLOCKED STRIPE TEE</t>
  </si>
  <si>
    <t>100056731LB</t>
  </si>
  <si>
    <t>732995880557</t>
  </si>
  <si>
    <t>GRAFFITI DINO TEE</t>
  </si>
  <si>
    <t>100056715LB</t>
  </si>
  <si>
    <t>732995880564</t>
  </si>
  <si>
    <t>732995880588</t>
  </si>
  <si>
    <t>AMERISAURUS TEE</t>
  </si>
  <si>
    <t>100056716LB</t>
  </si>
  <si>
    <t>732995880939</t>
  </si>
  <si>
    <t>FRIED FOOD TEE</t>
  </si>
  <si>
    <t>100056720LB</t>
  </si>
  <si>
    <t>732995880922</t>
  </si>
  <si>
    <t>732996436708</t>
  </si>
  <si>
    <t>732995564822</t>
  </si>
  <si>
    <t>MULTI HEART SS TEE</t>
  </si>
  <si>
    <t>100046399LG</t>
  </si>
  <si>
    <t>732995192711</t>
  </si>
  <si>
    <t>AOP HEART SS TEE</t>
  </si>
  <si>
    <t>100046365LG</t>
  </si>
  <si>
    <t>732996435152</t>
  </si>
  <si>
    <t>732995565089</t>
  </si>
  <si>
    <t>COLORBLCK SS TEE</t>
  </si>
  <si>
    <t>100046401LG</t>
  </si>
  <si>
    <t>732996124810</t>
  </si>
  <si>
    <t>AOP STAR SS TEE</t>
  </si>
  <si>
    <t>100056879LG</t>
  </si>
  <si>
    <t>732996435107</t>
  </si>
  <si>
    <t>732994855716</t>
  </si>
  <si>
    <t>T SOLID WOVEN SHORT BASIC</t>
  </si>
  <si>
    <t>100041908TB</t>
  </si>
  <si>
    <t>732994855730</t>
  </si>
  <si>
    <t>732996241128</t>
  </si>
  <si>
    <t>732994855723</t>
  </si>
  <si>
    <t>732996241104</t>
  </si>
  <si>
    <t>732995882605</t>
  </si>
  <si>
    <t>T MONSTER BUTT SHORT BASIC</t>
  </si>
  <si>
    <t>100043944TB</t>
  </si>
  <si>
    <t>732996280578</t>
  </si>
  <si>
    <t>HEART POCKET CARDI</t>
  </si>
  <si>
    <t>100057911BG</t>
  </si>
  <si>
    <t>732996892665</t>
  </si>
  <si>
    <t>732994852098</t>
  </si>
  <si>
    <t>732995882902</t>
  </si>
  <si>
    <t>T POLO SHIRT BASIC</t>
  </si>
  <si>
    <t>100041994TB</t>
  </si>
  <si>
    <t>732996892511</t>
  </si>
  <si>
    <t>T SPLATTER LEGGING</t>
  </si>
  <si>
    <t>100052412TG</t>
  </si>
  <si>
    <t>732997351543</t>
  </si>
  <si>
    <t>732997490099</t>
  </si>
  <si>
    <t>FOX KNEE JOGGER</t>
  </si>
  <si>
    <t>100064416BB</t>
  </si>
  <si>
    <t>732997490105</t>
  </si>
  <si>
    <t>732997490129</t>
  </si>
  <si>
    <t>732996176147</t>
  </si>
  <si>
    <t>636193029858</t>
  </si>
  <si>
    <t>MARLED KNIT JOGGER BASIC</t>
  </si>
  <si>
    <t>6155FI419</t>
  </si>
  <si>
    <t>732996176482</t>
  </si>
  <si>
    <t>RAINBOW DRESS</t>
  </si>
  <si>
    <t>100059836BG</t>
  </si>
  <si>
    <t>732996176277</t>
  </si>
  <si>
    <t>732997490136</t>
  </si>
  <si>
    <t>732997490143</t>
  </si>
  <si>
    <t>732997346730</t>
  </si>
  <si>
    <t>T SS BOTANICAL TUNIC</t>
  </si>
  <si>
    <t>100069821TG</t>
  </si>
  <si>
    <t>732997346747</t>
  </si>
  <si>
    <t>732997346754</t>
  </si>
  <si>
    <t>732996891743</t>
  </si>
  <si>
    <t>732997346679</t>
  </si>
  <si>
    <t>T SS BEAUTIFUL PPLUM</t>
  </si>
  <si>
    <t>100069818TG</t>
  </si>
  <si>
    <t>732996891637</t>
  </si>
  <si>
    <t>732996211596</t>
  </si>
  <si>
    <t>T BIG GEO TUNIC BASIC</t>
  </si>
  <si>
    <t>100052327TG</t>
  </si>
  <si>
    <t>732996891897</t>
  </si>
  <si>
    <t>T SS SAFARI TUNIC</t>
  </si>
  <si>
    <t>100056315TG</t>
  </si>
  <si>
    <t>732996891866</t>
  </si>
  <si>
    <t>T SS LION TUNIC</t>
  </si>
  <si>
    <t>100056180TG</t>
  </si>
  <si>
    <t>732996891286</t>
  </si>
  <si>
    <t>T SS HEART TUNIC</t>
  </si>
  <si>
    <t>100052354TG</t>
  </si>
  <si>
    <t>732996891293</t>
  </si>
  <si>
    <t>732996960623</t>
  </si>
  <si>
    <t>DOT JOGGER</t>
  </si>
  <si>
    <t>732995797879</t>
  </si>
  <si>
    <t>732996891262</t>
  </si>
  <si>
    <t>T I HEART YOU TEE</t>
  </si>
  <si>
    <t>100052368TG</t>
  </si>
  <si>
    <t>732995578980</t>
  </si>
  <si>
    <t>T EYELET SHORT BASIC</t>
  </si>
  <si>
    <t>100042482TG</t>
  </si>
  <si>
    <t>732995800920</t>
  </si>
  <si>
    <t>732995797855</t>
  </si>
  <si>
    <t>T FRUITY BERMUDA BASIC</t>
  </si>
  <si>
    <t>100042532TG</t>
  </si>
  <si>
    <t>732995800906</t>
  </si>
  <si>
    <t>732995800890</t>
  </si>
  <si>
    <t>732995578966</t>
  </si>
  <si>
    <t>732997768884</t>
  </si>
  <si>
    <t>732995578973</t>
  </si>
  <si>
    <t>732997383889</t>
  </si>
  <si>
    <t>ENCHANTED BODYSUIT</t>
  </si>
  <si>
    <t>100063709BG</t>
  </si>
  <si>
    <t>732996891224</t>
  </si>
  <si>
    <t>T LOVE MOM RFFLE TEE</t>
  </si>
  <si>
    <t>100052356TG</t>
  </si>
  <si>
    <t>732996891231</t>
  </si>
  <si>
    <t>732996212685</t>
  </si>
  <si>
    <t>T SUMMER LOVE TEE BASIC</t>
  </si>
  <si>
    <t>100052301TG</t>
  </si>
  <si>
    <t>BODY: COTTON; NECK BINDING: COTTON/SPANDEX</t>
  </si>
  <si>
    <t>732996212616</t>
  </si>
  <si>
    <t>T DOLPHIN SHORT BASIC</t>
  </si>
  <si>
    <t>100044646TG</t>
  </si>
  <si>
    <t>732996240961</t>
  </si>
  <si>
    <t>T DANCING TIGER TEE BASIC</t>
  </si>
  <si>
    <t>100053727TB</t>
  </si>
  <si>
    <t>732996212746</t>
  </si>
  <si>
    <t>T CARNIVAL CAT TEE BASIC</t>
  </si>
  <si>
    <t>100052303TG</t>
  </si>
  <si>
    <t>732996240992</t>
  </si>
  <si>
    <t>732996241005</t>
  </si>
  <si>
    <t>732994854979</t>
  </si>
  <si>
    <t>732995884241</t>
  </si>
  <si>
    <t>732995884289</t>
  </si>
  <si>
    <t>732995884302</t>
  </si>
  <si>
    <t>732996211473</t>
  </si>
  <si>
    <t>T ICE CREAM BOW TEE BASIC</t>
  </si>
  <si>
    <t>100052323TG</t>
  </si>
  <si>
    <t>732994938679</t>
  </si>
  <si>
    <t>732996280417</t>
  </si>
  <si>
    <t>HEART YOGA PANT</t>
  </si>
  <si>
    <t>100054869BG</t>
  </si>
  <si>
    <t>732996280226</t>
  </si>
  <si>
    <t>FLORAL BLOOMER</t>
  </si>
  <si>
    <t>100054865BG</t>
  </si>
  <si>
    <t>732994882637</t>
  </si>
  <si>
    <t>T GIRAFFE BOW TEE BASIC</t>
  </si>
  <si>
    <t>100042413TG</t>
  </si>
  <si>
    <t>732997481868</t>
  </si>
  <si>
    <t>732995891478</t>
  </si>
  <si>
    <t>T CHERRY CHECK SHORT BASIC</t>
  </si>
  <si>
    <t>100042533TG</t>
  </si>
  <si>
    <t>732995797817</t>
  </si>
  <si>
    <t>T RBOW STRIPE SHORT BASIC</t>
  </si>
  <si>
    <t>100042531TG</t>
  </si>
  <si>
    <t>732994939171</t>
  </si>
  <si>
    <t>NEUTRAL HAT PACK</t>
  </si>
  <si>
    <t>HEATHERED: COTTON/POLYESTER; STRIPED: COTTON</t>
  </si>
  <si>
    <t>732995574999</t>
  </si>
  <si>
    <t>POLO SHIRT BASIC</t>
  </si>
  <si>
    <t>100041994BB</t>
  </si>
  <si>
    <t>732996241067</t>
  </si>
  <si>
    <t>T GOOD VIBES TANK BASIC</t>
  </si>
  <si>
    <t>100053739TB</t>
  </si>
  <si>
    <t>732995800791</t>
  </si>
  <si>
    <t>T WILD FLOWER SHORT BASIC</t>
  </si>
  <si>
    <t>100042529TG</t>
  </si>
  <si>
    <t>732996892207</t>
  </si>
  <si>
    <t>732996892191</t>
  </si>
  <si>
    <t>732996892184</t>
  </si>
  <si>
    <t>732996213118</t>
  </si>
  <si>
    <t>732996241524</t>
  </si>
  <si>
    <t>T COOL PINEAPPLE TAN BASIC</t>
  </si>
  <si>
    <t>100053734TB</t>
  </si>
  <si>
    <t>732996211701</t>
  </si>
  <si>
    <t>T ANIMAL GEO SHORT BASIC</t>
  </si>
  <si>
    <t>100052349TG</t>
  </si>
  <si>
    <t>732996211688</t>
  </si>
  <si>
    <t>732996211640</t>
  </si>
  <si>
    <t>T TROPICAL SHORT BASIC</t>
  </si>
  <si>
    <t>100052347TG</t>
  </si>
  <si>
    <t>732996280165</t>
  </si>
  <si>
    <t>SEA CREATURE SHORT</t>
  </si>
  <si>
    <t>100054864BB</t>
  </si>
  <si>
    <t>732996211732</t>
  </si>
  <si>
    <t>T DAISY SHORT BASIC</t>
  </si>
  <si>
    <t>100052350TG</t>
  </si>
  <si>
    <t>732996892047</t>
  </si>
  <si>
    <t>732996280172</t>
  </si>
  <si>
    <t>732996244969</t>
  </si>
  <si>
    <t>ICE CREAM BODYSUIT</t>
  </si>
  <si>
    <t>100053781BG</t>
  </si>
  <si>
    <t>732994880978</t>
  </si>
  <si>
    <t>HEART DOT LEGGING BASIC</t>
  </si>
  <si>
    <t>100042444BG</t>
  </si>
  <si>
    <t>732994155168</t>
  </si>
  <si>
    <t>TEXTURED LEGGING BASIC</t>
  </si>
  <si>
    <t>732994881722</t>
  </si>
  <si>
    <t>732996280073</t>
  </si>
  <si>
    <t>732996280103</t>
  </si>
  <si>
    <t>TROPICAL SHORT</t>
  </si>
  <si>
    <t>732996959412</t>
  </si>
  <si>
    <t>BUNNY BODYSUIT</t>
  </si>
  <si>
    <t>100063149BG</t>
  </si>
  <si>
    <t>732996959405</t>
  </si>
  <si>
    <t>732996241418</t>
  </si>
  <si>
    <t>T FISHING BEAR TEE BASIC</t>
  </si>
  <si>
    <t>100053730TB</t>
  </si>
  <si>
    <t>732995801699</t>
  </si>
  <si>
    <t>STARS STRIPE SHORT BASIC</t>
  </si>
  <si>
    <t>100043945BB</t>
  </si>
  <si>
    <t>732997340349</t>
  </si>
  <si>
    <t>SS BOTANICAL TUNIC</t>
  </si>
  <si>
    <t>100069821BG</t>
  </si>
  <si>
    <t>732995577921</t>
  </si>
  <si>
    <t>GINGHAM TUNIC BASIC</t>
  </si>
  <si>
    <t>100042501BG</t>
  </si>
  <si>
    <t>732997491133</t>
  </si>
  <si>
    <t>732997340363</t>
  </si>
  <si>
    <t>732995801682</t>
  </si>
  <si>
    <t>732995801705</t>
  </si>
  <si>
    <t>732995801675</t>
  </si>
  <si>
    <t>732995579499</t>
  </si>
  <si>
    <t>191603919605</t>
  </si>
  <si>
    <t>191603919612</t>
  </si>
  <si>
    <t>191603919599</t>
  </si>
  <si>
    <t>732997768280</t>
  </si>
  <si>
    <t>732996959870</t>
  </si>
  <si>
    <t>DOODLE FOREST BDYST</t>
  </si>
  <si>
    <t>100063160BB</t>
  </si>
  <si>
    <t>732996959573</t>
  </si>
  <si>
    <t>LEAF BODYSUIT</t>
  </si>
  <si>
    <t>732996959535</t>
  </si>
  <si>
    <t>732997491331</t>
  </si>
  <si>
    <t>732996212470</t>
  </si>
  <si>
    <t>732996890524</t>
  </si>
  <si>
    <t>732996889320</t>
  </si>
  <si>
    <t>SS GIRAFFE TEE</t>
  </si>
  <si>
    <t>100056319BG</t>
  </si>
  <si>
    <t>732996279886</t>
  </si>
  <si>
    <t>HIBISCUS BODYSUIT</t>
  </si>
  <si>
    <t>100054859BG</t>
  </si>
  <si>
    <t>732995251968</t>
  </si>
  <si>
    <t>BOWTIE BIB</t>
  </si>
  <si>
    <t>732996905310</t>
  </si>
  <si>
    <t>732996905297</t>
  </si>
  <si>
    <t>732996241326</t>
  </si>
  <si>
    <t>T MOM RUNS THE SHOW BASIC</t>
  </si>
  <si>
    <t>100053726TB</t>
  </si>
  <si>
    <t>732996240787</t>
  </si>
  <si>
    <t>732995798562</t>
  </si>
  <si>
    <t>CHECK BUBBLE BLOOMER BASIC</t>
  </si>
  <si>
    <t>100042534BG</t>
  </si>
  <si>
    <t>732995798517</t>
  </si>
  <si>
    <t>WILD FLOWER SHORT BASIC</t>
  </si>
  <si>
    <t>100042529BG</t>
  </si>
  <si>
    <t>732995798500</t>
  </si>
  <si>
    <t>732996210759</t>
  </si>
  <si>
    <t>ANIMAL GEO SHORT BASIC</t>
  </si>
  <si>
    <t>100052349BG</t>
  </si>
  <si>
    <t>732996210728</t>
  </si>
  <si>
    <t>732997343043</t>
  </si>
  <si>
    <t>SS TEDDY BEAR PKT TE</t>
  </si>
  <si>
    <t>100070030BB</t>
  </si>
  <si>
    <t>732997343029</t>
  </si>
  <si>
    <t>732997343036</t>
  </si>
  <si>
    <t>732996212128</t>
  </si>
  <si>
    <t>732997490006</t>
  </si>
  <si>
    <t>SS RUGBY STRIPE TEE</t>
  </si>
  <si>
    <t>100070034BB</t>
  </si>
  <si>
    <t>732996958774</t>
  </si>
  <si>
    <t>CAT HAT</t>
  </si>
  <si>
    <t>100063184BG</t>
  </si>
  <si>
    <t>COTTON; FAUX FUR TRIM: POLYESTER</t>
  </si>
  <si>
    <t>732996958781</t>
  </si>
  <si>
    <t>636202872659</t>
  </si>
  <si>
    <t>SS HANDSOME TEE BASIC</t>
  </si>
  <si>
    <t>100035241BB</t>
  </si>
  <si>
    <t>192136029564</t>
  </si>
  <si>
    <t>192136029571</t>
  </si>
  <si>
    <t>192136019534</t>
  </si>
  <si>
    <t>GSW 4PC BLUE PRINCESS</t>
  </si>
  <si>
    <t>192136106845</t>
  </si>
  <si>
    <t>F19 FLORAL PINK PANT SET</t>
  </si>
  <si>
    <t>192136106838</t>
  </si>
  <si>
    <t>192135978825</t>
  </si>
  <si>
    <t>192135978863</t>
  </si>
  <si>
    <t>192135980088</t>
  </si>
  <si>
    <t>BSPSF19 G BSPS PURP TUTU</t>
  </si>
  <si>
    <t>809115507875</t>
  </si>
  <si>
    <t>CAP SLV W/ DBL STRAP SAT</t>
  </si>
  <si>
    <t>C5-378</t>
  </si>
  <si>
    <t>SHELL:BODY: 100% POLYESTERLACE:BASE: 100% POLYESTEREMBROIDERY: 64% POLYESTER18% RAYON 18% COTTONLINING:WOVEN: 100% POLYESTERMESH: 100% POLYESTER</t>
  </si>
  <si>
    <t>192042689159</t>
  </si>
  <si>
    <t>PINDOT JACKET</t>
  </si>
  <si>
    <t>K8J0071-420</t>
  </si>
  <si>
    <t>843523024746</t>
  </si>
  <si>
    <t>THE TIFFANY DRESS</t>
  </si>
  <si>
    <t>SALLY MILLER COUTURE/SALLY MILLER</t>
  </si>
  <si>
    <t>96% POLYESTER/4% SPANDEX; LINING: 100% POLYESTER; MESH: 88% POLYESTER/12% SPANDEX</t>
  </si>
  <si>
    <t>884733531174</t>
  </si>
  <si>
    <t>BROADCLOTH-CLRBLK SET-SE</t>
  </si>
  <si>
    <t>TOP AND SHORTS: COTTON; CONTRASTING PANEL: COTTON/ELASTANE</t>
  </si>
  <si>
    <t>884733951996</t>
  </si>
  <si>
    <t>INTERLOCK-SEERSK SET-SET</t>
  </si>
  <si>
    <t>SHIRT AND BELT: COTTON; PANT: COTTON/ELASTANE</t>
  </si>
  <si>
    <t>759448956874</t>
  </si>
  <si>
    <t>DRIVING DIME LE</t>
  </si>
  <si>
    <t>DRIVINGDIME</t>
  </si>
  <si>
    <t>KHAKI</t>
  </si>
  <si>
    <t>LEATHER UPPER; RUBBER SOLE</t>
  </si>
  <si>
    <t>884547768278</t>
  </si>
  <si>
    <t>SR-CHLOE</t>
  </si>
  <si>
    <t>BG60349</t>
  </si>
  <si>
    <t>8.5 W</t>
  </si>
  <si>
    <t>MANMADE UPPER; RUBBER SOLE; FAUX-FUR TRIM: ACRYLIC</t>
  </si>
  <si>
    <t>22859473217</t>
  </si>
  <si>
    <t>BLACK ALL STAR OX 4-6 BASIC</t>
  </si>
  <si>
    <t>M9166</t>
  </si>
  <si>
    <t>15</t>
  </si>
  <si>
    <t>CONVERSE INC</t>
  </si>
  <si>
    <t>FABRIC UPPER, FABRIC LINING, RUBBER SOLE</t>
  </si>
  <si>
    <t>22859473033</t>
  </si>
  <si>
    <t>CANVAS UPPER; RUBBER SOLE</t>
  </si>
  <si>
    <t>22859473231</t>
  </si>
  <si>
    <t>22866885966</t>
  </si>
  <si>
    <t>22859473224</t>
  </si>
  <si>
    <t>736576066149</t>
  </si>
  <si>
    <t>682510243414</t>
  </si>
  <si>
    <t>AERIAL JACKET</t>
  </si>
  <si>
    <t>35D36026-08</t>
  </si>
  <si>
    <t>CALVIN KLEIN/KHQ INVESTMENT GIRLS</t>
  </si>
  <si>
    <t>SHELL, LINING AND FILL: POLYESTER; FAUX-FUR TRIM: ACRYLIC</t>
  </si>
  <si>
    <t>810008628096</t>
  </si>
  <si>
    <t>ROMPER WITH TASSLES</t>
  </si>
  <si>
    <t>KZ8148GD</t>
  </si>
  <si>
    <t>VINTAGE HAVANA KIDS/MAJ INC</t>
  </si>
  <si>
    <t>884733644065</t>
  </si>
  <si>
    <t>DENIM-PO SHORT-BT</t>
  </si>
  <si>
    <t>SHELL: COTTON; WAISTBAND: POLYESTER/NYLON/ELASTANE</t>
  </si>
  <si>
    <t>7613414589530</t>
  </si>
  <si>
    <t>DENIM JACKET WITH LARGE</t>
  </si>
  <si>
    <t>J93L06D3QU0</t>
  </si>
  <si>
    <t>46094858059</t>
  </si>
  <si>
    <t>DAISY PRINT DRESS</t>
  </si>
  <si>
    <t>RGTD855</t>
  </si>
  <si>
    <t>SPLENDID/DELTA GALIL USA INC</t>
  </si>
  <si>
    <t>60% COTTON/40% MODAL</t>
  </si>
  <si>
    <t>791088811670</t>
  </si>
  <si>
    <t>TSWIFT</t>
  </si>
  <si>
    <t>F468809</t>
  </si>
  <si>
    <t>POLYESTER/METALLIC; LINING: POLYESTER</t>
  </si>
  <si>
    <t>884733926734</t>
  </si>
  <si>
    <t>884733904800</t>
  </si>
  <si>
    <t>COMBED COTTON-SHRUG-TOPS</t>
  </si>
  <si>
    <t>884733904824</t>
  </si>
  <si>
    <t>885031359255</t>
  </si>
  <si>
    <t>BASIC MESH-POLO COVERAL-</t>
  </si>
  <si>
    <t>637348373833</t>
  </si>
  <si>
    <t>2PC SET-MAXI HI LOW</t>
  </si>
  <si>
    <t>2202K6V</t>
  </si>
  <si>
    <t>791088825219</t>
  </si>
  <si>
    <t>LEOPARD GLITTER</t>
  </si>
  <si>
    <t>F468869</t>
  </si>
  <si>
    <t>192610385810</t>
  </si>
  <si>
    <t>ED6051</t>
  </si>
  <si>
    <t>193579337438</t>
  </si>
  <si>
    <t>SPENCER DENIM SHIRT</t>
  </si>
  <si>
    <t>TBFCB45J-471</t>
  </si>
  <si>
    <t>884733789834</t>
  </si>
  <si>
    <t>POPLIN-BOATING SHORT</t>
  </si>
  <si>
    <t>887407951247</t>
  </si>
  <si>
    <t>DOLLY BOW-T</t>
  </si>
  <si>
    <t>6 M</t>
  </si>
  <si>
    <t>809115542883</t>
  </si>
  <si>
    <t>LACE DRESS</t>
  </si>
  <si>
    <t>B7-9424</t>
  </si>
  <si>
    <t>62% COTTON/34% NYLON/4% OTHER FIBERS; ELASTIC: 59% NYLON/28% POLYESTER/13% SPANDEX; LINING: 100% POLYESTER</t>
  </si>
  <si>
    <t>46094862582</t>
  </si>
  <si>
    <t>DAISY PRINT TANK SET</t>
  </si>
  <si>
    <t>RGNS867</t>
  </si>
  <si>
    <t>TANK: 60% COTTON/40% MODAL; LEGGINGS: 53% COTTON/38% MODAL/9% SPANDEX</t>
  </si>
  <si>
    <t>889556539734</t>
  </si>
  <si>
    <t>NAVY CANVAS TN M JANE FLBASIC</t>
  </si>
  <si>
    <t>TOMS SHOES</t>
  </si>
  <si>
    <t>COTTON/POLYESTER UPPER, COTTON LINING, RUBBER/FABRIC SOLE</t>
  </si>
  <si>
    <t>887407890966</t>
  </si>
  <si>
    <t>192769008486</t>
  </si>
  <si>
    <t>887407916505</t>
  </si>
  <si>
    <t>887622600869</t>
  </si>
  <si>
    <t>BEDROCK CAMO TRACK SET</t>
  </si>
  <si>
    <t>27F52601-60</t>
  </si>
  <si>
    <t>887622600845</t>
  </si>
  <si>
    <t>849996029455</t>
  </si>
  <si>
    <t>FRENCH TERRY JUMPSUIT</t>
  </si>
  <si>
    <t>K10150A</t>
  </si>
  <si>
    <t>S</t>
  </si>
  <si>
    <t>AQUA/LOVEMARKS INC</t>
  </si>
  <si>
    <t>63% POLYESTER/29% COTTON/8% SPANDEX</t>
  </si>
  <si>
    <t>849996029516</t>
  </si>
  <si>
    <t>FLUTTER SLV STRIPE KNIT</t>
  </si>
  <si>
    <t>KD1390</t>
  </si>
  <si>
    <t>60% POLYESTER/35% RAYON/5% SPANDEX</t>
  </si>
  <si>
    <t>193112187926</t>
  </si>
  <si>
    <t>887407927556</t>
  </si>
  <si>
    <t>BRIGHT BELLA</t>
  </si>
  <si>
    <t>193112187919</t>
  </si>
  <si>
    <t>193579337162</t>
  </si>
  <si>
    <t>884733329207</t>
  </si>
  <si>
    <t>STRTCH MESH-BIG PP POLO</t>
  </si>
  <si>
    <t>883288182664</t>
  </si>
  <si>
    <t>PARACHUTE TWILL-PO SHORT</t>
  </si>
  <si>
    <t>192564544783</t>
  </si>
  <si>
    <t>PERF 2.0 POLO NOVELTY</t>
  </si>
  <si>
    <t>794893997119</t>
  </si>
  <si>
    <t>SS RUFFLE HEM 2FER TEE</t>
  </si>
  <si>
    <t>G271</t>
  </si>
  <si>
    <t>AQUA/NECESSARY OBJECTS LTD</t>
  </si>
  <si>
    <t>95% RAYON/ 5% SPANDEX; CONTRAST: 97% COTTON/3% SPANDEX</t>
  </si>
  <si>
    <t>794893997102</t>
  </si>
  <si>
    <t>794893997096</t>
  </si>
  <si>
    <t>191539408570</t>
  </si>
  <si>
    <t>794893997089</t>
  </si>
  <si>
    <t>880680837468</t>
  </si>
  <si>
    <t>DENIM SHORT W/PANEL PRIN</t>
  </si>
  <si>
    <t>TGSCC11V-496</t>
  </si>
  <si>
    <t>193579330255</t>
  </si>
  <si>
    <t>745644326030</t>
  </si>
  <si>
    <t>SPRINGTIME POPOVER-HBND</t>
  </si>
  <si>
    <t>LLD08280N</t>
  </si>
  <si>
    <t>192399586712</t>
  </si>
  <si>
    <t>YOUTH MELANGE MES</t>
  </si>
  <si>
    <t>AK5634</t>
  </si>
  <si>
    <t>191539362650</t>
  </si>
  <si>
    <t>BOW SHOULDER FLORAL</t>
  </si>
  <si>
    <t>S68284-DV</t>
  </si>
  <si>
    <t>DRESS: COTTON; LINING: POLYESTER</t>
  </si>
  <si>
    <t>617846188436</t>
  </si>
  <si>
    <t>JUST DO IT 2-TONE MESH S</t>
  </si>
  <si>
    <t>86F031G</t>
  </si>
  <si>
    <t>791088773992</t>
  </si>
  <si>
    <t>PNK AND GOLD W SIDE BOW</t>
  </si>
  <si>
    <t>F863199</t>
  </si>
  <si>
    <t>884733125656</t>
  </si>
  <si>
    <t>NEW BASIC MSH-SLD MSH BASIC</t>
  </si>
  <si>
    <t>747941619051</t>
  </si>
  <si>
    <t>RAINBOW STRIPE MAXI</t>
  </si>
  <si>
    <t>S3936D01CJ12</t>
  </si>
  <si>
    <t>492033172128</t>
  </si>
  <si>
    <t>FLIP SEQUIN CLUTCH</t>
  </si>
  <si>
    <t>BAG32BRSEQ</t>
  </si>
  <si>
    <t>100% POLYURETHANE; LINING: 100% POLYESTER; CHAIN: 100% ALUMINUM; SEQUINS: 100% PLASTIC</t>
  </si>
  <si>
    <t>791088808069</t>
  </si>
  <si>
    <t>791088836314</t>
  </si>
  <si>
    <t>887407913313</t>
  </si>
  <si>
    <t>BROAD-WAY RUNNER</t>
  </si>
  <si>
    <t>845507051779</t>
  </si>
  <si>
    <t>LEAF LEO</t>
  </si>
  <si>
    <t>MANMADE UPPER AND LINING; RUBBER SOLE</t>
  </si>
  <si>
    <t>884733831885</t>
  </si>
  <si>
    <t>RUGBY JRSY-RUGBY SHRTLL</t>
  </si>
  <si>
    <t>617847118982</t>
  </si>
  <si>
    <t>BEDR 5PKT SUEDED PANT BASIC</t>
  </si>
  <si>
    <t>717648F</t>
  </si>
  <si>
    <t>617847174797</t>
  </si>
  <si>
    <t>191045806679</t>
  </si>
  <si>
    <t>RAMPAGE PERF HEEL SANDAL</t>
  </si>
  <si>
    <t>RAK MIYA</t>
  </si>
  <si>
    <t>11 M</t>
  </si>
  <si>
    <t>887622935831</t>
  </si>
  <si>
    <t>COLOR BLOCK VOLLEY</t>
  </si>
  <si>
    <t>27G66012-42</t>
  </si>
  <si>
    <t>MADE IN MALAYSIA</t>
  </si>
  <si>
    <t>100% POLYESTER</t>
  </si>
  <si>
    <t>191539433749</t>
  </si>
  <si>
    <t>889799667591</t>
  </si>
  <si>
    <t>JUSTICE LEAGUE 2FER</t>
  </si>
  <si>
    <t>JL108BLLMA</t>
  </si>
  <si>
    <t>884733763421</t>
  </si>
  <si>
    <t>884733974292</t>
  </si>
  <si>
    <t>884733975121</t>
  </si>
  <si>
    <t>9328678458</t>
  </si>
  <si>
    <t>JUMPMAN AIR MESH SHORT</t>
  </si>
  <si>
    <t>956304G</t>
  </si>
  <si>
    <t>617846714017</t>
  </si>
  <si>
    <t>BIB 2-4 505 STRAIGHT FIT JE</t>
  </si>
  <si>
    <t>715505F</t>
  </si>
  <si>
    <t>841372144783</t>
  </si>
  <si>
    <t>CAMOPHASE VOLLEY</t>
  </si>
  <si>
    <t>4ABB121</t>
  </si>
  <si>
    <t>887622952753</t>
  </si>
  <si>
    <t>UA BLAST SIDE VOLLEY</t>
  </si>
  <si>
    <t>27G66022-81</t>
  </si>
  <si>
    <t>UNDER ARMOUR SWIM/KHQ INVESTMENT</t>
  </si>
  <si>
    <t>756998991959</t>
  </si>
  <si>
    <t>8 VOLLEY SHORT</t>
  </si>
  <si>
    <t>NESS9650DS</t>
  </si>
  <si>
    <t>NIKE SWIM/SUPREME/PERRY ELLIS BOYS</t>
  </si>
  <si>
    <t>884733834480</t>
  </si>
  <si>
    <t>YD JERSEY-SS CN-TP-TSH</t>
  </si>
  <si>
    <t>191169047569</t>
  </si>
  <si>
    <t>880680737621</t>
  </si>
  <si>
    <t>TBSCB086-100</t>
  </si>
  <si>
    <t>193467017695</t>
  </si>
  <si>
    <t>PINEAPPLE CHAMBRAY DRESS</t>
  </si>
  <si>
    <t>M21142GB</t>
  </si>
  <si>
    <t>192399959165</t>
  </si>
  <si>
    <t>636193066075</t>
  </si>
  <si>
    <t>MOTO KNIT DENIM</t>
  </si>
  <si>
    <t>100029364BO</t>
  </si>
  <si>
    <t>636193983037</t>
  </si>
  <si>
    <t>CORE JOGGER</t>
  </si>
  <si>
    <t>I72609BO</t>
  </si>
  <si>
    <t>887407917038</t>
  </si>
  <si>
    <t>FAYE NOLLIE</t>
  </si>
  <si>
    <t>192135999363</t>
  </si>
  <si>
    <t>193579295448</t>
  </si>
  <si>
    <t>PRNTED PANEL TEE</t>
  </si>
  <si>
    <t>TBFCA12F-405</t>
  </si>
  <si>
    <t>193579295455</t>
  </si>
  <si>
    <t>79092908068</t>
  </si>
  <si>
    <t>BOY DUCK BOOT</t>
  </si>
  <si>
    <t>FIRST IMPRESSIONS-EDI/TRIMFOOT CO</t>
  </si>
  <si>
    <t>193579295981</t>
  </si>
  <si>
    <t>STARS STRIPES TEE</t>
  </si>
  <si>
    <t>TBFCA19F-004</t>
  </si>
  <si>
    <t>193579295714</t>
  </si>
  <si>
    <t>SKATE PRT TEE</t>
  </si>
  <si>
    <t>TBFCA15F-434</t>
  </si>
  <si>
    <t>9328165163</t>
  </si>
  <si>
    <t>HIGH RISE SKIRT</t>
  </si>
  <si>
    <t>414890F</t>
  </si>
  <si>
    <t>756998891457</t>
  </si>
  <si>
    <t>NIKE HEATHER CAMO SWOOSH</t>
  </si>
  <si>
    <t>NESS9700DS</t>
  </si>
  <si>
    <t>617846838102</t>
  </si>
  <si>
    <t>D4CD STEP UP SHORTY SHORT</t>
  </si>
  <si>
    <t>416328F</t>
  </si>
  <si>
    <t>191603767589</t>
  </si>
  <si>
    <t>BATMAN SET</t>
  </si>
  <si>
    <t>2JDCB1666</t>
  </si>
  <si>
    <t>T-SHIRT: COTTON/POLYESTER; SHORTS: COTTON/POLYESTER</t>
  </si>
  <si>
    <t>745644315058</t>
  </si>
  <si>
    <t>CAR ROMPER-HAT</t>
  </si>
  <si>
    <t>LCR08069N</t>
  </si>
  <si>
    <t>732995567908</t>
  </si>
  <si>
    <t>AOP SBERRY DRESS</t>
  </si>
  <si>
    <t>100046877LG</t>
  </si>
  <si>
    <t>48238369100</t>
  </si>
  <si>
    <t>HAPPY MINNIE SET</t>
  </si>
  <si>
    <t>TF6380GD6949</t>
  </si>
  <si>
    <t>192136012085</t>
  </si>
  <si>
    <t>732995524000</t>
  </si>
  <si>
    <t>RACE STRIPE SHORT</t>
  </si>
  <si>
    <t>100046860BO</t>
  </si>
  <si>
    <t>192500448793</t>
  </si>
  <si>
    <t>B NSW TEE FUTURA 3D</t>
  </si>
  <si>
    <t>BQ2703</t>
  </si>
  <si>
    <t>880680579962</t>
  </si>
  <si>
    <t>POLO &amp; SHORTS</t>
  </si>
  <si>
    <t>10G52616-99</t>
  </si>
  <si>
    <t>SHIRT/SHORTS: ALL COTTON</t>
  </si>
  <si>
    <t>192007719143</t>
  </si>
  <si>
    <t>HYBRID BIG LOGO SS</t>
  </si>
  <si>
    <t>880680583310</t>
  </si>
  <si>
    <t>NEW ICON ANGLED V NK SS</t>
  </si>
  <si>
    <t>35G64245-89</t>
  </si>
  <si>
    <t>193579295370</t>
  </si>
  <si>
    <t>PATRIOT TEE</t>
  </si>
  <si>
    <t>TBFCA11F-100</t>
  </si>
  <si>
    <t>193579295158</t>
  </si>
  <si>
    <t>TBFCA04F-508</t>
  </si>
  <si>
    <t>889898112534</t>
  </si>
  <si>
    <t>SUNSHINE ALL THE TIME TE</t>
  </si>
  <si>
    <t>MT1903X449</t>
  </si>
  <si>
    <t>MICHELLE BY COMUNE/F4M BRANDS INC</t>
  </si>
  <si>
    <t>50% COTTON/50% MODAL</t>
  </si>
  <si>
    <t>732996083278</t>
  </si>
  <si>
    <t>ICE CREAM DENIM SHOR</t>
  </si>
  <si>
    <t>100057065GR</t>
  </si>
  <si>
    <t>192136306474</t>
  </si>
  <si>
    <t>46094840863</t>
  </si>
  <si>
    <t>3PK BIKINI</t>
  </si>
  <si>
    <t>M7127</t>
  </si>
  <si>
    <t>617844787471</t>
  </si>
  <si>
    <t>PRINTED SPLATTER TEE</t>
  </si>
  <si>
    <t>969360E</t>
  </si>
  <si>
    <t>732996214184</t>
  </si>
  <si>
    <t>RUFFLE SHORTALL BASIC</t>
  </si>
  <si>
    <t>100059555BG</t>
  </si>
  <si>
    <t>46094957110</t>
  </si>
  <si>
    <t>46094957189</t>
  </si>
  <si>
    <t>46094957240</t>
  </si>
  <si>
    <t>735869307600</t>
  </si>
  <si>
    <t>HERITAGE JOGGER</t>
  </si>
  <si>
    <t>C2999R</t>
  </si>
  <si>
    <t>732996128535</t>
  </si>
  <si>
    <t>RAINBOW CHALLIS SET</t>
  </si>
  <si>
    <t>100056924LG</t>
  </si>
  <si>
    <t>46094840108</t>
  </si>
  <si>
    <t>732996380193</t>
  </si>
  <si>
    <t>192135725689</t>
  </si>
  <si>
    <t>S19 DENIM PULL ON SHORT</t>
  </si>
  <si>
    <t>288G202</t>
  </si>
  <si>
    <t>696114315934</t>
  </si>
  <si>
    <t>192135978467</t>
  </si>
  <si>
    <t>BODYSUIT/PANTS: 100% COTTON; TUTU TULLE: POLYESTER</t>
  </si>
  <si>
    <t>716106807084</t>
  </si>
  <si>
    <t>5141766C</t>
  </si>
  <si>
    <t>617845194018</t>
  </si>
  <si>
    <t>HBR DF CREW</t>
  </si>
  <si>
    <t>RN0002G</t>
  </si>
  <si>
    <t>192136166290</t>
  </si>
  <si>
    <t>GIRL JUMPSUITF19 G 1PC Y</t>
  </si>
  <si>
    <t>POLYESTER; HOOD LINING: COTTON</t>
  </si>
  <si>
    <t>192136175452</t>
  </si>
  <si>
    <t>GIRL JUMPSUITF19 G 1 PIE</t>
  </si>
  <si>
    <t>690691004748</t>
  </si>
  <si>
    <t>SMILEY FACE SEQUIN TEE</t>
  </si>
  <si>
    <t>1663309K9177</t>
  </si>
  <si>
    <t>192135743904</t>
  </si>
  <si>
    <t>BOY TRUNKS19 ORANGE STRI</t>
  </si>
  <si>
    <t>WILLIAM CARTER COMPANY BOYS</t>
  </si>
  <si>
    <t>46094840702</t>
  </si>
  <si>
    <t>732995988994</t>
  </si>
  <si>
    <t>CHEST STRIPE RASH GD</t>
  </si>
  <si>
    <t>100054252BO</t>
  </si>
  <si>
    <t>732996083179</t>
  </si>
  <si>
    <t>EMB LACE TANK</t>
  </si>
  <si>
    <t>100057054GR</t>
  </si>
  <si>
    <t>46094840351</t>
  </si>
  <si>
    <t>46094840368</t>
  </si>
  <si>
    <t>735869366973</t>
  </si>
  <si>
    <t>FRENCH TERRY SHORT</t>
  </si>
  <si>
    <t>C5526R</t>
  </si>
  <si>
    <t>46094840344</t>
  </si>
  <si>
    <t>888282684596</t>
  </si>
  <si>
    <t>883953093028</t>
  </si>
  <si>
    <t>Ivor GIRAFFE FOOTIE/HAT</t>
  </si>
  <si>
    <t>L643855</t>
  </si>
  <si>
    <t>883953815019</t>
  </si>
  <si>
    <t>WHIT PUPPY TOILE FOOTIE</t>
  </si>
  <si>
    <t>LBQ04528N</t>
  </si>
  <si>
    <t>883953728562</t>
  </si>
  <si>
    <t>738386354096</t>
  </si>
  <si>
    <t>RED DRESS</t>
  </si>
  <si>
    <t>ST8420H1A</t>
  </si>
  <si>
    <t>883953317834</t>
  </si>
  <si>
    <t>Whit PRIMA BALLERINA FOOT</t>
  </si>
  <si>
    <t>LBQ00451N</t>
  </si>
  <si>
    <t>883953661449</t>
  </si>
  <si>
    <t>NAVY SAILBOATS BODYSUITS</t>
  </si>
  <si>
    <t>LB803530N</t>
  </si>
  <si>
    <t>617844517825</t>
  </si>
  <si>
    <t>NIKE GIRLS DRY TEMPO SHO</t>
  </si>
  <si>
    <t>36E836G</t>
  </si>
  <si>
    <t>888282683018</t>
  </si>
  <si>
    <t>LAG B DAZED RG</t>
  </si>
  <si>
    <t>L845572</t>
  </si>
  <si>
    <t>888282682967</t>
  </si>
  <si>
    <t>193467012249</t>
  </si>
  <si>
    <t>GEO PRINT TOP</t>
  </si>
  <si>
    <t>M29071GB</t>
  </si>
  <si>
    <t>193467012539</t>
  </si>
  <si>
    <t>GEO PRINT SHORT</t>
  </si>
  <si>
    <t>M33161GB</t>
  </si>
  <si>
    <t>732996084756</t>
  </si>
  <si>
    <t>PRINTED TEE BASIC</t>
  </si>
  <si>
    <t>100055542BO</t>
  </si>
  <si>
    <t>732995695311</t>
  </si>
  <si>
    <t>BORDER STRIPE SHORT BASIC</t>
  </si>
  <si>
    <t>100044712LB</t>
  </si>
  <si>
    <t>47852261302</t>
  </si>
  <si>
    <t>DAISY SCALLOP EDGE 3 PK</t>
  </si>
  <si>
    <t>G41189LPK</t>
  </si>
  <si>
    <t>POLO RALPH LAUREN/HOTSOX</t>
  </si>
  <si>
    <t>47852260138</t>
  </si>
  <si>
    <t>ICON STRIPE 3PK</t>
  </si>
  <si>
    <t>B61181LPK</t>
  </si>
  <si>
    <t>COTTON/POLYESTER/SPANDEX/OTHER FIBERS; EXCLUSIVE OF DECORATION</t>
  </si>
  <si>
    <t>696114340929</t>
  </si>
  <si>
    <t>RED PLAID COVERALL W SAN</t>
  </si>
  <si>
    <t>350530-MA</t>
  </si>
  <si>
    <t>PAJAMA/BLANKIE BABY BODY AND HEAD: COTTON/SPANDEX; BLANKIE BABY FILL: POLYESTER</t>
  </si>
  <si>
    <t>883953815804</t>
  </si>
  <si>
    <t>WHIT PUPPY TOILE BIB-BURP</t>
  </si>
  <si>
    <t>LB404532N</t>
  </si>
  <si>
    <t>883953731142</t>
  </si>
  <si>
    <t>LIGH CUTE BEAR BIB-BURP</t>
  </si>
  <si>
    <t>LB404012N</t>
  </si>
  <si>
    <t>BIBS AND BURP CLOTH: COTTON</t>
  </si>
  <si>
    <t>883953747242</t>
  </si>
  <si>
    <t>LIGH CUTE BEAR BLANKET</t>
  </si>
  <si>
    <t>LB704030N</t>
  </si>
  <si>
    <t>883953815323</t>
  </si>
  <si>
    <t>WHIT PUPPY TOILE BLANKET</t>
  </si>
  <si>
    <t>LB704531N</t>
  </si>
  <si>
    <t>45299058301</t>
  </si>
  <si>
    <t>633716825454</t>
  </si>
  <si>
    <t>RAGLAN SNOW YARN TEE</t>
  </si>
  <si>
    <t>916512F</t>
  </si>
  <si>
    <t>732996442167</t>
  </si>
  <si>
    <t>MULTI STRIPE DRESS</t>
  </si>
  <si>
    <t>100056981LG</t>
  </si>
  <si>
    <t>735869409540</t>
  </si>
  <si>
    <t>732997491942</t>
  </si>
  <si>
    <t>732996031750</t>
  </si>
  <si>
    <t>SIDE INSET SHORT BASIC</t>
  </si>
  <si>
    <t>100054268LB</t>
  </si>
  <si>
    <t>BODY, MESH: POLYESTER</t>
  </si>
  <si>
    <t>732995103977</t>
  </si>
  <si>
    <t>SHELL BIKINI BOTTOM</t>
  </si>
  <si>
    <t>100046180GR</t>
  </si>
  <si>
    <t>46094634912</t>
  </si>
  <si>
    <t>696114316801</t>
  </si>
  <si>
    <t>DREAM RAINBOW TSHIRT</t>
  </si>
  <si>
    <t>840108-MA</t>
  </si>
  <si>
    <t>81715763862</t>
  </si>
  <si>
    <t>BOY JUSTICE LEAGUE 6PK SOCKS</t>
  </si>
  <si>
    <t>JL907-6-8</t>
  </si>
  <si>
    <t>BERKSHIRE FASHIONS INC BOYS</t>
  </si>
  <si>
    <t>735869456346</t>
  </si>
  <si>
    <t>VERTICAL CHAMPION SCRIPT</t>
  </si>
  <si>
    <t>2117CM</t>
  </si>
  <si>
    <t>735869350040</t>
  </si>
  <si>
    <t>735869731580</t>
  </si>
  <si>
    <t>NAVY CHAMPION "HERITAGE"</t>
  </si>
  <si>
    <t>C5743R</t>
  </si>
  <si>
    <t>636206577925</t>
  </si>
  <si>
    <t>SOLID PINK BERMUDA</t>
  </si>
  <si>
    <t>100042250LG</t>
  </si>
  <si>
    <t>732995193688</t>
  </si>
  <si>
    <t>MAKE CUPCAKE SS TEE</t>
  </si>
  <si>
    <t>100046406LG</t>
  </si>
  <si>
    <t>732996123554</t>
  </si>
  <si>
    <t>HEART CUPCAKE SS TEE</t>
  </si>
  <si>
    <t>100056863LG</t>
  </si>
  <si>
    <t>732995565256</t>
  </si>
  <si>
    <t>FLAMINGO FLTTR SS TE</t>
  </si>
  <si>
    <t>100046403LG</t>
  </si>
  <si>
    <t>608356334659</t>
  </si>
  <si>
    <t>STAR KNEE PTCH JOGGR BASIC</t>
  </si>
  <si>
    <t>100031245BB</t>
  </si>
  <si>
    <t>732994877886</t>
  </si>
  <si>
    <t>732996239781</t>
  </si>
  <si>
    <t>732996892115</t>
  </si>
  <si>
    <t>732996892245</t>
  </si>
  <si>
    <t>732996905211</t>
  </si>
  <si>
    <t>732996959757</t>
  </si>
  <si>
    <t>46094831809</t>
  </si>
  <si>
    <t>732994939201</t>
  </si>
  <si>
    <t>NEUTRAL BIB SET</t>
  </si>
  <si>
    <t>FIRST BIB: COTTON; SECOND BIB: COTTON/POLYESTER</t>
  </si>
  <si>
    <t>732995575286</t>
  </si>
  <si>
    <t>WTRCOLOR STRIPE TEE BASIC</t>
  </si>
  <si>
    <t>100042003BB</t>
  </si>
  <si>
    <t>732995882285</t>
  </si>
  <si>
    <t>FIRETRUCK TEE BASIC</t>
  </si>
  <si>
    <t>100043938BB</t>
  </si>
  <si>
    <t>732995882292</t>
  </si>
  <si>
    <t>732995575521</t>
  </si>
  <si>
    <t>TROPICAL CB TEE BASIC</t>
  </si>
  <si>
    <t>100041999BB</t>
  </si>
  <si>
    <t>732996901404</t>
  </si>
  <si>
    <t>SS CARS TEE</t>
  </si>
  <si>
    <t>100056329BB</t>
  </si>
  <si>
    <t>732995175509</t>
  </si>
  <si>
    <t>HIPPO TEE BASIC</t>
  </si>
  <si>
    <t>100041964BB</t>
  </si>
  <si>
    <t>732995881967</t>
  </si>
  <si>
    <t>PATRIOTIC DOG TEE BASIC</t>
  </si>
  <si>
    <t>100043932BB</t>
  </si>
  <si>
    <t>732997001790</t>
  </si>
  <si>
    <t>TRAIN TEE</t>
  </si>
  <si>
    <t>100053751BB</t>
  </si>
  <si>
    <t>732996240589</t>
  </si>
  <si>
    <t>192170422734</t>
  </si>
  <si>
    <t>192136019565</t>
  </si>
  <si>
    <t>888737807358</t>
  </si>
  <si>
    <t>TWEEN</t>
  </si>
  <si>
    <t>TWEEN7-CR</t>
  </si>
  <si>
    <t>192135979358</t>
  </si>
  <si>
    <t>BSPSF19 G BSPS CHAMBRAY</t>
  </si>
  <si>
    <t>772084489292</t>
  </si>
  <si>
    <t>LIGHT GREY CHECK JCKT</t>
  </si>
  <si>
    <t>BLAY11PA0219</t>
  </si>
  <si>
    <t>884733535707</t>
  </si>
  <si>
    <t>GIRL-ONE PIECE-COVERALL</t>
  </si>
  <si>
    <t>SHELL: COTTON/POLYESTER; COLLAR: COTTON</t>
  </si>
  <si>
    <t>190177929683</t>
  </si>
  <si>
    <t>100% FESTIVAL JACKET</t>
  </si>
  <si>
    <t>H619P304</t>
  </si>
  <si>
    <t>192334641827</t>
  </si>
  <si>
    <t>TERRY FLIP FLOP HOODY</t>
  </si>
  <si>
    <t>BTGL7361</t>
  </si>
  <si>
    <t>6 REG</t>
  </si>
  <si>
    <t>BUTTER/SAMSUNG C&amp;T AMERICA</t>
  </si>
  <si>
    <t>23616442668</t>
  </si>
  <si>
    <t>STANDARD DENIM</t>
  </si>
  <si>
    <t>RBB6977</t>
  </si>
  <si>
    <t>7 FOR ALL MANKIND/DELTA GALIL</t>
  </si>
  <si>
    <t>884733436158</t>
  </si>
  <si>
    <t>DENIM-CUT OFF SHRT-BOTTO</t>
  </si>
  <si>
    <t>884733436103</t>
  </si>
  <si>
    <t>794893991780</t>
  </si>
  <si>
    <t>ANIMAL PRINT HALTER SKAT</t>
  </si>
  <si>
    <t>G261</t>
  </si>
  <si>
    <t>96% POLYESTER/4% SPANDEX</t>
  </si>
  <si>
    <t>714232786174</t>
  </si>
  <si>
    <t>BLUE GIRLS RAGLAN PULLOVE</t>
  </si>
  <si>
    <t>CHTW134-TLK051-G</t>
  </si>
  <si>
    <t>CHASER/HOUSTON SALEM INC</t>
  </si>
  <si>
    <t>49% POLYESTER/46% RAYON/5% SPANDEX</t>
  </si>
  <si>
    <t>884733528549</t>
  </si>
  <si>
    <t>SOLID POLY-LS RASHGUARD-</t>
  </si>
  <si>
    <t>46094788660</t>
  </si>
  <si>
    <t>SUPER SOFT FT SET</t>
  </si>
  <si>
    <t>RGYS488</t>
  </si>
  <si>
    <t>TOP AND PANTS: MODAL/SPANDEX</t>
  </si>
  <si>
    <t>192500032329</t>
  </si>
  <si>
    <t>193112043727</t>
  </si>
  <si>
    <t>CASEY CRYSTALS</t>
  </si>
  <si>
    <t>BADGLEY MISCHKA/SYNCLAIRE BRANDS</t>
  </si>
  <si>
    <t>MICROSUEDE UPPER, FAUX LEATHER LINING, RUBBER SOLE</t>
  </si>
  <si>
    <t>8719027061827</t>
  </si>
  <si>
    <t>REGULAR SHORT SLEEVE</t>
  </si>
  <si>
    <t>80% COTTON/20% POLYESTER</t>
  </si>
  <si>
    <t>791088772377</t>
  </si>
  <si>
    <t>633716858636</t>
  </si>
  <si>
    <t>JUMPMAN AIR MESH JERSEY</t>
  </si>
  <si>
    <t>956134G</t>
  </si>
  <si>
    <t>193579337100</t>
  </si>
  <si>
    <t>TBFCB36J-405</t>
  </si>
  <si>
    <t>192769007847</t>
  </si>
  <si>
    <t>192564328185</t>
  </si>
  <si>
    <t>UA SUN ARMOUR LS</t>
  </si>
  <si>
    <t>192334643968</t>
  </si>
  <si>
    <t>MERMAID TIE FRONT TEE</t>
  </si>
  <si>
    <t>BTGB7521</t>
  </si>
  <si>
    <t>193579337216</t>
  </si>
  <si>
    <t>HALE LS SHIRT</t>
  </si>
  <si>
    <t>TBFCB38J-100</t>
  </si>
  <si>
    <t>617844429302</t>
  </si>
  <si>
    <t>BLA- BRANDED TEE 3 TRICOT</t>
  </si>
  <si>
    <t>854357G</t>
  </si>
  <si>
    <t>791088818075</t>
  </si>
  <si>
    <t>791088815876</t>
  </si>
  <si>
    <t>791088815890</t>
  </si>
  <si>
    <t>714232735868</t>
  </si>
  <si>
    <t>L/S ZIP UP HOODIE</t>
  </si>
  <si>
    <t>CHTW164-RNBW-K</t>
  </si>
  <si>
    <t>13</t>
  </si>
  <si>
    <t>880680836188</t>
  </si>
  <si>
    <t>887622589133</t>
  </si>
  <si>
    <t>CONSTRUCTION 3 PC VEST S</t>
  </si>
  <si>
    <t>10F53609-99</t>
  </si>
  <si>
    <t>VEST: POLYESTER; TOP: COTTON/POLYESTER; PANTS: COTTON</t>
  </si>
  <si>
    <t>791088808366</t>
  </si>
  <si>
    <t>SHORTSLVES RED 2 TIER DR</t>
  </si>
  <si>
    <t>H816189</t>
  </si>
  <si>
    <t>791088843961</t>
  </si>
  <si>
    <t>791088843954</t>
  </si>
  <si>
    <t>617846562380</t>
  </si>
  <si>
    <t>2PC LOGO HEATHERED SET</t>
  </si>
  <si>
    <t>66D696G</t>
  </si>
  <si>
    <t>JACKET/PANTS: POLYESTER</t>
  </si>
  <si>
    <t>886608074540</t>
  </si>
  <si>
    <t>KHAK FRICKIN SNT STATIC</t>
  </si>
  <si>
    <t>C3211806</t>
  </si>
  <si>
    <t>30</t>
  </si>
  <si>
    <t>POLYESTER/COTTON/ELASTANE</t>
  </si>
  <si>
    <t>46094858165</t>
  </si>
  <si>
    <t>FLUTTER SLEEVE TANK</t>
  </si>
  <si>
    <t>RGKT859</t>
  </si>
  <si>
    <t>756998891570</t>
  </si>
  <si>
    <t>791088836307</t>
  </si>
  <si>
    <t>192136233398</t>
  </si>
  <si>
    <t>192399968730</t>
  </si>
  <si>
    <t>EMBOSS HOODIE</t>
  </si>
  <si>
    <t>AA4697</t>
  </si>
  <si>
    <t>886066046844</t>
  </si>
  <si>
    <t>B NSW SHORT CORE JSY HBR</t>
  </si>
  <si>
    <t>AQ9498</t>
  </si>
  <si>
    <t>884733658833</t>
  </si>
  <si>
    <t>30/1 JERSEY-BBALL TEE-TO</t>
  </si>
  <si>
    <t>617847174773</t>
  </si>
  <si>
    <t>192042699066</t>
  </si>
  <si>
    <t>ROADMAP PLAID SHIRT</t>
  </si>
  <si>
    <t>K8B0047-530</t>
  </si>
  <si>
    <t>747157383166</t>
  </si>
  <si>
    <t>29 HPS OFF SHLDR CRC</t>
  </si>
  <si>
    <t>8632VSHG1</t>
  </si>
  <si>
    <t>MY MICHELLE/KELLWOOD CO</t>
  </si>
  <si>
    <t>191539483782</t>
  </si>
  <si>
    <t>191539461032</t>
  </si>
  <si>
    <t>191539465511</t>
  </si>
  <si>
    <t>191539444837</t>
  </si>
  <si>
    <t>WHITE UNICORN LEGGING SE</t>
  </si>
  <si>
    <t>W59288-PL</t>
  </si>
  <si>
    <t>TOP, LEGGINGS: COTTON/SPANDEX</t>
  </si>
  <si>
    <t>191539465498</t>
  </si>
  <si>
    <t>884733718797</t>
  </si>
  <si>
    <t>884733763438</t>
  </si>
  <si>
    <t>617847617225</t>
  </si>
  <si>
    <t>550 HUSKY DARK XHATCH</t>
  </si>
  <si>
    <t>91H550F</t>
  </si>
  <si>
    <t>16 HUSKY</t>
  </si>
  <si>
    <t>192135622186</t>
  </si>
  <si>
    <t>S19 C3 SWIM SET</t>
  </si>
  <si>
    <t>TOP: POLYESTER/ELASTANE; SHORT: POLYESTER</t>
  </si>
  <si>
    <t>714232644993</t>
  </si>
  <si>
    <t>RUFFLE SLEEVE MUSCLE</t>
  </si>
  <si>
    <t>CHTW146-ANIM-K</t>
  </si>
  <si>
    <t>756998891389</t>
  </si>
  <si>
    <t>NIKE 6:1 LINEN BREAKER 8</t>
  </si>
  <si>
    <t>NESS9672DS</t>
  </si>
  <si>
    <t>192136225584</t>
  </si>
  <si>
    <t>192136225614</t>
  </si>
  <si>
    <t>791088843732</t>
  </si>
  <si>
    <t>RED CANDY CANE SET</t>
  </si>
  <si>
    <t>H819369</t>
  </si>
  <si>
    <t>TOP: POLYESTER/SPANDEX; LACE: POLYESTER; LEGGINGS: COTTON/POLYESTER/SPANDEX</t>
  </si>
  <si>
    <t>193112046704</t>
  </si>
  <si>
    <t>BRIE FIORE</t>
  </si>
  <si>
    <t>193112046681</t>
  </si>
  <si>
    <t>193579295837</t>
  </si>
  <si>
    <t>SLV HITS LS TEE</t>
  </si>
  <si>
    <t>TBFCA16J-004</t>
  </si>
  <si>
    <t>732996105673</t>
  </si>
  <si>
    <t>100055489GR</t>
  </si>
  <si>
    <t>192136228080</t>
  </si>
  <si>
    <t>COLLECTION 2 POLKA DOT D</t>
  </si>
  <si>
    <t>192136227854</t>
  </si>
  <si>
    <t>192136239260</t>
  </si>
  <si>
    <t>192136228042</t>
  </si>
  <si>
    <t>192136239390</t>
  </si>
  <si>
    <t>192136239215</t>
  </si>
  <si>
    <t>192136228059</t>
  </si>
  <si>
    <t>192136239192</t>
  </si>
  <si>
    <t>192136239246</t>
  </si>
  <si>
    <t>887622867637</t>
  </si>
  <si>
    <t>3G52623-99</t>
  </si>
  <si>
    <t>192136229759</t>
  </si>
  <si>
    <t>COLLECTION 2 JACKET</t>
  </si>
  <si>
    <t>BODY: COTTON; HOOD LINING: ; BODY AND SLEEVE LINING: POLYESTER</t>
  </si>
  <si>
    <t>633716841577</t>
  </si>
  <si>
    <t>SCHOOLS OUT 511 SHORT</t>
  </si>
  <si>
    <t>916289F</t>
  </si>
  <si>
    <t>633716841591</t>
  </si>
  <si>
    <t>608381423427</t>
  </si>
  <si>
    <t>884733999943</t>
  </si>
  <si>
    <t>889799598222</t>
  </si>
  <si>
    <t>MOANA FANTASY GOWN</t>
  </si>
  <si>
    <t>OM032GGSMA</t>
  </si>
  <si>
    <t>192135616994</t>
  </si>
  <si>
    <t>732997557280</t>
  </si>
  <si>
    <t>STR MOTO DENIM SHORT</t>
  </si>
  <si>
    <t>100069130BO</t>
  </si>
  <si>
    <t>38257549072</t>
  </si>
  <si>
    <t>WHT/ SC GRY FOT EXL</t>
  </si>
  <si>
    <t>353 10</t>
  </si>
  <si>
    <t>MEDUIM</t>
  </si>
  <si>
    <t>HANESBRANDS INC SOCKS BOYS</t>
  </si>
  <si>
    <t>706257394427</t>
  </si>
  <si>
    <t>PLAY GIRL ZIP JACKET BASIC</t>
  </si>
  <si>
    <t>G7064</t>
  </si>
  <si>
    <t>732997489772</t>
  </si>
  <si>
    <t>889799657585</t>
  </si>
  <si>
    <t>FORTNITE 2 PC SET</t>
  </si>
  <si>
    <t>VZ031BSLMA</t>
  </si>
  <si>
    <t>192498526077</t>
  </si>
  <si>
    <t>G NK DRY TEMPO SHORT</t>
  </si>
  <si>
    <t>193579018641</t>
  </si>
  <si>
    <t>843340194981</t>
  </si>
  <si>
    <t>LIFE GHOSTED TOO</t>
  </si>
  <si>
    <t>B19GC43422</t>
  </si>
  <si>
    <t>887622616358</t>
  </si>
  <si>
    <t>NVY/RED PLAID 2PC SET</t>
  </si>
  <si>
    <t>61F70644-99</t>
  </si>
  <si>
    <t>TOMMY HILFIGER/KHQ INVESTMENT</t>
  </si>
  <si>
    <t>192135503553</t>
  </si>
  <si>
    <t>S19 CARDI SET PURPLE</t>
  </si>
  <si>
    <t>192504446771</t>
  </si>
  <si>
    <t>BEACH REBEL TIE FRONT TA</t>
  </si>
  <si>
    <t>ARGZT03337</t>
  </si>
  <si>
    <t>193579419844</t>
  </si>
  <si>
    <t>883498504560</t>
  </si>
  <si>
    <t>OFF CENTER PLAID</t>
  </si>
  <si>
    <t>TIEDTTAY3049</t>
  </si>
  <si>
    <t>192564391349</t>
  </si>
  <si>
    <t>UA PRINT FILL TANK</t>
  </si>
  <si>
    <t>48238369551</t>
  </si>
  <si>
    <t>SUMMER MINNIE SET</t>
  </si>
  <si>
    <t>TF6736GD6950</t>
  </si>
  <si>
    <t>883498504577</t>
  </si>
  <si>
    <t>PAINT SPLATTER</t>
  </si>
  <si>
    <t>TIEDTTAY3051</t>
  </si>
  <si>
    <t>883498504515</t>
  </si>
  <si>
    <t>TECHNO SOLID</t>
  </si>
  <si>
    <t>TIEDTTAY3042</t>
  </si>
  <si>
    <t>883498504553</t>
  </si>
  <si>
    <t>CONFETTI DOT</t>
  </si>
  <si>
    <t>TIEDTTAY3048</t>
  </si>
  <si>
    <t>883498504546</t>
  </si>
  <si>
    <t>TIEDTTAY3047</t>
  </si>
  <si>
    <t>193579295974</t>
  </si>
  <si>
    <t>SPACED OUT TEE</t>
  </si>
  <si>
    <t>TBFCA17J-405</t>
  </si>
  <si>
    <t>192769049533</t>
  </si>
  <si>
    <t>2PC TANKINI02341-PRINCES</t>
  </si>
  <si>
    <t>192769049809</t>
  </si>
  <si>
    <t>2 PC BIKINI00009-JEANS</t>
  </si>
  <si>
    <t>795459804292</t>
  </si>
  <si>
    <t>PEPLUM HIGH NECK WITH MA</t>
  </si>
  <si>
    <t>MBW271002</t>
  </si>
  <si>
    <t>192769049625</t>
  </si>
  <si>
    <t>2PC TANKINI02519-FLORAL</t>
  </si>
  <si>
    <t>732996569710</t>
  </si>
  <si>
    <t>CRINKLE KNIT DRESS</t>
  </si>
  <si>
    <t>100057078GR</t>
  </si>
  <si>
    <t>732995555790</t>
  </si>
  <si>
    <t>SCALLOP EMB WOVEN</t>
  </si>
  <si>
    <t>100047052GR</t>
  </si>
  <si>
    <t>795459804308</t>
  </si>
  <si>
    <t>HIGH NECK STRAP DETAIL W</t>
  </si>
  <si>
    <t>MBW271006</t>
  </si>
  <si>
    <t>SHELL:NYLON/SPANDEX</t>
  </si>
  <si>
    <t>880680628028</t>
  </si>
  <si>
    <t>CK LOGO STRIP VOLLEY</t>
  </si>
  <si>
    <t>35G66702-35</t>
  </si>
  <si>
    <t>732996526454</t>
  </si>
  <si>
    <t>45299010187</t>
  </si>
  <si>
    <t>NO C DESPICABLE ME 5PK BASIC</t>
  </si>
  <si>
    <t>BUP4310</t>
  </si>
  <si>
    <t>HANDCRAFT MFG CORP UW BOYS</t>
  </si>
  <si>
    <t>45299010163</t>
  </si>
  <si>
    <t>192136006947</t>
  </si>
  <si>
    <t>GSW 3PC TUTUGSW 3PC CAT</t>
  </si>
  <si>
    <t>TOP AND PANTS: COTTON; TUTU: POLYESTER</t>
  </si>
  <si>
    <t>192498896200</t>
  </si>
  <si>
    <t>193149883334</t>
  </si>
  <si>
    <t>193148141657</t>
  </si>
  <si>
    <t>191169048658</t>
  </si>
  <si>
    <t>UA SOLID BIG LOGO SS</t>
  </si>
  <si>
    <t>192504190551</t>
  </si>
  <si>
    <t>GIRL LIKE YOU B</t>
  </si>
  <si>
    <t>ERLZT03227</t>
  </si>
  <si>
    <t>192136323372</t>
  </si>
  <si>
    <t>46094840603</t>
  </si>
  <si>
    <t>3PK HIPSTER</t>
  </si>
  <si>
    <t>M7100</t>
  </si>
  <si>
    <t>46094840597</t>
  </si>
  <si>
    <t>732995554182</t>
  </si>
  <si>
    <t>PINK TIE CULOTTE</t>
  </si>
  <si>
    <t>100046998GR</t>
  </si>
  <si>
    <t>732995554205</t>
  </si>
  <si>
    <t>732995554267</t>
  </si>
  <si>
    <t>AOP FLORAL CULOTTE</t>
  </si>
  <si>
    <t>100047000GR</t>
  </si>
  <si>
    <t>732995554250</t>
  </si>
  <si>
    <t>732996104911</t>
  </si>
  <si>
    <t>192136010906</t>
  </si>
  <si>
    <t>193585056323</t>
  </si>
  <si>
    <t>732996336374</t>
  </si>
  <si>
    <t>TWOFER TEE</t>
  </si>
  <si>
    <t>100055488GR</t>
  </si>
  <si>
    <t>732996105246</t>
  </si>
  <si>
    <t>MESH INSET CAPRI</t>
  </si>
  <si>
    <t>100055479GR</t>
  </si>
  <si>
    <t>POLYESTER/NYLON/SPANDEX</t>
  </si>
  <si>
    <t>640013643919</t>
  </si>
  <si>
    <t>640013791665</t>
  </si>
  <si>
    <t>640013648341</t>
  </si>
  <si>
    <t>640013784865</t>
  </si>
  <si>
    <t>VULCAN SIDE STRIPE SHORT</t>
  </si>
  <si>
    <t>UB2191019</t>
  </si>
  <si>
    <t>640013645623</t>
  </si>
  <si>
    <t>640013784803</t>
  </si>
  <si>
    <t>640013648334</t>
  </si>
  <si>
    <t>732997559604</t>
  </si>
  <si>
    <t>MOTO DRWSTRING SHORT</t>
  </si>
  <si>
    <t>100069122LB</t>
  </si>
  <si>
    <t>738994573599</t>
  </si>
  <si>
    <t>PRINTED BLK/LIME</t>
  </si>
  <si>
    <t>BUPPR3</t>
  </si>
  <si>
    <t>732996105192</t>
  </si>
  <si>
    <t>732996336176</t>
  </si>
  <si>
    <t>732997383940</t>
  </si>
  <si>
    <t>732996347929</t>
  </si>
  <si>
    <t>191539444240</t>
  </si>
  <si>
    <t>191539444257</t>
  </si>
  <si>
    <t>841574174250</t>
  </si>
  <si>
    <t>GOING BANANAS 2 PIECE</t>
  </si>
  <si>
    <t>GS2-457</t>
  </si>
  <si>
    <t>841574174533</t>
  </si>
  <si>
    <t>GS2-481</t>
  </si>
  <si>
    <t>841574174557</t>
  </si>
  <si>
    <t>841574174502</t>
  </si>
  <si>
    <t>GS4-457</t>
  </si>
  <si>
    <t>841574174175</t>
  </si>
  <si>
    <t>193112060502</t>
  </si>
  <si>
    <t>GAGE ILIANA</t>
  </si>
  <si>
    <t>192135725696</t>
  </si>
  <si>
    <t>735869354741</t>
  </si>
  <si>
    <t>TRACK PANT WITH BRANDED</t>
  </si>
  <si>
    <t>C8927R</t>
  </si>
  <si>
    <t>732995521566</t>
  </si>
  <si>
    <t>732995521535</t>
  </si>
  <si>
    <t>608356088521</t>
  </si>
  <si>
    <t>BOY LOAFER</t>
  </si>
  <si>
    <t>100040527BB</t>
  </si>
  <si>
    <t>FAUX LEATHER</t>
  </si>
  <si>
    <t>636206889011</t>
  </si>
  <si>
    <t>BLING HEADBAND PACK</t>
  </si>
  <si>
    <t>100031973BG</t>
  </si>
  <si>
    <t>MINI FAUX-FUR BOW HEADBAND: POLYESTER; BOW HEADBAND: COTTON/SPANDEX; FAUX-FUR POM HEADBAND: POLYESTER/SPANDEX</t>
  </si>
  <si>
    <t>608356084882</t>
  </si>
  <si>
    <t>BOY CHUKKA BOOT</t>
  </si>
  <si>
    <t>100030477BB</t>
  </si>
  <si>
    <t>MANMADE UPPER; MANMADE SOLE</t>
  </si>
  <si>
    <t>732996378091</t>
  </si>
  <si>
    <t>PINEAPPLE WOVEN</t>
  </si>
  <si>
    <t>100056779LB</t>
  </si>
  <si>
    <t>100% COTTON 3.15-OZ.</t>
  </si>
  <si>
    <t>732996574684</t>
  </si>
  <si>
    <t>46094958025</t>
  </si>
  <si>
    <t>2PK MONOGRAM BOXERS</t>
  </si>
  <si>
    <t>CALVIN KLEIN UNDRWR/DELTA GALIL BOY</t>
  </si>
  <si>
    <t>735869404194</t>
  </si>
  <si>
    <t>FLORAL PINT CAPRI</t>
  </si>
  <si>
    <t>C5748M</t>
  </si>
  <si>
    <t>79092450444</t>
  </si>
  <si>
    <t>BLK PATNT BALLET FLA</t>
  </si>
  <si>
    <t>40031FI410</t>
  </si>
  <si>
    <t>FAUX-LEATHER UPPER; FAUX-LEATHER SOLE</t>
  </si>
  <si>
    <t>735869404576</t>
  </si>
  <si>
    <t>C PATCH APPLIQUE TEE</t>
  </si>
  <si>
    <t>C8449R</t>
  </si>
  <si>
    <t>633716757533</t>
  </si>
  <si>
    <t>DIGITAL PLAYER SERIES S/</t>
  </si>
  <si>
    <t>86E592G</t>
  </si>
  <si>
    <t>885779990604</t>
  </si>
  <si>
    <t>14 REG</t>
  </si>
  <si>
    <t>885779990659</t>
  </si>
  <si>
    <t>732995507164</t>
  </si>
  <si>
    <t>PINK POLO SHORTALL</t>
  </si>
  <si>
    <t>100051808BB</t>
  </si>
  <si>
    <t>192135976609</t>
  </si>
  <si>
    <t>192136421832</t>
  </si>
  <si>
    <t>TURKEY HAT</t>
  </si>
  <si>
    <t>732996083063</t>
  </si>
  <si>
    <t>TASSEL FLOWY TANK</t>
  </si>
  <si>
    <t>100057052GR</t>
  </si>
  <si>
    <t>732994856027</t>
  </si>
  <si>
    <t>RAW CUFF TURNUP JEAN BASIC</t>
  </si>
  <si>
    <t>100043802BB</t>
  </si>
  <si>
    <t>COTTON/POLYESTER/SPANDEX; TRIM: COTTON</t>
  </si>
  <si>
    <t>732997307137</t>
  </si>
  <si>
    <t>696114340899</t>
  </si>
  <si>
    <t>735869409854</t>
  </si>
  <si>
    <t>735869409847</t>
  </si>
  <si>
    <t>735869409892</t>
  </si>
  <si>
    <t>732995698114</t>
  </si>
  <si>
    <t>NEVER TEE BASIC</t>
  </si>
  <si>
    <t>100044707BO</t>
  </si>
  <si>
    <t>732997489673</t>
  </si>
  <si>
    <t>640013644534</t>
  </si>
  <si>
    <t>KINGSTON HOODY</t>
  </si>
  <si>
    <t>UB1191292</t>
  </si>
  <si>
    <t>732996582153</t>
  </si>
  <si>
    <t>SPLICED SAFARI TEE</t>
  </si>
  <si>
    <t>100056763BO</t>
  </si>
  <si>
    <t>732996380797</t>
  </si>
  <si>
    <t>732996582184</t>
  </si>
  <si>
    <t>SPLATTER TEE</t>
  </si>
  <si>
    <t>100056764BO</t>
  </si>
  <si>
    <t>191603759270</t>
  </si>
  <si>
    <t>HOWDY MICKEY</t>
  </si>
  <si>
    <t>2YBDNY2620</t>
  </si>
  <si>
    <t>732997491904</t>
  </si>
  <si>
    <t>GINGHAM SHIRT</t>
  </si>
  <si>
    <t>100063733BB</t>
  </si>
  <si>
    <t>46094831151</t>
  </si>
  <si>
    <t>46094831137</t>
  </si>
  <si>
    <t>732995884654</t>
  </si>
  <si>
    <t>TOSSED SKULL TEE</t>
  </si>
  <si>
    <t>100056755BO</t>
  </si>
  <si>
    <t>732995884647</t>
  </si>
  <si>
    <t>640013644602</t>
  </si>
  <si>
    <t>FOLLOW HOODY</t>
  </si>
  <si>
    <t>UB1192036</t>
  </si>
  <si>
    <t>640013644572</t>
  </si>
  <si>
    <t>640013644589</t>
  </si>
  <si>
    <t>732996245485</t>
  </si>
  <si>
    <t>732997559543</t>
  </si>
  <si>
    <t>732997559536</t>
  </si>
  <si>
    <t>732995136838</t>
  </si>
  <si>
    <t>RAINBOW STRIPE LEGG</t>
  </si>
  <si>
    <t>100046971GR</t>
  </si>
  <si>
    <t>732995136821</t>
  </si>
  <si>
    <t>636202586310</t>
  </si>
  <si>
    <t>VELVET HEADBAND PK 2</t>
  </si>
  <si>
    <t>100027943BG</t>
  </si>
  <si>
    <t>732994268516</t>
  </si>
  <si>
    <t>FIRST IMPRESSIONS-EDI/AD SUTTON</t>
  </si>
  <si>
    <t>636202586303</t>
  </si>
  <si>
    <t>192135586174</t>
  </si>
  <si>
    <t>S19 SUR GREY SURF BIRD</t>
  </si>
  <si>
    <t>640013644886</t>
  </si>
  <si>
    <t>ZAYDEN HOODY</t>
  </si>
  <si>
    <t>UB1192009</t>
  </si>
  <si>
    <t>640013644459</t>
  </si>
  <si>
    <t>SLOPE</t>
  </si>
  <si>
    <t>UB119489</t>
  </si>
  <si>
    <t>640013644756</t>
  </si>
  <si>
    <t>732997721568</t>
  </si>
  <si>
    <t>RED STRIPE TEE</t>
  </si>
  <si>
    <t>100067569BO</t>
  </si>
  <si>
    <t>732996526058</t>
  </si>
  <si>
    <t>732996175331</t>
  </si>
  <si>
    <t>732996175263</t>
  </si>
  <si>
    <t>732996175355</t>
  </si>
  <si>
    <t>696114316771</t>
  </si>
  <si>
    <t>BORN TO SNOOZE PRINT</t>
  </si>
  <si>
    <t>840098-MA</t>
  </si>
  <si>
    <t>735869399063</t>
  </si>
  <si>
    <t>735869459606</t>
  </si>
  <si>
    <t>696114316979</t>
  </si>
  <si>
    <t>PINEAPPLE PRINT SHORT</t>
  </si>
  <si>
    <t>640088-MA</t>
  </si>
  <si>
    <t>POLYESTER; TRIM: POLYESTER</t>
  </si>
  <si>
    <t>732996433561</t>
  </si>
  <si>
    <t>SUMMER PARTY TANK</t>
  </si>
  <si>
    <t>100057033GR</t>
  </si>
  <si>
    <t>80538104401</t>
  </si>
  <si>
    <t>6-8</t>
  </si>
  <si>
    <t>80538104388</t>
  </si>
  <si>
    <t>2-4</t>
  </si>
  <si>
    <t>735869214489</t>
  </si>
  <si>
    <t>VERTICAL SCRIPT</t>
  </si>
  <si>
    <t>C8434R</t>
  </si>
  <si>
    <t>735869538356</t>
  </si>
  <si>
    <t>SRFT CHAMPION "HERITAGE"</t>
  </si>
  <si>
    <t>C8743R</t>
  </si>
  <si>
    <t>81715777593</t>
  </si>
  <si>
    <t>ASSO NINJA TURTLE 6-PACK SOCK</t>
  </si>
  <si>
    <t>TMNT2199-6</t>
  </si>
  <si>
    <t>81715777586</t>
  </si>
  <si>
    <t>ASSO NINJA TURTLE 6-PACBASIC</t>
  </si>
  <si>
    <t>TMNT2199-4</t>
  </si>
  <si>
    <t>18 MOS</t>
  </si>
  <si>
    <t>81715763855</t>
  </si>
  <si>
    <t>TOD JUSTICE LEAGUE 6PK SOCKS</t>
  </si>
  <si>
    <t>JL907-4-6</t>
  </si>
  <si>
    <t>4-6(SMALL)</t>
  </si>
  <si>
    <t>724536935314</t>
  </si>
  <si>
    <t>REPLENISHMENT DENIM</t>
  </si>
  <si>
    <t>M361DDE429</t>
  </si>
  <si>
    <t>732994956000</t>
  </si>
  <si>
    <t>AUTHENTIC TEE</t>
  </si>
  <si>
    <t>100039659LB</t>
  </si>
  <si>
    <t>732995521948</t>
  </si>
  <si>
    <t>GRAFFITI TEE</t>
  </si>
  <si>
    <t>100046645LB</t>
  </si>
  <si>
    <t>732996905945</t>
  </si>
  <si>
    <t>T CB JOGGER</t>
  </si>
  <si>
    <t>100053771TB</t>
  </si>
  <si>
    <t>706254682657</t>
  </si>
  <si>
    <t>100039651LB</t>
  </si>
  <si>
    <t>732995328394</t>
  </si>
  <si>
    <t>AOP DINO TEE</t>
  </si>
  <si>
    <t>100046650LB</t>
  </si>
  <si>
    <t>732995328363</t>
  </si>
  <si>
    <t>732995566154</t>
  </si>
  <si>
    <t>732995328370</t>
  </si>
  <si>
    <t>732995880779</t>
  </si>
  <si>
    <t>100056718LB</t>
  </si>
  <si>
    <t>732995880816</t>
  </si>
  <si>
    <t>732995328400</t>
  </si>
  <si>
    <t>732995566123</t>
  </si>
  <si>
    <t>735869731573</t>
  </si>
  <si>
    <t>732995880144</t>
  </si>
  <si>
    <t>732995491180</t>
  </si>
  <si>
    <t>SOLID BERMDA</t>
  </si>
  <si>
    <t>100046662LG</t>
  </si>
  <si>
    <t>732995491197</t>
  </si>
  <si>
    <t>732995491272</t>
  </si>
  <si>
    <t>732995491210</t>
  </si>
  <si>
    <t>732995195163</t>
  </si>
  <si>
    <t>PINK BLUE STRIPE LEG</t>
  </si>
  <si>
    <t>100046480LG</t>
  </si>
  <si>
    <t>732996128061</t>
  </si>
  <si>
    <t>RAINBOW BORDER SCOOT</t>
  </si>
  <si>
    <t>100056891LG</t>
  </si>
  <si>
    <t>732995880984</t>
  </si>
  <si>
    <t>636206548161</t>
  </si>
  <si>
    <t>UNICORN BAIT SS TEE</t>
  </si>
  <si>
    <t>100040594LG</t>
  </si>
  <si>
    <t>732995489125</t>
  </si>
  <si>
    <t>HOP TO IT SS TEE</t>
  </si>
  <si>
    <t>100046391LG</t>
  </si>
  <si>
    <t>732995565119</t>
  </si>
  <si>
    <t>732995192728</t>
  </si>
  <si>
    <t>732996124599</t>
  </si>
  <si>
    <t>POPSICLE FLTTR TEE</t>
  </si>
  <si>
    <t>100056876LG</t>
  </si>
  <si>
    <t>732995565447</t>
  </si>
  <si>
    <t>CUPCAKE BAG SS TEE</t>
  </si>
  <si>
    <t>100046404LG</t>
  </si>
  <si>
    <t>732995192926</t>
  </si>
  <si>
    <t>BALLET OUTFIT SS TEE</t>
  </si>
  <si>
    <t>100046367LG</t>
  </si>
  <si>
    <t>732995565485</t>
  </si>
  <si>
    <t>SBERRY HEART SS TEE</t>
  </si>
  <si>
    <t>100046405LG</t>
  </si>
  <si>
    <t>732995564563</t>
  </si>
  <si>
    <t>CUPCAKE FLTTR SS TEE</t>
  </si>
  <si>
    <t>100046376LG</t>
  </si>
  <si>
    <t>732996124865</t>
  </si>
  <si>
    <t>FLAG FLTTR SS TEE</t>
  </si>
  <si>
    <t>100056880LG</t>
  </si>
  <si>
    <t>732995565430</t>
  </si>
  <si>
    <t>732995565416</t>
  </si>
  <si>
    <t>732995564594</t>
  </si>
  <si>
    <t>732995882810</t>
  </si>
  <si>
    <t>732996892498</t>
  </si>
  <si>
    <t>732994853934</t>
  </si>
  <si>
    <t>ATHLETIC JOGGER BASIC</t>
  </si>
  <si>
    <t>100041923BB</t>
  </si>
  <si>
    <t>608356334642</t>
  </si>
  <si>
    <t>608356334635</t>
  </si>
  <si>
    <t>608356334574</t>
  </si>
  <si>
    <t>732994853866</t>
  </si>
  <si>
    <t>BEAR KNEES JOGGER BASIC</t>
  </si>
  <si>
    <t>100041922BB</t>
  </si>
  <si>
    <t>608356326890</t>
  </si>
  <si>
    <t>HI JOGGER BASIC</t>
  </si>
  <si>
    <t>100031239BB</t>
  </si>
  <si>
    <t>732997482049</t>
  </si>
  <si>
    <t>FABOOLOUS TEE</t>
  </si>
  <si>
    <t>100063087BG</t>
  </si>
  <si>
    <t>732997482032</t>
  </si>
  <si>
    <t>732997482070</t>
  </si>
  <si>
    <t>732995252095</t>
  </si>
  <si>
    <t>732995884326</t>
  </si>
  <si>
    <t>732994854924</t>
  </si>
  <si>
    <t>732995884272</t>
  </si>
  <si>
    <t>732996280202</t>
  </si>
  <si>
    <t>732996280219</t>
  </si>
  <si>
    <t>732997481813</t>
  </si>
  <si>
    <t>732996239736</t>
  </si>
  <si>
    <t>732996239729</t>
  </si>
  <si>
    <t>732996892016</t>
  </si>
  <si>
    <t>732996960524</t>
  </si>
  <si>
    <t>732996245171</t>
  </si>
  <si>
    <t>732994938983</t>
  </si>
  <si>
    <t>N CIRCLE JOGGER</t>
  </si>
  <si>
    <t>732994938808</t>
  </si>
  <si>
    <t>B HERRINGBONE LEGGIN</t>
  </si>
  <si>
    <t>100043490BB</t>
  </si>
  <si>
    <t>732994938846</t>
  </si>
  <si>
    <t>B MLTI STRPE LEGGING</t>
  </si>
  <si>
    <t>100043491BB</t>
  </si>
  <si>
    <t>732994938990</t>
  </si>
  <si>
    <t>732994938761</t>
  </si>
  <si>
    <t>732996280110</t>
  </si>
  <si>
    <t>732994938822</t>
  </si>
  <si>
    <t>732994938839</t>
  </si>
  <si>
    <t>732994938853</t>
  </si>
  <si>
    <t>732996959382</t>
  </si>
  <si>
    <t>732995577693</t>
  </si>
  <si>
    <t>TIERED TOP BASIC</t>
  </si>
  <si>
    <t>100042496BG</t>
  </si>
  <si>
    <t>732996280523</t>
  </si>
  <si>
    <t>Y CIRCLE YOGA PANT</t>
  </si>
  <si>
    <t>732996890708</t>
  </si>
  <si>
    <t>SS SAFARI TUNIC</t>
  </si>
  <si>
    <t>100056315BG</t>
  </si>
  <si>
    <t>732995801620</t>
  </si>
  <si>
    <t>MONSTER BUTT SHORT BASIC</t>
  </si>
  <si>
    <t>100043944BB</t>
  </si>
  <si>
    <t>732995576153</t>
  </si>
  <si>
    <t>TROPICAL SHORT BASIC</t>
  </si>
  <si>
    <t>100042006BB</t>
  </si>
  <si>
    <t>191603919346</t>
  </si>
  <si>
    <t>SURF SUN</t>
  </si>
  <si>
    <t>1YBY0261</t>
  </si>
  <si>
    <t>732995579444</t>
  </si>
  <si>
    <t>191603919650</t>
  </si>
  <si>
    <t>JAWSOME</t>
  </si>
  <si>
    <t>1JBY0482</t>
  </si>
  <si>
    <t>732995579604</t>
  </si>
  <si>
    <t>FLWR SIDE BRD LEGGIN BASIC</t>
  </si>
  <si>
    <t>100042507BG</t>
  </si>
  <si>
    <t>732996889511</t>
  </si>
  <si>
    <t>I HEART YOU TEE</t>
  </si>
  <si>
    <t>100052368BG</t>
  </si>
  <si>
    <t>732996959719</t>
  </si>
  <si>
    <t>636189028841</t>
  </si>
  <si>
    <t>PIG BODYSUIT</t>
  </si>
  <si>
    <t>732997481905</t>
  </si>
  <si>
    <t>732996212524</t>
  </si>
  <si>
    <t>RUFFLE SHORT BASIC</t>
  </si>
  <si>
    <t>100044647BG</t>
  </si>
  <si>
    <t>732996212555</t>
  </si>
  <si>
    <t>732996212531</t>
  </si>
  <si>
    <t>732996212517</t>
  </si>
  <si>
    <t>732996212548</t>
  </si>
  <si>
    <t>732995579567</t>
  </si>
  <si>
    <t>GNGHAM KEYHOLE CAPRI BASIC</t>
  </si>
  <si>
    <t>100042506BG</t>
  </si>
  <si>
    <t>608356335250</t>
  </si>
  <si>
    <t>LS ROBOT TEE BASIC</t>
  </si>
  <si>
    <t>100031208BB</t>
  </si>
  <si>
    <t>608356335267</t>
  </si>
  <si>
    <t>608356335243</t>
  </si>
  <si>
    <t>732997340950</t>
  </si>
  <si>
    <t>732996212494</t>
  </si>
  <si>
    <t>732994938068</t>
  </si>
  <si>
    <t>B SNAIL BODYSUIT</t>
  </si>
  <si>
    <t>100043472BB</t>
  </si>
  <si>
    <t>732995156997</t>
  </si>
  <si>
    <t>MERMAID TEE BASIC</t>
  </si>
  <si>
    <t>100042460BG</t>
  </si>
  <si>
    <t>732996279862</t>
  </si>
  <si>
    <t>732995881745</t>
  </si>
  <si>
    <t>ZEBRA TEE BASIC</t>
  </si>
  <si>
    <t>100043923BB</t>
  </si>
  <si>
    <t>732995251951</t>
  </si>
  <si>
    <t>732996905433</t>
  </si>
  <si>
    <t>732995175431</t>
  </si>
  <si>
    <t>TRUCK TEE BASIC</t>
  </si>
  <si>
    <t>100041963BB</t>
  </si>
  <si>
    <t>732996210155</t>
  </si>
  <si>
    <t>732995579680</t>
  </si>
  <si>
    <t>732995579659</t>
  </si>
  <si>
    <t>732997002094</t>
  </si>
  <si>
    <t>SS AOP DINO TEE</t>
  </si>
  <si>
    <t>100056343BB</t>
  </si>
  <si>
    <t>732996901367</t>
  </si>
  <si>
    <t>SS BASEBALL PKT TEE</t>
  </si>
  <si>
    <t>100056328BB</t>
  </si>
  <si>
    <t>732994852395</t>
  </si>
  <si>
    <t>HELICOPTER TEE BASIC</t>
  </si>
  <si>
    <t>100041885BB</t>
  </si>
  <si>
    <t>COTTON; NECK BAND: COTTON/SPANDEX</t>
  </si>
  <si>
    <t>608356322878</t>
  </si>
  <si>
    <t>SS HELICOPTER TEE BASIC</t>
  </si>
  <si>
    <t>100035260BB</t>
  </si>
  <si>
    <t>732995882438</t>
  </si>
  <si>
    <t>TROPICAL TANK BASIC</t>
  </si>
  <si>
    <t>100043929BB</t>
  </si>
  <si>
    <t>732995798739</t>
  </si>
  <si>
    <t>GIRAFFES TEE BASIC</t>
  </si>
  <si>
    <t>100042514BG</t>
  </si>
  <si>
    <t>732994852111</t>
  </si>
  <si>
    <t>FISHIES TEE BASIC</t>
  </si>
  <si>
    <t>100041879BB</t>
  </si>
  <si>
    <t>732995882391</t>
  </si>
  <si>
    <t>BEACH LIFE TANK BASIC</t>
  </si>
  <si>
    <t>100043940BB</t>
  </si>
  <si>
    <t>732996901022</t>
  </si>
  <si>
    <t>732995882148</t>
  </si>
  <si>
    <t>BASEBALL FLAG TEE BASIC</t>
  </si>
  <si>
    <t>100043935BB</t>
  </si>
  <si>
    <t>732995882179</t>
  </si>
  <si>
    <t>PAINTED FLAG TANK BASIC</t>
  </si>
  <si>
    <t>100043936BB</t>
  </si>
  <si>
    <t>888737827516</t>
  </si>
  <si>
    <t>192136107569</t>
  </si>
  <si>
    <t>F19 FLORAL SHORT SET</t>
  </si>
  <si>
    <t>192135979297</t>
  </si>
  <si>
    <t>BSPSF19 B BSPS DOGS</t>
  </si>
  <si>
    <t>5045556110471</t>
  </si>
  <si>
    <t>HANK SWEATSHIRT</t>
  </si>
  <si>
    <t>BURBERRYS WHOLESALE/BURB BOYS APP</t>
  </si>
  <si>
    <t>888409436299</t>
  </si>
  <si>
    <t>TEAM HUSTLE D 7 (PS)</t>
  </si>
  <si>
    <t>1</t>
  </si>
  <si>
    <t>NIKE USA INC</t>
  </si>
  <si>
    <t>884733436127</t>
  </si>
  <si>
    <t>884733436110</t>
  </si>
  <si>
    <t>884733436134</t>
  </si>
  <si>
    <t>884733436141</t>
  </si>
  <si>
    <t>884733718377</t>
  </si>
  <si>
    <t>884733764343</t>
  </si>
  <si>
    <t>884733789773</t>
  </si>
  <si>
    <t>SRSCKR-NEWPORTSHORT</t>
  </si>
  <si>
    <t>884733719428</t>
  </si>
  <si>
    <t>ARTISAN MESH-SS HENLEY-T</t>
  </si>
  <si>
    <t>884733717134</t>
  </si>
  <si>
    <t>885854039808</t>
  </si>
  <si>
    <t>NATURAL STRCH POPLN-LS B</t>
  </si>
  <si>
    <t>884733894453</t>
  </si>
  <si>
    <t>885854726173</t>
  </si>
  <si>
    <t>192504204173</t>
  </si>
  <si>
    <t>HIGHLINE DIVISION YO</t>
  </si>
  <si>
    <t>EQBBS03348</t>
  </si>
  <si>
    <t>28</t>
  </si>
  <si>
    <t>885031495328</t>
  </si>
  <si>
    <t>884733784525</t>
  </si>
  <si>
    <t>COTTON JERSEY-EYELET TOP</t>
  </si>
  <si>
    <t>789447316461</t>
  </si>
  <si>
    <t>PWER SKINNY LOW RSE JEAN</t>
  </si>
  <si>
    <t>J64A06D29R0</t>
  </si>
  <si>
    <t>789447763692</t>
  </si>
  <si>
    <t>RISW 5PKT DENIM STRETCH</t>
  </si>
  <si>
    <t>J64A05D29J0</t>
  </si>
  <si>
    <t>193579294519</t>
  </si>
  <si>
    <t>KEVIN POLO</t>
  </si>
  <si>
    <t>TBFCB28F-405</t>
  </si>
  <si>
    <t>882925626202</t>
  </si>
  <si>
    <t>RED FLAT FRONT-BT-SHO</t>
  </si>
  <si>
    <t>887232635688</t>
  </si>
  <si>
    <t>G NSW FAVORITES GLW TIGH</t>
  </si>
  <si>
    <t>AV9998</t>
  </si>
  <si>
    <t>193579337193</t>
  </si>
  <si>
    <t>192501024613</t>
  </si>
  <si>
    <t>B NK DRY SHORT GFX S</t>
  </si>
  <si>
    <t>CI2349</t>
  </si>
  <si>
    <t>886608220916</t>
  </si>
  <si>
    <t>Y3211806</t>
  </si>
  <si>
    <t>732995696783</t>
  </si>
  <si>
    <t>880680690131</t>
  </si>
  <si>
    <t>UA GRIT CAMO VOLLEY</t>
  </si>
  <si>
    <t>27G66041-35</t>
  </si>
  <si>
    <t>884733760857</t>
  </si>
  <si>
    <t>884733718827</t>
  </si>
  <si>
    <t>884733715826</t>
  </si>
  <si>
    <t>30/1 SLUB JERSEY-SS CN-T</t>
  </si>
  <si>
    <t>885177688899</t>
  </si>
  <si>
    <t>B NK DRY ACDMY TOP SS GX</t>
  </si>
  <si>
    <t>AH2119</t>
  </si>
  <si>
    <t>617844220947</t>
  </si>
  <si>
    <t>2PC FUTURA AOP LEG SET</t>
  </si>
  <si>
    <t>16E466G</t>
  </si>
  <si>
    <t>TOP: POLYESTER/VISCOSE; LEGGINGS: COTTON/ELASTANE</t>
  </si>
  <si>
    <t>617844220923</t>
  </si>
  <si>
    <t>9328433934</t>
  </si>
  <si>
    <t>617844117124</t>
  </si>
  <si>
    <t>SWEETIE SKINNY LITT BASIC</t>
  </si>
  <si>
    <t>732995191714</t>
  </si>
  <si>
    <t>732995296518</t>
  </si>
  <si>
    <t>MOTO DENIM SHORT</t>
  </si>
  <si>
    <t>100046857BO</t>
  </si>
  <si>
    <t>193579295998</t>
  </si>
  <si>
    <t>193579295905</t>
  </si>
  <si>
    <t>TBFCA17F-405</t>
  </si>
  <si>
    <t>633716824044</t>
  </si>
  <si>
    <t>GIRLFRIEND SHORTY SH</t>
  </si>
  <si>
    <t>732996569727</t>
  </si>
  <si>
    <t>DENIM BTTN DWN DRESS</t>
  </si>
  <si>
    <t>100057083GR</t>
  </si>
  <si>
    <t>193579419851</t>
  </si>
  <si>
    <t>193579419820</t>
  </si>
  <si>
    <t>193579295929</t>
  </si>
  <si>
    <t>617846445294</t>
  </si>
  <si>
    <t>617846445287</t>
  </si>
  <si>
    <t>889799669618</t>
  </si>
  <si>
    <t>POKEMON 2PC</t>
  </si>
  <si>
    <t>PK213BLLMA</t>
  </si>
  <si>
    <t>192769049205</t>
  </si>
  <si>
    <t>880680226422</t>
  </si>
  <si>
    <t>KITO RASHGUARD</t>
  </si>
  <si>
    <t>TBSCK044-405</t>
  </si>
  <si>
    <t>TOMMY HILFIGER BOYS SWIM/KHQ INVEST</t>
  </si>
  <si>
    <t>732996573434</t>
  </si>
  <si>
    <t>732996195889</t>
  </si>
  <si>
    <t>732996195872</t>
  </si>
  <si>
    <t>732996195902</t>
  </si>
  <si>
    <t>732996195964</t>
  </si>
  <si>
    <t>GIRL HOODED CARDIGAN</t>
  </si>
  <si>
    <t>100054861BG</t>
  </si>
  <si>
    <t>732996195933</t>
  </si>
  <si>
    <t>732996195940</t>
  </si>
  <si>
    <t>732996195896</t>
  </si>
  <si>
    <t>732996195957</t>
  </si>
  <si>
    <t>732996195926</t>
  </si>
  <si>
    <t>192136112761</t>
  </si>
  <si>
    <t>CORE SETS 1F19 UNICORN L</t>
  </si>
  <si>
    <t>192504190117</t>
  </si>
  <si>
    <t>GIRL LIKE YOU A</t>
  </si>
  <si>
    <t>ERLZT03226</t>
  </si>
  <si>
    <t>192136109013</t>
  </si>
  <si>
    <t>CORE SETS 1F19 OLIVE WOV</t>
  </si>
  <si>
    <t>TOP: COTTON/VISCOSE; LEGGINGS: COTTON/ELASTANE</t>
  </si>
  <si>
    <t>732994957878</t>
  </si>
  <si>
    <t>DREAM IT CREW BASIC</t>
  </si>
  <si>
    <t>100044695LG</t>
  </si>
  <si>
    <t>192136233954</t>
  </si>
  <si>
    <t>192136010890</t>
  </si>
  <si>
    <t>640013791658</t>
  </si>
  <si>
    <t>640013648365</t>
  </si>
  <si>
    <t>640013643834</t>
  </si>
  <si>
    <t>46094840085</t>
  </si>
  <si>
    <t>191539333339</t>
  </si>
  <si>
    <t>PEARL BOW SWEATER</t>
  </si>
  <si>
    <t>R58040-SL</t>
  </si>
  <si>
    <t>735869350637</t>
  </si>
  <si>
    <t>732996380414</t>
  </si>
  <si>
    <t>192135978511</t>
  </si>
  <si>
    <t>BSPSF19 G BSPS CHEETAH L</t>
  </si>
  <si>
    <t>735869365075</t>
  </si>
  <si>
    <t>SIDE SCRIPT LEGGING</t>
  </si>
  <si>
    <t>C7352M</t>
  </si>
  <si>
    <t>756845970656</t>
  </si>
  <si>
    <t>N STAR COVERALL</t>
  </si>
  <si>
    <t>2339FI410</t>
  </si>
  <si>
    <t>840587221449</t>
  </si>
  <si>
    <t>WOODMAN BOYS JCKT</t>
  </si>
  <si>
    <t>RBO0097</t>
  </si>
  <si>
    <t>RING OF FIRE/ROF LLC</t>
  </si>
  <si>
    <t>BODY: ALL COTTON; HOOD AND PLACKET: POLYESTER; LINING: POLYESTER</t>
  </si>
  <si>
    <t>840587221562</t>
  </si>
  <si>
    <t>DULL WOODMAN BOYS JCKT</t>
  </si>
  <si>
    <t>840587221579</t>
  </si>
  <si>
    <t>840587221456</t>
  </si>
  <si>
    <t>888822008080</t>
  </si>
  <si>
    <t>MESH PUMA SHORTS</t>
  </si>
  <si>
    <t>PUMA GIRLS 7-16/PUMA UNITED NORTH</t>
  </si>
  <si>
    <t>756845970557</t>
  </si>
  <si>
    <t>N 3 PCK CLOUD BODYSU</t>
  </si>
  <si>
    <t>2337FI410</t>
  </si>
  <si>
    <t>192136002345</t>
  </si>
  <si>
    <t>192135977385</t>
  </si>
  <si>
    <t>1 PCF19 G 1 PC NAVY FLOR</t>
  </si>
  <si>
    <t>706255618426</t>
  </si>
  <si>
    <t>732996031651</t>
  </si>
  <si>
    <t>100054264LB</t>
  </si>
  <si>
    <t>735869409915</t>
  </si>
  <si>
    <t>C7544M</t>
  </si>
  <si>
    <t>SHORTS/LINING: POLYESTER</t>
  </si>
  <si>
    <t>190322183380</t>
  </si>
  <si>
    <t>FEARLESS LACE UP TEE BASIC</t>
  </si>
  <si>
    <t>732996084695</t>
  </si>
  <si>
    <t>SOLID TALL TEE BASIC</t>
  </si>
  <si>
    <t>100054261BO</t>
  </si>
  <si>
    <t>732995523959</t>
  </si>
  <si>
    <t>LETS GO SS TEE</t>
  </si>
  <si>
    <t>100048209BO</t>
  </si>
  <si>
    <t>732995984699</t>
  </si>
  <si>
    <t>636189918050</t>
  </si>
  <si>
    <t>SIDE STRIPE LEGG</t>
  </si>
  <si>
    <t>100040070GR</t>
  </si>
  <si>
    <t>636189918036</t>
  </si>
  <si>
    <t>636189918074</t>
  </si>
  <si>
    <t>608356214913</t>
  </si>
  <si>
    <t>SOLID BOW LEGGING</t>
  </si>
  <si>
    <t>100025895GR</t>
  </si>
  <si>
    <t>732997559499</t>
  </si>
  <si>
    <t>696114317136</t>
  </si>
  <si>
    <t>PINEAPPLE PRINT PANT</t>
  </si>
  <si>
    <t>440088-MA</t>
  </si>
  <si>
    <t>732995695403</t>
  </si>
  <si>
    <t>IN SESSION SS TEE BASIC</t>
  </si>
  <si>
    <t>100045243LB</t>
  </si>
  <si>
    <t>732996528144</t>
  </si>
  <si>
    <t>CVC SS TEE BASIC</t>
  </si>
  <si>
    <t>100055550LB</t>
  </si>
  <si>
    <t>732996525556</t>
  </si>
  <si>
    <t>617844790822</t>
  </si>
  <si>
    <t>617844790815</t>
  </si>
  <si>
    <t>617844790846</t>
  </si>
  <si>
    <t>617845933839</t>
  </si>
  <si>
    <t>GIRLS CRUSH IT BDYSUIT</t>
  </si>
  <si>
    <t>06D536G</t>
  </si>
  <si>
    <t>617847174957</t>
  </si>
  <si>
    <t>CRAWL WALK RUN BDYSUIT</t>
  </si>
  <si>
    <t>06D935G</t>
  </si>
  <si>
    <t>732995629279</t>
  </si>
  <si>
    <t>AMERICANA HEADBND PK BASIC</t>
  </si>
  <si>
    <t>100050906BG</t>
  </si>
  <si>
    <t>192135705940</t>
  </si>
  <si>
    <t>S19 PURPLE ICE CREAM LEG</t>
  </si>
  <si>
    <t>258H229</t>
  </si>
  <si>
    <t>192135642269</t>
  </si>
  <si>
    <t>S19 AMERICANA TANK</t>
  </si>
  <si>
    <t>243I322</t>
  </si>
  <si>
    <t>732996526966</t>
  </si>
  <si>
    <t>MESH TANK BASIC</t>
  </si>
  <si>
    <t>100055512LG</t>
  </si>
  <si>
    <t>COTTON/POLYESTER; MESH: POLYESTER</t>
  </si>
  <si>
    <t>732996905938</t>
  </si>
  <si>
    <t>192136250982</t>
  </si>
  <si>
    <t>732996892689</t>
  </si>
  <si>
    <t>732996892481</t>
  </si>
  <si>
    <t>732996891767</t>
  </si>
  <si>
    <t>732996960616</t>
  </si>
  <si>
    <t>732996890975</t>
  </si>
  <si>
    <t>732996892368</t>
  </si>
  <si>
    <t>732994854931</t>
  </si>
  <si>
    <t>732994854962</t>
  </si>
  <si>
    <t>732994854955</t>
  </si>
  <si>
    <t>732994854948</t>
  </si>
  <si>
    <t>732996892320</t>
  </si>
  <si>
    <t>732994881234</t>
  </si>
  <si>
    <t>RUFFLE BACK LEGGING BASIC</t>
  </si>
  <si>
    <t>100042536BG</t>
  </si>
  <si>
    <t>732994881371</t>
  </si>
  <si>
    <t>732996891989</t>
  </si>
  <si>
    <t>732996892023</t>
  </si>
  <si>
    <t>732996892276</t>
  </si>
  <si>
    <t>732994881142</t>
  </si>
  <si>
    <t>732994881340</t>
  </si>
  <si>
    <t>732994881159</t>
  </si>
  <si>
    <t>732994881135</t>
  </si>
  <si>
    <t>732994154970</t>
  </si>
  <si>
    <t>732994881241</t>
  </si>
  <si>
    <t>732994881357</t>
  </si>
  <si>
    <t>732994881111</t>
  </si>
  <si>
    <t>732994881128</t>
  </si>
  <si>
    <t>732994881296</t>
  </si>
  <si>
    <t>732994881326</t>
  </si>
  <si>
    <t>732994881173</t>
  </si>
  <si>
    <t>732994881258</t>
  </si>
  <si>
    <t>732994881319</t>
  </si>
  <si>
    <t>732994881272</t>
  </si>
  <si>
    <t>732994881180</t>
  </si>
  <si>
    <t>732994881289</t>
  </si>
  <si>
    <t>732994881265</t>
  </si>
  <si>
    <t>732994881333</t>
  </si>
  <si>
    <t>732994881302</t>
  </si>
  <si>
    <t>732994881692</t>
  </si>
  <si>
    <t>732994881685</t>
  </si>
  <si>
    <t>732994881715</t>
  </si>
  <si>
    <t>732994881661</t>
  </si>
  <si>
    <t>732994881586</t>
  </si>
  <si>
    <t>732994881708</t>
  </si>
  <si>
    <t>732994855358</t>
  </si>
  <si>
    <t>732994855341</t>
  </si>
  <si>
    <t>732994855334</t>
  </si>
  <si>
    <t>732996280509</t>
  </si>
  <si>
    <t>732994881746</t>
  </si>
  <si>
    <t>732994881654</t>
  </si>
  <si>
    <t>732994881647</t>
  </si>
  <si>
    <t>732996245195</t>
  </si>
  <si>
    <t>PRETZEL BODYSUIT</t>
  </si>
  <si>
    <t>732996245225</t>
  </si>
  <si>
    <t>732995016222</t>
  </si>
  <si>
    <t>732995016185</t>
  </si>
  <si>
    <t>732995016192</t>
  </si>
  <si>
    <t>732995881738</t>
  </si>
  <si>
    <t>732996900926</t>
  </si>
  <si>
    <t>732996240541</t>
  </si>
  <si>
    <t>ICE CREAM TRUCK TEE BASIC</t>
  </si>
  <si>
    <t>100053736BB</t>
  </si>
  <si>
    <t>732995575149</t>
  </si>
  <si>
    <t>TURTLE DAD TEE BASIC</t>
  </si>
  <si>
    <t>100041997BB</t>
  </si>
  <si>
    <t>636206466366</t>
  </si>
  <si>
    <t>732996260662</t>
  </si>
  <si>
    <t>732996901466</t>
  </si>
  <si>
    <t>SS FEED ME DINO TEE</t>
  </si>
  <si>
    <t>100056330BB</t>
  </si>
  <si>
    <t>732996900957</t>
  </si>
  <si>
    <t>MONSTER TEE</t>
  </si>
  <si>
    <t>100060504BB</t>
  </si>
  <si>
    <t>192170304474</t>
  </si>
  <si>
    <t>192170304498</t>
  </si>
  <si>
    <t>192170422680</t>
  </si>
  <si>
    <t>192170035095</t>
  </si>
  <si>
    <t>BLAKEY-B</t>
  </si>
  <si>
    <t>BLAKEY-BCR</t>
  </si>
  <si>
    <t>888737829572</t>
  </si>
  <si>
    <t>192170035118</t>
  </si>
  <si>
    <t>888737827509</t>
  </si>
  <si>
    <t>192135979471</t>
  </si>
  <si>
    <t>BSPSF19 B BSPS MONSTER</t>
  </si>
  <si>
    <t>880680584294</t>
  </si>
  <si>
    <t>91203591235</t>
  </si>
  <si>
    <t>G NSW CROP PE AIR</t>
  </si>
  <si>
    <t>AQ8844</t>
  </si>
  <si>
    <t>COTTON/RAYON/POLYESTER; RIB: RAYON/COTTON/SPANDEX; HOOD LINING: RAYON/COTTON</t>
  </si>
  <si>
    <t>93263230383</t>
  </si>
  <si>
    <t>BONNETT-TP PATENT MA</t>
  </si>
  <si>
    <t>BONNETT-TP</t>
  </si>
  <si>
    <t>11 W</t>
  </si>
  <si>
    <t>NINA DOLL-NINA FOOTWEAR</t>
  </si>
  <si>
    <t>PATENT LEATHER</t>
  </si>
  <si>
    <t>193579356750</t>
  </si>
  <si>
    <t>EMBRO 2FER JACKET</t>
  </si>
  <si>
    <t>35H36100-34</t>
  </si>
  <si>
    <t>SHELL: COTTON; LINING: POLYESTER</t>
  </si>
  <si>
    <t>884733717141</t>
  </si>
  <si>
    <t>887407457855</t>
  </si>
  <si>
    <t>MM-IMA COURT-WHITE</t>
  </si>
  <si>
    <t>193585052660</t>
  </si>
  <si>
    <t>LOGO TRICOT JACKET</t>
  </si>
  <si>
    <t>AP4469</t>
  </si>
  <si>
    <t>791088704309</t>
  </si>
  <si>
    <t>WRAP MAXI</t>
  </si>
  <si>
    <t>E459009</t>
  </si>
  <si>
    <t>617847383168</t>
  </si>
  <si>
    <t>633731402302</t>
  </si>
  <si>
    <t>807746655279</t>
  </si>
  <si>
    <t>193579354954</t>
  </si>
  <si>
    <t>FLARE JEAN</t>
  </si>
  <si>
    <t>35H35306-02</t>
  </si>
  <si>
    <t>193579354961</t>
  </si>
  <si>
    <t>880680856513</t>
  </si>
  <si>
    <t>SINCE 85 CREW</t>
  </si>
  <si>
    <t>TGFCB05S-050</t>
  </si>
  <si>
    <t>886061968080</t>
  </si>
  <si>
    <t>B NK DRY SHORT ELITE</t>
  </si>
  <si>
    <t>AQ9473</t>
  </si>
  <si>
    <t>190618455603</t>
  </si>
  <si>
    <t>PNK SCHIFFLI CUPCAKE DRS</t>
  </si>
  <si>
    <t>845507051793</t>
  </si>
  <si>
    <t>845507051724</t>
  </si>
  <si>
    <t>845507051762</t>
  </si>
  <si>
    <t>845507051786</t>
  </si>
  <si>
    <t>845507051717</t>
  </si>
  <si>
    <t>732995696790</t>
  </si>
  <si>
    <t>732996107950</t>
  </si>
  <si>
    <t>PERFORMANCE JOGGER</t>
  </si>
  <si>
    <t>100055539BO</t>
  </si>
  <si>
    <t>732996107967</t>
  </si>
  <si>
    <t>46094874240</t>
  </si>
  <si>
    <t>889338882843</t>
  </si>
  <si>
    <t>BSW 4PC COTTON 01</t>
  </si>
  <si>
    <t>617847629501</t>
  </si>
  <si>
    <t>EARL 505 ANCHOR HUSKY</t>
  </si>
  <si>
    <t>91H505F</t>
  </si>
  <si>
    <t>18 HUSKY</t>
  </si>
  <si>
    <t>192399794476</t>
  </si>
  <si>
    <t>PRINTED TRICOT JOGGER</t>
  </si>
  <si>
    <t>AK4615</t>
  </si>
  <si>
    <t>732996569925</t>
  </si>
  <si>
    <t>SMOCK TOP FLRL DRESS</t>
  </si>
  <si>
    <t>100057081GR</t>
  </si>
  <si>
    <t>884733718391</t>
  </si>
  <si>
    <t>884733718407</t>
  </si>
  <si>
    <t>887685973832</t>
  </si>
  <si>
    <t>889338678606</t>
  </si>
  <si>
    <t>F18 LBB CORE 2PK SWADDLE</t>
  </si>
  <si>
    <t>126H517</t>
  </si>
  <si>
    <t>633731399374</t>
  </si>
  <si>
    <t>GRAPHIC PANEL SHORT</t>
  </si>
  <si>
    <t>856303G</t>
  </si>
  <si>
    <t>886066913672</t>
  </si>
  <si>
    <t>B NK DRY SHORT HBR</t>
  </si>
  <si>
    <t>732997006689</t>
  </si>
  <si>
    <t>INTERLOCK ZIP JACKET BASIC</t>
  </si>
  <si>
    <t>100054270BO</t>
  </si>
  <si>
    <t>192564452170</t>
  </si>
  <si>
    <t>SC30 BOX SS</t>
  </si>
  <si>
    <t>732996573557</t>
  </si>
  <si>
    <t>LEAF 2PC SET</t>
  </si>
  <si>
    <t>100057101GR</t>
  </si>
  <si>
    <t>636189273951</t>
  </si>
  <si>
    <t>PINK DENIM JACKET</t>
  </si>
  <si>
    <t>100042295LG</t>
  </si>
  <si>
    <t>732996105741</t>
  </si>
  <si>
    <t>PERFORMANCE ROMPER</t>
  </si>
  <si>
    <t>100055490GR</t>
  </si>
  <si>
    <t>BODY: POLYESTER/SPANDEX; MESH: POLYESTER</t>
  </si>
  <si>
    <t>192135494769</t>
  </si>
  <si>
    <t>192135612552</t>
  </si>
  <si>
    <t>S19 VERTICAL STRIPE TANK</t>
  </si>
  <si>
    <t>293G481</t>
  </si>
  <si>
    <t>TOP: COTTON/POLYESTER; SHORTS: COTTON/POLYESTER/LINEN</t>
  </si>
  <si>
    <t>192135617007</t>
  </si>
  <si>
    <t>9328766490</t>
  </si>
  <si>
    <t>A-LINE HIGHRISE SHORTY</t>
  </si>
  <si>
    <t>416331F</t>
  </si>
  <si>
    <t>732995697339</t>
  </si>
  <si>
    <t>GRAFFITI HOODIE BASIC</t>
  </si>
  <si>
    <t>100044717BO</t>
  </si>
  <si>
    <t>732996570488</t>
  </si>
  <si>
    <t>TIGER FLRL JUMPSUIT</t>
  </si>
  <si>
    <t>100057091GR</t>
  </si>
  <si>
    <t>RAYON; TRIM POLYESTER</t>
  </si>
  <si>
    <t>48238365980</t>
  </si>
  <si>
    <t>HELLO KITTY BANDANA AOP</t>
  </si>
  <si>
    <t>TF6846GHK0372</t>
  </si>
  <si>
    <t>TOP: COTTON/POLYESTER; SHORTS: 100% COTTON</t>
  </si>
  <si>
    <t>732995144123</t>
  </si>
  <si>
    <t>DOT SMOCK TOP WOVEN</t>
  </si>
  <si>
    <t>100047051GR</t>
  </si>
  <si>
    <t>SHELL/ LINING: POLYESTER</t>
  </si>
  <si>
    <t>91204417824</t>
  </si>
  <si>
    <t>TROPHY SHORT AOP</t>
  </si>
  <si>
    <t>BQ8281</t>
  </si>
  <si>
    <t>884733928219</t>
  </si>
  <si>
    <t>882925594495</t>
  </si>
  <si>
    <t>191603943617</t>
  </si>
  <si>
    <t>732996104980</t>
  </si>
  <si>
    <t>192503459390</t>
  </si>
  <si>
    <t>RKWBS2CQD</t>
  </si>
  <si>
    <t>XSML</t>
  </si>
  <si>
    <t>192503459413</t>
  </si>
  <si>
    <t>880680580593</t>
  </si>
  <si>
    <t>YEL/BLU 2PC SHORT SET</t>
  </si>
  <si>
    <t>61G00643-99</t>
  </si>
  <si>
    <t>880680846361</t>
  </si>
  <si>
    <t>732996105611</t>
  </si>
  <si>
    <t>STRAPPY TWOFER TANK</t>
  </si>
  <si>
    <t>100055487GR</t>
  </si>
  <si>
    <t>889338918313</t>
  </si>
  <si>
    <t>F18 THIS GIRL IS THE FUT</t>
  </si>
  <si>
    <t>259G742</t>
  </si>
  <si>
    <t>TUNIC: COTTON; LEGGINGS: COTTON/ELASTANE</t>
  </si>
  <si>
    <t>192136010159</t>
  </si>
  <si>
    <t>732995050486</t>
  </si>
  <si>
    <t>888822356785</t>
  </si>
  <si>
    <t>CTN FRENCH TERRY MODERN</t>
  </si>
  <si>
    <t>689439317219</t>
  </si>
  <si>
    <t>RR WHITE DENIM SHORT</t>
  </si>
  <si>
    <t>100039668LB</t>
  </si>
  <si>
    <t>732995102024</t>
  </si>
  <si>
    <t>PONTE BOW DRESS SET</t>
  </si>
  <si>
    <t>100041850BG</t>
  </si>
  <si>
    <t>886524094042</t>
  </si>
  <si>
    <t>NAUTICA NB234K</t>
  </si>
  <si>
    <t>886524093977</t>
  </si>
  <si>
    <t>NAUTICA NB234B</t>
  </si>
  <si>
    <t>192136306504</t>
  </si>
  <si>
    <t>192136181385</t>
  </si>
  <si>
    <t>CORE SETS 2F19 DUSTY ROS</t>
  </si>
  <si>
    <t>TOP: COTTON; LEGGINGS: COTTON/POLYESTER/ELASTANE</t>
  </si>
  <si>
    <t>192136109020</t>
  </si>
  <si>
    <t>889338672079</t>
  </si>
  <si>
    <t>126H557</t>
  </si>
  <si>
    <t>HAT/COVERALL: ALL COTTON; SOCKS: COTTON/POLYESTER/ELASTANE</t>
  </si>
  <si>
    <t>193585025114</t>
  </si>
  <si>
    <t>CHILD SEASONAL MESH SHOR</t>
  </si>
  <si>
    <t>AH5468</t>
  </si>
  <si>
    <t>POLYESTER; TRICOT LINING: POLYESTER</t>
  </si>
  <si>
    <t>191045804606</t>
  </si>
  <si>
    <t>NAUTICA GIRLS BEACH</t>
  </si>
  <si>
    <t>JEYDA</t>
  </si>
  <si>
    <t>191045804590</t>
  </si>
  <si>
    <t>191045804583</t>
  </si>
  <si>
    <t>732995161014</t>
  </si>
  <si>
    <t>EMB STRAP JUMPER BASIC</t>
  </si>
  <si>
    <t>100043813BG</t>
  </si>
  <si>
    <t>791088719723</t>
  </si>
  <si>
    <t>NAVY BOW BUBBLE</t>
  </si>
  <si>
    <t>S889909</t>
  </si>
  <si>
    <t>SHELL: COTTON/POLYESTER; LINING: POLYESTER/COTTON</t>
  </si>
  <si>
    <t>732995541632</t>
  </si>
  <si>
    <t>PLAID BEAR SHORTALL</t>
  </si>
  <si>
    <t>100042036BB</t>
  </si>
  <si>
    <t>SHORTALL: COTTON; SHIRT: COTTON/POLYESTER</t>
  </si>
  <si>
    <t>732996380070</t>
  </si>
  <si>
    <t>732996104935</t>
  </si>
  <si>
    <t>732996105086</t>
  </si>
  <si>
    <t>PRINTED LEGGING</t>
  </si>
  <si>
    <t>100055476GR</t>
  </si>
  <si>
    <t>640013645630</t>
  </si>
  <si>
    <t>640013784889</t>
  </si>
  <si>
    <t>732996441276</t>
  </si>
  <si>
    <t>738994573575</t>
  </si>
  <si>
    <t>732996335766</t>
  </si>
  <si>
    <t>732996335773</t>
  </si>
  <si>
    <t>732996335759</t>
  </si>
  <si>
    <t>732996380209</t>
  </si>
  <si>
    <t>732995521528</t>
  </si>
  <si>
    <t>732995521542</t>
  </si>
  <si>
    <t>732996380667</t>
  </si>
  <si>
    <t>732996380421</t>
  </si>
  <si>
    <t>732996380452</t>
  </si>
  <si>
    <t>732996380438</t>
  </si>
  <si>
    <t>732995050417</t>
  </si>
  <si>
    <t>192136175438</t>
  </si>
  <si>
    <t>732995050592</t>
  </si>
  <si>
    <t>COLOR BLOCK LEGGING</t>
  </si>
  <si>
    <t>100044348GR</t>
  </si>
  <si>
    <t>192135744048</t>
  </si>
  <si>
    <t>S19 BLUE SHARK TRUNK</t>
  </si>
  <si>
    <t>732996106625</t>
  </si>
  <si>
    <t>100055519LG</t>
  </si>
  <si>
    <t>192135744024</t>
  </si>
  <si>
    <t>732995051896</t>
  </si>
  <si>
    <t>732996106571</t>
  </si>
  <si>
    <t>COLORBLOCKED LEGGING</t>
  </si>
  <si>
    <t>100055513LG</t>
  </si>
  <si>
    <t>885779990666</t>
  </si>
  <si>
    <t>885779990642</t>
  </si>
  <si>
    <t>885779990567</t>
  </si>
  <si>
    <t>192136003687</t>
  </si>
  <si>
    <t>192136003939</t>
  </si>
  <si>
    <t>192136001836</t>
  </si>
  <si>
    <t>192135476925</t>
  </si>
  <si>
    <t>S19 1PC GREEN CAMO</t>
  </si>
  <si>
    <t>887407927297</t>
  </si>
  <si>
    <t>KR-GOOD GUY-BROWN</t>
  </si>
  <si>
    <t>732996083070</t>
  </si>
  <si>
    <t>732996336473</t>
  </si>
  <si>
    <t>732995507119</t>
  </si>
  <si>
    <t>SHIBORI STRIPE SALL</t>
  </si>
  <si>
    <t>100049968BB</t>
  </si>
  <si>
    <t>732995260151</t>
  </si>
  <si>
    <t>LIKE A GIRL TEE BASIC</t>
  </si>
  <si>
    <t>100044684GR</t>
  </si>
  <si>
    <t>732995103854</t>
  </si>
  <si>
    <t>45299058332</t>
  </si>
  <si>
    <t>45299058356</t>
  </si>
  <si>
    <t>732996178295</t>
  </si>
  <si>
    <t>BOW SUNSUIT</t>
  </si>
  <si>
    <t>100053839BG</t>
  </si>
  <si>
    <t>COTTON; BOW: POLYESTER</t>
  </si>
  <si>
    <t>696114340042</t>
  </si>
  <si>
    <t>732995320893</t>
  </si>
  <si>
    <t>RIB WAIST PANT BASIC</t>
  </si>
  <si>
    <t>100043801BB</t>
  </si>
  <si>
    <t>880680636566</t>
  </si>
  <si>
    <t>YEL PLA 2PC GIRAFFE SET</t>
  </si>
  <si>
    <t>11G02672-99</t>
  </si>
  <si>
    <t>732996525624</t>
  </si>
  <si>
    <t>192135384961</t>
  </si>
  <si>
    <t>S19 INTERLOCK FIRETRUCK</t>
  </si>
  <si>
    <t>889338717244</t>
  </si>
  <si>
    <t>F18 RIB SNP GIRL MINT FL</t>
  </si>
  <si>
    <t>115G555</t>
  </si>
  <si>
    <t>BODY AND TRIM: COTTON/ELASTANE</t>
  </si>
  <si>
    <t>889338716407</t>
  </si>
  <si>
    <t>F18 RIB SNP BOY NAVY HTR</t>
  </si>
  <si>
    <t>115G562</t>
  </si>
  <si>
    <t>732996031989</t>
  </si>
  <si>
    <t>PERFORMANCE SS TEE BASIC</t>
  </si>
  <si>
    <t>100055549LB</t>
  </si>
  <si>
    <t>732995251197</t>
  </si>
  <si>
    <t>TUTU LEGGING</t>
  </si>
  <si>
    <t>100031967BG</t>
  </si>
  <si>
    <t>633716877576</t>
  </si>
  <si>
    <t>NUMBER 1 BODYSUIT</t>
  </si>
  <si>
    <t>56E661G</t>
  </si>
  <si>
    <t>735869346807</t>
  </si>
  <si>
    <t>735869346791</t>
  </si>
  <si>
    <t>732996526324</t>
  </si>
  <si>
    <t>BACK TABS TANK BASIC</t>
  </si>
  <si>
    <t>100054247LG</t>
  </si>
  <si>
    <t>640013644718</t>
  </si>
  <si>
    <t>CONNER EXT CREW</t>
  </si>
  <si>
    <t>UB119401</t>
  </si>
  <si>
    <t>732995566369</t>
  </si>
  <si>
    <t>100044688LG</t>
  </si>
  <si>
    <t>732996526607</t>
  </si>
  <si>
    <t>MESH TEE BASIC</t>
  </si>
  <si>
    <t>100055510LG</t>
  </si>
  <si>
    <t>BODY: COTTON/POLYESTER; HEM: POLYESTER</t>
  </si>
  <si>
    <t>732996434308</t>
  </si>
  <si>
    <t>192135647714</t>
  </si>
  <si>
    <t>S19 AMERICAN DINO TEE</t>
  </si>
  <si>
    <t>243I269</t>
  </si>
  <si>
    <t>192135647707</t>
  </si>
  <si>
    <t>190796648118</t>
  </si>
  <si>
    <t>S18 SNAP UP GIRL CORAL P</t>
  </si>
  <si>
    <t>118H907</t>
  </si>
  <si>
    <t>192135649558</t>
  </si>
  <si>
    <t>S19 WHITE FLAG CHEST TEE</t>
  </si>
  <si>
    <t>243I272</t>
  </si>
  <si>
    <t>732995138672</t>
  </si>
  <si>
    <t>CORE SOLID TEE</t>
  </si>
  <si>
    <t>100049753GR</t>
  </si>
  <si>
    <t>732995633252</t>
  </si>
  <si>
    <t>JUMPING FISH SUNSUIT BASIC</t>
  </si>
  <si>
    <t>100043393BB</t>
  </si>
  <si>
    <t>732995633443</t>
  </si>
  <si>
    <t>NAUTICAL CRAB SS BASIC</t>
  </si>
  <si>
    <t>100048776BB</t>
  </si>
  <si>
    <t>732995633375</t>
  </si>
  <si>
    <t>FROGGY SUNSUIT BASIC</t>
  </si>
  <si>
    <t>100043396BB</t>
  </si>
  <si>
    <t>732994956024</t>
  </si>
  <si>
    <t>732995328585</t>
  </si>
  <si>
    <t>732996213200</t>
  </si>
  <si>
    <t>SAILOR SHORT BASIC</t>
  </si>
  <si>
    <t>100052649BG</t>
  </si>
  <si>
    <t>732994838566</t>
  </si>
  <si>
    <t>BUTTERFLY GARDEN SS</t>
  </si>
  <si>
    <t>100043372BG</t>
  </si>
  <si>
    <t>732996905921</t>
  </si>
  <si>
    <t>192135628423</t>
  </si>
  <si>
    <t>S19 SLOGAN KID GRANDPA</t>
  </si>
  <si>
    <t>192136099949</t>
  </si>
  <si>
    <t>732994853996</t>
  </si>
  <si>
    <t>T BEAR KNEES JOGGER BASIC</t>
  </si>
  <si>
    <t>100041922TB</t>
  </si>
  <si>
    <t>732994854009</t>
  </si>
  <si>
    <t>732996583587</t>
  </si>
  <si>
    <t>735869398905</t>
  </si>
  <si>
    <t>SCRIPT TANK</t>
  </si>
  <si>
    <t>C5405M</t>
  </si>
  <si>
    <t>735869456230</t>
  </si>
  <si>
    <t>735869346388</t>
  </si>
  <si>
    <t>CHAMPION SCRIPT</t>
  </si>
  <si>
    <t>C5437M</t>
  </si>
  <si>
    <t>735869398936</t>
  </si>
  <si>
    <t>735869399223</t>
  </si>
  <si>
    <t>SS SCRIPT TEE</t>
  </si>
  <si>
    <t>C5457M</t>
  </si>
  <si>
    <t>735869398868</t>
  </si>
  <si>
    <t>AOP TANK</t>
  </si>
  <si>
    <t>C5404M</t>
  </si>
  <si>
    <t>735869399315</t>
  </si>
  <si>
    <t>AOP SS TEE</t>
  </si>
  <si>
    <t>C5458M</t>
  </si>
  <si>
    <t>735869456292</t>
  </si>
  <si>
    <t>732994854030</t>
  </si>
  <si>
    <t>T ATHLETIC JOGGER BASIC</t>
  </si>
  <si>
    <t>100041923TB</t>
  </si>
  <si>
    <t>735869407324</t>
  </si>
  <si>
    <t>735869456315</t>
  </si>
  <si>
    <t>732995880007</t>
  </si>
  <si>
    <t>732995880014</t>
  </si>
  <si>
    <t>732995879940</t>
  </si>
  <si>
    <t>PALM TREE TANK</t>
  </si>
  <si>
    <t>732995879971</t>
  </si>
  <si>
    <t>732995879964</t>
  </si>
  <si>
    <t>608381742283</t>
  </si>
  <si>
    <t>608381742290</t>
  </si>
  <si>
    <t>608381744706</t>
  </si>
  <si>
    <t>608381744409</t>
  </si>
  <si>
    <t>608381744744</t>
  </si>
  <si>
    <t>732995564648</t>
  </si>
  <si>
    <t>SPARKLE UNI SS TEE</t>
  </si>
  <si>
    <t>100046390LG</t>
  </si>
  <si>
    <t>732995586244</t>
  </si>
  <si>
    <t>TULIP DRESS</t>
  </si>
  <si>
    <t>100043160BG</t>
  </si>
  <si>
    <t>732994855426</t>
  </si>
  <si>
    <t>732994855419</t>
  </si>
  <si>
    <t>732994855679</t>
  </si>
  <si>
    <t>732995882872</t>
  </si>
  <si>
    <t>732996241227</t>
  </si>
  <si>
    <t>732996241258</t>
  </si>
  <si>
    <t>732996241265</t>
  </si>
  <si>
    <t>732996241487</t>
  </si>
  <si>
    <t>T CARNIVAL POLO BASIC</t>
  </si>
  <si>
    <t>100053732TB</t>
  </si>
  <si>
    <t>732996906034</t>
  </si>
  <si>
    <t>732996906027</t>
  </si>
  <si>
    <t>732996892467</t>
  </si>
  <si>
    <t>732996241197</t>
  </si>
  <si>
    <t>T AOP ANIMALS SHORT BASIC</t>
  </si>
  <si>
    <t>100059565TB</t>
  </si>
  <si>
    <t>732994855860</t>
  </si>
  <si>
    <t>732994855877</t>
  </si>
  <si>
    <t>732996176307</t>
  </si>
  <si>
    <t>732994853880</t>
  </si>
  <si>
    <t>732996280592</t>
  </si>
  <si>
    <t>POCKET CARDIGAN</t>
  </si>
  <si>
    <t>732996892382</t>
  </si>
  <si>
    <t>LOVE BORDER JOGGER</t>
  </si>
  <si>
    <t>100052415BG</t>
  </si>
  <si>
    <t>732996892412</t>
  </si>
  <si>
    <t>732996892344</t>
  </si>
  <si>
    <t>732994855051</t>
  </si>
  <si>
    <t>732994855037</t>
  </si>
  <si>
    <t>732994855044</t>
  </si>
  <si>
    <t>732994855068</t>
  </si>
  <si>
    <t>732994854887</t>
  </si>
  <si>
    <t>732994854894</t>
  </si>
  <si>
    <t>732996241906</t>
  </si>
  <si>
    <t>GABRIEL PLAID SHORT BASIC</t>
  </si>
  <si>
    <t>100053748BB</t>
  </si>
  <si>
    <t>732996241920</t>
  </si>
  <si>
    <t>732996241937</t>
  </si>
  <si>
    <t>732996241371</t>
  </si>
  <si>
    <t>T HOT DOG TEE BASIC</t>
  </si>
  <si>
    <t>100053729TB</t>
  </si>
  <si>
    <t>732996280455</t>
  </si>
  <si>
    <t>732996240237</t>
  </si>
  <si>
    <t>CARNIVAL POLO BASIC</t>
  </si>
  <si>
    <t>100053732BB</t>
  </si>
  <si>
    <t>732994855150</t>
  </si>
  <si>
    <t>WAVE CHAMBRAY SHORT BASIC</t>
  </si>
  <si>
    <t>100041910BB</t>
  </si>
  <si>
    <t>732996905778</t>
  </si>
  <si>
    <t>T SS BASEBALL PKT TE</t>
  </si>
  <si>
    <t>100056328TB</t>
  </si>
  <si>
    <t>732996905785</t>
  </si>
  <si>
    <t>732996241548</t>
  </si>
  <si>
    <t>732996892139</t>
  </si>
  <si>
    <t>732996276045</t>
  </si>
  <si>
    <t>T RUGBY PKT TEE BASIC</t>
  </si>
  <si>
    <t>100053742TB</t>
  </si>
  <si>
    <t>732996276052</t>
  </si>
  <si>
    <t>732996276069</t>
  </si>
  <si>
    <t>732995159882</t>
  </si>
  <si>
    <t>MINI FLOWERS LEGGING BASIC</t>
  </si>
  <si>
    <t>100042476BG</t>
  </si>
  <si>
    <t>732996960630</t>
  </si>
  <si>
    <t>RUFFLE BUTT JOGGER</t>
  </si>
  <si>
    <t>100063178BG</t>
  </si>
  <si>
    <t>732996892030</t>
  </si>
  <si>
    <t>732994155113</t>
  </si>
  <si>
    <t>732994881081</t>
  </si>
  <si>
    <t>732994155083</t>
  </si>
  <si>
    <t>636206937378</t>
  </si>
  <si>
    <t>TINY DOTS LEGGING BASIC</t>
  </si>
  <si>
    <t>100029949BG</t>
  </si>
  <si>
    <t>732994880992</t>
  </si>
  <si>
    <t>STRIPE ROUCHED LEGGI BASIC</t>
  </si>
  <si>
    <t>100042450BG</t>
  </si>
  <si>
    <t>636206937200</t>
  </si>
  <si>
    <t>732994938785</t>
  </si>
  <si>
    <t>732994938792</t>
  </si>
  <si>
    <t>732994938921</t>
  </si>
  <si>
    <t>732994938938</t>
  </si>
  <si>
    <t>732994938952</t>
  </si>
  <si>
    <t>732996241036</t>
  </si>
  <si>
    <t>T AOP ANIMALS TANK BASIC</t>
  </si>
  <si>
    <t>100053737TB</t>
  </si>
  <si>
    <t>732994938778</t>
  </si>
  <si>
    <t>732994938549</t>
  </si>
  <si>
    <t>G FLORAL LEGGING</t>
  </si>
  <si>
    <t>100043484BG</t>
  </si>
  <si>
    <t>732994938945</t>
  </si>
  <si>
    <t>732994938914</t>
  </si>
  <si>
    <t>732996905501</t>
  </si>
  <si>
    <t>T BEST KID EVER TEE</t>
  </si>
  <si>
    <t>100053756TB</t>
  </si>
  <si>
    <t>732996960258</t>
  </si>
  <si>
    <t>732995157062</t>
  </si>
  <si>
    <t>FLORAL CAT PEPLUM BASIC</t>
  </si>
  <si>
    <t>100042466BG</t>
  </si>
  <si>
    <t>732996890623</t>
  </si>
  <si>
    <t>732996242095</t>
  </si>
  <si>
    <t>AOP ANIMALS SHORT BASIC</t>
  </si>
  <si>
    <t>100059565BB</t>
  </si>
  <si>
    <t>732995159295</t>
  </si>
  <si>
    <t>732995797770</t>
  </si>
  <si>
    <t>FRUITY BERMUDA BASIC</t>
  </si>
  <si>
    <t>100042532BG</t>
  </si>
  <si>
    <t>191603919377</t>
  </si>
  <si>
    <t>SUN SAND SURF</t>
  </si>
  <si>
    <t>1YBY0262</t>
  </si>
  <si>
    <t>732996240169</t>
  </si>
  <si>
    <t>HUNGRY SHARK TEE BASIC</t>
  </si>
  <si>
    <t>100053731BB</t>
  </si>
  <si>
    <t>732995579628</t>
  </si>
  <si>
    <t>732996959436</t>
  </si>
  <si>
    <t>732994854061</t>
  </si>
  <si>
    <t>T SEAGULL TEE BASIC</t>
  </si>
  <si>
    <t>100041880TB</t>
  </si>
  <si>
    <t>636206938900</t>
  </si>
  <si>
    <t>RED HEART LEGGING BASIC</t>
  </si>
  <si>
    <t>100029955BG</t>
  </si>
  <si>
    <t>732996959887</t>
  </si>
  <si>
    <t>732996279541</t>
  </si>
  <si>
    <t>732996279558</t>
  </si>
  <si>
    <t>636206931390</t>
  </si>
  <si>
    <t>LS HEART GIRL TEE BASIC</t>
  </si>
  <si>
    <t>100031087BG</t>
  </si>
  <si>
    <t>732996888750</t>
  </si>
  <si>
    <t>LS YOU AND ME TEE</t>
  </si>
  <si>
    <t>100052363BG</t>
  </si>
  <si>
    <t>732996209968</t>
  </si>
  <si>
    <t>SILVER GIRAFFE TEE BASIC</t>
  </si>
  <si>
    <t>100052317BG</t>
  </si>
  <si>
    <t>732995798012</t>
  </si>
  <si>
    <t>STRIPE FLOUNCE TEE BASIC</t>
  </si>
  <si>
    <t>100042518BG</t>
  </si>
  <si>
    <t>732996888811</t>
  </si>
  <si>
    <t>732996211923</t>
  </si>
  <si>
    <t>DONUT TEE BASIC</t>
  </si>
  <si>
    <t>100052302BG</t>
  </si>
  <si>
    <t>732994937757</t>
  </si>
  <si>
    <t>G BUNNY BODYSUIT</t>
  </si>
  <si>
    <t>100043464BG</t>
  </si>
  <si>
    <t>732994938167</t>
  </si>
  <si>
    <t>N BEE BODYSUIT</t>
  </si>
  <si>
    <t>732996890746</t>
  </si>
  <si>
    <t>732996209791</t>
  </si>
  <si>
    <t>732996279473</t>
  </si>
  <si>
    <t>KISSING FISH BDYSUIT</t>
  </si>
  <si>
    <t>100054849BG</t>
  </si>
  <si>
    <t>732996279664</t>
  </si>
  <si>
    <t>TOUCAN BODYSUIT</t>
  </si>
  <si>
    <t>100054853BB</t>
  </si>
  <si>
    <t>732996279725</t>
  </si>
  <si>
    <t>HAMMOCK CRAB BDYSUIT</t>
  </si>
  <si>
    <t>100054855BB</t>
  </si>
  <si>
    <t>732996279763</t>
  </si>
  <si>
    <t>732994880862</t>
  </si>
  <si>
    <t>EYELET RUFFLE TEE BASIC</t>
  </si>
  <si>
    <t>100048441BG</t>
  </si>
  <si>
    <t>732995578843</t>
  </si>
  <si>
    <t>192135512241</t>
  </si>
  <si>
    <t>S19 VDAY MY FIRST BIB</t>
  </si>
  <si>
    <t>889338961296</t>
  </si>
  <si>
    <t>F18 THANKSGIVING MY FIRS</t>
  </si>
  <si>
    <t>119G374</t>
  </si>
  <si>
    <t>192136219972</t>
  </si>
  <si>
    <t>BIBF19 N BIB HALLOWEEN</t>
  </si>
  <si>
    <t>732996210124</t>
  </si>
  <si>
    <t>732996240770</t>
  </si>
  <si>
    <t>732996240794</t>
  </si>
  <si>
    <t>732994881913</t>
  </si>
  <si>
    <t>BUBBLE BLOOMER BASIC</t>
  </si>
  <si>
    <t>100042448BG</t>
  </si>
  <si>
    <t>732996210766</t>
  </si>
  <si>
    <t>DAISY SHORT BASIC</t>
  </si>
  <si>
    <t>100052350BG</t>
  </si>
  <si>
    <t>732995798487</t>
  </si>
  <si>
    <t>732995579697</t>
  </si>
  <si>
    <t>732996241340</t>
  </si>
  <si>
    <t>T FRY DAY TEE BASIC</t>
  </si>
  <si>
    <t>100053728TB</t>
  </si>
  <si>
    <t>732996240640</t>
  </si>
  <si>
    <t>732995575057</t>
  </si>
  <si>
    <t>CHEEKY ALLIGATOR TEE BASIC</t>
  </si>
  <si>
    <t>100041995BB</t>
  </si>
  <si>
    <t>732996260693</t>
  </si>
  <si>
    <t>732996260686</t>
  </si>
  <si>
    <t>732996260709</t>
  </si>
  <si>
    <t>732996901374</t>
  </si>
  <si>
    <t>732996240824</t>
  </si>
  <si>
    <t>AOP ANIMALS TANK BASIC</t>
  </si>
  <si>
    <t>100053737BB</t>
  </si>
  <si>
    <t>732996240848</t>
  </si>
  <si>
    <t>732994852364</t>
  </si>
  <si>
    <t>100041883BB</t>
  </si>
  <si>
    <t>46094638972</t>
  </si>
  <si>
    <t>46094638989</t>
  </si>
  <si>
    <t>46094638996</t>
  </si>
  <si>
    <t>732996239903</t>
  </si>
  <si>
    <t>732996901046</t>
  </si>
  <si>
    <t>732995882162</t>
  </si>
  <si>
    <t>732995881837</t>
  </si>
  <si>
    <t>192170304436</t>
  </si>
  <si>
    <t>192170035088</t>
  </si>
  <si>
    <t>192136110088</t>
  </si>
  <si>
    <t>CORE SETS 1F19 CHAMBRAY</t>
  </si>
  <si>
    <t>192136105343</t>
  </si>
  <si>
    <t>CORE SETS 1F19 UNICORN S</t>
  </si>
  <si>
    <t>192136110101</t>
  </si>
  <si>
    <t>192135979938</t>
  </si>
  <si>
    <t>BSPSF19 B BSPS LION</t>
  </si>
  <si>
    <t>192135980071</t>
  </si>
  <si>
    <t>192135979341</t>
  </si>
  <si>
    <t>192042563602</t>
  </si>
  <si>
    <t>POPOVER PULLOVER BASIC</t>
  </si>
  <si>
    <t>61G66000</t>
  </si>
  <si>
    <t>759448956836</t>
  </si>
  <si>
    <t>884733904619</t>
  </si>
  <si>
    <t>STRUCTURED PONTE-STRIPE</t>
  </si>
  <si>
    <t>821096822594</t>
  </si>
  <si>
    <t>LOAF-ER SR. BB</t>
  </si>
  <si>
    <t>LOAF-ER</t>
  </si>
  <si>
    <t>736576068266</t>
  </si>
  <si>
    <t>769373330656</t>
  </si>
  <si>
    <t>TODDLER PJ SET</t>
  </si>
  <si>
    <t>BHK2821230</t>
  </si>
  <si>
    <t>BEDHEAD/CHARLES KOMAR &amp; SONS</t>
  </si>
  <si>
    <t>SHIRT AND PANTS: COTTON/SPANDEX</t>
  </si>
  <si>
    <t>769373330779</t>
  </si>
  <si>
    <t>769373330595</t>
  </si>
  <si>
    <t>682510243421</t>
  </si>
  <si>
    <t>885854726197</t>
  </si>
  <si>
    <t>193579322144</t>
  </si>
  <si>
    <t>SPORTY JUMPSUIT</t>
  </si>
  <si>
    <t>TGFCH06S-411</t>
  </si>
  <si>
    <t>191274834030</t>
  </si>
  <si>
    <t>SLUMBER PARTY</t>
  </si>
  <si>
    <t>ERLFT03163</t>
  </si>
  <si>
    <t>3 REG</t>
  </si>
  <si>
    <t>193579350604</t>
  </si>
  <si>
    <t>193579337599</t>
  </si>
  <si>
    <t>TONY LS CHAMBRAY SHIRT</t>
  </si>
  <si>
    <t>TBFCB48J-460</t>
  </si>
  <si>
    <t>791088704316</t>
  </si>
  <si>
    <t>192504216213</t>
  </si>
  <si>
    <t>COCKATOO VOLLEY BOY 14</t>
  </si>
  <si>
    <t>EQKJV03081</t>
  </si>
  <si>
    <t>885854995883</t>
  </si>
  <si>
    <t>BLUE FLAT FRONT-BT-SHO</t>
  </si>
  <si>
    <t>617846339739</t>
  </si>
  <si>
    <t>YARN DYE RIB ZIP UP</t>
  </si>
  <si>
    <t>469430E</t>
  </si>
  <si>
    <t>GIRLS 7-16 SPRTWR/HADDAD APPAREL</t>
  </si>
  <si>
    <t>643762304452</t>
  </si>
  <si>
    <t>RED LADYBUG-BOOTS</t>
  </si>
  <si>
    <t>BOOTS-LADYBUG</t>
  </si>
  <si>
    <t>KIDORABLE</t>
  </si>
  <si>
    <t>UPPER AND SOLE: RUBBER; LINING: COTTON</t>
  </si>
  <si>
    <t>193579337230</t>
  </si>
  <si>
    <t>880680774978</t>
  </si>
  <si>
    <t>KROSBY SS SHIRT</t>
  </si>
  <si>
    <t>TBMCB014-648</t>
  </si>
  <si>
    <t>193579356064</t>
  </si>
  <si>
    <t>RAINBOW STRIPE 2-FER DRE</t>
  </si>
  <si>
    <t>35H31010-95</t>
  </si>
  <si>
    <t>791088770175</t>
  </si>
  <si>
    <t>887866895212</t>
  </si>
  <si>
    <t>617846342920</t>
  </si>
  <si>
    <t>YARN DYE CAPRI JOGGER</t>
  </si>
  <si>
    <t>469431E</t>
  </si>
  <si>
    <t>756998891631</t>
  </si>
  <si>
    <t>RIFT PRISM CROSSBACK SPO</t>
  </si>
  <si>
    <t>NESS9604DS</t>
  </si>
  <si>
    <t>884733716069</t>
  </si>
  <si>
    <t>617845358342</t>
  </si>
  <si>
    <t>EARL 514 HUSKY JEANS</t>
  </si>
  <si>
    <t>732995696844</t>
  </si>
  <si>
    <t>730838528222</t>
  </si>
  <si>
    <t>WHIT SPECIAL OCCASION</t>
  </si>
  <si>
    <t>65-3083</t>
  </si>
  <si>
    <t>ROBEEZ/MCCUBBIN HOSIERY LLC</t>
  </si>
  <si>
    <t>LEATHER UPPER; SUEDE OUTSOLE</t>
  </si>
  <si>
    <t>884733807903</t>
  </si>
  <si>
    <t>193573022149</t>
  </si>
  <si>
    <t>192135563557</t>
  </si>
  <si>
    <t>GSW 4PC PURMAID</t>
  </si>
  <si>
    <t>617847617218</t>
  </si>
  <si>
    <t>880680640808</t>
  </si>
  <si>
    <t>WOVEN SET</t>
  </si>
  <si>
    <t>3G52636-99</t>
  </si>
  <si>
    <t>SHIRT AND SHORTS: COTTON</t>
  </si>
  <si>
    <t>880680640785</t>
  </si>
  <si>
    <t>192399794506</t>
  </si>
  <si>
    <t>732996569765</t>
  </si>
  <si>
    <t>636206542930</t>
  </si>
  <si>
    <t>WHITE DENIM JACKET</t>
  </si>
  <si>
    <t>100044870GR</t>
  </si>
  <si>
    <t>732995696875</t>
  </si>
  <si>
    <t>WINDBREAKER PANT BASIC</t>
  </si>
  <si>
    <t>100044726BO</t>
  </si>
  <si>
    <t>732995696899</t>
  </si>
  <si>
    <t>633731399428</t>
  </si>
  <si>
    <t>9328115618</t>
  </si>
  <si>
    <t>710 VELVET JEAN</t>
  </si>
  <si>
    <t>314518F</t>
  </si>
  <si>
    <t>880680616902</t>
  </si>
  <si>
    <t>BLUE/WHITE YD STRIPED GA</t>
  </si>
  <si>
    <t>61G21635-99</t>
  </si>
  <si>
    <t>DRESS/LINING: 100% COTTON</t>
  </si>
  <si>
    <t>732994598002</t>
  </si>
  <si>
    <t>BLACK WIND BREAKER</t>
  </si>
  <si>
    <t>100029846G</t>
  </si>
  <si>
    <t>POLYESTER; MESH: POLYESTER</t>
  </si>
  <si>
    <t>732996573564</t>
  </si>
  <si>
    <t>732995557817</t>
  </si>
  <si>
    <t>DOT MESH EMB DRESS</t>
  </si>
  <si>
    <t>100047022GR</t>
  </si>
  <si>
    <t>887622867569</t>
  </si>
  <si>
    <t>9328442080</t>
  </si>
  <si>
    <t>9328433927</t>
  </si>
  <si>
    <t>636193066020</t>
  </si>
  <si>
    <t>889799636566</t>
  </si>
  <si>
    <t>JUSTICE LEAGUE CTTN 2FER</t>
  </si>
  <si>
    <t>JL098BSSMA</t>
  </si>
  <si>
    <t>732996380704</t>
  </si>
  <si>
    <t>636193983020</t>
  </si>
  <si>
    <t>636193983013</t>
  </si>
  <si>
    <t>192564494798</t>
  </si>
  <si>
    <t>192564494811</t>
  </si>
  <si>
    <t>889799595207</t>
  </si>
  <si>
    <t>884630142916</t>
  </si>
  <si>
    <t>BLACK/WHITE DOT</t>
  </si>
  <si>
    <t>K8525</t>
  </si>
  <si>
    <t>9328112389</t>
  </si>
  <si>
    <t>414897F</t>
  </si>
  <si>
    <t>9328165132</t>
  </si>
  <si>
    <t>732995523164</t>
  </si>
  <si>
    <t>880680632629</t>
  </si>
  <si>
    <t>CREWNECK SET</t>
  </si>
  <si>
    <t>3G52650-99</t>
  </si>
  <si>
    <t>T-SHIRT AND SHORTS: COTTON/POLYESTER</t>
  </si>
  <si>
    <t>190444558660</t>
  </si>
  <si>
    <t>CAVI TRAINER PANT CHILD</t>
  </si>
  <si>
    <t>732996348001</t>
  </si>
  <si>
    <t>633716805739</t>
  </si>
  <si>
    <t>48238368776</t>
  </si>
  <si>
    <t>MERMAID CHARMS DRESS</t>
  </si>
  <si>
    <t>TD6845GD7511</t>
  </si>
  <si>
    <t>DRESS: COTTON/POLYESTER; LINING: POLYESTER</t>
  </si>
  <si>
    <t>732995520859</t>
  </si>
  <si>
    <t>BLACK RIP DENIM SHRT</t>
  </si>
  <si>
    <t>100053087GR</t>
  </si>
  <si>
    <t>192500448410</t>
  </si>
  <si>
    <t>B NSW TEE CAMO AOP</t>
  </si>
  <si>
    <t>BQ2700</t>
  </si>
  <si>
    <t>887622802041</t>
  </si>
  <si>
    <t>RACE CAR SET</t>
  </si>
  <si>
    <t>10G52611-99</t>
  </si>
  <si>
    <t>COTTON POLYESTER</t>
  </si>
  <si>
    <t>732996031828</t>
  </si>
  <si>
    <t>888822009834</t>
  </si>
  <si>
    <t>SHORT SLEEVE FRENCH TERR</t>
  </si>
  <si>
    <t>PUMA GIRLS 2-6X/PUMA UNITED NORTH</t>
  </si>
  <si>
    <t>TOP: COTTON; SKIRT: POLYESTER/SPANDEX</t>
  </si>
  <si>
    <t>885854705420</t>
  </si>
  <si>
    <t>192135610268</t>
  </si>
  <si>
    <t>S19 BLUE SEA CREATURES S</t>
  </si>
  <si>
    <t>249G902</t>
  </si>
  <si>
    <t>T-SHIRT: COTTON/POLYESTER; SHORTS: COTTON</t>
  </si>
  <si>
    <t>192136012269</t>
  </si>
  <si>
    <t>880680579900</t>
  </si>
  <si>
    <t>10G52613-99</t>
  </si>
  <si>
    <t>SHIRT AND SHORTS: 100% COTTON</t>
  </si>
  <si>
    <t>888822739243</t>
  </si>
  <si>
    <t>CTN FLEECE FLEECE REBEL</t>
  </si>
  <si>
    <t>889799618890</t>
  </si>
  <si>
    <t>UGLY DOLL DORM</t>
  </si>
  <si>
    <t>UG005GDSZA</t>
  </si>
  <si>
    <t>880680627779</t>
  </si>
  <si>
    <t>BLU/GRN 2PC PCKT TEE SET</t>
  </si>
  <si>
    <t>62G72640-99</t>
  </si>
  <si>
    <t>NAUTICA/KHQ INVESTMENT LLC</t>
  </si>
  <si>
    <t>192136306498</t>
  </si>
  <si>
    <t>192136180494</t>
  </si>
  <si>
    <t>26217620411</t>
  </si>
  <si>
    <t>30MM REVERSIBLE STRETCH</t>
  </si>
  <si>
    <t>12TL01XZ10</t>
  </si>
  <si>
    <t>26217620336</t>
  </si>
  <si>
    <t>30MM FE W PRINTED L</t>
  </si>
  <si>
    <t>26217620428</t>
  </si>
  <si>
    <t>26217491356</t>
  </si>
  <si>
    <t>26217297194</t>
  </si>
  <si>
    <t>26217620435</t>
  </si>
  <si>
    <t>26217297187</t>
  </si>
  <si>
    <t>26217620404</t>
  </si>
  <si>
    <t>26217491370</t>
  </si>
  <si>
    <t>193579295028</t>
  </si>
  <si>
    <t>617847522321</t>
  </si>
  <si>
    <t>LS GRAPHIC KNIT TOP</t>
  </si>
  <si>
    <t>414741F</t>
  </si>
  <si>
    <t>732995575750</t>
  </si>
  <si>
    <t>STARFISH TRUNK SET BASIC</t>
  </si>
  <si>
    <t>100043414BB</t>
  </si>
  <si>
    <t>TOP: POLYESTER/SPANDEX; SHORTS: POLYESTER</t>
  </si>
  <si>
    <t>192136010609</t>
  </si>
  <si>
    <t>WOVEN SETF19 BPW PINK PL</t>
  </si>
  <si>
    <t>732997559123</t>
  </si>
  <si>
    <t>640013784957</t>
  </si>
  <si>
    <t>640013645647</t>
  </si>
  <si>
    <t>26217619132</t>
  </si>
  <si>
    <t>17149833819</t>
  </si>
  <si>
    <t>30MM REV W LOGO PTCH</t>
  </si>
  <si>
    <t>12LV020012</t>
  </si>
  <si>
    <t>17149833826</t>
  </si>
  <si>
    <t>880680637921</t>
  </si>
  <si>
    <t>2 PC PINEAPPLE SHORT SET</t>
  </si>
  <si>
    <t>11G22674-99</t>
  </si>
  <si>
    <t>26217619125</t>
  </si>
  <si>
    <t>841574174465</t>
  </si>
  <si>
    <t>841574174434</t>
  </si>
  <si>
    <t>841574174243</t>
  </si>
  <si>
    <t>841574174267</t>
  </si>
  <si>
    <t>841574174489</t>
  </si>
  <si>
    <t>841574174496</t>
  </si>
  <si>
    <t>841574174205</t>
  </si>
  <si>
    <t>880680222080</t>
  </si>
  <si>
    <t>BLU/RED 2PC TANK SET</t>
  </si>
  <si>
    <t>3G72079-99</t>
  </si>
  <si>
    <t>TOP: COTTON/POLYESTER; SHORTS: COTTON; KNIT WAISTBAND: COTTON/POLYESTER</t>
  </si>
  <si>
    <t>732996528021</t>
  </si>
  <si>
    <t>TERRY SHORT BASIC</t>
  </si>
  <si>
    <t>100054267LB</t>
  </si>
  <si>
    <t>732995989472</t>
  </si>
  <si>
    <t>192135978344</t>
  </si>
  <si>
    <t>192135978351</t>
  </si>
  <si>
    <t>192136173601</t>
  </si>
  <si>
    <t>732995989496</t>
  </si>
  <si>
    <t>732996440729</t>
  </si>
  <si>
    <t>CROCHET DENIM SHORT</t>
  </si>
  <si>
    <t>100056953LG</t>
  </si>
  <si>
    <t>732995051902</t>
  </si>
  <si>
    <t>732995103816</t>
  </si>
  <si>
    <t>735869404170</t>
  </si>
  <si>
    <t>735869404187</t>
  </si>
  <si>
    <t>735869404156</t>
  </si>
  <si>
    <t>732995555332</t>
  </si>
  <si>
    <t>ICE CREAM TIE SS TEE</t>
  </si>
  <si>
    <t>100046994GR</t>
  </si>
  <si>
    <t>79092450468</t>
  </si>
  <si>
    <t>732995555387</t>
  </si>
  <si>
    <t>TAKE IT EASY TIE TEE</t>
  </si>
  <si>
    <t>100046995GR</t>
  </si>
  <si>
    <t>756845970649</t>
  </si>
  <si>
    <t>46094704318</t>
  </si>
  <si>
    <t>SEAMFREE LONGLINE BRALET</t>
  </si>
  <si>
    <t>M6102</t>
  </si>
  <si>
    <t>883953661180</t>
  </si>
  <si>
    <t>883953122834</t>
  </si>
  <si>
    <t>IVOR SOLID RIB RCV BLNKT</t>
  </si>
  <si>
    <t>L843890</t>
  </si>
  <si>
    <t>735869359852</t>
  </si>
  <si>
    <t>ALLOVER PRINT FRENCH TER</t>
  </si>
  <si>
    <t>C7534M</t>
  </si>
  <si>
    <t>807746655972</t>
  </si>
  <si>
    <t>SUNFLOWER PINK GREEN</t>
  </si>
  <si>
    <t>MAB11121</t>
  </si>
  <si>
    <t>DRESS, LINING: COTTON/POLYESTER</t>
  </si>
  <si>
    <t>633716725020</t>
  </si>
  <si>
    <t>NIKE JUMBLE MODERN SS TE</t>
  </si>
  <si>
    <t>36E608G</t>
  </si>
  <si>
    <t>192042329925</t>
  </si>
  <si>
    <t>732995105438</t>
  </si>
  <si>
    <t>682875942830</t>
  </si>
  <si>
    <t>WHITE TARTAN BOW</t>
  </si>
  <si>
    <t>81BK4501</t>
  </si>
  <si>
    <t>756500009882</t>
  </si>
  <si>
    <t>81BK1590</t>
  </si>
  <si>
    <t>48238372575</t>
  </si>
  <si>
    <t>SIMBA NALA WALKING DRESS</t>
  </si>
  <si>
    <t>TD6923GD7901</t>
  </si>
  <si>
    <t>BODICE: COTTON/POLYESTER; SKIRT: POLYESTER</t>
  </si>
  <si>
    <t>756500009875</t>
  </si>
  <si>
    <t>SOLID PINK</t>
  </si>
  <si>
    <t>81K91293</t>
  </si>
  <si>
    <t>735869408970</t>
  </si>
  <si>
    <t>2 TIER TANK 2 PC SET</t>
  </si>
  <si>
    <t>CS2011</t>
  </si>
  <si>
    <t>735869409267</t>
  </si>
  <si>
    <t>PRINTED SHORT 2 PC SET</t>
  </si>
  <si>
    <t>CS2012</t>
  </si>
  <si>
    <t>SHIRT: COTTON/POLYESTER; SHORTS: COTTON/POLYESTER</t>
  </si>
  <si>
    <t>887188686079</t>
  </si>
  <si>
    <t>WHIT NEW CIRCLE S/S T YTH</t>
  </si>
  <si>
    <t>C3511521</t>
  </si>
  <si>
    <t>706254871884</t>
  </si>
  <si>
    <t>SPRI SPRNG MLTI SPC CAPRBASIC</t>
  </si>
  <si>
    <t>G6120SM431</t>
  </si>
  <si>
    <t>45299058318</t>
  </si>
  <si>
    <t>735869410195</t>
  </si>
  <si>
    <t>BUBBLE PRINT SHORTS</t>
  </si>
  <si>
    <t>C7546M</t>
  </si>
  <si>
    <t>735869409922</t>
  </si>
  <si>
    <t>732996214047</t>
  </si>
  <si>
    <t>100052647BG</t>
  </si>
  <si>
    <t>732995071092</t>
  </si>
  <si>
    <t>FUTURE CAPRI</t>
  </si>
  <si>
    <t>100045156LG</t>
  </si>
  <si>
    <t>192136032922</t>
  </si>
  <si>
    <t>MIX AND MATCH 1F19 PURPL</t>
  </si>
  <si>
    <t>46094460757</t>
  </si>
  <si>
    <t>NUDE 3PK VALUE CROPS FUN PEAC</t>
  </si>
  <si>
    <t>M2563</t>
  </si>
  <si>
    <t>192136012771</t>
  </si>
  <si>
    <t>BSW 1PC POLYF19 BSW 1PC</t>
  </si>
  <si>
    <t>192135497548</t>
  </si>
  <si>
    <t>GSW 1PC BLUE FAIRYTALE</t>
  </si>
  <si>
    <t>732996105420</t>
  </si>
  <si>
    <t>STRAP BRA</t>
  </si>
  <si>
    <t>100055499GR</t>
  </si>
  <si>
    <t>732994441650</t>
  </si>
  <si>
    <t>MERMAID COMP SHORT</t>
  </si>
  <si>
    <t>100018467G</t>
  </si>
  <si>
    <t>192135545980</t>
  </si>
  <si>
    <t>S19 KNIT SHORT DARK GREY</t>
  </si>
  <si>
    <t>248H045</t>
  </si>
  <si>
    <t>732996442198</t>
  </si>
  <si>
    <t>636206889004</t>
  </si>
  <si>
    <t>CHENILLE HAT</t>
  </si>
  <si>
    <t>POLYESTER; FAUX FUR: POLYESTER</t>
  </si>
  <si>
    <t>735869409991</t>
  </si>
  <si>
    <t>C5546M</t>
  </si>
  <si>
    <t>735869394877</t>
  </si>
  <si>
    <t>OVERSIZE TEE</t>
  </si>
  <si>
    <t>C7481M</t>
  </si>
  <si>
    <t>192135384923</t>
  </si>
  <si>
    <t>192135384275</t>
  </si>
  <si>
    <t>S19 INTERLOCK MIGHTY</t>
  </si>
  <si>
    <t>889338716537</t>
  </si>
  <si>
    <t>F18 THERMAL SNP NEUTRAL</t>
  </si>
  <si>
    <t>115G564</t>
  </si>
  <si>
    <t>192135384909</t>
  </si>
  <si>
    <t>S19 INTERLOCK TRUCKS</t>
  </si>
  <si>
    <t>192135385012</t>
  </si>
  <si>
    <t>S19 INTERLOCK ANIMALS</t>
  </si>
  <si>
    <t>889338714779</t>
  </si>
  <si>
    <t>F18 RIB SNP NEUTRAL WHIT</t>
  </si>
  <si>
    <t>115G563</t>
  </si>
  <si>
    <t>192135624869</t>
  </si>
  <si>
    <t>S19 INTERLOCK PINK WHALE</t>
  </si>
  <si>
    <t>46094948903</t>
  </si>
  <si>
    <t>735869351214</t>
  </si>
  <si>
    <t>C7480M</t>
  </si>
  <si>
    <t>732995103717</t>
  </si>
  <si>
    <t>46094818985</t>
  </si>
  <si>
    <t>192135584309</t>
  </si>
  <si>
    <t>732996175300</t>
  </si>
  <si>
    <t>732996175324</t>
  </si>
  <si>
    <t>735869399049</t>
  </si>
  <si>
    <t>735869459583</t>
  </si>
  <si>
    <t>732996442921</t>
  </si>
  <si>
    <t>FLORAL BB OPP DRESS</t>
  </si>
  <si>
    <t>100057010LG</t>
  </si>
  <si>
    <t>48238374449</t>
  </si>
  <si>
    <t>MINNIE ON STRIPES TEE</t>
  </si>
  <si>
    <t>TS5805GD7309</t>
  </si>
  <si>
    <t>732996434292</t>
  </si>
  <si>
    <t>889560438931</t>
  </si>
  <si>
    <t>LEGO MOVIE 2 FUTURE TEE</t>
  </si>
  <si>
    <t>L2D75BLMS</t>
  </si>
  <si>
    <t>ISAAC MORRIS LTD</t>
  </si>
  <si>
    <t>732996213194</t>
  </si>
  <si>
    <t>192136029960</t>
  </si>
  <si>
    <t>SLOGAN BSF19 G BS NAVY W</t>
  </si>
  <si>
    <t>192136078265</t>
  </si>
  <si>
    <t>SLOGAN BSF19 B BS BLUE S</t>
  </si>
  <si>
    <t>192136032618</t>
  </si>
  <si>
    <t>735869407317</t>
  </si>
  <si>
    <t>735869399353</t>
  </si>
  <si>
    <t>735869399117</t>
  </si>
  <si>
    <t>BRGHTORANG</t>
  </si>
  <si>
    <t>735869407287</t>
  </si>
  <si>
    <t>735869456254</t>
  </si>
  <si>
    <t>732997720523</t>
  </si>
  <si>
    <t>EAGLE TEE</t>
  </si>
  <si>
    <t>100066827LB</t>
  </si>
  <si>
    <t>46094965054</t>
  </si>
  <si>
    <t>732995564853</t>
  </si>
  <si>
    <t>732996435114</t>
  </si>
  <si>
    <t>732995192629</t>
  </si>
  <si>
    <t>PUPPY MERMAID SS TEE</t>
  </si>
  <si>
    <t>100046363LG</t>
  </si>
  <si>
    <t>732996435091</t>
  </si>
  <si>
    <t>732995565560</t>
  </si>
  <si>
    <t>STACK SUNGLASS SS TE</t>
  </si>
  <si>
    <t>100046407LG</t>
  </si>
  <si>
    <t>732996123981</t>
  </si>
  <si>
    <t>UNICORN RUF TANK</t>
  </si>
  <si>
    <t>100056868LG</t>
  </si>
  <si>
    <t>732996123585</t>
  </si>
  <si>
    <t>FLOWER GIRL SS TEE</t>
  </si>
  <si>
    <t>100056864LG</t>
  </si>
  <si>
    <t>732996435060</t>
  </si>
  <si>
    <t>732996123691</t>
  </si>
  <si>
    <t>STRIPED HEART SS TEE</t>
  </si>
  <si>
    <t>100056865LG</t>
  </si>
  <si>
    <t>732996435077</t>
  </si>
  <si>
    <t>732996123677</t>
  </si>
  <si>
    <t>732996124018</t>
  </si>
  <si>
    <t>BFLIES FLTTR SS TEE</t>
  </si>
  <si>
    <t>100056869LG</t>
  </si>
  <si>
    <t>732995192735</t>
  </si>
  <si>
    <t>732996436722</t>
  </si>
  <si>
    <t>732996124438</t>
  </si>
  <si>
    <t>ICE CREAM CONE TEE</t>
  </si>
  <si>
    <t>100056873LG</t>
  </si>
  <si>
    <t>732996435022</t>
  </si>
  <si>
    <t>ZEBRA SS TEE</t>
  </si>
  <si>
    <t>100056904LG</t>
  </si>
  <si>
    <t>732996435237</t>
  </si>
  <si>
    <t>COOL GIRL BB TANK</t>
  </si>
  <si>
    <t>100056907LG</t>
  </si>
  <si>
    <t>732996124162</t>
  </si>
  <si>
    <t>BALLERINA SS TEE</t>
  </si>
  <si>
    <t>100056871LG</t>
  </si>
  <si>
    <t>732996123721</t>
  </si>
  <si>
    <t>732996123615</t>
  </si>
  <si>
    <t>732996123714</t>
  </si>
  <si>
    <t>732996124025</t>
  </si>
  <si>
    <t>732996123660</t>
  </si>
  <si>
    <t>732996435053</t>
  </si>
  <si>
    <t>732996435008</t>
  </si>
  <si>
    <t>732996124841</t>
  </si>
  <si>
    <t>732995193602</t>
  </si>
  <si>
    <t>MERMAID TROMP SS TEE</t>
  </si>
  <si>
    <t>100046382LG</t>
  </si>
  <si>
    <t>732995564846</t>
  </si>
  <si>
    <t>732995564624</t>
  </si>
  <si>
    <t>732996892733</t>
  </si>
  <si>
    <t>T LOVE BORDER JOGGER</t>
  </si>
  <si>
    <t>100052415TG</t>
  </si>
  <si>
    <t>46094965061</t>
  </si>
  <si>
    <t>SEAMLESS HIPSTER</t>
  </si>
  <si>
    <t>NYLON /SPANDEX / POLYESTER</t>
  </si>
  <si>
    <t>732994855440</t>
  </si>
  <si>
    <t>732994855785</t>
  </si>
  <si>
    <t>T WAVE CHAMBRY SHORT BASIC</t>
  </si>
  <si>
    <t>100041910TB</t>
  </si>
  <si>
    <t>732996892504</t>
  </si>
  <si>
    <t>732996905983</t>
  </si>
  <si>
    <t>T CAMO SHORT</t>
  </si>
  <si>
    <t>100060360TB</t>
  </si>
  <si>
    <t>732996892634</t>
  </si>
  <si>
    <t>732996176253</t>
  </si>
  <si>
    <t>732996175973</t>
  </si>
  <si>
    <t>732996176086</t>
  </si>
  <si>
    <t>HIBISCUS DRESS</t>
  </si>
  <si>
    <t>100053807BG</t>
  </si>
  <si>
    <t>732996176390</t>
  </si>
  <si>
    <t>UNICORN DRESS</t>
  </si>
  <si>
    <t>100059835BG</t>
  </si>
  <si>
    <t>732996175997</t>
  </si>
  <si>
    <t>732996891309</t>
  </si>
  <si>
    <t>732996891910</t>
  </si>
  <si>
    <t>732996891620</t>
  </si>
  <si>
    <t>732996891880</t>
  </si>
  <si>
    <t>732994939089</t>
  </si>
  <si>
    <t>NEUTRAL CARDI</t>
  </si>
  <si>
    <t>732996280615</t>
  </si>
  <si>
    <t>732997482124</t>
  </si>
  <si>
    <t>732996905860</t>
  </si>
  <si>
    <t>T SS DOG STRIPE TEE</t>
  </si>
  <si>
    <t>100056336TB</t>
  </si>
  <si>
    <t>732996905884</t>
  </si>
  <si>
    <t>732996891163</t>
  </si>
  <si>
    <t>T SS PANDA TEE</t>
  </si>
  <si>
    <t>100056318TG</t>
  </si>
  <si>
    <t>732994877862</t>
  </si>
  <si>
    <t>608356372385</t>
  </si>
  <si>
    <t>T LS CAPE 2FER TEE BASIC</t>
  </si>
  <si>
    <t>100031230TB</t>
  </si>
  <si>
    <t>732996891194</t>
  </si>
  <si>
    <t>732996892399</t>
  </si>
  <si>
    <t>732996961798</t>
  </si>
  <si>
    <t>T SS CUTE TEE</t>
  </si>
  <si>
    <t>100056174TG</t>
  </si>
  <si>
    <t>732996891798</t>
  </si>
  <si>
    <t>T SS SPORTY PUPY TEE</t>
  </si>
  <si>
    <t>100056177TG</t>
  </si>
  <si>
    <t>732996891774</t>
  </si>
  <si>
    <t>608356285180</t>
  </si>
  <si>
    <t>T LS RUGBY STRPE TEE BASIC</t>
  </si>
  <si>
    <t>100031233TB</t>
  </si>
  <si>
    <t>732996905815</t>
  </si>
  <si>
    <t>T SS CARS TEE</t>
  </si>
  <si>
    <t>100056329TB</t>
  </si>
  <si>
    <t>732996905808</t>
  </si>
  <si>
    <t>732996905822</t>
  </si>
  <si>
    <t>732996891101</t>
  </si>
  <si>
    <t>732996240244</t>
  </si>
  <si>
    <t>732996891118</t>
  </si>
  <si>
    <t>732996960548</t>
  </si>
  <si>
    <t>732996239804</t>
  </si>
  <si>
    <t>732996239743</t>
  </si>
  <si>
    <t>732996239798</t>
  </si>
  <si>
    <t>732995881639</t>
  </si>
  <si>
    <t>732996905792</t>
  </si>
  <si>
    <t>732996892122</t>
  </si>
  <si>
    <t>732996892160</t>
  </si>
  <si>
    <t>732996892009</t>
  </si>
  <si>
    <t>732996892177</t>
  </si>
  <si>
    <t>732995159936</t>
  </si>
  <si>
    <t>SEASHELLS LEGGING BASIC</t>
  </si>
  <si>
    <t>100042478BG</t>
  </si>
  <si>
    <t>732996242064</t>
  </si>
  <si>
    <t>732996905624</t>
  </si>
  <si>
    <t>T SS ELEPHANT TEE</t>
  </si>
  <si>
    <t>100056347TB</t>
  </si>
  <si>
    <t>732996892252</t>
  </si>
  <si>
    <t>732996905631</t>
  </si>
  <si>
    <t>732996905648</t>
  </si>
  <si>
    <t>732996905372</t>
  </si>
  <si>
    <t>T SS AOP DINO TEE</t>
  </si>
  <si>
    <t>100056343TB</t>
  </si>
  <si>
    <t>732996905365</t>
  </si>
  <si>
    <t>732996960456</t>
  </si>
  <si>
    <t>732996905327</t>
  </si>
  <si>
    <t>T SS SLOTH TEE</t>
  </si>
  <si>
    <t>100056340TB</t>
  </si>
  <si>
    <t>732996905334</t>
  </si>
  <si>
    <t>732996905341</t>
  </si>
  <si>
    <t>732994881210</t>
  </si>
  <si>
    <t>732994881678</t>
  </si>
  <si>
    <t>732996960005</t>
  </si>
  <si>
    <t>732996280486</t>
  </si>
  <si>
    <t>732996960166</t>
  </si>
  <si>
    <t>732996280301</t>
  </si>
  <si>
    <t>SEASHELL LEGGING</t>
  </si>
  <si>
    <t>100054867BG</t>
  </si>
  <si>
    <t>732996960234</t>
  </si>
  <si>
    <t>732996905518</t>
  </si>
  <si>
    <t>732996890364</t>
  </si>
  <si>
    <t>732996890357</t>
  </si>
  <si>
    <t>732994881753</t>
  </si>
  <si>
    <t>732996890371</t>
  </si>
  <si>
    <t>732996905167</t>
  </si>
  <si>
    <t>732996905174</t>
  </si>
  <si>
    <t>732996905143</t>
  </si>
  <si>
    <t>732996905150</t>
  </si>
  <si>
    <t>732996959580</t>
  </si>
  <si>
    <t>732996889542</t>
  </si>
  <si>
    <t>732996959627</t>
  </si>
  <si>
    <t>732996959634</t>
  </si>
  <si>
    <t>732996959726</t>
  </si>
  <si>
    <t>732996959818</t>
  </si>
  <si>
    <t>732996959801</t>
  </si>
  <si>
    <t>732996959788</t>
  </si>
  <si>
    <t>732995177008</t>
  </si>
  <si>
    <t>T EASTER VEST TEE BASIC</t>
  </si>
  <si>
    <t>100041965TB</t>
  </si>
  <si>
    <t>732996212104</t>
  </si>
  <si>
    <t>732996279794</t>
  </si>
  <si>
    <t>732996279565</t>
  </si>
  <si>
    <t>732996959894</t>
  </si>
  <si>
    <t>732996959924</t>
  </si>
  <si>
    <t>732995798678</t>
  </si>
  <si>
    <t>CHIQUITA GIRL TEE BASIC</t>
  </si>
  <si>
    <t>100042511BG</t>
  </si>
  <si>
    <t>732996888835</t>
  </si>
  <si>
    <t>732996888828</t>
  </si>
  <si>
    <t>732995881721</t>
  </si>
  <si>
    <t>CRAB PKT TANK BASIC</t>
  </si>
  <si>
    <t>100043922BB</t>
  </si>
  <si>
    <t>732996210407</t>
  </si>
  <si>
    <t>732995881714</t>
  </si>
  <si>
    <t>732996901510</t>
  </si>
  <si>
    <t>SS DOG STRIPE TEE</t>
  </si>
  <si>
    <t>100056336BB</t>
  </si>
  <si>
    <t>732996889306</t>
  </si>
  <si>
    <t>732996212203</t>
  </si>
  <si>
    <t>EYELET CAMI BASIC</t>
  </si>
  <si>
    <t>100052316BG</t>
  </si>
  <si>
    <t>732996279503</t>
  </si>
  <si>
    <t>732996279879</t>
  </si>
  <si>
    <t>732996279824</t>
  </si>
  <si>
    <t>732996279640</t>
  </si>
  <si>
    <t>732996279756</t>
  </si>
  <si>
    <t>732995799675</t>
  </si>
  <si>
    <t>CAT BOW BACK TEE BASIC</t>
  </si>
  <si>
    <t>100042527BG</t>
  </si>
  <si>
    <t>732996210742</t>
  </si>
  <si>
    <t>732996210698</t>
  </si>
  <si>
    <t>100052347BG</t>
  </si>
  <si>
    <t>732995798470</t>
  </si>
  <si>
    <t>732996210704</t>
  </si>
  <si>
    <t>732995575101</t>
  </si>
  <si>
    <t>100041996BB</t>
  </si>
  <si>
    <t>46094700396</t>
  </si>
  <si>
    <t>LACE COMFORT GIRLSHORT</t>
  </si>
  <si>
    <t>46094832059</t>
  </si>
  <si>
    <t>46094832097</t>
  </si>
  <si>
    <t>46094700426</t>
  </si>
  <si>
    <t>732996240305</t>
  </si>
  <si>
    <t>COOL PINEAPPLE TANK BASIC</t>
  </si>
  <si>
    <t>100053734BB</t>
  </si>
  <si>
    <t>732996889061</t>
  </si>
  <si>
    <t>732996240343</t>
  </si>
  <si>
    <t>732996900933</t>
  </si>
  <si>
    <t>732997002117</t>
  </si>
  <si>
    <t>732997002124</t>
  </si>
  <si>
    <t>732997002131</t>
  </si>
  <si>
    <t>732995174892</t>
  </si>
  <si>
    <t>RUGBY STRIPE TEE BASIC</t>
  </si>
  <si>
    <t>100041967BB</t>
  </si>
  <si>
    <t>732996240862</t>
  </si>
  <si>
    <t>732996240886</t>
  </si>
  <si>
    <t>732996901381</t>
  </si>
  <si>
    <t>732996901398</t>
  </si>
  <si>
    <t>732995882230</t>
  </si>
  <si>
    <t>732996900858</t>
  </si>
  <si>
    <t>732996900841</t>
  </si>
  <si>
    <t>732996212142</t>
  </si>
  <si>
    <t>732996889122</t>
  </si>
  <si>
    <t>732995575187</t>
  </si>
  <si>
    <t>732994852463</t>
  </si>
  <si>
    <t>STARS STRIPES TEE BASIC</t>
  </si>
  <si>
    <t>100041886BB</t>
  </si>
  <si>
    <t>732995575217</t>
  </si>
  <si>
    <t>732996901350</t>
  </si>
  <si>
    <t>732996240299</t>
  </si>
  <si>
    <t>EMOJI FACE TEE BASIC</t>
  </si>
  <si>
    <t>100053733BB</t>
  </si>
  <si>
    <t>732996240121</t>
  </si>
  <si>
    <t>732996900520</t>
  </si>
  <si>
    <t>732996240817</t>
  </si>
  <si>
    <t>732995575576</t>
  </si>
  <si>
    <t>SUNDAY FUNDAY TEE BASIC</t>
  </si>
  <si>
    <t>100042000BB</t>
  </si>
  <si>
    <t>732997001783</t>
  </si>
  <si>
    <t>732996239927</t>
  </si>
  <si>
    <t>732996239934</t>
  </si>
  <si>
    <t>MOM RUNS THE SHOW TE BASIC</t>
  </si>
  <si>
    <t>100053726BB</t>
  </si>
  <si>
    <t>732996901077</t>
  </si>
  <si>
    <t>732996901060</t>
  </si>
  <si>
    <t>732996239989</t>
  </si>
  <si>
    <t>732996240602</t>
  </si>
  <si>
    <t>192500447956</t>
  </si>
  <si>
    <t>B NSW TEE THATS GAME</t>
  </si>
  <si>
    <t>BQ2688</t>
  </si>
  <si>
    <t>192135980095</t>
  </si>
  <si>
    <t>192042693286</t>
  </si>
  <si>
    <t>FINE TWILL JACKET</t>
  </si>
  <si>
    <t>T8J0037-100</t>
  </si>
  <si>
    <t>192042693569</t>
  </si>
  <si>
    <t>OXFORD JACKET</t>
  </si>
  <si>
    <t>T8J0036-630</t>
  </si>
  <si>
    <t>191603434221</t>
  </si>
  <si>
    <t>BAT SUIT</t>
  </si>
  <si>
    <t>2JDCB1394</t>
  </si>
  <si>
    <t>791088771769</t>
  </si>
  <si>
    <t>FLORAL HIGH LOW</t>
  </si>
  <si>
    <t>F562929</t>
  </si>
  <si>
    <t>791088772285</t>
  </si>
  <si>
    <t>7613395550888</t>
  </si>
  <si>
    <t>FULL ZIP SWEATER</t>
  </si>
  <si>
    <t>J84R05Z26E0</t>
  </si>
  <si>
    <t>POLYESTER/ACRYLIC/NYLON/WOOL</t>
  </si>
  <si>
    <t>887622755347</t>
  </si>
  <si>
    <t>METALLIC LOGO JACKET</t>
  </si>
  <si>
    <t>35F36102-76</t>
  </si>
  <si>
    <t>193112188022</t>
  </si>
  <si>
    <t>617846339722</t>
  </si>
  <si>
    <t>192399495076</t>
  </si>
  <si>
    <t>SPORT SHORT SET</t>
  </si>
  <si>
    <t>AG6153</t>
  </si>
  <si>
    <t>637348176878</t>
  </si>
  <si>
    <t>SATIN BOW FRONT</t>
  </si>
  <si>
    <t>2252N38</t>
  </si>
  <si>
    <t>791088713363</t>
  </si>
  <si>
    <t>IVORY/MULTI STRIPE B</t>
  </si>
  <si>
    <t>S489339</t>
  </si>
  <si>
    <t>POLYESTER/COTTON; LINING: POLYESTER/COTTON</t>
  </si>
  <si>
    <t>880680775180</t>
  </si>
  <si>
    <t>JUSTIN SS SHIRT</t>
  </si>
  <si>
    <t>TBMCB064-100</t>
  </si>
  <si>
    <t>880680836201</t>
  </si>
  <si>
    <t>824972074742</t>
  </si>
  <si>
    <t>PINK OXFORD BASIC</t>
  </si>
  <si>
    <t>BSHLSSWA0012</t>
  </si>
  <si>
    <t>627729857984</t>
  </si>
  <si>
    <t>CHECK DRESS SHIRT</t>
  </si>
  <si>
    <t>BSHLSSWA0127</t>
  </si>
  <si>
    <t>824972074711</t>
  </si>
  <si>
    <t>192564483235</t>
  </si>
  <si>
    <t>RIVAL TERRY SHORT</t>
  </si>
  <si>
    <t>608381872003</t>
  </si>
  <si>
    <t>FUR VEST SET</t>
  </si>
  <si>
    <t>100030158BG</t>
  </si>
  <si>
    <t>TUNIC: COTTON; MAIN BODY, TULLE: POLYESTER; FAUX FUR: POLYESTER; VEST LINING: COTTON; LEGGINGS: POLYESTER/METALLIC/RAYON</t>
  </si>
  <si>
    <t>636206487019</t>
  </si>
  <si>
    <t>BOW TUNIC SET</t>
  </si>
  <si>
    <t>100030104BG</t>
  </si>
  <si>
    <t>192135565728</t>
  </si>
  <si>
    <t>GSW 4PC MULTI DINOS</t>
  </si>
  <si>
    <t>191886471173</t>
  </si>
  <si>
    <t>B NK DRY SHORT AVALANCHE</t>
  </si>
  <si>
    <t>AA1480</t>
  </si>
  <si>
    <t>880680640921</t>
  </si>
  <si>
    <t>3G52638-99</t>
  </si>
  <si>
    <t>732996569932</t>
  </si>
  <si>
    <t>756998891297</t>
  </si>
  <si>
    <t>NIKE JDI DRIFT 9 BOARDSH</t>
  </si>
  <si>
    <t>NESS9669DS</t>
  </si>
  <si>
    <t>886066912545</t>
  </si>
  <si>
    <t>192500029411</t>
  </si>
  <si>
    <t>G NK BRA CLASSIC VEN</t>
  </si>
  <si>
    <t>AQ9078</t>
  </si>
  <si>
    <t>886061594609</t>
  </si>
  <si>
    <t>636189925911</t>
  </si>
  <si>
    <t>FLIES EMB CS DRESS</t>
  </si>
  <si>
    <t>100040569GR</t>
  </si>
  <si>
    <t>732996129433</t>
  </si>
  <si>
    <t>EMB FLUTTER SLV RAXI</t>
  </si>
  <si>
    <t>100056990LG</t>
  </si>
  <si>
    <t>732996526232</t>
  </si>
  <si>
    <t>100054249GR</t>
  </si>
  <si>
    <t>732996526218</t>
  </si>
  <si>
    <t>192399962127</t>
  </si>
  <si>
    <t>COLOR BLOCK RAGLAN TOP</t>
  </si>
  <si>
    <t>AA4672</t>
  </si>
  <si>
    <t>192399962141</t>
  </si>
  <si>
    <t>633716841607</t>
  </si>
  <si>
    <t>9328442035</t>
  </si>
  <si>
    <t>732995104448</t>
  </si>
  <si>
    <t>732995104394</t>
  </si>
  <si>
    <t>192564494903</t>
  </si>
  <si>
    <t>889338882522</t>
  </si>
  <si>
    <t>GREEN GATORS</t>
  </si>
  <si>
    <t>190796682433</t>
  </si>
  <si>
    <t>4 PC CTN MULTI SCIEN</t>
  </si>
  <si>
    <t>880680219004</t>
  </si>
  <si>
    <t>192135562567</t>
  </si>
  <si>
    <t>4PC BLUE MONSTER</t>
  </si>
  <si>
    <t>880680218991</t>
  </si>
  <si>
    <t>636202196489</t>
  </si>
  <si>
    <t>PINK PEAR WINDBREAKR</t>
  </si>
  <si>
    <t>100029845LG</t>
  </si>
  <si>
    <t>617845221998</t>
  </si>
  <si>
    <t>SEASIDE BERMUDA</t>
  </si>
  <si>
    <t>414528F</t>
  </si>
  <si>
    <t>732996441092</t>
  </si>
  <si>
    <t>SMOCK TOP EMB DRESS</t>
  </si>
  <si>
    <t>100056971LG</t>
  </si>
  <si>
    <t>COTTON; LINING: POLYESTER</t>
  </si>
  <si>
    <t>732995523140</t>
  </si>
  <si>
    <t>880680628387</t>
  </si>
  <si>
    <t>CK PRINTED VOLLEYBALL SH</t>
  </si>
  <si>
    <t>35G66725-46</t>
  </si>
  <si>
    <t>191603767510</t>
  </si>
  <si>
    <t>SPIDERMAN SET</t>
  </si>
  <si>
    <t>2JBMVL1576</t>
  </si>
  <si>
    <t>732996582825</t>
  </si>
  <si>
    <t>CAMO TWILL SHORT</t>
  </si>
  <si>
    <t>100061185BO</t>
  </si>
  <si>
    <t>889338947719</t>
  </si>
  <si>
    <t>F18 CARDIGAN SET BOY TUR</t>
  </si>
  <si>
    <t>121I639</t>
  </si>
  <si>
    <t>HOODIE &amp; FAUX-SHERPA HOOD LINING: POLYESTER; BODYSUIT &amp; PANTS: COTTON</t>
  </si>
  <si>
    <t>889338717558</t>
  </si>
  <si>
    <t>F18 CARDIGAN SET GIRL NA</t>
  </si>
  <si>
    <t>121I685</t>
  </si>
  <si>
    <t>JACKET BODY: COTTON; TRIM: COTTON, ELASTANE; BODYSUIT AND PANTS: COTTON</t>
  </si>
  <si>
    <t>193579018399</t>
  </si>
  <si>
    <t>LOGO CROSS BACK TEE</t>
  </si>
  <si>
    <t>35G34113-58</t>
  </si>
  <si>
    <t>POLYESTER/COTTON/RAYON</t>
  </si>
  <si>
    <t>732996528137</t>
  </si>
  <si>
    <t>LEGEND SET BASIC</t>
  </si>
  <si>
    <t>100054275LB</t>
  </si>
  <si>
    <t>732995104226</t>
  </si>
  <si>
    <t>STRIPE TANKINI SET</t>
  </si>
  <si>
    <t>100046203LG</t>
  </si>
  <si>
    <t>636206077012</t>
  </si>
  <si>
    <t>DRAMA TULLE TUNIC ST</t>
  </si>
  <si>
    <t>100030112BG</t>
  </si>
  <si>
    <t>TOP BODY: POLYESTER; LINING: RAYON; LEGGINGS: POLYESTER/SPANDEX</t>
  </si>
  <si>
    <t>636206077005</t>
  </si>
  <si>
    <t>732996570587</t>
  </si>
  <si>
    <t>732996570532</t>
  </si>
  <si>
    <t>732996570501</t>
  </si>
  <si>
    <t>191967181991</t>
  </si>
  <si>
    <t>2PC TANKINI DOUBLE RUFFL</t>
  </si>
  <si>
    <t>S3DK235G</t>
  </si>
  <si>
    <t>48238369322</t>
  </si>
  <si>
    <t>MINNIE TOSS PRINT SET</t>
  </si>
  <si>
    <t>TF6531GD7123</t>
  </si>
  <si>
    <t>732995520750</t>
  </si>
  <si>
    <t>WHITE RIP DENIM SHRT</t>
  </si>
  <si>
    <t>100053083GR</t>
  </si>
  <si>
    <t>191764963998</t>
  </si>
  <si>
    <t>GRUMPY SWEATER</t>
  </si>
  <si>
    <t>2TJBDRS0658</t>
  </si>
  <si>
    <t>880680844558</t>
  </si>
  <si>
    <t>TROPICAL TEE</t>
  </si>
  <si>
    <t>TGSCA38S-100</t>
  </si>
  <si>
    <t>795459804278</t>
  </si>
  <si>
    <t>732995555783</t>
  </si>
  <si>
    <t>880680225937</t>
  </si>
  <si>
    <t>TOMMY BOARD SHORT</t>
  </si>
  <si>
    <t>TBSCK004-473</t>
  </si>
  <si>
    <t>738386761597</t>
  </si>
  <si>
    <t>OFF SHOULDER AMERICANA</t>
  </si>
  <si>
    <t>718429R6</t>
  </si>
  <si>
    <t>732996442464</t>
  </si>
  <si>
    <t>732996442488</t>
  </si>
  <si>
    <t>EMB TIE JUMPSUIT</t>
  </si>
  <si>
    <t>100056987LG</t>
  </si>
  <si>
    <t>732995103540</t>
  </si>
  <si>
    <t>SHELL RASHGRD ONEPC</t>
  </si>
  <si>
    <t>100046170GR</t>
  </si>
  <si>
    <t>889338960886</t>
  </si>
  <si>
    <t>F18 BOYS 2PC SET GREY BU</t>
  </si>
  <si>
    <t>249G794</t>
  </si>
  <si>
    <t>POLYESTER; SHERPA COLLAR LINING: POLYESTER</t>
  </si>
  <si>
    <t>192500612743</t>
  </si>
  <si>
    <t>G NSW MUSCLE TANK FO</t>
  </si>
  <si>
    <t>841574154979</t>
  </si>
  <si>
    <t>MYSTIQUE RASHGUARD SET</t>
  </si>
  <si>
    <t>GS4-437M</t>
  </si>
  <si>
    <t>192042362588</t>
  </si>
  <si>
    <t>SATEEN SHORT</t>
  </si>
  <si>
    <t>NJE0125E</t>
  </si>
  <si>
    <t>192564451906</t>
  </si>
  <si>
    <t>PRINT FILL LOGO TEE</t>
  </si>
  <si>
    <t>192042362649</t>
  </si>
  <si>
    <t>192401098158</t>
  </si>
  <si>
    <t>MEMORY HEATHER GRAY</t>
  </si>
  <si>
    <t>RBB0545A</t>
  </si>
  <si>
    <t>636189939666</t>
  </si>
  <si>
    <t>HD STAR MESH DRESS</t>
  </si>
  <si>
    <t>100026135LG</t>
  </si>
  <si>
    <t>BODICE: POLYESTER/RAYON; SKIRT/LINING: POLYESTER</t>
  </si>
  <si>
    <t>732995514025</t>
  </si>
  <si>
    <t>MONTAUK DENIM SHORT</t>
  </si>
  <si>
    <t>100047062GR</t>
  </si>
  <si>
    <t>732995514032</t>
  </si>
  <si>
    <t>732994665285</t>
  </si>
  <si>
    <t>LS SOLID</t>
  </si>
  <si>
    <t>100018456G</t>
  </si>
  <si>
    <t>POLYESTER/RAYON/NYLON/METALLIC</t>
  </si>
  <si>
    <t>887622523052</t>
  </si>
  <si>
    <t>GREY/RED/BLK PLAID SET</t>
  </si>
  <si>
    <t>11F02695-99</t>
  </si>
  <si>
    <t>TUNIC: COTTON/POLYESTER; PRINTED GEORGETTE: POLYESTER; LEGGINGS: COTTON/POLYESTER/SPANDEX</t>
  </si>
  <si>
    <t>192136010746</t>
  </si>
  <si>
    <t>192136110668</t>
  </si>
  <si>
    <t>CORE SETS 1F19 POPPY NAV</t>
  </si>
  <si>
    <t>732994957830</t>
  </si>
  <si>
    <t>732994957809</t>
  </si>
  <si>
    <t>46094846346</t>
  </si>
  <si>
    <t>2PK S/S T SHIRT</t>
  </si>
  <si>
    <t>H5140</t>
  </si>
  <si>
    <t>880680498584</t>
  </si>
  <si>
    <t>TEE &amp; SHORTS</t>
  </si>
  <si>
    <t>10G52635-99</t>
  </si>
  <si>
    <t>T-SHIRT: COTTON/POLYESTER; SHORTS:ALL COTTON</t>
  </si>
  <si>
    <t>193585025121</t>
  </si>
  <si>
    <t>886608809104</t>
  </si>
  <si>
    <t>VOLCOM LOVE TANK</t>
  </si>
  <si>
    <t>B35119Y3</t>
  </si>
  <si>
    <t>VOLCOM GIRLS/VOLCOM INC</t>
  </si>
  <si>
    <t>192135555446</t>
  </si>
  <si>
    <t>GIRLS SWIMWEAR 2 PCS19 M</t>
  </si>
  <si>
    <t>732995105018</t>
  </si>
  <si>
    <t>VAR STRIPE TRUNK</t>
  </si>
  <si>
    <t>100046221BO</t>
  </si>
  <si>
    <t>732995989311</t>
  </si>
  <si>
    <t>BLOCKED SWIM TRUNK</t>
  </si>
  <si>
    <t>100054255BO</t>
  </si>
  <si>
    <t>889338670990</t>
  </si>
  <si>
    <t>F18 LBB 3PC KNEE TMA BOY</t>
  </si>
  <si>
    <t>126H490</t>
  </si>
  <si>
    <t>732996104898</t>
  </si>
  <si>
    <t>192135526385</t>
  </si>
  <si>
    <t>S19 LBB TMA PURPLE ICE</t>
  </si>
  <si>
    <t>732996104904</t>
  </si>
  <si>
    <t>732997559079</t>
  </si>
  <si>
    <t>889338772502</t>
  </si>
  <si>
    <t>F18 MIDTIER PANT NAVY</t>
  </si>
  <si>
    <t>288G045</t>
  </si>
  <si>
    <t>732997559598</t>
  </si>
  <si>
    <t>732996105185</t>
  </si>
  <si>
    <t>732996105178</t>
  </si>
  <si>
    <t>732996105161</t>
  </si>
  <si>
    <t>841574174595</t>
  </si>
  <si>
    <t>841574174083</t>
  </si>
  <si>
    <t>GS2-452</t>
  </si>
  <si>
    <t>841574174137</t>
  </si>
  <si>
    <t>GS2-454</t>
  </si>
  <si>
    <t>841574174144</t>
  </si>
  <si>
    <t>841574174342</t>
  </si>
  <si>
    <t>841574174311</t>
  </si>
  <si>
    <t>841574174359</t>
  </si>
  <si>
    <t>841574174168</t>
  </si>
  <si>
    <t>841574174519</t>
  </si>
  <si>
    <t>841574174410</t>
  </si>
  <si>
    <t>880680637792</t>
  </si>
  <si>
    <t>2 PC RAINBOW SHORT SET</t>
  </si>
  <si>
    <t>11G22671-99</t>
  </si>
  <si>
    <t>841574174120</t>
  </si>
  <si>
    <t>841574174304</t>
  </si>
  <si>
    <t>192136214106</t>
  </si>
  <si>
    <t>BSPSF19 G BSPS GHOST</t>
  </si>
  <si>
    <t>841574174441</t>
  </si>
  <si>
    <t>841574174540</t>
  </si>
  <si>
    <t>841574174588</t>
  </si>
  <si>
    <t>841574174366</t>
  </si>
  <si>
    <t>841574174281</t>
  </si>
  <si>
    <t>841574174601</t>
  </si>
  <si>
    <t>841574174106</t>
  </si>
  <si>
    <t>841574174090</t>
  </si>
  <si>
    <t>192135745649</t>
  </si>
  <si>
    <t>BOY RASHGUARDS19 PIZZA M</t>
  </si>
  <si>
    <t>732996380186</t>
  </si>
  <si>
    <t>732995556445</t>
  </si>
  <si>
    <t>CONE KNIT ROMPER</t>
  </si>
  <si>
    <t>100047039GR</t>
  </si>
  <si>
    <t>732996084817</t>
  </si>
  <si>
    <t>BLOCKED HOODED TANK BASIC</t>
  </si>
  <si>
    <t>100055541BO</t>
  </si>
  <si>
    <t>841574154894</t>
  </si>
  <si>
    <t>ENCHANTED 1 PIECE TODDLE</t>
  </si>
  <si>
    <t>GS2-435M</t>
  </si>
  <si>
    <t>732995064858</t>
  </si>
  <si>
    <t>HEART PRINT LEGGING</t>
  </si>
  <si>
    <t>100045159LG</t>
  </si>
  <si>
    <t>732996378084</t>
  </si>
  <si>
    <t>732994252140</t>
  </si>
  <si>
    <t>QUILTED JUMPER SET</t>
  </si>
  <si>
    <t>100022327BG</t>
  </si>
  <si>
    <t>T-SHIRT: COTTON/POLYESTER; JUMPER: COTTON/POLYESTER; TRIM: COTTON/SPANDEX</t>
  </si>
  <si>
    <t>732996105048</t>
  </si>
  <si>
    <t>732995050714</t>
  </si>
  <si>
    <t>732995050738</t>
  </si>
  <si>
    <t>192136246459</t>
  </si>
  <si>
    <t>CARDIF19 G CARDI FLC HOT</t>
  </si>
  <si>
    <t>732994961882</t>
  </si>
  <si>
    <t>ATMOSPHERIC SHORT BASIC</t>
  </si>
  <si>
    <t>100044711BO</t>
  </si>
  <si>
    <t>732994961899</t>
  </si>
  <si>
    <t>636189061503</t>
  </si>
  <si>
    <t>PLAID QUILTED JACKET</t>
  </si>
  <si>
    <t>1ST IMPRS GRL</t>
  </si>
  <si>
    <t>732995068016</t>
  </si>
  <si>
    <t>SOLID CAGE CAPRI</t>
  </si>
  <si>
    <t>100045155LG</t>
  </si>
  <si>
    <t>732996335742</t>
  </si>
  <si>
    <t>100055477GR</t>
  </si>
  <si>
    <t>193585149414</t>
  </si>
  <si>
    <t>SS BLOCK BOSS TEE</t>
  </si>
  <si>
    <t>AA6488</t>
  </si>
  <si>
    <t>46094705131</t>
  </si>
  <si>
    <t>PKGD 3PK SPAN BRF</t>
  </si>
  <si>
    <t>M5132</t>
  </si>
  <si>
    <t>732995050691</t>
  </si>
  <si>
    <t>OMBRE CAPRI</t>
  </si>
  <si>
    <t>100044351GR</t>
  </si>
  <si>
    <t>732995050684</t>
  </si>
  <si>
    <t>732995050677</t>
  </si>
  <si>
    <t>732995050707</t>
  </si>
  <si>
    <t>636202747025</t>
  </si>
  <si>
    <t>GEO TOP</t>
  </si>
  <si>
    <t>100042123G</t>
  </si>
  <si>
    <t>POLYESTER/SPANDEX; SECONDAR: POLYESTER</t>
  </si>
  <si>
    <t>732995103786</t>
  </si>
  <si>
    <t>732995104165</t>
  </si>
  <si>
    <t>100046202LG</t>
  </si>
  <si>
    <t>732994658546</t>
  </si>
  <si>
    <t>BALLET SS TUTU DRESS</t>
  </si>
  <si>
    <t>100033921LG</t>
  </si>
  <si>
    <t>732995555370</t>
  </si>
  <si>
    <t>732996083148</t>
  </si>
  <si>
    <t>732996083155</t>
  </si>
  <si>
    <t>46094839652</t>
  </si>
  <si>
    <t>2PK CTN SPNDX BXR BRF</t>
  </si>
  <si>
    <t>M5133</t>
  </si>
  <si>
    <t>732996085890</t>
  </si>
  <si>
    <t>100054256LB</t>
  </si>
  <si>
    <t>888282684800</t>
  </si>
  <si>
    <t>PALM TREE SUNSET 1 SWIM</t>
  </si>
  <si>
    <t>LBS9732</t>
  </si>
  <si>
    <t>735869366867</t>
  </si>
  <si>
    <t>888282682974</t>
  </si>
  <si>
    <t>888282682929</t>
  </si>
  <si>
    <t>636202748527</t>
  </si>
  <si>
    <t>GEO BOTTOM</t>
  </si>
  <si>
    <t>100042125G</t>
  </si>
  <si>
    <t>732995507393</t>
  </si>
  <si>
    <t>GIRAFFE SHORTALL SET</t>
  </si>
  <si>
    <t>100049966BB</t>
  </si>
  <si>
    <t>T SHIRT AND OVERALL: COTTON/POLYESTER</t>
  </si>
  <si>
    <t>889338687141</t>
  </si>
  <si>
    <t>F18 BSPS BOY LIGHT BLUE BASIC</t>
  </si>
  <si>
    <t>121I556</t>
  </si>
  <si>
    <t>732996174792</t>
  </si>
  <si>
    <t>SHIBORI SHORTALL SET</t>
  </si>
  <si>
    <t>100053822BB</t>
  </si>
  <si>
    <t>192136003250</t>
  </si>
  <si>
    <t>732996348247</t>
  </si>
  <si>
    <t>GRAPHIC CAPRI</t>
  </si>
  <si>
    <t>100055520LG</t>
  </si>
  <si>
    <t>617846414320</t>
  </si>
  <si>
    <t>SWOOSH DOTS DRI FIT</t>
  </si>
  <si>
    <t>86D789G</t>
  </si>
  <si>
    <t>732996348261</t>
  </si>
  <si>
    <t>732996348254</t>
  </si>
  <si>
    <t>732996348278</t>
  </si>
  <si>
    <t>732996348285</t>
  </si>
  <si>
    <t>192135742464</t>
  </si>
  <si>
    <t>S19 C3 GIRL YELLOW HAT</t>
  </si>
  <si>
    <t>706255618402</t>
  </si>
  <si>
    <t>636206955549</t>
  </si>
  <si>
    <t>GRAND LS</t>
  </si>
  <si>
    <t>100034804LB</t>
  </si>
  <si>
    <t>880680494654</t>
  </si>
  <si>
    <t>ORG/BLU PLAID 2 PC SET</t>
  </si>
  <si>
    <t>10G72628-99</t>
  </si>
  <si>
    <t>T-SHIRT: COTTON/POLYESTER; SHORTS: 100% COTTON</t>
  </si>
  <si>
    <t>735869409885</t>
  </si>
  <si>
    <t>636193735513</t>
  </si>
  <si>
    <t>PENGUIN SWEATER LEGG BASIC</t>
  </si>
  <si>
    <t>100034167LG</t>
  </si>
  <si>
    <t>786888363009</t>
  </si>
  <si>
    <t>QTR 6PK WHITE LG</t>
  </si>
  <si>
    <t>MG11209</t>
  </si>
  <si>
    <t>GOLD TOE/GILDAN BRANDED APPAREL SRL</t>
  </si>
  <si>
    <t>732994882125</t>
  </si>
  <si>
    <t>RAW HEM RIP JEAN BASIC</t>
  </si>
  <si>
    <t>100043818BG</t>
  </si>
  <si>
    <t>636206946950</t>
  </si>
  <si>
    <t>636202932711</t>
  </si>
  <si>
    <t>FLANNEL CUFF JEAN BASIC</t>
  </si>
  <si>
    <t>100029979BB</t>
  </si>
  <si>
    <t>732996085463</t>
  </si>
  <si>
    <t>FLORAL OPP ROMPER</t>
  </si>
  <si>
    <t>100057122GR</t>
  </si>
  <si>
    <t>732996178189</t>
  </si>
  <si>
    <t>FLAMINGO SUNSUIT</t>
  </si>
  <si>
    <t>100053836BG</t>
  </si>
  <si>
    <t>BODY: 100% COTTON; GROSGRAIN RIBBON: POLYESTER</t>
  </si>
  <si>
    <t>732996084640</t>
  </si>
  <si>
    <t>888282683148</t>
  </si>
  <si>
    <t>LAG TOD B DAZED RASH</t>
  </si>
  <si>
    <t>L645572</t>
  </si>
  <si>
    <t>732995137705</t>
  </si>
  <si>
    <t>STRIPE LACEUP SS TEE</t>
  </si>
  <si>
    <t>100046966GR</t>
  </si>
  <si>
    <t>732994961325</t>
  </si>
  <si>
    <t>GRAFFITI SHORT BASIC</t>
  </si>
  <si>
    <t>100045253LB</t>
  </si>
  <si>
    <t>732995137699</t>
  </si>
  <si>
    <t>732995320824</t>
  </si>
  <si>
    <t>MIXED MEDIA PANT BASIC</t>
  </si>
  <si>
    <t>100043799BB</t>
  </si>
  <si>
    <t>732996105345</t>
  </si>
  <si>
    <t>732996105338</t>
  </si>
  <si>
    <t>735869409519</t>
  </si>
  <si>
    <t>636193696241</t>
  </si>
  <si>
    <t>MULTI HRT REV SKIRT</t>
  </si>
  <si>
    <t>100034134LG</t>
  </si>
  <si>
    <t>MESH:POLYESTER;KNIT:COTTON/POLYESTER</t>
  </si>
  <si>
    <t>732994957656</t>
  </si>
  <si>
    <t>100044685LG</t>
  </si>
  <si>
    <t>636206948480</t>
  </si>
  <si>
    <t>STRIPE ONE PIECE BASIC</t>
  </si>
  <si>
    <t>100030078BG</t>
  </si>
  <si>
    <t>BODY: POLYESTER/SPANDEX; FRONT LINING: POLYESTER</t>
  </si>
  <si>
    <t>636206948510</t>
  </si>
  <si>
    <t>636206463150</t>
  </si>
  <si>
    <t>RUFFLE PLAID SHIRT</t>
  </si>
  <si>
    <t>100029967BG</t>
  </si>
  <si>
    <t>636206463167</t>
  </si>
  <si>
    <t>48238274176</t>
  </si>
  <si>
    <t>HK ANIMAL PRINTS TEE</t>
  </si>
  <si>
    <t>HKF003HFNQ</t>
  </si>
  <si>
    <t>732995698008</t>
  </si>
  <si>
    <t>FUTURE TALL TEE BASIC</t>
  </si>
  <si>
    <t>100044702BO</t>
  </si>
  <si>
    <t>732997559512</t>
  </si>
  <si>
    <t>732994961769</t>
  </si>
  <si>
    <t>ATMOSPHERE TALL TEE BASIC</t>
  </si>
  <si>
    <t>100044701BO</t>
  </si>
  <si>
    <t>732995103960</t>
  </si>
  <si>
    <t>735869399391</t>
  </si>
  <si>
    <t>C5481M</t>
  </si>
  <si>
    <t>696114307793</t>
  </si>
  <si>
    <t>3/4 SL TOP W/UNICORN</t>
  </si>
  <si>
    <t>800048-MA</t>
  </si>
  <si>
    <t>732995194593</t>
  </si>
  <si>
    <t>100047509LG</t>
  </si>
  <si>
    <t>732995193992</t>
  </si>
  <si>
    <t>DOT FRINGE SS TEE</t>
  </si>
  <si>
    <t>100047503LG</t>
  </si>
  <si>
    <t>732997558270</t>
  </si>
  <si>
    <t>RED AUTHENTIC TEE</t>
  </si>
  <si>
    <t>100067127BO</t>
  </si>
  <si>
    <t>732995566246</t>
  </si>
  <si>
    <t>732996175362</t>
  </si>
  <si>
    <t>732995520224</t>
  </si>
  <si>
    <t>696114316702</t>
  </si>
  <si>
    <t>FLAMINGO PRINT TANK</t>
  </si>
  <si>
    <t>840088-MA</t>
  </si>
  <si>
    <t>696114316740</t>
  </si>
  <si>
    <t>735869459552</t>
  </si>
  <si>
    <t>732995221534</t>
  </si>
  <si>
    <t>UNI HEART OPP DRESS</t>
  </si>
  <si>
    <t>100046889LG</t>
  </si>
  <si>
    <t>732995261325</t>
  </si>
  <si>
    <t>735869214298</t>
  </si>
  <si>
    <t>C8431R</t>
  </si>
  <si>
    <t>732995559903</t>
  </si>
  <si>
    <t>FLORAL CHALLIS TOP</t>
  </si>
  <si>
    <t>100057044GR</t>
  </si>
  <si>
    <t>640013787620</t>
  </si>
  <si>
    <t>NEO SPECKLE STRIPE TANK</t>
  </si>
  <si>
    <t>UB119792</t>
  </si>
  <si>
    <t>640013787637</t>
  </si>
  <si>
    <t>732996175140</t>
  </si>
  <si>
    <t>SAILOR SUNSUIT BASIC</t>
  </si>
  <si>
    <t>100053826BB</t>
  </si>
  <si>
    <t>80538073516</t>
  </si>
  <si>
    <t>2PPK BUTTERFLY/OPAQ</t>
  </si>
  <si>
    <t>732994956048</t>
  </si>
  <si>
    <t>732995328011</t>
  </si>
  <si>
    <t>RAISED BY DINO TEE</t>
  </si>
  <si>
    <t>100046638LB</t>
  </si>
  <si>
    <t>732995328271</t>
  </si>
  <si>
    <t>AOP SHARK TEE</t>
  </si>
  <si>
    <t>100046648LB</t>
  </si>
  <si>
    <t>732995881417</t>
  </si>
  <si>
    <t>CHECKER TEE</t>
  </si>
  <si>
    <t>100056745LB</t>
  </si>
  <si>
    <t>732995328264</t>
  </si>
  <si>
    <t>732995522198</t>
  </si>
  <si>
    <t>RACE TIME SS TEE</t>
  </si>
  <si>
    <t>100046656LB</t>
  </si>
  <si>
    <t>732995628258</t>
  </si>
  <si>
    <t>LADYBUG FLOWER HB PK BASIC</t>
  </si>
  <si>
    <t>100046442BG</t>
  </si>
  <si>
    <t>732996431567</t>
  </si>
  <si>
    <t>732996431550</t>
  </si>
  <si>
    <t>732995566116</t>
  </si>
  <si>
    <t>732996583570</t>
  </si>
  <si>
    <t>732995507638</t>
  </si>
  <si>
    <t>100043156BG</t>
  </si>
  <si>
    <t>735869404323</t>
  </si>
  <si>
    <t>AOP SMALL SCRIPT TEE</t>
  </si>
  <si>
    <t>C5417R</t>
  </si>
  <si>
    <t>732994854016</t>
  </si>
  <si>
    <t>735869399322</t>
  </si>
  <si>
    <t>735869456247</t>
  </si>
  <si>
    <t>732995880090</t>
  </si>
  <si>
    <t>FLORAL TANK</t>
  </si>
  <si>
    <t>100056738LB</t>
  </si>
  <si>
    <t>732995195156</t>
  </si>
  <si>
    <t>732995195439</t>
  </si>
  <si>
    <t>TIEDYE LEGGING</t>
  </si>
  <si>
    <t>100046634LG</t>
  </si>
  <si>
    <t>732995490886</t>
  </si>
  <si>
    <t>AOP HEART LEGGING</t>
  </si>
  <si>
    <t>100060644LG</t>
  </si>
  <si>
    <t>732995195279</t>
  </si>
  <si>
    <t>100046482LG</t>
  </si>
  <si>
    <t>732995490862</t>
  </si>
  <si>
    <t>732995195309</t>
  </si>
  <si>
    <t>732995490893</t>
  </si>
  <si>
    <t>732995195064</t>
  </si>
  <si>
    <t>BLUE BFLIES LEGGING</t>
  </si>
  <si>
    <t>100046478LG</t>
  </si>
  <si>
    <t>732996583723</t>
  </si>
  <si>
    <t>732994144025</t>
  </si>
  <si>
    <t>CUPCAKE SS TEE</t>
  </si>
  <si>
    <t>100026359LG</t>
  </si>
  <si>
    <t>636189176696</t>
  </si>
  <si>
    <t>LOVE HEART SS TEE</t>
  </si>
  <si>
    <t>100040626LG</t>
  </si>
  <si>
    <t>636189166215</t>
  </si>
  <si>
    <t>HEARTS SS TEE</t>
  </si>
  <si>
    <t>100040591LG</t>
  </si>
  <si>
    <t>608356058654</t>
  </si>
  <si>
    <t>GLTTR PUFF LS TE</t>
  </si>
  <si>
    <t>100035621LG</t>
  </si>
  <si>
    <t>636206570315</t>
  </si>
  <si>
    <t>BIG SIS SS TEE</t>
  </si>
  <si>
    <t>100040625LG</t>
  </si>
  <si>
    <t>732995564662</t>
  </si>
  <si>
    <t>732996123738</t>
  </si>
  <si>
    <t>UNI MERMAID SS TEE</t>
  </si>
  <si>
    <t>100056866LG</t>
  </si>
  <si>
    <t>732996123776</t>
  </si>
  <si>
    <t>732995564655</t>
  </si>
  <si>
    <t>732995564679</t>
  </si>
  <si>
    <t>732995564815</t>
  </si>
  <si>
    <t>732995193152</t>
  </si>
  <si>
    <t>MERMAID FLTTR SS TEE</t>
  </si>
  <si>
    <t>100046371LG</t>
  </si>
  <si>
    <t>732995192803</t>
  </si>
  <si>
    <t>UNI BFLIES SS TEE</t>
  </si>
  <si>
    <t>100046366LG</t>
  </si>
  <si>
    <t>732995565454</t>
  </si>
  <si>
    <t>732995193664</t>
  </si>
  <si>
    <t>VENICE TIEDYE SS TEE</t>
  </si>
  <si>
    <t>100046383LG</t>
  </si>
  <si>
    <t>732995564600</t>
  </si>
  <si>
    <t>732995192742</t>
  </si>
  <si>
    <t>732995565508</t>
  </si>
  <si>
    <t>732995565232</t>
  </si>
  <si>
    <t>732995489392</t>
  </si>
  <si>
    <t>UNICORN HEART SS TEE</t>
  </si>
  <si>
    <t>100046400LG</t>
  </si>
  <si>
    <t>732995586220</t>
  </si>
  <si>
    <t>732995585940</t>
  </si>
  <si>
    <t>PINEAPPLE DRESS</t>
  </si>
  <si>
    <t>100043158BG</t>
  </si>
  <si>
    <t>732995882599</t>
  </si>
  <si>
    <t>732996176116</t>
  </si>
  <si>
    <t>732994853897</t>
  </si>
  <si>
    <t>732994883528</t>
  </si>
  <si>
    <t>T FLAMINGO LEGGING BASIC</t>
  </si>
  <si>
    <t>100042447TG</t>
  </si>
  <si>
    <t>732995801200</t>
  </si>
  <si>
    <t>T SUSPENDERS TEE BASIC</t>
  </si>
  <si>
    <t>100043820TG</t>
  </si>
  <si>
    <t>732995884296</t>
  </si>
  <si>
    <t>732995175677</t>
  </si>
  <si>
    <t>BOXY PLAID SHORT BASIC</t>
  </si>
  <si>
    <t>100041988BB</t>
  </si>
  <si>
    <t>732996245096</t>
  </si>
  <si>
    <t>PINEAPPLE BODYSUIT</t>
  </si>
  <si>
    <t>732996245133</t>
  </si>
  <si>
    <t>732995575002</t>
  </si>
  <si>
    <t>732996239750</t>
  </si>
  <si>
    <t>732995575026</t>
  </si>
  <si>
    <t>732995574944</t>
  </si>
  <si>
    <t>732995881660</t>
  </si>
  <si>
    <t>732995881653</t>
  </si>
  <si>
    <t>732995574982</t>
  </si>
  <si>
    <t>732996892108</t>
  </si>
  <si>
    <t>732995579765</t>
  </si>
  <si>
    <t>PETALS LEGGING BASIC</t>
  </si>
  <si>
    <t>100042505BG</t>
  </si>
  <si>
    <t>732995159950</t>
  </si>
  <si>
    <t>732996245263</t>
  </si>
  <si>
    <t>732996245188</t>
  </si>
  <si>
    <t>732996244945</t>
  </si>
  <si>
    <t>732994881043</t>
  </si>
  <si>
    <t>WC FLOWER LEGGING BASIC</t>
  </si>
  <si>
    <t>100042451BG</t>
  </si>
  <si>
    <t>732994881050</t>
  </si>
  <si>
    <t>732994880886</t>
  </si>
  <si>
    <t>FLOWR STRIPE LEGGING BASIC</t>
  </si>
  <si>
    <t>100042443BG</t>
  </si>
  <si>
    <t>732994880916</t>
  </si>
  <si>
    <t>732994881036</t>
  </si>
  <si>
    <t>732994880923</t>
  </si>
  <si>
    <t>732994881067</t>
  </si>
  <si>
    <t>732994155243</t>
  </si>
  <si>
    <t>MEDIUN RED</t>
  </si>
  <si>
    <t>732994881074</t>
  </si>
  <si>
    <t>732994881777</t>
  </si>
  <si>
    <t>732994881760</t>
  </si>
  <si>
    <t>732994881739</t>
  </si>
  <si>
    <t>732994881852</t>
  </si>
  <si>
    <t>732995250855</t>
  </si>
  <si>
    <t>LEMON BODYSUIT</t>
  </si>
  <si>
    <t>732996959429</t>
  </si>
  <si>
    <t>732994155465</t>
  </si>
  <si>
    <t>BOW BORDER LEGGING BASIC</t>
  </si>
  <si>
    <t>732996210292</t>
  </si>
  <si>
    <t>BIG GEO TUNIC BASIC</t>
  </si>
  <si>
    <t>100052327BG</t>
  </si>
  <si>
    <t>732995801637</t>
  </si>
  <si>
    <t>732994881517</t>
  </si>
  <si>
    <t>FLAMINGO LEGGING BASIC</t>
  </si>
  <si>
    <t>100042447BG</t>
  </si>
  <si>
    <t>732996212395</t>
  </si>
  <si>
    <t>RIB RUFFLE TOP BASIC</t>
  </si>
  <si>
    <t>100052329BG</t>
  </si>
  <si>
    <t>732995577877</t>
  </si>
  <si>
    <t>RAINBOW TUNIC BASIC</t>
  </si>
  <si>
    <t>100042500BG</t>
  </si>
  <si>
    <t>732994881487</t>
  </si>
  <si>
    <t>732996210032</t>
  </si>
  <si>
    <t>TROPICAL TUNIC BASIC</t>
  </si>
  <si>
    <t>100052320BG</t>
  </si>
  <si>
    <t>BODY: COTTON; NECK BINDING: COTTON/POLYESTER</t>
  </si>
  <si>
    <t>732995799606</t>
  </si>
  <si>
    <t>STARS STRIPES TUNIC BASIC</t>
  </si>
  <si>
    <t>100042526BG</t>
  </si>
  <si>
    <t>732995801613</t>
  </si>
  <si>
    <t>732996212364</t>
  </si>
  <si>
    <t>732995577662</t>
  </si>
  <si>
    <t>FLORAL NECK TUNIC BASIC</t>
  </si>
  <si>
    <t>100042495BG</t>
  </si>
  <si>
    <t>732996212388</t>
  </si>
  <si>
    <t>732995158564</t>
  </si>
  <si>
    <t>RAILROAD BERMUDA BASIC</t>
  </si>
  <si>
    <t>100042477BG</t>
  </si>
  <si>
    <t>732995159158</t>
  </si>
  <si>
    <t>HEART KNEE LEGGING BASIC</t>
  </si>
  <si>
    <t>100042480BG</t>
  </si>
  <si>
    <t>732995883213</t>
  </si>
  <si>
    <t>T PATRIOTIC DOG TEE BASIC</t>
  </si>
  <si>
    <t>100043932TB</t>
  </si>
  <si>
    <t>732994879811</t>
  </si>
  <si>
    <t>FLAMINGO TUNIC BASIC</t>
  </si>
  <si>
    <t>100042418BG</t>
  </si>
  <si>
    <t>732996890005</t>
  </si>
  <si>
    <t>LS GIRL POWER TEE</t>
  </si>
  <si>
    <t>100052365BG</t>
  </si>
  <si>
    <t>732996212067</t>
  </si>
  <si>
    <t>732996209838</t>
  </si>
  <si>
    <t>CHERRY KNOT TEE BASIC</t>
  </si>
  <si>
    <t>100052305BG</t>
  </si>
  <si>
    <t>732996209944</t>
  </si>
  <si>
    <t>732995881707</t>
  </si>
  <si>
    <t>732995175202</t>
  </si>
  <si>
    <t>HIP HOP BUNNY TEE BASIC</t>
  </si>
  <si>
    <t>100041958BB</t>
  </si>
  <si>
    <t>732996210414</t>
  </si>
  <si>
    <t>732996210377</t>
  </si>
  <si>
    <t>732996211909</t>
  </si>
  <si>
    <t>732996210445</t>
  </si>
  <si>
    <t>TROPI FLRL KNOT TEE BASIC</t>
  </si>
  <si>
    <t>100059554BG</t>
  </si>
  <si>
    <t>732995881691</t>
  </si>
  <si>
    <t>732994938235</t>
  </si>
  <si>
    <t>N AVOCADO BODYSUIT</t>
  </si>
  <si>
    <t>732996889375</t>
  </si>
  <si>
    <t>LS FLOWER CHICKS TEE</t>
  </si>
  <si>
    <t>100052353BG</t>
  </si>
  <si>
    <t>732994852777</t>
  </si>
  <si>
    <t>STRIPED RAGLAN TEE BASIC</t>
  </si>
  <si>
    <t>100041892BB</t>
  </si>
  <si>
    <t>732996961408</t>
  </si>
  <si>
    <t>SS CUTE TEE</t>
  </si>
  <si>
    <t>100056174BG</t>
  </si>
  <si>
    <t>732996889337</t>
  </si>
  <si>
    <t>732996961361</t>
  </si>
  <si>
    <t>732996212166</t>
  </si>
  <si>
    <t>732996890494</t>
  </si>
  <si>
    <t>732995578577</t>
  </si>
  <si>
    <t>CHICK POCKET TEE BASIC</t>
  </si>
  <si>
    <t>100042488BG</t>
  </si>
  <si>
    <t>732996889290</t>
  </si>
  <si>
    <t>732996209807</t>
  </si>
  <si>
    <t>732996212197</t>
  </si>
  <si>
    <t>732995882315</t>
  </si>
  <si>
    <t>RWB HENLEY TEE BASIC</t>
  </si>
  <si>
    <t>100043939BB</t>
  </si>
  <si>
    <t>732996279893</t>
  </si>
  <si>
    <t>732995881769</t>
  </si>
  <si>
    <t>636202125939</t>
  </si>
  <si>
    <t>HELLO BABY TOTE BAG BASIC</t>
  </si>
  <si>
    <t>COTTON CANVAS</t>
  </si>
  <si>
    <t>732996240060</t>
  </si>
  <si>
    <t>732995799750</t>
  </si>
  <si>
    <t>732995175417</t>
  </si>
  <si>
    <t>732996240084</t>
  </si>
  <si>
    <t>732995799767</t>
  </si>
  <si>
    <t>732996210162</t>
  </si>
  <si>
    <t>732996889207</t>
  </si>
  <si>
    <t>732995575118</t>
  </si>
  <si>
    <t>732996210933</t>
  </si>
  <si>
    <t>732994881906</t>
  </si>
  <si>
    <t>732996889160</t>
  </si>
  <si>
    <t>732996889177</t>
  </si>
  <si>
    <t>732996240336</t>
  </si>
  <si>
    <t>732995175394</t>
  </si>
  <si>
    <t>ATHLETIC CB TEE BASIC</t>
  </si>
  <si>
    <t>100041962BB</t>
  </si>
  <si>
    <t>732995575491</t>
  </si>
  <si>
    <t>732994852494</t>
  </si>
  <si>
    <t>WAVE PKT CB TEE BASIC</t>
  </si>
  <si>
    <t>100041887BB</t>
  </si>
  <si>
    <t>732995174915</t>
  </si>
  <si>
    <t>732995575156</t>
  </si>
  <si>
    <t>732996240527</t>
  </si>
  <si>
    <t>732995575064</t>
  </si>
  <si>
    <t>732995575170</t>
  </si>
  <si>
    <t>732995575132</t>
  </si>
  <si>
    <t>732995575163</t>
  </si>
  <si>
    <t>732995175561</t>
  </si>
  <si>
    <t>TRICERATOPS TEE BASIC</t>
  </si>
  <si>
    <t>100041966BB</t>
  </si>
  <si>
    <t>732996211831</t>
  </si>
  <si>
    <t>PARROT TEE BASIC</t>
  </si>
  <si>
    <t>100052300BG</t>
  </si>
  <si>
    <t>732996240268</t>
  </si>
  <si>
    <t>732994852241</t>
  </si>
  <si>
    <t>NAUTICAL BOAT TEE BASIC</t>
  </si>
  <si>
    <t>100041881BB</t>
  </si>
  <si>
    <t>732996240107</t>
  </si>
  <si>
    <t>732996900506</t>
  </si>
  <si>
    <t>732995175233</t>
  </si>
  <si>
    <t>100041959BB</t>
  </si>
  <si>
    <t>732995575415</t>
  </si>
  <si>
    <t>732995575569</t>
  </si>
  <si>
    <t>732996901435</t>
  </si>
  <si>
    <t>732995881950</t>
  </si>
  <si>
    <t>732995881981</t>
  </si>
  <si>
    <t>732995881974</t>
  </si>
  <si>
    <t>732995175554</t>
  </si>
  <si>
    <t>732995175530</t>
  </si>
  <si>
    <t>46094700204</t>
  </si>
  <si>
    <t>NYLON/SPANDEX; COTTON CROTCH</t>
  </si>
  <si>
    <t>46094700198</t>
  </si>
  <si>
    <t>608356077457</t>
  </si>
  <si>
    <t>BASIC BODYSUIT BASIC</t>
  </si>
  <si>
    <t>732996240565</t>
  </si>
  <si>
    <t>732995882155</t>
  </si>
  <si>
    <t>732996240671</t>
  </si>
  <si>
    <t>SUP GIRAFFE TEE BASIC</t>
  </si>
  <si>
    <t>100053743BB</t>
  </si>
  <si>
    <t>732996240695</t>
  </si>
  <si>
    <t>732996240701</t>
  </si>
  <si>
    <t>732996240688</t>
  </si>
  <si>
    <t>192136020844</t>
  </si>
  <si>
    <t>882506835221</t>
  </si>
  <si>
    <t>192042693347</t>
  </si>
  <si>
    <t>192042693361</t>
  </si>
  <si>
    <t>884733718360</t>
  </si>
  <si>
    <t>884733747759</t>
  </si>
  <si>
    <t>NYLON-SANIBEL-SWIMWEAR-B</t>
  </si>
  <si>
    <t>SHELL AND BOXERS: POLYESTER</t>
  </si>
  <si>
    <t>884733764329</t>
  </si>
  <si>
    <t>884733764350</t>
  </si>
  <si>
    <t>884733977521</t>
  </si>
  <si>
    <t>LIGHT WEIGHT TERRY-HOOD</t>
  </si>
  <si>
    <t>884733977545</t>
  </si>
  <si>
    <t>884733977538</t>
  </si>
  <si>
    <t>191524579742</t>
  </si>
  <si>
    <t>SUPERSTAR TOP</t>
  </si>
  <si>
    <t>DV2897</t>
  </si>
  <si>
    <t>884733719459</t>
  </si>
  <si>
    <t>884733719435</t>
  </si>
  <si>
    <t>884733719442</t>
  </si>
  <si>
    <t>747941440990</t>
  </si>
  <si>
    <t>CAVIAR BEADED</t>
  </si>
  <si>
    <t>SC356D02TB22</t>
  </si>
  <si>
    <t>747941632623</t>
  </si>
  <si>
    <t>SATIN HIGH LOW</t>
  </si>
  <si>
    <t>SC488D02QK5</t>
  </si>
  <si>
    <t>192610385858</t>
  </si>
  <si>
    <t>192399995880</t>
  </si>
  <si>
    <t>PRINTED PEPLUM TRICOT SE</t>
  </si>
  <si>
    <t>AG4356</t>
  </si>
  <si>
    <t>192399995897</t>
  </si>
  <si>
    <t>884733925454</t>
  </si>
  <si>
    <t>884733925461</t>
  </si>
  <si>
    <t>884733925478</t>
  </si>
  <si>
    <t>885031495311</t>
  </si>
  <si>
    <t>885031495304</t>
  </si>
  <si>
    <t>885031495335</t>
  </si>
  <si>
    <t>887407890997</t>
  </si>
  <si>
    <t>637348172870</t>
  </si>
  <si>
    <t>CROCHET TOP MAXI</t>
  </si>
  <si>
    <t>2262N30</t>
  </si>
  <si>
    <t>747941161406</t>
  </si>
  <si>
    <t>BLAC DRESS KNEE LENGTH CA</t>
  </si>
  <si>
    <t>C3683D02H674</t>
  </si>
  <si>
    <t>NYLON/POLYESTER/SPANDEX; LINING: POLYESTER</t>
  </si>
  <si>
    <t>791088714025</t>
  </si>
  <si>
    <t>RUFFLE SEERSUCKER</t>
  </si>
  <si>
    <t>E459249</t>
  </si>
  <si>
    <t>COTTON/POLYESTER; LINING: POLYESTER/COTTON; CRINOLINE: POLYESTER</t>
  </si>
  <si>
    <t>193579293857</t>
  </si>
  <si>
    <t>Y/D V NECK DRESS</t>
  </si>
  <si>
    <t>TGFCH01V-411</t>
  </si>
  <si>
    <t>617847141270</t>
  </si>
  <si>
    <t>TAUP WOVEN JOGGER BASIC</t>
  </si>
  <si>
    <t>917807F</t>
  </si>
  <si>
    <t>192042700632</t>
  </si>
  <si>
    <t>STRIATED TWILL VEST</t>
  </si>
  <si>
    <t>K8H0066-452</t>
  </si>
  <si>
    <t>192042700663</t>
  </si>
  <si>
    <t>192042700656</t>
  </si>
  <si>
    <t>192042700649</t>
  </si>
  <si>
    <t>192042700700</t>
  </si>
  <si>
    <t>888978466819</t>
  </si>
  <si>
    <t>CM POLO PO PANT BASIC</t>
  </si>
  <si>
    <t>2-20 BOY POLO</t>
  </si>
  <si>
    <t>193579330309</t>
  </si>
  <si>
    <t>192042718743</t>
  </si>
  <si>
    <t>CORE CARDIGAN</t>
  </si>
  <si>
    <t>TGC0018</t>
  </si>
  <si>
    <t>193579330316</t>
  </si>
  <si>
    <t>880680423081</t>
  </si>
  <si>
    <t>UA VOLTAGE VOLLEY SET</t>
  </si>
  <si>
    <t>27G52666-34</t>
  </si>
  <si>
    <t>POLYESTER; TRUNKS LINING: POLYESTER</t>
  </si>
  <si>
    <t>193579356439</t>
  </si>
  <si>
    <t>PLAYTIME SKOOTER</t>
  </si>
  <si>
    <t>35H35000-58</t>
  </si>
  <si>
    <t>886061501010</t>
  </si>
  <si>
    <t>756998891549</t>
  </si>
  <si>
    <t>SOLID RACERBACK ONE PIEC</t>
  </si>
  <si>
    <t>NESS9600DS</t>
  </si>
  <si>
    <t>637348173044</t>
  </si>
  <si>
    <t>BUTTON FRONT SHIFT</t>
  </si>
  <si>
    <t>2265N9M</t>
  </si>
  <si>
    <t>9328570202</t>
  </si>
  <si>
    <t>2PC ONE &amp; ONLY SHORT SET</t>
  </si>
  <si>
    <t>683027E</t>
  </si>
  <si>
    <t>HURLEY/HADDAD APPAREL GROUP</t>
  </si>
  <si>
    <t>636189923313</t>
  </si>
  <si>
    <t>CAMO JACKET</t>
  </si>
  <si>
    <t>100042323GR</t>
  </si>
  <si>
    <t>880680586465</t>
  </si>
  <si>
    <t>2PC PINK KNIT DRESS W/ S</t>
  </si>
  <si>
    <t>3G22660-99</t>
  </si>
  <si>
    <t>SHIRT: 100% COTTON; DRESS: COTTON/POLYESTER</t>
  </si>
  <si>
    <t>732995696882</t>
  </si>
  <si>
    <t>617845872343</t>
  </si>
  <si>
    <t>JUST DO IT SHORT SET</t>
  </si>
  <si>
    <t>86F026G</t>
  </si>
  <si>
    <t>617846002756</t>
  </si>
  <si>
    <t>617846419103</t>
  </si>
  <si>
    <t>JAN JUMPMAN CROSSBODY</t>
  </si>
  <si>
    <t>9A0260A</t>
  </si>
  <si>
    <t>889799639802</t>
  </si>
  <si>
    <t>LOL CTTN 2FER SS/SL</t>
  </si>
  <si>
    <t>LZ046GSSMA</t>
  </si>
  <si>
    <t>191358535778</t>
  </si>
  <si>
    <t>191358535747</t>
  </si>
  <si>
    <t>880680219103</t>
  </si>
  <si>
    <t>AKILA 2-PCE SWIMSUIT</t>
  </si>
  <si>
    <t>TGSCK16H-411</t>
  </si>
  <si>
    <t>192135617038</t>
  </si>
  <si>
    <t>S19 PURPLE JAQUARD BIKE</t>
  </si>
  <si>
    <t>293G488</t>
  </si>
  <si>
    <t>TOP: COTTON/POLYESTER/ELASTANE; SHORTS: COTTON/ELASTANE</t>
  </si>
  <si>
    <t>880680616100</t>
  </si>
  <si>
    <t>PNK CHAMBRAY ROMPER</t>
  </si>
  <si>
    <t>3G01609-99</t>
  </si>
  <si>
    <t>COTTON/POLYESTER; LACE: COTTON/POLYESTER</t>
  </si>
  <si>
    <t>732996528083</t>
  </si>
  <si>
    <t>191967181908</t>
  </si>
  <si>
    <t>2PC TANKINI</t>
  </si>
  <si>
    <t>S3DK228G</t>
  </si>
  <si>
    <t>633716805890</t>
  </si>
  <si>
    <t>617846837891</t>
  </si>
  <si>
    <t>192135489727</t>
  </si>
  <si>
    <t>S19 TURQ MULTI FLORAL PA</t>
  </si>
  <si>
    <t>259G827</t>
  </si>
  <si>
    <t>732995555806</t>
  </si>
  <si>
    <t>732996105581</t>
  </si>
  <si>
    <t>732996105574</t>
  </si>
  <si>
    <t>192135977248</t>
  </si>
  <si>
    <t>SHORTALLSF19 B SHORTALL</t>
  </si>
  <si>
    <t>747157831230</t>
  </si>
  <si>
    <t>CARDIGAN</t>
  </si>
  <si>
    <t>8241YAHG1</t>
  </si>
  <si>
    <t>883498393508</t>
  </si>
  <si>
    <t>WHITE DOT BOW</t>
  </si>
  <si>
    <t>BOWLTTWAB843</t>
  </si>
  <si>
    <t>732996441139</t>
  </si>
  <si>
    <t>FLORAL RUFFLE DRESS</t>
  </si>
  <si>
    <t>100056973LG</t>
  </si>
  <si>
    <t>732995556049</t>
  </si>
  <si>
    <t>FLORAL SMOCK WOVEN</t>
  </si>
  <si>
    <t>100047053GR</t>
  </si>
  <si>
    <t>732996441177</t>
  </si>
  <si>
    <t>732995134988</t>
  </si>
  <si>
    <t>SPRAY FOIL CAPRI</t>
  </si>
  <si>
    <t>100044356GR</t>
  </si>
  <si>
    <t>608381245715</t>
  </si>
  <si>
    <t>CRACKLE LEGGING</t>
  </si>
  <si>
    <t>100030190G</t>
  </si>
  <si>
    <t>192135556320</t>
  </si>
  <si>
    <t>S19 MERM SKIN TUTU 1 PCG</t>
  </si>
  <si>
    <t>192135556337</t>
  </si>
  <si>
    <t>192136306481</t>
  </si>
  <si>
    <t>192136323396</t>
  </si>
  <si>
    <t>732994957922</t>
  </si>
  <si>
    <t>BLOCK LOVE CREW BASIC</t>
  </si>
  <si>
    <t>100045201LG</t>
  </si>
  <si>
    <t>885779990291</t>
  </si>
  <si>
    <t>UTILITY SHORTS</t>
  </si>
  <si>
    <t>IS119K0292</t>
  </si>
  <si>
    <t>COTTON/RAYON/SPANDEX</t>
  </si>
  <si>
    <t>26217620350</t>
  </si>
  <si>
    <t>26217620442</t>
  </si>
  <si>
    <t>26217500430</t>
  </si>
  <si>
    <t>26217500447</t>
  </si>
  <si>
    <t>26217620459</t>
  </si>
  <si>
    <t>26217500454</t>
  </si>
  <si>
    <t>193579295660</t>
  </si>
  <si>
    <t>732996584744</t>
  </si>
  <si>
    <t>100061185LB</t>
  </si>
  <si>
    <t>732995069754</t>
  </si>
  <si>
    <t>732995069747</t>
  </si>
  <si>
    <t>191886362617</t>
  </si>
  <si>
    <t>191045804538</t>
  </si>
  <si>
    <t>GIRLS FLIP FLOP</t>
  </si>
  <si>
    <t>46094840856</t>
  </si>
  <si>
    <t>732995554274</t>
  </si>
  <si>
    <t>47852943611</t>
  </si>
  <si>
    <t>BLAC 2PK TIGHTS MICROFIBASIC</t>
  </si>
  <si>
    <t>G43002GPK</t>
  </si>
  <si>
    <t>46094957257</t>
  </si>
  <si>
    <t>732996336299</t>
  </si>
  <si>
    <t>732996105260</t>
  </si>
  <si>
    <t>192135732496</t>
  </si>
  <si>
    <t>192135631577</t>
  </si>
  <si>
    <t>S19 PURPLE LOVE TOP</t>
  </si>
  <si>
    <t>293G412</t>
  </si>
  <si>
    <t>732994890021</t>
  </si>
  <si>
    <t>100049037GR</t>
  </si>
  <si>
    <t>735869350644</t>
  </si>
  <si>
    <t>192135553084</t>
  </si>
  <si>
    <t>S19 CAMO MIDTIER CARGO P</t>
  </si>
  <si>
    <t>288G227</t>
  </si>
  <si>
    <t>732996174327</t>
  </si>
  <si>
    <t>732996084800</t>
  </si>
  <si>
    <t>841574154573</t>
  </si>
  <si>
    <t>GLITZY PINEAPPLE 1 PIECE</t>
  </si>
  <si>
    <t>GS2-431M</t>
  </si>
  <si>
    <t>841574154870</t>
  </si>
  <si>
    <t>732996105055</t>
  </si>
  <si>
    <t>617846742188</t>
  </si>
  <si>
    <t>UN0002G</t>
  </si>
  <si>
    <t>732994961844</t>
  </si>
  <si>
    <t>192135640753</t>
  </si>
  <si>
    <t>S19 SS WOVEN AMERICANA S</t>
  </si>
  <si>
    <t>243I273</t>
  </si>
  <si>
    <t>889338720367</t>
  </si>
  <si>
    <t>F18 SINGLE CARDIGAN GIRL</t>
  </si>
  <si>
    <t>118I493</t>
  </si>
  <si>
    <t>732996335599</t>
  </si>
  <si>
    <t>732995103748</t>
  </si>
  <si>
    <t>735869366850</t>
  </si>
  <si>
    <t>732995507386</t>
  </si>
  <si>
    <t>192135977835</t>
  </si>
  <si>
    <t>192135977040</t>
  </si>
  <si>
    <t>192136003182</t>
  </si>
  <si>
    <t>192135977088</t>
  </si>
  <si>
    <t>756500009806</t>
  </si>
  <si>
    <t>FLAGS- GREEN</t>
  </si>
  <si>
    <t>81K91693</t>
  </si>
  <si>
    <t>884630153998</t>
  </si>
  <si>
    <t>617845873760</t>
  </si>
  <si>
    <t>WJ0167G</t>
  </si>
  <si>
    <t>46094831502</t>
  </si>
  <si>
    <t>732995067958</t>
  </si>
  <si>
    <t>ABS FLOWERS SKORT</t>
  </si>
  <si>
    <t>100044426LG</t>
  </si>
  <si>
    <t>732995067972</t>
  </si>
  <si>
    <t>46094964828</t>
  </si>
  <si>
    <t>735869350903</t>
  </si>
  <si>
    <t>C5352M</t>
  </si>
  <si>
    <t>192136012795</t>
  </si>
  <si>
    <t>46094948842</t>
  </si>
  <si>
    <t>732996525693</t>
  </si>
  <si>
    <t>732994957632</t>
  </si>
  <si>
    <t>732994882279</t>
  </si>
  <si>
    <t>FLORAL EMBROIDER TOP BASIC</t>
  </si>
  <si>
    <t>100043811BG</t>
  </si>
  <si>
    <t>LINEN/COTTON</t>
  </si>
  <si>
    <t>29534427756</t>
  </si>
  <si>
    <t>2 PC BATHING SUIT</t>
  </si>
  <si>
    <t>2103MSS29-A</t>
  </si>
  <si>
    <t>POLYESTER/SPANDEX; TRIM: POLYESTER</t>
  </si>
  <si>
    <t>29534427763</t>
  </si>
  <si>
    <t>29534425653</t>
  </si>
  <si>
    <t>2 PC STRIPE AND PRINT BA</t>
  </si>
  <si>
    <t>2124MSS29-A</t>
  </si>
  <si>
    <t>732994877503</t>
  </si>
  <si>
    <t>732994877510</t>
  </si>
  <si>
    <t>735869459743</t>
  </si>
  <si>
    <t>732996528380</t>
  </si>
  <si>
    <t>732994877916</t>
  </si>
  <si>
    <t>3 PACK LACE ANKLET</t>
  </si>
  <si>
    <t>100050885BG</t>
  </si>
  <si>
    <t>732994877893</t>
  </si>
  <si>
    <t>732995103700</t>
  </si>
  <si>
    <t>46094818992</t>
  </si>
  <si>
    <t>732995695380</t>
  </si>
  <si>
    <t>192135476505</t>
  </si>
  <si>
    <t>S19 SUR NAVY DINO</t>
  </si>
  <si>
    <t>192135392133</t>
  </si>
  <si>
    <t>S19 SUR GREY MONSTERS</t>
  </si>
  <si>
    <t>46094831373</t>
  </si>
  <si>
    <t>46094831342</t>
  </si>
  <si>
    <t>732995520330</t>
  </si>
  <si>
    <t>732996528274</t>
  </si>
  <si>
    <t>735869346609</t>
  </si>
  <si>
    <t>696114316733</t>
  </si>
  <si>
    <t>735869346692</t>
  </si>
  <si>
    <t>735869346579</t>
  </si>
  <si>
    <t>735869346593</t>
  </si>
  <si>
    <t>732996526362</t>
  </si>
  <si>
    <t>640013644909</t>
  </si>
  <si>
    <t>JAYDEN RAGLAN</t>
  </si>
  <si>
    <t>UB119402</t>
  </si>
  <si>
    <t>732996526560</t>
  </si>
  <si>
    <t>SHELL: COTTON/POLYESTER; TRIM: POLYESTER</t>
  </si>
  <si>
    <t>640013784544</t>
  </si>
  <si>
    <t>640013789136</t>
  </si>
  <si>
    <t>ALEGRE TANK</t>
  </si>
  <si>
    <t>UB119790</t>
  </si>
  <si>
    <t>192135642252</t>
  </si>
  <si>
    <t>192135649541</t>
  </si>
  <si>
    <t>80538104463</t>
  </si>
  <si>
    <t>GLITTER HEARTS/ OPAQUE</t>
  </si>
  <si>
    <t>732995327984</t>
  </si>
  <si>
    <t>732995328042</t>
  </si>
  <si>
    <t>RED STRIPE SS TEE</t>
  </si>
  <si>
    <t>100046640LB</t>
  </si>
  <si>
    <t>192136218555</t>
  </si>
  <si>
    <t>BODYSUITF19 N BS BOO-TY</t>
  </si>
  <si>
    <t>192136254188</t>
  </si>
  <si>
    <t>SLOGAN BSF19 G BS GREY B</t>
  </si>
  <si>
    <t>735869731535</t>
  </si>
  <si>
    <t>735869350408</t>
  </si>
  <si>
    <t>LOGO C TEE WITH CHAMPION</t>
  </si>
  <si>
    <t>C5478R</t>
  </si>
  <si>
    <t>732995879957</t>
  </si>
  <si>
    <t>46094965122</t>
  </si>
  <si>
    <t>46094965160</t>
  </si>
  <si>
    <t>732996583839</t>
  </si>
  <si>
    <t>608381742252</t>
  </si>
  <si>
    <t>608381742276</t>
  </si>
  <si>
    <t>608381742733</t>
  </si>
  <si>
    <t>608381742764</t>
  </si>
  <si>
    <t>608381742351</t>
  </si>
  <si>
    <t>608381744768</t>
  </si>
  <si>
    <t>608381742870</t>
  </si>
  <si>
    <t>608381744959</t>
  </si>
  <si>
    <t>608381742795</t>
  </si>
  <si>
    <t>608381744942</t>
  </si>
  <si>
    <t>608381744799</t>
  </si>
  <si>
    <t>608381743327</t>
  </si>
  <si>
    <t>608381744751</t>
  </si>
  <si>
    <t>732996123684</t>
  </si>
  <si>
    <t>732996435046</t>
  </si>
  <si>
    <t>732996123653</t>
  </si>
  <si>
    <t>732996124148</t>
  </si>
  <si>
    <t>732996124155</t>
  </si>
  <si>
    <t>732996124124</t>
  </si>
  <si>
    <t>732996124131</t>
  </si>
  <si>
    <t>732995176612</t>
  </si>
  <si>
    <t>T BOXY PLAID SHORT BASIC</t>
  </si>
  <si>
    <t>100041988TB</t>
  </si>
  <si>
    <t>732995251975</t>
  </si>
  <si>
    <t>732996211503</t>
  </si>
  <si>
    <t>T CARNIVAL FOOD TNIC BASIC</t>
  </si>
  <si>
    <t>100052324TG</t>
  </si>
  <si>
    <t>732996960609</t>
  </si>
  <si>
    <t>706258821960</t>
  </si>
  <si>
    <t>46094949375</t>
  </si>
  <si>
    <t>732995176681</t>
  </si>
  <si>
    <t>T HIP HOP BUNNY TEE BASIC</t>
  </si>
  <si>
    <t>100041958TB</t>
  </si>
  <si>
    <t>732995252088</t>
  </si>
  <si>
    <t>732996892429</t>
  </si>
  <si>
    <t>732996212593</t>
  </si>
  <si>
    <t>732996891132</t>
  </si>
  <si>
    <t>732995576474</t>
  </si>
  <si>
    <t>T TROPICAL CB TEE BASIC</t>
  </si>
  <si>
    <t>100041999TB</t>
  </si>
  <si>
    <t>732996280233</t>
  </si>
  <si>
    <t>PLAID BLOOMER</t>
  </si>
  <si>
    <t>732994939140</t>
  </si>
  <si>
    <t>BOY HAT PACK</t>
  </si>
  <si>
    <t>100043500BB</t>
  </si>
  <si>
    <t>BLUE: COTTON/POLYESTER; STRIPES: 100% COTTON</t>
  </si>
  <si>
    <t>732994939164</t>
  </si>
  <si>
    <t>732995800814</t>
  </si>
  <si>
    <t>732994881227</t>
  </si>
  <si>
    <t>732994855242</t>
  </si>
  <si>
    <t>GINGHAM SHORT BASIC</t>
  </si>
  <si>
    <t>100041913BB</t>
  </si>
  <si>
    <t>732995159899</t>
  </si>
  <si>
    <t>732996892085</t>
  </si>
  <si>
    <t>732995579727</t>
  </si>
  <si>
    <t>RETRO FLOWERS LEGGIN BASIC</t>
  </si>
  <si>
    <t>100042504BG</t>
  </si>
  <si>
    <t>732995159875</t>
  </si>
  <si>
    <t>732996892078</t>
  </si>
  <si>
    <t>732996211695</t>
  </si>
  <si>
    <t>732994881203</t>
  </si>
  <si>
    <t>732994881364</t>
  </si>
  <si>
    <t>732994880985</t>
  </si>
  <si>
    <t>732994881005</t>
  </si>
  <si>
    <t>732996959399</t>
  </si>
  <si>
    <t>732996959955</t>
  </si>
  <si>
    <t>732996280127</t>
  </si>
  <si>
    <t>732994938969</t>
  </si>
  <si>
    <t>732994939003</t>
  </si>
  <si>
    <t>732994938976</t>
  </si>
  <si>
    <t>732996960173</t>
  </si>
  <si>
    <t>732995799781</t>
  </si>
  <si>
    <t>LADYBUG TUNIC BASIC</t>
  </si>
  <si>
    <t>100042528BG</t>
  </si>
  <si>
    <t>732995577761</t>
  </si>
  <si>
    <t>DAISY PEPLUM BASIC</t>
  </si>
  <si>
    <t>100042497BG</t>
  </si>
  <si>
    <t>BODY: ALL COTTON; TULLE: POLYESTER</t>
  </si>
  <si>
    <t>732994881500</t>
  </si>
  <si>
    <t>732996959481</t>
  </si>
  <si>
    <t>732996959511</t>
  </si>
  <si>
    <t>732996905204</t>
  </si>
  <si>
    <t>732995159349</t>
  </si>
  <si>
    <t>732996959832</t>
  </si>
  <si>
    <t>732996959733</t>
  </si>
  <si>
    <t>732996959566</t>
  </si>
  <si>
    <t>732996959559</t>
  </si>
  <si>
    <t>732997481943</t>
  </si>
  <si>
    <t>732995175011</t>
  </si>
  <si>
    <t>732996889474</t>
  </si>
  <si>
    <t>732996279671</t>
  </si>
  <si>
    <t>JELLYFISH BODYSUIT</t>
  </si>
  <si>
    <t>100054854BB</t>
  </si>
  <si>
    <t>732994880503</t>
  </si>
  <si>
    <t>FRENCHIE TEE BASIC</t>
  </si>
  <si>
    <t>100042420BG</t>
  </si>
  <si>
    <t>732994879781</t>
  </si>
  <si>
    <t>GIRAFFE BOW TEE BASIC</t>
  </si>
  <si>
    <t>100042413BG</t>
  </si>
  <si>
    <t>COTTON/POLYESTER; NECK BAND: COTTON/SPANDEX; TRIM: COTTON</t>
  </si>
  <si>
    <t>732994879774</t>
  </si>
  <si>
    <t>732995798531</t>
  </si>
  <si>
    <t>732995881820</t>
  </si>
  <si>
    <t>CRAZY MONSTER TEE BASIC</t>
  </si>
  <si>
    <t>100043925BB</t>
  </si>
  <si>
    <t>732994852647</t>
  </si>
  <si>
    <t>TOAD TEE BASIC</t>
  </si>
  <si>
    <t>100041890BB</t>
  </si>
  <si>
    <t>732994852548</t>
  </si>
  <si>
    <t>WRAPPED DINO TEE BASIC</t>
  </si>
  <si>
    <t>100041888BB</t>
  </si>
  <si>
    <t>COTTON/POLYESTER; NECK BAND: COTTON/SPANDEX</t>
  </si>
  <si>
    <t>732995175301</t>
  </si>
  <si>
    <t>OCTOPUS TEE BASIC</t>
  </si>
  <si>
    <t>100041960BB</t>
  </si>
  <si>
    <t>732995881875</t>
  </si>
  <si>
    <t>192170035101</t>
  </si>
  <si>
    <t>888737827523</t>
  </si>
  <si>
    <t>888737827486</t>
  </si>
  <si>
    <t>888737827530</t>
  </si>
  <si>
    <t>192170306232</t>
  </si>
  <si>
    <t>192170306287</t>
  </si>
  <si>
    <t>192170306249</t>
  </si>
  <si>
    <t>192500447949</t>
  </si>
  <si>
    <t>192136010470</t>
  </si>
  <si>
    <t>KNIT WOVEN SETF19 BPW ST</t>
  </si>
  <si>
    <t>192136010449</t>
  </si>
  <si>
    <t>192135979501</t>
  </si>
  <si>
    <t>192135979457</t>
  </si>
  <si>
    <t>192135980262</t>
  </si>
  <si>
    <t>BSPSF19 G BSPS CHEETAH</t>
  </si>
  <si>
    <t>192135979945</t>
  </si>
  <si>
    <t>841120016409</t>
  </si>
  <si>
    <t>2 TONE HI LOW DRESS</t>
  </si>
  <si>
    <t>AQ312</t>
  </si>
  <si>
    <t>SELF &amp; LINING: 100% POLYESTER</t>
  </si>
  <si>
    <t>809115507776</t>
  </si>
  <si>
    <t>843001166968</t>
  </si>
  <si>
    <t>KATIE POLKA DOT DRESS</t>
  </si>
  <si>
    <t>LR721-803-1064</t>
  </si>
  <si>
    <t>LITTLE RAILS/RAILS INTL-MCYNET CNSG</t>
  </si>
  <si>
    <t>TENCEL® LYOCELL/LINEN</t>
  </si>
  <si>
    <t>192334639756</t>
  </si>
  <si>
    <t>GIRLS ZIP UP HOODIE</t>
  </si>
  <si>
    <t>BTGB7357</t>
  </si>
  <si>
    <t>192334640301</t>
  </si>
  <si>
    <t>MINERAL FREEDOM HOODY</t>
  </si>
  <si>
    <t>BTGL7929</t>
  </si>
  <si>
    <t>843001166470</t>
  </si>
  <si>
    <t>BRETTE BANDED TOP</t>
  </si>
  <si>
    <t>LR200-806-409</t>
  </si>
  <si>
    <t>55% LINEN 45% RAYON</t>
  </si>
  <si>
    <t>810008624050</t>
  </si>
  <si>
    <t>FLORAL JUMPSUIT</t>
  </si>
  <si>
    <t>KJP1198X-2</t>
  </si>
  <si>
    <t>PLAY SIX/MAJ INC</t>
  </si>
  <si>
    <t>61% POLYESTER/33% RAYON/6% SPANDEX</t>
  </si>
  <si>
    <t>791088836932</t>
  </si>
  <si>
    <t>BURGUNDY W/SILVER HI LOW</t>
  </si>
  <si>
    <t>F470029</t>
  </si>
  <si>
    <t>191524584197</t>
  </si>
  <si>
    <t>TREFOIL HOODIE</t>
  </si>
  <si>
    <t>DV2871</t>
  </si>
  <si>
    <t>MADE IN PAKISTAN</t>
  </si>
  <si>
    <t>COTTON/POLYESTER (RECYCLED)</t>
  </si>
  <si>
    <t>884733896549</t>
  </si>
  <si>
    <t>192500032336</t>
  </si>
  <si>
    <t>809115544405</t>
  </si>
  <si>
    <t>PRINCESS DRESS</t>
  </si>
  <si>
    <t>LA-197</t>
  </si>
  <si>
    <t>93% POLYESTER/7% SPANDEX; LINING: 100% POLYESTER</t>
  </si>
  <si>
    <t>809115528535</t>
  </si>
  <si>
    <t>PRINTED KNIT DRESS</t>
  </si>
  <si>
    <t>LA-258</t>
  </si>
  <si>
    <t>SELF: 88% POLYESTER/12% SPANDEX; LINING: 100% POLYESTER</t>
  </si>
  <si>
    <t>849996030444</t>
  </si>
  <si>
    <t>MIX PRINT WRAP DRESS</t>
  </si>
  <si>
    <t>KDD1306</t>
  </si>
  <si>
    <t>97% POLYESTER/3% SPANDEX</t>
  </si>
  <si>
    <t>849996030413</t>
  </si>
  <si>
    <t>193579337407</t>
  </si>
  <si>
    <t>193579337735</t>
  </si>
  <si>
    <t>WARREN LS OXFORD SHIRT</t>
  </si>
  <si>
    <t>TBFCB49J-403</t>
  </si>
  <si>
    <t>884733654552</t>
  </si>
  <si>
    <t>STRTCH TISSUE CHINO-BELT</t>
  </si>
  <si>
    <t>849996029813</t>
  </si>
  <si>
    <t>SHRD OFF SHLDR DRS</t>
  </si>
  <si>
    <t>KD1400</t>
  </si>
  <si>
    <t>100% RAYON</t>
  </si>
  <si>
    <t>810008624272</t>
  </si>
  <si>
    <t>STAY CHILL T</t>
  </si>
  <si>
    <t>KS10161X</t>
  </si>
  <si>
    <t>96% RAYON/4% SPANDEX</t>
  </si>
  <si>
    <t>613514594868</t>
  </si>
  <si>
    <t>PRINTED CUT OUT BACK SWE</t>
  </si>
  <si>
    <t>PIPPA &amp; JULIE/PASTOURELLE LLC</t>
  </si>
  <si>
    <t>849996030345</t>
  </si>
  <si>
    <t>SPAG STRP DRS W RFFL</t>
  </si>
  <si>
    <t>KD1436</t>
  </si>
  <si>
    <t>100% TENCEL® LYOCELL</t>
  </si>
  <si>
    <t>849996029509</t>
  </si>
  <si>
    <t>193579334567</t>
  </si>
  <si>
    <t>191524980999</t>
  </si>
  <si>
    <t>OUTLINE SHORT</t>
  </si>
  <si>
    <t>DY9361</t>
  </si>
  <si>
    <t>COTTON/RECYCLED POLYESTER</t>
  </si>
  <si>
    <t>192564328581</t>
  </si>
  <si>
    <t>191524981033</t>
  </si>
  <si>
    <t>MADE IN TURKEY</t>
  </si>
  <si>
    <t>COTTON / POLYESTER</t>
  </si>
  <si>
    <t>191524980951</t>
  </si>
  <si>
    <t>28399589357</t>
  </si>
  <si>
    <t>NO C LOPSY LAMB COMFY COZ</t>
  </si>
  <si>
    <t>810015461969</t>
  </si>
  <si>
    <t>LEOPARD TIE FRONT TANK</t>
  </si>
  <si>
    <t>KEM6170L</t>
  </si>
  <si>
    <t>192042538143</t>
  </si>
  <si>
    <t>LS JUSTIN CHAMBRAY SHIRT</t>
  </si>
  <si>
    <t>61FB4159</t>
  </si>
  <si>
    <t>7613414576240</t>
  </si>
  <si>
    <t>PLACEHOLDER3</t>
  </si>
  <si>
    <t>J93A18D3JV0</t>
  </si>
  <si>
    <t>192334643739</t>
  </si>
  <si>
    <t>HUNTINGTON BEACH TANK</t>
  </si>
  <si>
    <t>BTGB7519</t>
  </si>
  <si>
    <t>192504218897</t>
  </si>
  <si>
    <t>BETTER DAY</t>
  </si>
  <si>
    <t>ERGWD03077</t>
  </si>
  <si>
    <t>809115547079</t>
  </si>
  <si>
    <t>SCUBA CREPE DRESS</t>
  </si>
  <si>
    <t>B7-9477</t>
  </si>
  <si>
    <t>96% POLYESTER 4% SPANDEX; LINING: 100% POLYESTER</t>
  </si>
  <si>
    <t>810015461181</t>
  </si>
  <si>
    <t>TEE W/HELLO SCREEN</t>
  </si>
  <si>
    <t>KZ8214X</t>
  </si>
  <si>
    <t>4 PRETEEN</t>
  </si>
  <si>
    <t>95% RAYON/5% SPANDEX</t>
  </si>
  <si>
    <t>880680836263</t>
  </si>
  <si>
    <t>DIP DYE TEE DRESS</t>
  </si>
  <si>
    <t>TGSCH42S-660</t>
  </si>
  <si>
    <t>191539408556</t>
  </si>
  <si>
    <t>BLUSH AND WHT W FLOWER B</t>
  </si>
  <si>
    <t>B58507-PS</t>
  </si>
  <si>
    <t>SHELL: POLYESTER/RAYON; LINING, SKIRT, PANTY: POLYESTER</t>
  </si>
  <si>
    <t>191045886909</t>
  </si>
  <si>
    <t>CORK WRAPPED WEDGE SANDA</t>
  </si>
  <si>
    <t>SGK VANILLA BEAN</t>
  </si>
  <si>
    <t>FAUX LEATHER UPPER, FAUX LATHER LINING, RUBBER SOLE</t>
  </si>
  <si>
    <t>849996029790</t>
  </si>
  <si>
    <t>RUFFLE SLEEVE TOP</t>
  </si>
  <si>
    <t>KTD1268</t>
  </si>
  <si>
    <t>192042718699</t>
  </si>
  <si>
    <t>192042718675</t>
  </si>
  <si>
    <t>192042718651</t>
  </si>
  <si>
    <t>192042718668</t>
  </si>
  <si>
    <t>192042718576</t>
  </si>
  <si>
    <t>192042718774</t>
  </si>
  <si>
    <t>192042718590</t>
  </si>
  <si>
    <t>756998891792</t>
  </si>
  <si>
    <t>756998891747</t>
  </si>
  <si>
    <t>756998891679</t>
  </si>
  <si>
    <t>MASH UP RACERBACK ONE PI</t>
  </si>
  <si>
    <t>NESS9613DS</t>
  </si>
  <si>
    <t>756998891754</t>
  </si>
  <si>
    <t>192564340224</t>
  </si>
  <si>
    <t>UA SUN ARMOUR TEE</t>
  </si>
  <si>
    <t>192564340262</t>
  </si>
  <si>
    <t>794893997461</t>
  </si>
  <si>
    <t>FLORAL RUFFLE SHORT</t>
  </si>
  <si>
    <t>G279</t>
  </si>
  <si>
    <t>MADE IN USA OF IMPORTED MATERIALS</t>
  </si>
  <si>
    <t>98% POLYESTER/2% SPANDEX</t>
  </si>
  <si>
    <t>191524543828</t>
  </si>
  <si>
    <t>DV2878</t>
  </si>
  <si>
    <t>617847425677</t>
  </si>
  <si>
    <t>NIKE DRY GFX PANT</t>
  </si>
  <si>
    <t>8MD569G</t>
  </si>
  <si>
    <t>884733972564</t>
  </si>
  <si>
    <t>BASIC MESH-SS KC-TOPS-KN</t>
  </si>
  <si>
    <t>756998891556</t>
  </si>
  <si>
    <t>756998891525</t>
  </si>
  <si>
    <t>810015466162</t>
  </si>
  <si>
    <t>TD TIERED DRESS</t>
  </si>
  <si>
    <t>KB2771</t>
  </si>
  <si>
    <t>810015466155</t>
  </si>
  <si>
    <t>192042698533</t>
  </si>
  <si>
    <t>OPEN DOT PRNT SHIRT</t>
  </si>
  <si>
    <t>K8B0035-424</t>
  </si>
  <si>
    <t>627962585316</t>
  </si>
  <si>
    <t>STRIPE S/S BUTTON UP TUN</t>
  </si>
  <si>
    <t>1353259 AG</t>
  </si>
  <si>
    <t>AQUA/DEX BROS CLOTHING CO LTD</t>
  </si>
  <si>
    <t>627962585323</t>
  </si>
  <si>
    <t>810008624487</t>
  </si>
  <si>
    <t>TD LCE UP</t>
  </si>
  <si>
    <t>KCC5168</t>
  </si>
  <si>
    <t>94% POLYESTER/6% SPANDEX</t>
  </si>
  <si>
    <t>633716922528</t>
  </si>
  <si>
    <t>2PC LOGO TEE SHORT SET</t>
  </si>
  <si>
    <t>610296F</t>
  </si>
  <si>
    <t>TOP: COTTON/POLYESTER; SHORTS: COTTON/POLYESTER/ELASTANE</t>
  </si>
  <si>
    <t>192500041093</t>
  </si>
  <si>
    <t>714232648984</t>
  </si>
  <si>
    <t>FLAMINGO LUV</t>
  </si>
  <si>
    <t>CHTW70-CHK1183-GL-K</t>
  </si>
  <si>
    <t>714232648991</t>
  </si>
  <si>
    <t>192399794490</t>
  </si>
  <si>
    <t>636206542954</t>
  </si>
  <si>
    <t>192399513626</t>
  </si>
  <si>
    <t>RUNNING CAMO WOVEN SHORT</t>
  </si>
  <si>
    <t>AH5428</t>
  </si>
  <si>
    <t>617846994129</t>
  </si>
  <si>
    <t>Knit Overall BASIC</t>
  </si>
  <si>
    <t>617750F</t>
  </si>
  <si>
    <t>192564357475</t>
  </si>
  <si>
    <t>INFINITY TWIST BACK TANK</t>
  </si>
  <si>
    <t>192564494880</t>
  </si>
  <si>
    <t>192500029824</t>
  </si>
  <si>
    <t>G NK TROPHY BREATHE GX T</t>
  </si>
  <si>
    <t>608381425391</t>
  </si>
  <si>
    <t>GLRFRIEND PAINT DNIM</t>
  </si>
  <si>
    <t>100029682GR</t>
  </si>
  <si>
    <t>COTTON/RAYON/POLYESTER/SPANDEX</t>
  </si>
  <si>
    <t>608381425414</t>
  </si>
  <si>
    <t>608381425407</t>
  </si>
  <si>
    <t>880680749259</t>
  </si>
  <si>
    <t>GLOBAL STRIPE JOHNNY</t>
  </si>
  <si>
    <t>TGSCB02S-411</t>
  </si>
  <si>
    <t>732996105642</t>
  </si>
  <si>
    <t>633716872700</t>
  </si>
  <si>
    <t>MAKE THE RULES</t>
  </si>
  <si>
    <t>16E901G</t>
  </si>
  <si>
    <t>T-SHIRT/SHORTS: COTTON/POLYESTER</t>
  </si>
  <si>
    <t>192399962134</t>
  </si>
  <si>
    <t>816523025761</t>
  </si>
  <si>
    <t>GRAB &amp; GO ROUND TRIP TRA</t>
  </si>
  <si>
    <t>887622867804</t>
  </si>
  <si>
    <t>3G52630-99</t>
  </si>
  <si>
    <t>887622867545</t>
  </si>
  <si>
    <t>636193066013</t>
  </si>
  <si>
    <t>608381291392</t>
  </si>
  <si>
    <t>TULIP HOODIE</t>
  </si>
  <si>
    <t>100036749G</t>
  </si>
  <si>
    <t>608381291330</t>
  </si>
  <si>
    <t>608381291361</t>
  </si>
  <si>
    <t>889799637228</t>
  </si>
  <si>
    <t>FROZEN CTTN 2FER SS/SL</t>
  </si>
  <si>
    <t>FZ852GSSMA</t>
  </si>
  <si>
    <t>732996380681</t>
  </si>
  <si>
    <t>732996176963</t>
  </si>
  <si>
    <t>METALLIC TUNIC SET</t>
  </si>
  <si>
    <t>100051798BG</t>
  </si>
  <si>
    <t>TUNIC/TULLE UNDERLAY: POLYESTER; TUNIC LINING: POLYESTER/COTTON; LEGGINGS: POLYESTER/METALLIC</t>
  </si>
  <si>
    <t>880680761879</t>
  </si>
  <si>
    <t>SIDE SWIPE SHORT</t>
  </si>
  <si>
    <t>27G55613-42</t>
  </si>
  <si>
    <t>732995104424</t>
  </si>
  <si>
    <t>191888147069</t>
  </si>
  <si>
    <t>B NK DRY TEE JDI SOCCER</t>
  </si>
  <si>
    <t>AR5304</t>
  </si>
  <si>
    <t>191169058008</t>
  </si>
  <si>
    <t>HEATGEAR ARMOUR BRA</t>
  </si>
  <si>
    <t>193579295462</t>
  </si>
  <si>
    <t>880680218618</t>
  </si>
  <si>
    <t>REINI 1-PCE SWIMSUIT</t>
  </si>
  <si>
    <t>TGSCK26H-411</t>
  </si>
  <si>
    <t>880680218625</t>
  </si>
  <si>
    <t>880680218403</t>
  </si>
  <si>
    <t>880680218793</t>
  </si>
  <si>
    <t>DITA 1-PCE SWIMSUIT</t>
  </si>
  <si>
    <t>TGSCK11H-446</t>
  </si>
  <si>
    <t>880680219011</t>
  </si>
  <si>
    <t>880680460239</t>
  </si>
  <si>
    <t>FLOUNCE TANKINI SET</t>
  </si>
  <si>
    <t>35G36712-64</t>
  </si>
  <si>
    <t>CALVIN KLEIN GIRL SWIM/KHQ INVESTMN</t>
  </si>
  <si>
    <t>633716806088</t>
  </si>
  <si>
    <t>617844868507</t>
  </si>
  <si>
    <t>SPLATTER PRINT FT SHORT</t>
  </si>
  <si>
    <t>969484E</t>
  </si>
  <si>
    <t>617844868491</t>
  </si>
  <si>
    <t>880680628363</t>
  </si>
  <si>
    <t>732994442534</t>
  </si>
  <si>
    <t>FOIL SPACEDYE JACKET</t>
  </si>
  <si>
    <t>100020180GP</t>
  </si>
  <si>
    <t>193579018184</t>
  </si>
  <si>
    <t>KNOTTED STRAP TANK</t>
  </si>
  <si>
    <t>35G34008-01</t>
  </si>
  <si>
    <t>732995521320</t>
  </si>
  <si>
    <t>SIDETAPE DENIM SHORT</t>
  </si>
  <si>
    <t>100053085GR</t>
  </si>
  <si>
    <t>193579295530</t>
  </si>
  <si>
    <t>TBFCA12J-405</t>
  </si>
  <si>
    <t>193579296148</t>
  </si>
  <si>
    <t>TILED TEE</t>
  </si>
  <si>
    <t>TBFCA23J-750</t>
  </si>
  <si>
    <t>193579296155</t>
  </si>
  <si>
    <t>732995520835</t>
  </si>
  <si>
    <t>884733480830</t>
  </si>
  <si>
    <t>617847378317</t>
  </si>
  <si>
    <t>RUFFLED OVERSIZED KNIT T</t>
  </si>
  <si>
    <t>414710F</t>
  </si>
  <si>
    <t>192769049571</t>
  </si>
  <si>
    <t>1 PC02519-FLORAL FIELD</t>
  </si>
  <si>
    <t>192769049045</t>
  </si>
  <si>
    <t>192769048918</t>
  </si>
  <si>
    <t>1PC06102-SUNSHINE</t>
  </si>
  <si>
    <t>193579356125</t>
  </si>
  <si>
    <t>TULIP SLEEVE T SHIRT</t>
  </si>
  <si>
    <t>35H34106-35</t>
  </si>
  <si>
    <t>192135616161</t>
  </si>
  <si>
    <t>S19 PINK FLOWER TUTU</t>
  </si>
  <si>
    <t>258H215</t>
  </si>
  <si>
    <t>48238365621</t>
  </si>
  <si>
    <t>STAR KITTY DRESS</t>
  </si>
  <si>
    <t>TD6405GHK0371</t>
  </si>
  <si>
    <t>880680628035</t>
  </si>
  <si>
    <t>795459804032</t>
  </si>
  <si>
    <t>OFF THE SHOULDER FLOUNCE</t>
  </si>
  <si>
    <t>MBW270001</t>
  </si>
  <si>
    <t>795459804155</t>
  </si>
  <si>
    <t>795459804179</t>
  </si>
  <si>
    <t>732996129709</t>
  </si>
  <si>
    <t>AOP STAR POM DRESS</t>
  </si>
  <si>
    <t>100056969LG</t>
  </si>
  <si>
    <t>192136215530</t>
  </si>
  <si>
    <t>TUTU COLLECTIONF19 PURPL</t>
  </si>
  <si>
    <t>COTTON/ELASTANE JERSEY</t>
  </si>
  <si>
    <t>732995567779</t>
  </si>
  <si>
    <t>AOP BFLIES ROMPER</t>
  </si>
  <si>
    <t>100046874LG</t>
  </si>
  <si>
    <t>636193086431</t>
  </si>
  <si>
    <t>732995324914</t>
  </si>
  <si>
    <t>DENIM TAPED JOGGER</t>
  </si>
  <si>
    <t>100046687LB</t>
  </si>
  <si>
    <t>732996105604</t>
  </si>
  <si>
    <t>693186567964</t>
  </si>
  <si>
    <t>MINNIE 5 PC SET</t>
  </si>
  <si>
    <t>KD7P9IDSYMA</t>
  </si>
  <si>
    <t>BIOWORLD MERCHANDISING</t>
  </si>
  <si>
    <t>SHELL: POLYESTER; LINING: POLYESTER</t>
  </si>
  <si>
    <t>192135601235</t>
  </si>
  <si>
    <t>LAYETTE BATH TOWEL GIRL</t>
  </si>
  <si>
    <t>732995050479</t>
  </si>
  <si>
    <t>192500613429</t>
  </si>
  <si>
    <t>G NSW TEE DPTL SCRIPT FU</t>
  </si>
  <si>
    <t>BQ0991</t>
  </si>
  <si>
    <t>191358634273</t>
  </si>
  <si>
    <t>BLAC LOW IMPACT Y-BACK BR</t>
  </si>
  <si>
    <t>AB7008</t>
  </si>
  <si>
    <t>192399965562</t>
  </si>
  <si>
    <t>SS CURVED HEM TEE</t>
  </si>
  <si>
    <t>AA4689</t>
  </si>
  <si>
    <t>880680579894</t>
  </si>
  <si>
    <t>192399592409</t>
  </si>
  <si>
    <t>732995514490</t>
  </si>
  <si>
    <t>STAR DENIM SHORT</t>
  </si>
  <si>
    <t>100047072GR</t>
  </si>
  <si>
    <t>46094961810</t>
  </si>
  <si>
    <t>2PK CROP BRA</t>
  </si>
  <si>
    <t>46094961834</t>
  </si>
  <si>
    <t>193579182557</t>
  </si>
  <si>
    <t>LS NVY STRIPE FLORAL SET</t>
  </si>
  <si>
    <t>11H02609-99</t>
  </si>
  <si>
    <t>889799636306</t>
  </si>
  <si>
    <t>MINNIE 3 PC SET (2 TOPS)</t>
  </si>
  <si>
    <t>MW763TZOMA</t>
  </si>
  <si>
    <t>46094960394</t>
  </si>
  <si>
    <t>46094960417</t>
  </si>
  <si>
    <t>46094960400</t>
  </si>
  <si>
    <t>636202746882</t>
  </si>
  <si>
    <t>MERMAID RASHGUARD</t>
  </si>
  <si>
    <t>100042121G</t>
  </si>
  <si>
    <t>783466321451</t>
  </si>
  <si>
    <t>UA CHARGED CREW 6 PACK</t>
  </si>
  <si>
    <t>U3221P6</t>
  </si>
  <si>
    <t>7-8.5</t>
  </si>
  <si>
    <t>192136178309</t>
  </si>
  <si>
    <t>CORE SETS 3F19 MAGENTA P</t>
  </si>
  <si>
    <t>696114315699</t>
  </si>
  <si>
    <t>AWESOME PANT SET</t>
  </si>
  <si>
    <t>54069-MA</t>
  </si>
  <si>
    <t>617847522307</t>
  </si>
  <si>
    <t>732994877763</t>
  </si>
  <si>
    <t>PHT FLOWER 2FER TANK</t>
  </si>
  <si>
    <t>100044397GR</t>
  </si>
  <si>
    <t>617844780373</t>
  </si>
  <si>
    <t>617844780366</t>
  </si>
  <si>
    <t>46094831649</t>
  </si>
  <si>
    <t>46094840030</t>
  </si>
  <si>
    <t>46094840054</t>
  </si>
  <si>
    <t>732996104942</t>
  </si>
  <si>
    <t>732996104928</t>
  </si>
  <si>
    <t>732996104959</t>
  </si>
  <si>
    <t>192135615829</t>
  </si>
  <si>
    <t>S19 PURPLE JAQUARD SHORT</t>
  </si>
  <si>
    <t>239G903</t>
  </si>
  <si>
    <t>192135619322</t>
  </si>
  <si>
    <t>S19 PINK SKETCH GRAPHIC</t>
  </si>
  <si>
    <t>239G896</t>
  </si>
  <si>
    <t>889338676527</t>
  </si>
  <si>
    <t>192135612347</t>
  </si>
  <si>
    <t>S19 BUNCHED FLOWER TANK</t>
  </si>
  <si>
    <t>239G901</t>
  </si>
  <si>
    <t>TOP: COTTON/POLYESTER; SHORTS: COTTON/ELASTANE</t>
  </si>
  <si>
    <t>608356088460</t>
  </si>
  <si>
    <t>GIRL FUR CHUKKA</t>
  </si>
  <si>
    <t>100040368BG</t>
  </si>
  <si>
    <t>FAUX LEATHER; FAUX FUR: POLYESTER</t>
  </si>
  <si>
    <t>608356088484</t>
  </si>
  <si>
    <t>608356088477</t>
  </si>
  <si>
    <t>193585146215</t>
  </si>
  <si>
    <t>46094957219</t>
  </si>
  <si>
    <t>46094957103</t>
  </si>
  <si>
    <t>732996105093</t>
  </si>
  <si>
    <t>48283891151</t>
  </si>
  <si>
    <t>889898101187</t>
  </si>
  <si>
    <t>WHBL SUSIE</t>
  </si>
  <si>
    <t>MK1802T3</t>
  </si>
  <si>
    <t>49% MODAL/48% COTTON/3% POLYESTER</t>
  </si>
  <si>
    <t>732996105253</t>
  </si>
  <si>
    <t>732995050240</t>
  </si>
  <si>
    <t>640013643902</t>
  </si>
  <si>
    <t>640013643872</t>
  </si>
  <si>
    <t>640013784940</t>
  </si>
  <si>
    <t>640013784933</t>
  </si>
  <si>
    <t>732996105154</t>
  </si>
  <si>
    <t>732996105239</t>
  </si>
  <si>
    <t>732996105147</t>
  </si>
  <si>
    <t>732996105123</t>
  </si>
  <si>
    <t>732994441582</t>
  </si>
  <si>
    <t>SPACE JAM LEGGING</t>
  </si>
  <si>
    <t>100018448G</t>
  </si>
  <si>
    <t>192136218210</t>
  </si>
  <si>
    <t>BSPSF19 N BSPS FIRST</t>
  </si>
  <si>
    <t>26217506302</t>
  </si>
  <si>
    <t>DINO BONES/BLACK REVERSI</t>
  </si>
  <si>
    <t>12LV020Z01</t>
  </si>
  <si>
    <t>732995103632</t>
  </si>
  <si>
    <t>GIRLS SLAY ONE PIECE</t>
  </si>
  <si>
    <t>100046172GR</t>
  </si>
  <si>
    <t>732995103618</t>
  </si>
  <si>
    <t>192135746448</t>
  </si>
  <si>
    <t>BOY RASHGUARDS19 SHARK F</t>
  </si>
  <si>
    <t>732995346398</t>
  </si>
  <si>
    <t>100042095BG</t>
  </si>
  <si>
    <t>SHORTALLS/T-SHIRT: COTTON/POLYESTER; BOW: COTTON/SPANDEX</t>
  </si>
  <si>
    <t>608356088422</t>
  </si>
  <si>
    <t>GIRL CRIB SHOE</t>
  </si>
  <si>
    <t>100030479BG</t>
  </si>
  <si>
    <t>732996378077</t>
  </si>
  <si>
    <t>732995135114</t>
  </si>
  <si>
    <t>STUNNER 2FER TEE</t>
  </si>
  <si>
    <t>100044401GR</t>
  </si>
  <si>
    <t>POLYESTER/COTTON; CONTRAST: POLYESTER/SPANDEX</t>
  </si>
  <si>
    <t>732995135091</t>
  </si>
  <si>
    <t>192135978405</t>
  </si>
  <si>
    <t>192135618318</t>
  </si>
  <si>
    <t>S19 GLITTER IS MY FAVORI</t>
  </si>
  <si>
    <t>253I132</t>
  </si>
  <si>
    <t>BODY: COTTON/ELASTANE; MESH: POLYESTER</t>
  </si>
  <si>
    <t>732996348216</t>
  </si>
  <si>
    <t>732995104189</t>
  </si>
  <si>
    <t>732995071726</t>
  </si>
  <si>
    <t>732995051735</t>
  </si>
  <si>
    <t>100044426GR</t>
  </si>
  <si>
    <t>732996086125</t>
  </si>
  <si>
    <t>PALM RASH GUARD</t>
  </si>
  <si>
    <t>100054233GR</t>
  </si>
  <si>
    <t>732995050325</t>
  </si>
  <si>
    <t>732994976718</t>
  </si>
  <si>
    <t>FLAMINGO BUBBLE</t>
  </si>
  <si>
    <t>100043174BG</t>
  </si>
  <si>
    <t>DRESS: POLYESTER; LINING: POLYESTER</t>
  </si>
  <si>
    <t>732996085883</t>
  </si>
  <si>
    <t>46094964774</t>
  </si>
  <si>
    <t>SOFT CROP BRA</t>
  </si>
  <si>
    <t>BODY AND LINING: NYLON/SPANDEX</t>
  </si>
  <si>
    <t>46094964743</t>
  </si>
  <si>
    <t>633716934736</t>
  </si>
  <si>
    <t>AOP TROPHY SHORT</t>
  </si>
  <si>
    <t>86E858G</t>
  </si>
  <si>
    <t>732994268578</t>
  </si>
  <si>
    <t>UNICORN TOWEL</t>
  </si>
  <si>
    <t>100021354BG</t>
  </si>
  <si>
    <t>735869366942</t>
  </si>
  <si>
    <t>735869366959</t>
  </si>
  <si>
    <t>732996085708</t>
  </si>
  <si>
    <t>100054252LB</t>
  </si>
  <si>
    <t>193467012256</t>
  </si>
  <si>
    <t>193467012553</t>
  </si>
  <si>
    <t>636202748558</t>
  </si>
  <si>
    <t>STAR BOTTOM</t>
  </si>
  <si>
    <t>100042126G</t>
  </si>
  <si>
    <t>636202748565</t>
  </si>
  <si>
    <t>636202748503</t>
  </si>
  <si>
    <t>46094840306</t>
  </si>
  <si>
    <t>732994658485</t>
  </si>
  <si>
    <t>TIARA SS TUTU DRESS</t>
  </si>
  <si>
    <t>100033920LG</t>
  </si>
  <si>
    <t>POLYESTER/RAYON; LINING: POLYESTER</t>
  </si>
  <si>
    <t>732996084763</t>
  </si>
  <si>
    <t>640013645937</t>
  </si>
  <si>
    <t>CRANIUM SKULL PRINT</t>
  </si>
  <si>
    <t>UB1191464</t>
  </si>
  <si>
    <t>885779990611</t>
  </si>
  <si>
    <t>16 REG</t>
  </si>
  <si>
    <t>192136003717</t>
  </si>
  <si>
    <t>192135977163</t>
  </si>
  <si>
    <t>1 PCF19 G 1 PC PINK FLOR</t>
  </si>
  <si>
    <t>192136003229</t>
  </si>
  <si>
    <t>192135977507</t>
  </si>
  <si>
    <t>1 PCF19 B 1PC GREY CUTE</t>
  </si>
  <si>
    <t>192135976562</t>
  </si>
  <si>
    <t>192135977408</t>
  </si>
  <si>
    <t>690691005004</t>
  </si>
  <si>
    <t>UNICORN CIRCLE HEATSEAL</t>
  </si>
  <si>
    <t>1663355K8507</t>
  </si>
  <si>
    <t>690691005011</t>
  </si>
  <si>
    <t>756500009745</t>
  </si>
  <si>
    <t>756500009790</t>
  </si>
  <si>
    <t>756500009554</t>
  </si>
  <si>
    <t>STRIPE PURPLE</t>
  </si>
  <si>
    <t>81BK1490</t>
  </si>
  <si>
    <t>46094831571</t>
  </si>
  <si>
    <t>SEAMLESS HYBRID STRAPLES</t>
  </si>
  <si>
    <t>M4392</t>
  </si>
  <si>
    <t>30 A</t>
  </si>
  <si>
    <t>48283013300</t>
  </si>
  <si>
    <t>ROYA SS PERFORM POLO BASIC</t>
  </si>
  <si>
    <t>N881605E</t>
  </si>
  <si>
    <t>732996031668</t>
  </si>
  <si>
    <t>732996031682</t>
  </si>
  <si>
    <t>732995103830</t>
  </si>
  <si>
    <t>732995103847</t>
  </si>
  <si>
    <t>735869409830</t>
  </si>
  <si>
    <t>46094964781</t>
  </si>
  <si>
    <t>732995070552</t>
  </si>
  <si>
    <t>PRINTED CAGE LEGGING</t>
  </si>
  <si>
    <t>100044349LG</t>
  </si>
  <si>
    <t>COTTON/POLYESTER/SPANDEX; TRIM: COTTON/SPANDEX</t>
  </si>
  <si>
    <t>732995697186</t>
  </si>
  <si>
    <t>732996031576</t>
  </si>
  <si>
    <t>100054263LB</t>
  </si>
  <si>
    <t>732995697216</t>
  </si>
  <si>
    <t>732995520620</t>
  </si>
  <si>
    <t>SOLID BODYSUIT</t>
  </si>
  <si>
    <t>100053104GR</t>
  </si>
  <si>
    <t>732995103892</t>
  </si>
  <si>
    <t>732996085616</t>
  </si>
  <si>
    <t>PINEAPPLE OPP ROMPER</t>
  </si>
  <si>
    <t>100057125GR</t>
  </si>
  <si>
    <t>46094421079</t>
  </si>
  <si>
    <t>CROP 3PK HTHR GRY/BLK/WHBASIC</t>
  </si>
  <si>
    <t>H2563</t>
  </si>
  <si>
    <t>46094948835</t>
  </si>
  <si>
    <t>732995161564</t>
  </si>
  <si>
    <t>PRINTED EYELET TOP BASIC</t>
  </si>
  <si>
    <t>100043812BG</t>
  </si>
  <si>
    <t>732995104080</t>
  </si>
  <si>
    <t>SOLID SHORT</t>
  </si>
  <si>
    <t>100046182GR</t>
  </si>
  <si>
    <t>732995103991</t>
  </si>
  <si>
    <t>732995104042</t>
  </si>
  <si>
    <t>192135009673</t>
  </si>
  <si>
    <t>F18 SOLID PINK COZY LEGG</t>
  </si>
  <si>
    <t>236G849</t>
  </si>
  <si>
    <t>732994666961</t>
  </si>
  <si>
    <t>3PK LACE HOLIDAY SOC</t>
  </si>
  <si>
    <t>100030808BG</t>
  </si>
  <si>
    <t>COTTON/NYLON/SPANDEX; TULLE LACE: POLYESTER</t>
  </si>
  <si>
    <t>732996086156</t>
  </si>
  <si>
    <t>PALM BOY SHORT</t>
  </si>
  <si>
    <t>100054234GR</t>
  </si>
  <si>
    <t>732996086170</t>
  </si>
  <si>
    <t>732996086163</t>
  </si>
  <si>
    <t>732995696271</t>
  </si>
  <si>
    <t>CHECKERBOARD SHORT BASIC</t>
  </si>
  <si>
    <t>100044710LB</t>
  </si>
  <si>
    <t>732995165036</t>
  </si>
  <si>
    <t>TULLE BIKINI SET BASIC</t>
  </si>
  <si>
    <t>100030074BG</t>
  </si>
  <si>
    <t>46094949016</t>
  </si>
  <si>
    <t>46094949009</t>
  </si>
  <si>
    <t>735869359821</t>
  </si>
  <si>
    <t>FRENCH TERRY C LOGO TEE</t>
  </si>
  <si>
    <t>C7485M</t>
  </si>
  <si>
    <t>732996525662</t>
  </si>
  <si>
    <t>732995262049</t>
  </si>
  <si>
    <t>889338717237</t>
  </si>
  <si>
    <t>192135384749</t>
  </si>
  <si>
    <t>S19 INTERLOCK MINT BUNNY</t>
  </si>
  <si>
    <t>732994877527</t>
  </si>
  <si>
    <t>46094635131</t>
  </si>
  <si>
    <t>732994268417</t>
  </si>
  <si>
    <t>LLAMA HAT</t>
  </si>
  <si>
    <t>46094689745</t>
  </si>
  <si>
    <t>MF SMLS RCRBK RCHD C BASIC</t>
  </si>
  <si>
    <t>M4338</t>
  </si>
  <si>
    <t>46094567272</t>
  </si>
  <si>
    <t>732996528427</t>
  </si>
  <si>
    <t>732996031705</t>
  </si>
  <si>
    <t>732996528403</t>
  </si>
  <si>
    <t>732995513912</t>
  </si>
  <si>
    <t>100046991GR</t>
  </si>
  <si>
    <t>732995136784</t>
  </si>
  <si>
    <t>AOP STAR LEGGING</t>
  </si>
  <si>
    <t>100046970GR</t>
  </si>
  <si>
    <t>46094645710</t>
  </si>
  <si>
    <t>732995697094</t>
  </si>
  <si>
    <t>608381742245</t>
  </si>
  <si>
    <t>100043507GR</t>
  </si>
  <si>
    <t>46094592113</t>
  </si>
  <si>
    <t>Grey/White 2PK Crop Bra BASIC</t>
  </si>
  <si>
    <t>M2527</t>
  </si>
  <si>
    <t>WUNDIES</t>
  </si>
  <si>
    <t>732995103663</t>
  </si>
  <si>
    <t>HIGH NECK BIKINI TOP</t>
  </si>
  <si>
    <t>100046173GR</t>
  </si>
  <si>
    <t>732995103915</t>
  </si>
  <si>
    <t>46094703977</t>
  </si>
  <si>
    <t>LACE CROP 2PK</t>
  </si>
  <si>
    <t>M4362</t>
  </si>
  <si>
    <t>732996086255</t>
  </si>
  <si>
    <t>732996086224</t>
  </si>
  <si>
    <t>732996086248</t>
  </si>
  <si>
    <t>46094592168</t>
  </si>
  <si>
    <t>Nude/white 2PK Crop Bra BASIC</t>
  </si>
  <si>
    <t>696114316672</t>
  </si>
  <si>
    <t>PINEAPPLE PRINT T SHIRT</t>
  </si>
  <si>
    <t>840128-MA</t>
  </si>
  <si>
    <t>46094819050</t>
  </si>
  <si>
    <t>735869355229</t>
  </si>
  <si>
    <t>5RENCH TERRY C</t>
  </si>
  <si>
    <t>C5485M</t>
  </si>
  <si>
    <t>732995552911</t>
  </si>
  <si>
    <t>732995695472</t>
  </si>
  <si>
    <t>GAME ON SS TEE BASIC</t>
  </si>
  <si>
    <t>100045244LB</t>
  </si>
  <si>
    <t>732995560244</t>
  </si>
  <si>
    <t>FLORAL CHALLIS SHORT</t>
  </si>
  <si>
    <t>100057058GR</t>
  </si>
  <si>
    <t>732995985061</t>
  </si>
  <si>
    <t>732996526072</t>
  </si>
  <si>
    <t>732996526041</t>
  </si>
  <si>
    <t>732996528304</t>
  </si>
  <si>
    <t>732996528236</t>
  </si>
  <si>
    <t>732996031279</t>
  </si>
  <si>
    <t>735869398967</t>
  </si>
  <si>
    <t>640013644244</t>
  </si>
  <si>
    <t>ROMAN HOODY</t>
  </si>
  <si>
    <t>UB1191252</t>
  </si>
  <si>
    <t>732996082646</t>
  </si>
  <si>
    <t>ICE CREAM TIE TANK</t>
  </si>
  <si>
    <t>100057025GR</t>
  </si>
  <si>
    <t>732996526713</t>
  </si>
  <si>
    <t>732996526614</t>
  </si>
  <si>
    <t>732996526577</t>
  </si>
  <si>
    <t>732996526539</t>
  </si>
  <si>
    <t>735869394730</t>
  </si>
  <si>
    <t>C7404M</t>
  </si>
  <si>
    <t>46094675403</t>
  </si>
  <si>
    <t>640013789143</t>
  </si>
  <si>
    <t>46094675410</t>
  </si>
  <si>
    <t>46094675427</t>
  </si>
  <si>
    <t>46094675397</t>
  </si>
  <si>
    <t>46094675359</t>
  </si>
  <si>
    <t>192136033929</t>
  </si>
  <si>
    <t>SLOGAN BSF19 G BS RED FL</t>
  </si>
  <si>
    <t>190344842661</t>
  </si>
  <si>
    <t>BLUE SUPERMAN YOKE</t>
  </si>
  <si>
    <t>2TJDCB390</t>
  </si>
  <si>
    <t>732994839129</t>
  </si>
  <si>
    <t>DOT &amp; FLOWER SUNSUIT</t>
  </si>
  <si>
    <t>100044880BG</t>
  </si>
  <si>
    <t>732995631296</t>
  </si>
  <si>
    <t>NAUTICAL SUNSUIT</t>
  </si>
  <si>
    <t>100044878BG</t>
  </si>
  <si>
    <t>732995566130</t>
  </si>
  <si>
    <t>735869456322</t>
  </si>
  <si>
    <t>735869456216</t>
  </si>
  <si>
    <t>46094965146</t>
  </si>
  <si>
    <t>46094965108</t>
  </si>
  <si>
    <t>732995195002</t>
  </si>
  <si>
    <t>732994144803</t>
  </si>
  <si>
    <t>STRIPE BDAY SS TEE</t>
  </si>
  <si>
    <t>100026368LG</t>
  </si>
  <si>
    <t>46094965023</t>
  </si>
  <si>
    <t>732996435206</t>
  </si>
  <si>
    <t>732996435213</t>
  </si>
  <si>
    <t>732996434940</t>
  </si>
  <si>
    <t>WE ARE ONE SS TEE</t>
  </si>
  <si>
    <t>100056903LG</t>
  </si>
  <si>
    <t>732995192766</t>
  </si>
  <si>
    <t>732996892726</t>
  </si>
  <si>
    <t>46094965092</t>
  </si>
  <si>
    <t>46094965078</t>
  </si>
  <si>
    <t>732995160055</t>
  </si>
  <si>
    <t>T SEASHELLS LEGGING BASIC</t>
  </si>
  <si>
    <t>100042478TG</t>
  </si>
  <si>
    <t>732995160048</t>
  </si>
  <si>
    <t>732996906003</t>
  </si>
  <si>
    <t>732996176048</t>
  </si>
  <si>
    <t>732996891903</t>
  </si>
  <si>
    <t>732996891873</t>
  </si>
  <si>
    <t>732994883511</t>
  </si>
  <si>
    <t>732995251388</t>
  </si>
  <si>
    <t>732995579246</t>
  </si>
  <si>
    <t>T GNGM KEYHOLE CAPRI BASIC</t>
  </si>
  <si>
    <t>100042506TG</t>
  </si>
  <si>
    <t>732994854993</t>
  </si>
  <si>
    <t>732995884319</t>
  </si>
  <si>
    <t>732995576092</t>
  </si>
  <si>
    <t>PURPLE PLAID SHORT BASIC</t>
  </si>
  <si>
    <t>100042008BB</t>
  </si>
  <si>
    <t>732995576085</t>
  </si>
  <si>
    <t>732996245126</t>
  </si>
  <si>
    <t>46094949115</t>
  </si>
  <si>
    <t>MF SMLS HIPSTER</t>
  </si>
  <si>
    <t>732996239774</t>
  </si>
  <si>
    <t>732996960722</t>
  </si>
  <si>
    <t>732996245034</t>
  </si>
  <si>
    <t>732994938884</t>
  </si>
  <si>
    <t>N STRIPE LEGGING</t>
  </si>
  <si>
    <t>732996280370</t>
  </si>
  <si>
    <t>732996890654</t>
  </si>
  <si>
    <t>732996890302</t>
  </si>
  <si>
    <t>732995157079</t>
  </si>
  <si>
    <t>732995159301</t>
  </si>
  <si>
    <t>191603919391</t>
  </si>
  <si>
    <t>STAGO TACO</t>
  </si>
  <si>
    <t>1JBY0471</t>
  </si>
  <si>
    <t>732996212418</t>
  </si>
  <si>
    <t>732996212425</t>
  </si>
  <si>
    <t>732995159332</t>
  </si>
  <si>
    <t>732996212456</t>
  </si>
  <si>
    <t>732995159318</t>
  </si>
  <si>
    <t>732996240176</t>
  </si>
  <si>
    <t>636206931871</t>
  </si>
  <si>
    <t>SS RBOW HEART PEPLUM BASIC</t>
  </si>
  <si>
    <t>100035173BG</t>
  </si>
  <si>
    <t>732996279527</t>
  </si>
  <si>
    <t>732995799453</t>
  </si>
  <si>
    <t>FLOUNCE KNOT TUNIC BASIC</t>
  </si>
  <si>
    <t>100042524BG</t>
  </si>
  <si>
    <t>46094831847</t>
  </si>
  <si>
    <t>732995579598</t>
  </si>
  <si>
    <t>732996901527</t>
  </si>
  <si>
    <t>732996889504</t>
  </si>
  <si>
    <t>732996889313</t>
  </si>
  <si>
    <t>732995798852</t>
  </si>
  <si>
    <t>SUSPENDERS TEE BASIC</t>
  </si>
  <si>
    <t>100043820BG</t>
  </si>
  <si>
    <t>732996240091</t>
  </si>
  <si>
    <t>732995798555</t>
  </si>
  <si>
    <t>732996240312</t>
  </si>
  <si>
    <t>732996240329</t>
  </si>
  <si>
    <t>732996240503</t>
  </si>
  <si>
    <t>732995881813</t>
  </si>
  <si>
    <t>732996900902</t>
  </si>
  <si>
    <t>732996240909</t>
  </si>
  <si>
    <t>732994880817</t>
  </si>
  <si>
    <t>SHOULDER RUFFLE TEE BASIC</t>
  </si>
  <si>
    <t>100042431BG</t>
  </si>
  <si>
    <t>732996240893</t>
  </si>
  <si>
    <t>732996212135</t>
  </si>
  <si>
    <t>732996211824</t>
  </si>
  <si>
    <t>732996212111</t>
  </si>
  <si>
    <t>732996900865</t>
  </si>
  <si>
    <t>732996211848</t>
  </si>
  <si>
    <t>732996240466</t>
  </si>
  <si>
    <t>HANDSOME DAD TEE BASIC</t>
  </si>
  <si>
    <t>100053735BB</t>
  </si>
  <si>
    <t>732996240145</t>
  </si>
  <si>
    <t>732996240114</t>
  </si>
  <si>
    <t>732995882452</t>
  </si>
  <si>
    <t>SLOTH TEE BASIC</t>
  </si>
  <si>
    <t>100043931BB</t>
  </si>
  <si>
    <t>732995881998</t>
  </si>
  <si>
    <t>732996239972</t>
  </si>
  <si>
    <t>732995882131</t>
  </si>
  <si>
    <t>732995882100</t>
  </si>
  <si>
    <t>732994666985</t>
  </si>
  <si>
    <t>OPAQUE TIGHTS</t>
  </si>
  <si>
    <t>LB170FI410</t>
  </si>
  <si>
    <t>192564352104</t>
  </si>
  <si>
    <t>INFINITY WRAP</t>
  </si>
  <si>
    <t>192564352159</t>
  </si>
  <si>
    <t>810026801761</t>
  </si>
  <si>
    <t>TURQ VNECK T RAINBW</t>
  </si>
  <si>
    <t>KOD377</t>
  </si>
  <si>
    <t>192564326341</t>
  </si>
  <si>
    <t>FINALE SHOWTIME TANK</t>
  </si>
  <si>
    <t>192564326297</t>
  </si>
  <si>
    <t>192135978306</t>
  </si>
  <si>
    <t>BSPSF19 G BSPS PINK LLAM</t>
  </si>
  <si>
    <t>884733897157</t>
  </si>
  <si>
    <t>884733896556</t>
  </si>
  <si>
    <t>884733748770</t>
  </si>
  <si>
    <t>DENSE POPLIN-PREPSTER SH</t>
  </si>
  <si>
    <t>884733896570</t>
  </si>
  <si>
    <t>884733926956</t>
  </si>
  <si>
    <t>885178631382</t>
  </si>
  <si>
    <t>B NK THRMA PANT BBALL</t>
  </si>
  <si>
    <t>193579336950</t>
  </si>
  <si>
    <t>BILLY LS SHIRT</t>
  </si>
  <si>
    <t>TBFCB34F-403</t>
  </si>
  <si>
    <t>192504226960</t>
  </si>
  <si>
    <t>FOLKY WAY TANKINI SET</t>
  </si>
  <si>
    <t>ERGX203234</t>
  </si>
  <si>
    <t>POLYAMIDE/ELASTANE; LINING: POLYESTER</t>
  </si>
  <si>
    <t>192610385834</t>
  </si>
  <si>
    <t>193579337612</t>
  </si>
  <si>
    <t>885854039990</t>
  </si>
  <si>
    <t>887407918653</t>
  </si>
  <si>
    <t>PERRY PEONY</t>
  </si>
  <si>
    <t>887407890959</t>
  </si>
  <si>
    <t>193112187896</t>
  </si>
  <si>
    <t>193112187902</t>
  </si>
  <si>
    <t>193112187940</t>
  </si>
  <si>
    <t>193112187988</t>
  </si>
  <si>
    <t>193112188015</t>
  </si>
  <si>
    <t>880680837185</t>
  </si>
  <si>
    <t>CUTOFF DENIM SHORT W SID</t>
  </si>
  <si>
    <t>TGSCC09S-100</t>
  </si>
  <si>
    <t>192500037041</t>
  </si>
  <si>
    <t>192564355433</t>
  </si>
  <si>
    <t>807746655286</t>
  </si>
  <si>
    <t>747941638625</t>
  </si>
  <si>
    <t>LEOPARD MAXI</t>
  </si>
  <si>
    <t>S4011D01GA19</t>
  </si>
  <si>
    <t>191539316783</t>
  </si>
  <si>
    <t>MLT COLOR BALLERINA DRS</t>
  </si>
  <si>
    <t>R57784-PV</t>
  </si>
  <si>
    <t>POLYESTER/METALLIC/RAYON</t>
  </si>
  <si>
    <t>633731399091</t>
  </si>
  <si>
    <t>193579083298</t>
  </si>
  <si>
    <t>UA BIG LOGO SET</t>
  </si>
  <si>
    <t>27H52624-06</t>
  </si>
  <si>
    <t>191045535173</t>
  </si>
  <si>
    <t>NAUTICA GIRLS SHRT BOOT</t>
  </si>
  <si>
    <t>BELMONDE</t>
  </si>
  <si>
    <t>887407905462</t>
  </si>
  <si>
    <t>DOROTHY SWIRL</t>
  </si>
  <si>
    <t>192564758708</t>
  </si>
  <si>
    <t>SPRINT PRINTED SHORT</t>
  </si>
  <si>
    <t>884733718124</t>
  </si>
  <si>
    <t>736576068921</t>
  </si>
  <si>
    <t>KP W BLANKET AND BIB SEBASIC</t>
  </si>
  <si>
    <t>BLANKET: ACRYLIC; BIB: COTTON/POLYESTER</t>
  </si>
  <si>
    <t>191539440228</t>
  </si>
  <si>
    <t>OLIVE GREEN SWEATER LEGG</t>
  </si>
  <si>
    <t>W58700-PL</t>
  </si>
  <si>
    <t>SWEATER, EMBROIDERY: COTTON; LACE MESH: POLYESTER; LEGGINGS: COTTON/SPANDEX</t>
  </si>
  <si>
    <t>880680422183</t>
  </si>
  <si>
    <t>UA TRAVERSE CAMO SET</t>
  </si>
  <si>
    <t>27G52632-43</t>
  </si>
  <si>
    <t>191539440198</t>
  </si>
  <si>
    <t>633716922368</t>
  </si>
  <si>
    <t>732996570297</t>
  </si>
  <si>
    <t>193573021937</t>
  </si>
  <si>
    <t>OZZIE FLEECE SHORT</t>
  </si>
  <si>
    <t>C1001900</t>
  </si>
  <si>
    <t>193573022132</t>
  </si>
  <si>
    <t>889338991392</t>
  </si>
  <si>
    <t>PINK FLORAL BUNNY</t>
  </si>
  <si>
    <t>191539442291</t>
  </si>
  <si>
    <t>829268690828</t>
  </si>
  <si>
    <t>EYELET SLEEVE BOMBER</t>
  </si>
  <si>
    <t>1TGSNZBL</t>
  </si>
  <si>
    <t>192399702822</t>
  </si>
  <si>
    <t>4KRAFT SHORT SET</t>
  </si>
  <si>
    <t>AG6144INF</t>
  </si>
  <si>
    <t>ADIDAS/LOLLYTOGS LTD</t>
  </si>
  <si>
    <t>TOP/SHORTS: POLYESTER</t>
  </si>
  <si>
    <t>841372148767</t>
  </si>
  <si>
    <t>BILLBOARD 2.0 VOLLEY</t>
  </si>
  <si>
    <t>4PLB126</t>
  </si>
  <si>
    <t>192500029848</t>
  </si>
  <si>
    <t>886061594586</t>
  </si>
  <si>
    <t>192500029879</t>
  </si>
  <si>
    <t>633716721497</t>
  </si>
  <si>
    <t>LT WEIGHT SHORT</t>
  </si>
  <si>
    <t>616247F</t>
  </si>
  <si>
    <t>880680605616</t>
  </si>
  <si>
    <t>2PC SHORT SET</t>
  </si>
  <si>
    <t>61G22628-99</t>
  </si>
  <si>
    <t>TOP: COTTON/POLYESTER; SHORTS: COTTON/SPANDEX</t>
  </si>
  <si>
    <t>732996526201</t>
  </si>
  <si>
    <t>732995552638</t>
  </si>
  <si>
    <t>KALEIDOSCOPE JACKET BASIC</t>
  </si>
  <si>
    <t>100044933GR</t>
  </si>
  <si>
    <t>889338936966</t>
  </si>
  <si>
    <t>F18 C3 BOY RED IVORY GRE</t>
  </si>
  <si>
    <t>127H313</t>
  </si>
  <si>
    <t>716631758</t>
  </si>
  <si>
    <t>PEPPA PIG FAIRY 4PC COTT</t>
  </si>
  <si>
    <t>K183962PP</t>
  </si>
  <si>
    <t>KOMAR KIDS LLC GIRLS</t>
  </si>
  <si>
    <t>9328414070</t>
  </si>
  <si>
    <t>192136017677</t>
  </si>
  <si>
    <t>732996176925</t>
  </si>
  <si>
    <t>192135999387</t>
  </si>
  <si>
    <t>732996105758</t>
  </si>
  <si>
    <t>880680459967</t>
  </si>
  <si>
    <t>HALF ZIP TANKINI SET</t>
  </si>
  <si>
    <t>35G36705-67</t>
  </si>
  <si>
    <t>192135568712</t>
  </si>
  <si>
    <t>GSW 3PC PANCAKES</t>
  </si>
  <si>
    <t>889338784161</t>
  </si>
  <si>
    <t>NAVY LILAC DINO</t>
  </si>
  <si>
    <t>192135617045</t>
  </si>
  <si>
    <t>732996090412</t>
  </si>
  <si>
    <t>DOT SKORT ROMPER</t>
  </si>
  <si>
    <t>100057093GR</t>
  </si>
  <si>
    <t>191603767503</t>
  </si>
  <si>
    <t>732996582795</t>
  </si>
  <si>
    <t>732996582801</t>
  </si>
  <si>
    <t>889338717589</t>
  </si>
  <si>
    <t>889338670099</t>
  </si>
  <si>
    <t>F18 LBB 4 PK LS BODYSUIT</t>
  </si>
  <si>
    <t>126H579</t>
  </si>
  <si>
    <t>880680612775</t>
  </si>
  <si>
    <t>COR/GRY 2PC CLR BLCK SET</t>
  </si>
  <si>
    <t>3G70668-99</t>
  </si>
  <si>
    <t>TOP AND SHORTS: COTTON/POLYESTER</t>
  </si>
  <si>
    <t>884630143258</t>
  </si>
  <si>
    <t>BLUE ROMPER</t>
  </si>
  <si>
    <t>K8536</t>
  </si>
  <si>
    <t>880680612782</t>
  </si>
  <si>
    <t>880680612799</t>
  </si>
  <si>
    <t>884630143272</t>
  </si>
  <si>
    <t>884630143289</t>
  </si>
  <si>
    <t>884630143265</t>
  </si>
  <si>
    <t>192135523582</t>
  </si>
  <si>
    <t>S19 CARDI SET GREY DOG</t>
  </si>
  <si>
    <t>192135400135</t>
  </si>
  <si>
    <t>S19 CARDI SET RAINBOW</t>
  </si>
  <si>
    <t>HOODIE/PANTS: COTTON/POLYESTER; BODYSUIT: 100% COTTON</t>
  </si>
  <si>
    <t>192135400067</t>
  </si>
  <si>
    <t>732995069679</t>
  </si>
  <si>
    <t>ABS FLORAL TRK JACKT</t>
  </si>
  <si>
    <t>100044436LG</t>
  </si>
  <si>
    <t>192769051758</t>
  </si>
  <si>
    <t>STRIPES OUT 1 PC</t>
  </si>
  <si>
    <t>617845167555</t>
  </si>
  <si>
    <t>JAN AIR J PYTHON CAP</t>
  </si>
  <si>
    <t>9A0159A</t>
  </si>
  <si>
    <t>617847173899</t>
  </si>
  <si>
    <t>JANJORDANJUMPMANAIRCAP</t>
  </si>
  <si>
    <t>732996129020</t>
  </si>
  <si>
    <t>SMOCK TOP HALTER DRE</t>
  </si>
  <si>
    <t>100056964LG</t>
  </si>
  <si>
    <t>192769049649</t>
  </si>
  <si>
    <t>732996129013</t>
  </si>
  <si>
    <t>732996129068</t>
  </si>
  <si>
    <t>192769048925</t>
  </si>
  <si>
    <t>192135531693</t>
  </si>
  <si>
    <t>S19 LIGHT BLUE COLLAR AN</t>
  </si>
  <si>
    <t>249G867</t>
  </si>
  <si>
    <t>TOP/PANTS: COTTON</t>
  </si>
  <si>
    <t>732996526485</t>
  </si>
  <si>
    <t>732996442525</t>
  </si>
  <si>
    <t>732996129693</t>
  </si>
  <si>
    <t>732996129747</t>
  </si>
  <si>
    <t>732996129730</t>
  </si>
  <si>
    <t>732996129792</t>
  </si>
  <si>
    <t>EMB CULOTTE JUMPSUIT</t>
  </si>
  <si>
    <t>100056989LG</t>
  </si>
  <si>
    <t>732996442457</t>
  </si>
  <si>
    <t>732996129754</t>
  </si>
  <si>
    <t>732996442426</t>
  </si>
  <si>
    <t>880680580432</t>
  </si>
  <si>
    <t>732995567731</t>
  </si>
  <si>
    <t>636202749036</t>
  </si>
  <si>
    <t>GEO ONEPIECE</t>
  </si>
  <si>
    <t>100042129G</t>
  </si>
  <si>
    <t>636202749050</t>
  </si>
  <si>
    <t>636202749029</t>
  </si>
  <si>
    <t>636202749043</t>
  </si>
  <si>
    <t>732996105628</t>
  </si>
  <si>
    <t>732996105635</t>
  </si>
  <si>
    <t>192135615645</t>
  </si>
  <si>
    <t>S19 MATCHING CHAMBRAY SK</t>
  </si>
  <si>
    <t>259G866</t>
  </si>
  <si>
    <t>192007719181</t>
  </si>
  <si>
    <t>192399520112</t>
  </si>
  <si>
    <t>BELIEVE CAPRI TIGHT</t>
  </si>
  <si>
    <t>AK4567</t>
  </si>
  <si>
    <t>689439122196</t>
  </si>
  <si>
    <t>SWEAT SHORT</t>
  </si>
  <si>
    <t>100004519B</t>
  </si>
  <si>
    <t>732995556056</t>
  </si>
  <si>
    <t>192135970683</t>
  </si>
  <si>
    <t>F19 LBB B 2PK GOWN BLUE</t>
  </si>
  <si>
    <t>732995052619</t>
  </si>
  <si>
    <t>ABS FLOWER 2FER TANK</t>
  </si>
  <si>
    <t>100044395GP</t>
  </si>
  <si>
    <t>608381245098</t>
  </si>
  <si>
    <t>732996104850</t>
  </si>
  <si>
    <t>100055485GR</t>
  </si>
  <si>
    <t>192136181088</t>
  </si>
  <si>
    <t>CORE SETS 2F19 AQUA UNIC</t>
  </si>
  <si>
    <t>192136323402</t>
  </si>
  <si>
    <t>192136107415</t>
  </si>
  <si>
    <t>192136181040</t>
  </si>
  <si>
    <t>192136176305</t>
  </si>
  <si>
    <t>192136181057</t>
  </si>
  <si>
    <t>192136323389</t>
  </si>
  <si>
    <t>732995051599</t>
  </si>
  <si>
    <t>732995051605</t>
  </si>
  <si>
    <t>192135606551</t>
  </si>
  <si>
    <t>S19 NAVY AND WHITE STRIP</t>
  </si>
  <si>
    <t>251G642</t>
  </si>
  <si>
    <t>889338672703</t>
  </si>
  <si>
    <t>889338678316</t>
  </si>
  <si>
    <t>126H458</t>
  </si>
  <si>
    <t>889338676787</t>
  </si>
  <si>
    <t>126H556</t>
  </si>
  <si>
    <t>192135498682</t>
  </si>
  <si>
    <t>S19 DCS PINK DOG</t>
  </si>
  <si>
    <t>732995069730</t>
  </si>
  <si>
    <t>884630141841</t>
  </si>
  <si>
    <t>STRIPE WRAP TOP</t>
  </si>
  <si>
    <t>K21360</t>
  </si>
  <si>
    <t>RAYON/LINEN; LINING: POLYESTER</t>
  </si>
  <si>
    <t>191045809830</t>
  </si>
  <si>
    <t>191045804521</t>
  </si>
  <si>
    <t>192135223062</t>
  </si>
  <si>
    <t>F18 LBB 3PC TMA BOY HEAT</t>
  </si>
  <si>
    <t>126H761</t>
  </si>
  <si>
    <t>829268950397</t>
  </si>
  <si>
    <t>SCARF TOP WITH CROCHET T</t>
  </si>
  <si>
    <t>1WAQNZQK</t>
  </si>
  <si>
    <t>TOP: POLYESTER/LINEN; CROCHET LACE: COTTON; SCARF: POLYESTER</t>
  </si>
  <si>
    <t>829268924961</t>
  </si>
  <si>
    <t>OMBRE SLEEVE W/ SEQUIN F</t>
  </si>
  <si>
    <t>1VUFNZQJ</t>
  </si>
  <si>
    <t>POLYESTER/LINEN</t>
  </si>
  <si>
    <t>829268950366</t>
  </si>
  <si>
    <t>732996105109</t>
  </si>
  <si>
    <t>732996336275</t>
  </si>
  <si>
    <t>732996336282</t>
  </si>
  <si>
    <t>732994809498</t>
  </si>
  <si>
    <t>ICON STRIPE OVERALL</t>
  </si>
  <si>
    <t>100042034BB</t>
  </si>
  <si>
    <t>46094840115</t>
  </si>
  <si>
    <t>640013643575</t>
  </si>
  <si>
    <t>SECTOR</t>
  </si>
  <si>
    <t>UB1191512</t>
  </si>
  <si>
    <t>640013643636</t>
  </si>
  <si>
    <t>732997559567</t>
  </si>
  <si>
    <t>732996104720</t>
  </si>
  <si>
    <t>732996104751</t>
  </si>
  <si>
    <t>732996335933</t>
  </si>
  <si>
    <t>732996347882</t>
  </si>
  <si>
    <t>26217619224</t>
  </si>
  <si>
    <t>30MM MLTI LOGO SCRN PRNT</t>
  </si>
  <si>
    <t>12LV020Z06</t>
  </si>
  <si>
    <t>880680637761</t>
  </si>
  <si>
    <t>880680638089</t>
  </si>
  <si>
    <t>2 PC LADY BUG SHORT SET</t>
  </si>
  <si>
    <t>11G22676-99</t>
  </si>
  <si>
    <t>TOP: COTTON/POLYESTER; SHORTS: COTTON</t>
  </si>
  <si>
    <t>880680637907</t>
  </si>
  <si>
    <t>2 PC CAT PLAID SHORT SET</t>
  </si>
  <si>
    <t>11G22673-99</t>
  </si>
  <si>
    <t>732995051520</t>
  </si>
  <si>
    <t>732995051513</t>
  </si>
  <si>
    <t>732996380247</t>
  </si>
  <si>
    <t>732996105031</t>
  </si>
  <si>
    <t>732996380322</t>
  </si>
  <si>
    <t>732996380230</t>
  </si>
  <si>
    <t>889338678903</t>
  </si>
  <si>
    <t>F18 LBB 2PK PANT BOY NAV</t>
  </si>
  <si>
    <t>126H469</t>
  </si>
  <si>
    <t>888822007663</t>
  </si>
  <si>
    <t>FRENCH TERRY COLOR BLOCK</t>
  </si>
  <si>
    <t>732996347868</t>
  </si>
  <si>
    <t>100055481LG</t>
  </si>
  <si>
    <t>732996347837</t>
  </si>
  <si>
    <t>690691004755</t>
  </si>
  <si>
    <t>732996348193</t>
  </si>
  <si>
    <t>732995697223</t>
  </si>
  <si>
    <t>CHECKERBOARD SHRT BASIC</t>
  </si>
  <si>
    <t>100044710BO</t>
  </si>
  <si>
    <t>884630154100</t>
  </si>
  <si>
    <t>BLUE GEOMETRIC PRINT SHO</t>
  </si>
  <si>
    <t>K8590</t>
  </si>
  <si>
    <t>735869404149</t>
  </si>
  <si>
    <t>732995555363</t>
  </si>
  <si>
    <t>732995045857</t>
  </si>
  <si>
    <t>PRINTED MESH SHORT</t>
  </si>
  <si>
    <t>100044430GR</t>
  </si>
  <si>
    <t>732996106250</t>
  </si>
  <si>
    <t>100055476LG</t>
  </si>
  <si>
    <t>732996106243</t>
  </si>
  <si>
    <t>633716778385</t>
  </si>
  <si>
    <t>633716778408</t>
  </si>
  <si>
    <t>633716934729</t>
  </si>
  <si>
    <t>633716778392</t>
  </si>
  <si>
    <t>732996106540</t>
  </si>
  <si>
    <t>732994830256</t>
  </si>
  <si>
    <t>LOVE DRESS</t>
  </si>
  <si>
    <t>100043120BG</t>
  </si>
  <si>
    <t>192135892886</t>
  </si>
  <si>
    <t>S19 G FREE TO BE TOP</t>
  </si>
  <si>
    <t>253I326</t>
  </si>
  <si>
    <t>192135892077</t>
  </si>
  <si>
    <t>S19 G STAR PRINT SHORT</t>
  </si>
  <si>
    <t>258H346</t>
  </si>
  <si>
    <t>192136003946</t>
  </si>
  <si>
    <t>192136003953</t>
  </si>
  <si>
    <t>636202749012</t>
  </si>
  <si>
    <t>GEO SHORTIE</t>
  </si>
  <si>
    <t>100042128G</t>
  </si>
  <si>
    <t>48238372377</t>
  </si>
  <si>
    <t>HK PURSE CHARMS DRESS</t>
  </si>
  <si>
    <t>TD6967GHK0481</t>
  </si>
  <si>
    <t>48238363016</t>
  </si>
  <si>
    <t>MLP GROUP RAINBOW DRESS</t>
  </si>
  <si>
    <t>TD6442GMLP0400</t>
  </si>
  <si>
    <t>732996083087</t>
  </si>
  <si>
    <t>732996129198</t>
  </si>
  <si>
    <t>SEA YOU SOON DRESS</t>
  </si>
  <si>
    <t>100056980LG</t>
  </si>
  <si>
    <t>732996129204</t>
  </si>
  <si>
    <t>732996129242</t>
  </si>
  <si>
    <t>732995068108</t>
  </si>
  <si>
    <t>PH REAL CAGE LEGGING</t>
  </si>
  <si>
    <t>100045158LG</t>
  </si>
  <si>
    <t>732995552836</t>
  </si>
  <si>
    <t>OMBRE TEE BASIC</t>
  </si>
  <si>
    <t>100044685GR</t>
  </si>
  <si>
    <t>732996526188</t>
  </si>
  <si>
    <t>MESH HEM TEE BASIC</t>
  </si>
  <si>
    <t>100055504GR</t>
  </si>
  <si>
    <t>732996178271</t>
  </si>
  <si>
    <t>192136012788</t>
  </si>
  <si>
    <t>696114340059</t>
  </si>
  <si>
    <t>192135567418</t>
  </si>
  <si>
    <t>BSW 1PC MONSTER AP</t>
  </si>
  <si>
    <t>633716919832</t>
  </si>
  <si>
    <t>ENDLESS LEVIS TEE</t>
  </si>
  <si>
    <t>715995F</t>
  </si>
  <si>
    <t>633716920302</t>
  </si>
  <si>
    <t>815995F</t>
  </si>
  <si>
    <t>636206888984</t>
  </si>
  <si>
    <t>732996525686</t>
  </si>
  <si>
    <t>732996525716</t>
  </si>
  <si>
    <t>732995299960</t>
  </si>
  <si>
    <t>SUPERIOR SS TEE</t>
  </si>
  <si>
    <t>100046797BO</t>
  </si>
  <si>
    <t>732995262018</t>
  </si>
  <si>
    <t>732995552683</t>
  </si>
  <si>
    <t>732995552652</t>
  </si>
  <si>
    <t>732996380773</t>
  </si>
  <si>
    <t>732996105390</t>
  </si>
  <si>
    <t>889338717275</t>
  </si>
  <si>
    <t>732995567304</t>
  </si>
  <si>
    <t>636193919067</t>
  </si>
  <si>
    <t>636193919098</t>
  </si>
  <si>
    <t>608381741712</t>
  </si>
  <si>
    <t>608381741736</t>
  </si>
  <si>
    <t>608381741644</t>
  </si>
  <si>
    <t>608381740845</t>
  </si>
  <si>
    <t>608381741729</t>
  </si>
  <si>
    <t>732995103953</t>
  </si>
  <si>
    <t>732995103922</t>
  </si>
  <si>
    <t>732995103946</t>
  </si>
  <si>
    <t>732995552959</t>
  </si>
  <si>
    <t>735869399513</t>
  </si>
  <si>
    <t>735869399445</t>
  </si>
  <si>
    <t>732995050172</t>
  </si>
  <si>
    <t>732995194609</t>
  </si>
  <si>
    <t>732996125008</t>
  </si>
  <si>
    <t>BUBBLEGUM CS TEE</t>
  </si>
  <si>
    <t>100056923LG</t>
  </si>
  <si>
    <t>732996526010</t>
  </si>
  <si>
    <t>732996526065</t>
  </si>
  <si>
    <t>732996526027</t>
  </si>
  <si>
    <t>732996176741</t>
  </si>
  <si>
    <t>STRIPE TERRY DRESS</t>
  </si>
  <si>
    <t>100053805BG</t>
  </si>
  <si>
    <t>732996031200</t>
  </si>
  <si>
    <t>640013644923</t>
  </si>
  <si>
    <t>732996433509</t>
  </si>
  <si>
    <t>FLOWER FRINGE TANK</t>
  </si>
  <si>
    <t>100057030GR</t>
  </si>
  <si>
    <t>732995554007</t>
  </si>
  <si>
    <t>EXTRA TIEFRONT TEE</t>
  </si>
  <si>
    <t>100046982GR</t>
  </si>
  <si>
    <t>735869225034</t>
  </si>
  <si>
    <t>VERTICAL SCRIPT TEE</t>
  </si>
  <si>
    <t>732995559835</t>
  </si>
  <si>
    <t>732995559941</t>
  </si>
  <si>
    <t>STRIPE CHALLIS</t>
  </si>
  <si>
    <t>100057045GR</t>
  </si>
  <si>
    <t>640013784414</t>
  </si>
  <si>
    <t>CASH BLOCKS STRIPE TANK</t>
  </si>
  <si>
    <t>UB119721</t>
  </si>
  <si>
    <t>640013784582</t>
  </si>
  <si>
    <t>PAULO TANK</t>
  </si>
  <si>
    <t>UB119787</t>
  </si>
  <si>
    <t>732995559934</t>
  </si>
  <si>
    <t>732995559927</t>
  </si>
  <si>
    <t>732996434278</t>
  </si>
  <si>
    <t>732995559798</t>
  </si>
  <si>
    <t>EMB CHALLIS TOP</t>
  </si>
  <si>
    <t>100057043GR</t>
  </si>
  <si>
    <t>732995559781</t>
  </si>
  <si>
    <t>732995138658</t>
  </si>
  <si>
    <t>732996959078</t>
  </si>
  <si>
    <t>735869399155</t>
  </si>
  <si>
    <t>735869398844</t>
  </si>
  <si>
    <t>735869404330</t>
  </si>
  <si>
    <t>735869456339</t>
  </si>
  <si>
    <t>735869456308</t>
  </si>
  <si>
    <t>732995490909</t>
  </si>
  <si>
    <t>732995195125</t>
  </si>
  <si>
    <t>BOW BACK LEGGING</t>
  </si>
  <si>
    <t>100046479LG</t>
  </si>
  <si>
    <t>636206570728</t>
  </si>
  <si>
    <t>LITTLE SIS SS TEE</t>
  </si>
  <si>
    <t>100040631LG</t>
  </si>
  <si>
    <t>732995489163</t>
  </si>
  <si>
    <t>732996123806</t>
  </si>
  <si>
    <t>RAINBOW RUFFLE TANK</t>
  </si>
  <si>
    <t>100056867LG</t>
  </si>
  <si>
    <t>732996124674</t>
  </si>
  <si>
    <t>HEART FLAG BB TANK</t>
  </si>
  <si>
    <t>100056877LG</t>
  </si>
  <si>
    <t>732996124698</t>
  </si>
  <si>
    <t>732995564778</t>
  </si>
  <si>
    <t>EARTH HEART SS TEE</t>
  </si>
  <si>
    <t>100046398LG</t>
  </si>
  <si>
    <t>732995193398</t>
  </si>
  <si>
    <t>NARWHALE SS TEE</t>
  </si>
  <si>
    <t>100046379LG</t>
  </si>
  <si>
    <t>732996123561</t>
  </si>
  <si>
    <t>732995193428</t>
  </si>
  <si>
    <t>732996892528</t>
  </si>
  <si>
    <t>732996176154</t>
  </si>
  <si>
    <t>SNACK DRESS</t>
  </si>
  <si>
    <t>100053809BG</t>
  </si>
  <si>
    <t>732996176338</t>
  </si>
  <si>
    <t>ICECREAM DRESS</t>
  </si>
  <si>
    <t>100053811BG</t>
  </si>
  <si>
    <t>732996891958</t>
  </si>
  <si>
    <t>732996212579</t>
  </si>
  <si>
    <t>732996891248</t>
  </si>
  <si>
    <t>732996891927</t>
  </si>
  <si>
    <t>732996891781</t>
  </si>
  <si>
    <t>732996891064</t>
  </si>
  <si>
    <t>T SS FLWR CHICKS TEE</t>
  </si>
  <si>
    <t>100056172TG</t>
  </si>
  <si>
    <t>732996891057</t>
  </si>
  <si>
    <t>732996960692</t>
  </si>
  <si>
    <t>732996892238</t>
  </si>
  <si>
    <t>732994881029</t>
  </si>
  <si>
    <t>732994881593</t>
  </si>
  <si>
    <t>732994881012</t>
  </si>
  <si>
    <t>608356786366</t>
  </si>
  <si>
    <t>LS CHECK RUFFLE TOP</t>
  </si>
  <si>
    <t>100030022BG</t>
  </si>
  <si>
    <t>732996890715</t>
  </si>
  <si>
    <t>732996890463</t>
  </si>
  <si>
    <t>732996890661</t>
  </si>
  <si>
    <t>732996890586</t>
  </si>
  <si>
    <t>732995577730</t>
  </si>
  <si>
    <t>732996905846</t>
  </si>
  <si>
    <t>T SS FEED DINO TEE</t>
  </si>
  <si>
    <t>100056330TB</t>
  </si>
  <si>
    <t>732995797756</t>
  </si>
  <si>
    <t>191603919384</t>
  </si>
  <si>
    <t>191603919360</t>
  </si>
  <si>
    <t>191603919353</t>
  </si>
  <si>
    <t>732996959443</t>
  </si>
  <si>
    <t>732996959771</t>
  </si>
  <si>
    <t>732996905457</t>
  </si>
  <si>
    <t>T TRAIN TEE</t>
  </si>
  <si>
    <t>100053751TB</t>
  </si>
  <si>
    <t>706257436271</t>
  </si>
  <si>
    <t>SOLID KNIT SHORT BASIC</t>
  </si>
  <si>
    <t>5313FI419</t>
  </si>
  <si>
    <t>732996959900</t>
  </si>
  <si>
    <t>636202874936</t>
  </si>
  <si>
    <t>SS NAUGHTY DOG TEE BASIC</t>
  </si>
  <si>
    <t>100035249BB</t>
  </si>
  <si>
    <t>732996209852</t>
  </si>
  <si>
    <t>732996209845</t>
  </si>
  <si>
    <t>732996210469</t>
  </si>
  <si>
    <t>636206458910</t>
  </si>
  <si>
    <t>SS HOLIDAY DOG TEE</t>
  </si>
  <si>
    <t>100035167BG</t>
  </si>
  <si>
    <t>732996890760</t>
  </si>
  <si>
    <t>732996890579</t>
  </si>
  <si>
    <t>732996890562</t>
  </si>
  <si>
    <t>726895465006</t>
  </si>
  <si>
    <t>TEXTURED KNIT TEE</t>
  </si>
  <si>
    <t>732996900568</t>
  </si>
  <si>
    <t>LS SLOTH TEE</t>
  </si>
  <si>
    <t>100053761BB</t>
  </si>
  <si>
    <t>732995575095</t>
  </si>
  <si>
    <t>732995574890</t>
  </si>
  <si>
    <t>AIRPLANE TEE BASIC</t>
  </si>
  <si>
    <t>100041993BB</t>
  </si>
  <si>
    <t>608356109097</t>
  </si>
  <si>
    <t>BASIC JOGGER BASIC</t>
  </si>
  <si>
    <t>732996889108</t>
  </si>
  <si>
    <t>732996239842</t>
  </si>
  <si>
    <t>732995882124</t>
  </si>
  <si>
    <t>192500447963</t>
  </si>
  <si>
    <t>192136010494</t>
  </si>
  <si>
    <t>191524633437</t>
  </si>
  <si>
    <t>DV2898</t>
  </si>
  <si>
    <t>193579352301</t>
  </si>
  <si>
    <t>GERRY TRACK JACKET</t>
  </si>
  <si>
    <t>TBFCM06F-405</t>
  </si>
  <si>
    <t>192500030622</t>
  </si>
  <si>
    <t>G NP CAPRI AOP1</t>
  </si>
  <si>
    <t>AQ9157</t>
  </si>
  <si>
    <t>POLYESTER/SPANDEX; GUSSET LINING; POLYESTER</t>
  </si>
  <si>
    <t>884733927786</t>
  </si>
  <si>
    <t>191274317076</t>
  </si>
  <si>
    <t>TMP0 EVERYDAY UNION STRET</t>
  </si>
  <si>
    <t>EQBWS03223</t>
  </si>
  <si>
    <t>633731402296</t>
  </si>
  <si>
    <t>884733189160</t>
  </si>
  <si>
    <t>GREY FRENCH RIB COVERALL</t>
  </si>
  <si>
    <t>91201247875</t>
  </si>
  <si>
    <t>B NSW HOODIE FZ JSY</t>
  </si>
  <si>
    <t>AA6628</t>
  </si>
  <si>
    <t>192500254578</t>
  </si>
  <si>
    <t>G NSW SHORT PE</t>
  </si>
  <si>
    <t>AQ9170</t>
  </si>
  <si>
    <t>192500254585</t>
  </si>
  <si>
    <t>192500254561</t>
  </si>
  <si>
    <t>192500254554</t>
  </si>
  <si>
    <t>637348206056</t>
  </si>
  <si>
    <t>ROSE DRESS- SLEEVLESS CRO</t>
  </si>
  <si>
    <t>2265N3T</t>
  </si>
  <si>
    <t>637348206070</t>
  </si>
  <si>
    <t>192564355464</t>
  </si>
  <si>
    <t>609588665528</t>
  </si>
  <si>
    <t>EMBROID SKATER</t>
  </si>
  <si>
    <t>2235M9C</t>
  </si>
  <si>
    <t>880680834979</t>
  </si>
  <si>
    <t>LOGO LAYERED DRESS</t>
  </si>
  <si>
    <t>35G31102-10</t>
  </si>
  <si>
    <t>UPPER: COTTON; LOWER: COTTON/POLYESTER</t>
  </si>
  <si>
    <t>191524980968</t>
  </si>
  <si>
    <t>756998891587</t>
  </si>
  <si>
    <t>756998891662</t>
  </si>
  <si>
    <t>756998891778</t>
  </si>
  <si>
    <t>756998891723</t>
  </si>
  <si>
    <t>880680422671</t>
  </si>
  <si>
    <t>UA AMERICANA VOLLEY SET</t>
  </si>
  <si>
    <t>27G52658-10</t>
  </si>
  <si>
    <t>829268590913</t>
  </si>
  <si>
    <t>192136211068</t>
  </si>
  <si>
    <t>COSTUMEF19 G COSTUME DRA</t>
  </si>
  <si>
    <t>192136218456</t>
  </si>
  <si>
    <t>COSTUMEF19 G COSTUME LLA</t>
  </si>
  <si>
    <t>COTTON; TIGHTS: POLYESTER</t>
  </si>
  <si>
    <t>633716669034</t>
  </si>
  <si>
    <t>511 WARP STRETCH JEA</t>
  </si>
  <si>
    <t>617845392933</t>
  </si>
  <si>
    <t>DNM 514 HUSKY JEANS</t>
  </si>
  <si>
    <t>617844848301</t>
  </si>
  <si>
    <t>505 HUSKY CLOUDED TONES</t>
  </si>
  <si>
    <t>886608323990</t>
  </si>
  <si>
    <t>CHAR FRICKIN SNT STATIC</t>
  </si>
  <si>
    <t>5 REG</t>
  </si>
  <si>
    <t>732995696813</t>
  </si>
  <si>
    <t>732995696912</t>
  </si>
  <si>
    <t>GRAFFITI WIND JACKET BASIC</t>
  </si>
  <si>
    <t>100049039BO</t>
  </si>
  <si>
    <t>732995696851</t>
  </si>
  <si>
    <t>617846237462</t>
  </si>
  <si>
    <t>NSW POLO TANK DRESS</t>
  </si>
  <si>
    <t>36E879G</t>
  </si>
  <si>
    <t>732995126914</t>
  </si>
  <si>
    <t>BLOCKED ACTIVE JACKT</t>
  </si>
  <si>
    <t>100044728BO</t>
  </si>
  <si>
    <t>732995126891</t>
  </si>
  <si>
    <t>193573021906</t>
  </si>
  <si>
    <t>732994675758</t>
  </si>
  <si>
    <t>DAN TWOFER LEGGING</t>
  </si>
  <si>
    <t>100026085BO</t>
  </si>
  <si>
    <t>841372144790</t>
  </si>
  <si>
    <t>841372148712</t>
  </si>
  <si>
    <t>841372144707</t>
  </si>
  <si>
    <t>SWIM TEE</t>
  </si>
  <si>
    <t>4ABB120</t>
  </si>
  <si>
    <t>192399514166</t>
  </si>
  <si>
    <t>USA FLAG SHORT</t>
  </si>
  <si>
    <t>AH5435</t>
  </si>
  <si>
    <t>756998891266</t>
  </si>
  <si>
    <t>NIKE MASH UP BREAKER 8 V</t>
  </si>
  <si>
    <t>193579297046</t>
  </si>
  <si>
    <t>884733810989</t>
  </si>
  <si>
    <t>192500029893</t>
  </si>
  <si>
    <t>192501009146</t>
  </si>
  <si>
    <t>B NK SHORT ICON AOP</t>
  </si>
  <si>
    <t>CI0910</t>
  </si>
  <si>
    <t>880680609676</t>
  </si>
  <si>
    <t>FLOWER PRINT DENIM DRESS</t>
  </si>
  <si>
    <t>61G21627-99</t>
  </si>
  <si>
    <t>9328717379</t>
  </si>
  <si>
    <t>COURT MUSCLE TOP &amp; SHORT</t>
  </si>
  <si>
    <t>86E493G</t>
  </si>
  <si>
    <t>T-SHIRT: 100% COTTON; SHORTS: POLYESTER</t>
  </si>
  <si>
    <t>192504188855</t>
  </si>
  <si>
    <t>THE TREE</t>
  </si>
  <si>
    <t>ERLKD03065</t>
  </si>
  <si>
    <t>193579295820</t>
  </si>
  <si>
    <t>732996105697</t>
  </si>
  <si>
    <t>191524660341</t>
  </si>
  <si>
    <t>TREFOIL TEE</t>
  </si>
  <si>
    <t>DV2908</t>
  </si>
  <si>
    <t>887622867552</t>
  </si>
  <si>
    <t>9328433897</t>
  </si>
  <si>
    <t>9328442028</t>
  </si>
  <si>
    <t>9328433910</t>
  </si>
  <si>
    <t>640013578143</t>
  </si>
  <si>
    <t>BREA PCD DYNMC FLC ZIP H</t>
  </si>
  <si>
    <t>UB218734</t>
  </si>
  <si>
    <t>889799636597</t>
  </si>
  <si>
    <t>SPIDERMAN CTTN 2FER SS/S</t>
  </si>
  <si>
    <t>SM098BSSMA</t>
  </si>
  <si>
    <t>636193983044</t>
  </si>
  <si>
    <t>732995104462</t>
  </si>
  <si>
    <t>SHELL RASHGRD SET</t>
  </si>
  <si>
    <t>100046207LG</t>
  </si>
  <si>
    <t>732995104417</t>
  </si>
  <si>
    <t>191169290309</t>
  </si>
  <si>
    <t>191169290323</t>
  </si>
  <si>
    <t>191169289990</t>
  </si>
  <si>
    <t>193579295691</t>
  </si>
  <si>
    <t>880680218908</t>
  </si>
  <si>
    <t>PHILAMINA 2-PCE SWIMSUIT</t>
  </si>
  <si>
    <t>TGSCK12H-639</t>
  </si>
  <si>
    <t>SHELL: POLYESTER/SPANDEX; LINING: SPANDEX</t>
  </si>
  <si>
    <t>880680459950</t>
  </si>
  <si>
    <t>880680460222</t>
  </si>
  <si>
    <t>732995697742</t>
  </si>
  <si>
    <t>RACE STRIPE PANT BASIC</t>
  </si>
  <si>
    <t>100044725BO</t>
  </si>
  <si>
    <t>889799623498</t>
  </si>
  <si>
    <t>FANCY NANCY CTTN 2FER SS</t>
  </si>
  <si>
    <t>NW025TSSZA</t>
  </si>
  <si>
    <t>732995567601</t>
  </si>
  <si>
    <t>100044933LG</t>
  </si>
  <si>
    <t>889338949294</t>
  </si>
  <si>
    <t>F18 CARDIGAN SET GIRL BL</t>
  </si>
  <si>
    <t>121I693</t>
  </si>
  <si>
    <t>HOODIE: POLYESTER; BODYSUIT: COTTON; PANTS: COTTON</t>
  </si>
  <si>
    <t>732995104325</t>
  </si>
  <si>
    <t>SHELL TANKINI SET</t>
  </si>
  <si>
    <t>100046204LG</t>
  </si>
  <si>
    <t>732996106427</t>
  </si>
  <si>
    <t>191967181861</t>
  </si>
  <si>
    <t>2PC RUFFLE TOP</t>
  </si>
  <si>
    <t>S3DK227G</t>
  </si>
  <si>
    <t>191967181779</t>
  </si>
  <si>
    <t>ONE PC FONT RUFFLE</t>
  </si>
  <si>
    <t>S3DK223G</t>
  </si>
  <si>
    <t>7-8</t>
  </si>
  <si>
    <t>880680394619</t>
  </si>
  <si>
    <t>LOGO DOLPHIN HEM SHORT</t>
  </si>
  <si>
    <t>35G35200-65</t>
  </si>
  <si>
    <t>191967181793</t>
  </si>
  <si>
    <t>191967181977</t>
  </si>
  <si>
    <t>48238369605</t>
  </si>
  <si>
    <t>PRINCESSES GROUP SPARKLE</t>
  </si>
  <si>
    <t>TF6736GD7426</t>
  </si>
  <si>
    <t>617845221912</t>
  </si>
  <si>
    <t>C SK SEASIDE BERMUDA BASIC</t>
  </si>
  <si>
    <t>314528F</t>
  </si>
  <si>
    <t>617845221943</t>
  </si>
  <si>
    <t>48238366543</t>
  </si>
  <si>
    <t>48238369155</t>
  </si>
  <si>
    <t>JASMINE WATERCOLOR SET</t>
  </si>
  <si>
    <t>TF6380GD7299</t>
  </si>
  <si>
    <t>689439329670</t>
  </si>
  <si>
    <t>MOTO TWILL SHORT</t>
  </si>
  <si>
    <t>100039593BO</t>
  </si>
  <si>
    <t>91204417732</t>
  </si>
  <si>
    <t>91204417701</t>
  </si>
  <si>
    <t>889338672574</t>
  </si>
  <si>
    <t>F18 LBB 3PC TERRY SET BO</t>
  </si>
  <si>
    <t>126H461</t>
  </si>
  <si>
    <t>JACKET/PANTS: COTTON/POLYESTER; BODYSUIT: COTTON</t>
  </si>
  <si>
    <t>617847378331</t>
  </si>
  <si>
    <t>636202659441</t>
  </si>
  <si>
    <t>GEO SWIRL LEGGING</t>
  </si>
  <si>
    <t>100030197GP</t>
  </si>
  <si>
    <t>192769049014</t>
  </si>
  <si>
    <t>192769048826</t>
  </si>
  <si>
    <t>192769049250</t>
  </si>
  <si>
    <t>1PC01537A-COLOR BLOCK</t>
  </si>
  <si>
    <t>192769049199</t>
  </si>
  <si>
    <t>192769049588</t>
  </si>
  <si>
    <t>192769049281</t>
  </si>
  <si>
    <t>880680226033</t>
  </si>
  <si>
    <t>TBSCK004-737</t>
  </si>
  <si>
    <t>880680225968</t>
  </si>
  <si>
    <t>880680628172</t>
  </si>
  <si>
    <t>PRINTED DISTRESSED LOGO</t>
  </si>
  <si>
    <t>35G66721-58</t>
  </si>
  <si>
    <t>795459804339</t>
  </si>
  <si>
    <t>880680628332</t>
  </si>
  <si>
    <t>CK GEO VOLLEY SHORT</t>
  </si>
  <si>
    <t>35G66724-46</t>
  </si>
  <si>
    <t>732995555844</t>
  </si>
  <si>
    <t>732996527239</t>
  </si>
  <si>
    <t>T-SHIRT: COTTON/POLYESTER; LEGGINGS: POLYESTER/SPANDEX</t>
  </si>
  <si>
    <t>732996106489</t>
  </si>
  <si>
    <t>100055490LG</t>
  </si>
  <si>
    <t>732996106533</t>
  </si>
  <si>
    <t>732996106502</t>
  </si>
  <si>
    <t>732996105598</t>
  </si>
  <si>
    <t>732996105567</t>
  </si>
  <si>
    <t>884733894699</t>
  </si>
  <si>
    <t>884733894705</t>
  </si>
  <si>
    <t>192500612644</t>
  </si>
  <si>
    <t>636189319765</t>
  </si>
  <si>
    <t>NOIR VELOUR SWEATPNT</t>
  </si>
  <si>
    <t>100029831LG</t>
  </si>
  <si>
    <t>192399454165</t>
  </si>
  <si>
    <t>192564451555</t>
  </si>
  <si>
    <t>880680627465</t>
  </si>
  <si>
    <t>WHT/NVY 2PC STRIPE SET</t>
  </si>
  <si>
    <t>62G72626-99</t>
  </si>
  <si>
    <t>TOP: COTTON; SHORTS: COTTON/POLYESTER</t>
  </si>
  <si>
    <t>608381245722</t>
  </si>
  <si>
    <t>732995134957</t>
  </si>
  <si>
    <t>192136180449</t>
  </si>
  <si>
    <t>CORE SETS 2F19 TURQ PLAI</t>
  </si>
  <si>
    <t>TOP: COTTON/METALLIC/OTHER FIBER; LEGGINGS: COTTON/ELASTANE</t>
  </si>
  <si>
    <t>192136181064</t>
  </si>
  <si>
    <t>889338674370</t>
  </si>
  <si>
    <t>F18 LBB 4PC SET BOY BABY</t>
  </si>
  <si>
    <t>126H480</t>
  </si>
  <si>
    <t>COTTON; SOCKS: COTTON/POLYESTER/ELASTANE</t>
  </si>
  <si>
    <t>696114305140</t>
  </si>
  <si>
    <t>HIT SNOOZE PANT SET</t>
  </si>
  <si>
    <t>50169-MA</t>
  </si>
  <si>
    <t>880680610542</t>
  </si>
  <si>
    <t>RED/STRIPE 2PC SHORT SET</t>
  </si>
  <si>
    <t>61G70630-99</t>
  </si>
  <si>
    <t>26217491387</t>
  </si>
  <si>
    <t>26217620343</t>
  </si>
  <si>
    <t>26217620480</t>
  </si>
  <si>
    <t>191045804545</t>
  </si>
  <si>
    <t>732995105032</t>
  </si>
  <si>
    <t>732995105124</t>
  </si>
  <si>
    <t>PALM TRUNK</t>
  </si>
  <si>
    <t>100046224BO</t>
  </si>
  <si>
    <t>732995697827</t>
  </si>
  <si>
    <t>732995697834</t>
  </si>
  <si>
    <t>732995697858</t>
  </si>
  <si>
    <t>732995697810</t>
  </si>
  <si>
    <t>732995554281</t>
  </si>
  <si>
    <t>192135612309</t>
  </si>
  <si>
    <t>732996214177</t>
  </si>
  <si>
    <t>617845073696</t>
  </si>
  <si>
    <t>042D SNOOPY JOE COOL TEE</t>
  </si>
  <si>
    <t>318874F</t>
  </si>
  <si>
    <t>732995697773</t>
  </si>
  <si>
    <t>SPLICED TANK BASIC</t>
  </si>
  <si>
    <t>100044708BO</t>
  </si>
  <si>
    <t>732995492392</t>
  </si>
  <si>
    <t>100046898LG</t>
  </si>
  <si>
    <t>732996336244</t>
  </si>
  <si>
    <t>48283891168</t>
  </si>
  <si>
    <t>732995105193</t>
  </si>
  <si>
    <t>OMBRE PALM TRUNK</t>
  </si>
  <si>
    <t>100046227BO</t>
  </si>
  <si>
    <t>640013646095</t>
  </si>
  <si>
    <t>MARINA HAWAIIAN PRINT</t>
  </si>
  <si>
    <t>UB1191428</t>
  </si>
  <si>
    <t>640013784827</t>
  </si>
  <si>
    <t>732996105208</t>
  </si>
  <si>
    <t>732996336015</t>
  </si>
  <si>
    <t>732996104737</t>
  </si>
  <si>
    <t>732996347943</t>
  </si>
  <si>
    <t>732996347974</t>
  </si>
  <si>
    <t>732996347998</t>
  </si>
  <si>
    <t>732996347950</t>
  </si>
  <si>
    <t>880680637754</t>
  </si>
  <si>
    <t>880680637877</t>
  </si>
  <si>
    <t>46094705490</t>
  </si>
  <si>
    <t>HNGR 2PK ST MIC BOX BRF</t>
  </si>
  <si>
    <t>M5134</t>
  </si>
  <si>
    <t>732995103595</t>
  </si>
  <si>
    <t>732995051537</t>
  </si>
  <si>
    <t>732995051544</t>
  </si>
  <si>
    <t>732996380216</t>
  </si>
  <si>
    <t>732996174457</t>
  </si>
  <si>
    <t>TOUCAN SHORTALL SET BASIC</t>
  </si>
  <si>
    <t>100053814BG</t>
  </si>
  <si>
    <t>COTTON/POLYESTER; FELT FLOWER: POLYESTER</t>
  </si>
  <si>
    <t>608356088538</t>
  </si>
  <si>
    <t>732996105079</t>
  </si>
  <si>
    <t>732996106342</t>
  </si>
  <si>
    <t>732996335605</t>
  </si>
  <si>
    <t>732996348209</t>
  </si>
  <si>
    <t>732996106724</t>
  </si>
  <si>
    <t>636202748497</t>
  </si>
  <si>
    <t>STAR TOP</t>
  </si>
  <si>
    <t>100042124G</t>
  </si>
  <si>
    <t>636202748480</t>
  </si>
  <si>
    <t>636202747230</t>
  </si>
  <si>
    <t>636202747247</t>
  </si>
  <si>
    <t>636202747018</t>
  </si>
  <si>
    <t>732995050103</t>
  </si>
  <si>
    <t>ABS FLOWERS LEGGING</t>
  </si>
  <si>
    <t>100044347GR</t>
  </si>
  <si>
    <t>732995050097</t>
  </si>
  <si>
    <t>732995050080</t>
  </si>
  <si>
    <t>732995103762</t>
  </si>
  <si>
    <t>732996083162</t>
  </si>
  <si>
    <t>732995555356</t>
  </si>
  <si>
    <t>732995045840</t>
  </si>
  <si>
    <t>732996106236</t>
  </si>
  <si>
    <t>732996174730</t>
  </si>
  <si>
    <t>100053821BB</t>
  </si>
  <si>
    <t>888282684626</t>
  </si>
  <si>
    <t>RAINBOW SHARKS SWIM TRUN</t>
  </si>
  <si>
    <t>LBS9161</t>
  </si>
  <si>
    <t>888282684633</t>
  </si>
  <si>
    <t>888282683957</t>
  </si>
  <si>
    <t>OFF THE SHORE SWIM TRUNK</t>
  </si>
  <si>
    <t>LBS9327</t>
  </si>
  <si>
    <t>633716778200</t>
  </si>
  <si>
    <t>214730F</t>
  </si>
  <si>
    <t>888282683995</t>
  </si>
  <si>
    <t>PALM TREE SUNSET 2 SWIM</t>
  </si>
  <si>
    <t>LBS9733</t>
  </si>
  <si>
    <t>888282684732</t>
  </si>
  <si>
    <t>SPEED ZONE SWIM</t>
  </si>
  <si>
    <t>LBS9967</t>
  </si>
  <si>
    <t>636202748619</t>
  </si>
  <si>
    <t>636202748534</t>
  </si>
  <si>
    <t>636206465963</t>
  </si>
  <si>
    <t>SHERPA VARSITY JACKT</t>
  </si>
  <si>
    <t>100035124BG</t>
  </si>
  <si>
    <t>SHELL: COTTON/POLYESTER; LINING: POLYESTER; SLEEVES: POLYESTER; SLEEVE LINING: COTTON</t>
  </si>
  <si>
    <t>640013645944</t>
  </si>
  <si>
    <t>617846917920</t>
  </si>
  <si>
    <t>WE GOT THE POWER MODERN</t>
  </si>
  <si>
    <t>36F009G</t>
  </si>
  <si>
    <t>732994853392</t>
  </si>
  <si>
    <t>PATCH WORK JEAN BASIC</t>
  </si>
  <si>
    <t>100043803BB</t>
  </si>
  <si>
    <t>732995031690</t>
  </si>
  <si>
    <t>SIDE STRIPE JOGGER BASIC</t>
  </si>
  <si>
    <t>100043800BB</t>
  </si>
  <si>
    <t>COTTON/POLYESTER/SPANDEX; TRIM: POLYESTER</t>
  </si>
  <si>
    <t>48238372308</t>
  </si>
  <si>
    <t>THREE PRINCESSES DRESS</t>
  </si>
  <si>
    <t>TD6967GD7898</t>
  </si>
  <si>
    <t>732995067873</t>
  </si>
  <si>
    <t>100044348LG</t>
  </si>
  <si>
    <t>696114340943</t>
  </si>
  <si>
    <t>696114340936</t>
  </si>
  <si>
    <t>633716795177</t>
  </si>
  <si>
    <t>S/S FOIL BATWING TEE</t>
  </si>
  <si>
    <t>415984F</t>
  </si>
  <si>
    <t>46094964798</t>
  </si>
  <si>
    <t>732995070569</t>
  </si>
  <si>
    <t>732995068146</t>
  </si>
  <si>
    <t>732995103885</t>
  </si>
  <si>
    <t>696114339961</t>
  </si>
  <si>
    <t>732996084626</t>
  </si>
  <si>
    <t>732995104059</t>
  </si>
  <si>
    <t>732995104073</t>
  </si>
  <si>
    <t>732995104097</t>
  </si>
  <si>
    <t>633716919818</t>
  </si>
  <si>
    <t>IN THE PALMS TEE</t>
  </si>
  <si>
    <t>715993F</t>
  </si>
  <si>
    <t>633716830687</t>
  </si>
  <si>
    <t>RAGLAN TEE</t>
  </si>
  <si>
    <t>816512F</t>
  </si>
  <si>
    <t>633716830717</t>
  </si>
  <si>
    <t>633716824648</t>
  </si>
  <si>
    <t>716512F</t>
  </si>
  <si>
    <t>732995299946</t>
  </si>
  <si>
    <t>732996582214</t>
  </si>
  <si>
    <t>732996105369</t>
  </si>
  <si>
    <t>29534425875</t>
  </si>
  <si>
    <t>2PC CORAL STRIPE BATHING</t>
  </si>
  <si>
    <t>2115MSS29-B</t>
  </si>
  <si>
    <t>POLYESTER/SPANDEX; EXCLUSIVE OF DECORATION; LINING: POLYESTER/SPANDEX</t>
  </si>
  <si>
    <t>732995567335</t>
  </si>
  <si>
    <t>889338960480</t>
  </si>
  <si>
    <t>F18 TABLE PANT MICROFLEE</t>
  </si>
  <si>
    <t>224G748</t>
  </si>
  <si>
    <t>732995698060</t>
  </si>
  <si>
    <t>SPRAY TALL TEE BASIC</t>
  </si>
  <si>
    <t>100044705BO</t>
  </si>
  <si>
    <t>608381742047</t>
  </si>
  <si>
    <t>732995103687</t>
  </si>
  <si>
    <t>732995103670</t>
  </si>
  <si>
    <t>732995103731</t>
  </si>
  <si>
    <t>732995103694</t>
  </si>
  <si>
    <t>633716824587</t>
  </si>
  <si>
    <t>RUSS SNOW TEE</t>
  </si>
  <si>
    <t>616512F</t>
  </si>
  <si>
    <t>735869399476</t>
  </si>
  <si>
    <t>732995050158</t>
  </si>
  <si>
    <t>732995051308</t>
  </si>
  <si>
    <t>732995695458</t>
  </si>
  <si>
    <t>732995050196</t>
  </si>
  <si>
    <t>FUTURE BRA</t>
  </si>
  <si>
    <t>100044380GR</t>
  </si>
  <si>
    <t>640013644510</t>
  </si>
  <si>
    <t>HOOK</t>
  </si>
  <si>
    <t>UB119486</t>
  </si>
  <si>
    <t>640013644763</t>
  </si>
  <si>
    <t>192135584712</t>
  </si>
  <si>
    <t>S19 SUR BLUE BOAT</t>
  </si>
  <si>
    <t>732997558263</t>
  </si>
  <si>
    <t>732995566284</t>
  </si>
  <si>
    <t>732995520293</t>
  </si>
  <si>
    <t>732995553963</t>
  </si>
  <si>
    <t>HEART FRINGE SS TEE</t>
  </si>
  <si>
    <t>100046981GR</t>
  </si>
  <si>
    <t>696114316764</t>
  </si>
  <si>
    <t>732995567922</t>
  </si>
  <si>
    <t>SCRIPT LOVE TANK BASIC</t>
  </si>
  <si>
    <t>100045188LG</t>
  </si>
  <si>
    <t>191603760054</t>
  </si>
  <si>
    <t>MICKEY STRIPE RED</t>
  </si>
  <si>
    <t>2JBDNY2743</t>
  </si>
  <si>
    <t>191603760078</t>
  </si>
  <si>
    <t>640013644848</t>
  </si>
  <si>
    <t>PALERMO V</t>
  </si>
  <si>
    <t>UB119648</t>
  </si>
  <si>
    <t>640013644725</t>
  </si>
  <si>
    <t>640013644701</t>
  </si>
  <si>
    <t>640013644824</t>
  </si>
  <si>
    <t>732995137583</t>
  </si>
  <si>
    <t>732996526584</t>
  </si>
  <si>
    <t>732996526720</t>
  </si>
  <si>
    <t>732996526683</t>
  </si>
  <si>
    <t>732996526621</t>
  </si>
  <si>
    <t>732996526690</t>
  </si>
  <si>
    <t>735869395041</t>
  </si>
  <si>
    <t>C7405M</t>
  </si>
  <si>
    <t>735869407256</t>
  </si>
  <si>
    <t>C8763R</t>
  </si>
  <si>
    <t>735869213925</t>
  </si>
  <si>
    <t>C8532R</t>
  </si>
  <si>
    <t>732995800364</t>
  </si>
  <si>
    <t>WATERMELON ROMPER BASIC</t>
  </si>
  <si>
    <t>100045215BG</t>
  </si>
  <si>
    <t>732996526782</t>
  </si>
  <si>
    <t>640013787682</t>
  </si>
  <si>
    <t>640013784537</t>
  </si>
  <si>
    <t>640013784551</t>
  </si>
  <si>
    <t>732996009148</t>
  </si>
  <si>
    <t>732995632897</t>
  </si>
  <si>
    <t>B FISH SUNSUIT BASIC</t>
  </si>
  <si>
    <t>100048775BB</t>
  </si>
  <si>
    <t>732995881448</t>
  </si>
  <si>
    <t>192135011324</t>
  </si>
  <si>
    <t>F18 MULTI FLORAL LEGGING</t>
  </si>
  <si>
    <t>236G832</t>
  </si>
  <si>
    <t>192136254232</t>
  </si>
  <si>
    <t>192136078272</t>
  </si>
  <si>
    <t>732996431574</t>
  </si>
  <si>
    <t>732995328332</t>
  </si>
  <si>
    <t>SNACK TIME SS TEE</t>
  </si>
  <si>
    <t>100046649LB</t>
  </si>
  <si>
    <t>608381970785</t>
  </si>
  <si>
    <t>T FRENCH LOOP JOGGER FLOBASIC</t>
  </si>
  <si>
    <t>100028053TB</t>
  </si>
  <si>
    <t>732996128177</t>
  </si>
  <si>
    <t>732996431468</t>
  </si>
  <si>
    <t>732996124919</t>
  </si>
  <si>
    <t>732996124711</t>
  </si>
  <si>
    <t>LOVE IS LOVE TANK</t>
  </si>
  <si>
    <t>100056878LG</t>
  </si>
  <si>
    <t>732996435145</t>
  </si>
  <si>
    <t>732996124902</t>
  </si>
  <si>
    <t>732996124896</t>
  </si>
  <si>
    <t>732996176178</t>
  </si>
  <si>
    <t>732996176321</t>
  </si>
  <si>
    <t>608356335212</t>
  </si>
  <si>
    <t>732994939102</t>
  </si>
  <si>
    <t>732994939041</t>
  </si>
  <si>
    <t>GIRL CARDI</t>
  </si>
  <si>
    <t>100043496BG</t>
  </si>
  <si>
    <t>732996414164</t>
  </si>
  <si>
    <t>T STRIPE SWING TOP BASIC</t>
  </si>
  <si>
    <t>100052307TG</t>
  </si>
  <si>
    <t>732995251319</t>
  </si>
  <si>
    <t>732995884333</t>
  </si>
  <si>
    <t>PATRIOTIC PLAID SHOR BASIC</t>
  </si>
  <si>
    <t>100043946BB</t>
  </si>
  <si>
    <t>732995797831</t>
  </si>
  <si>
    <t>732994939119</t>
  </si>
  <si>
    <t>GIRL HAT PACK</t>
  </si>
  <si>
    <t>100043499BG</t>
  </si>
  <si>
    <t>PINK: COTTON/POLYESTER; FLORAL: 100% COTTON</t>
  </si>
  <si>
    <t>732994939133</t>
  </si>
  <si>
    <t>732994939188</t>
  </si>
  <si>
    <t>732995579789</t>
  </si>
  <si>
    <t>732995884029</t>
  </si>
  <si>
    <t>T DINOSAUR AOP TANK BASIC</t>
  </si>
  <si>
    <t>100043937TB</t>
  </si>
  <si>
    <t>732995579758</t>
  </si>
  <si>
    <t>732994881401</t>
  </si>
  <si>
    <t>DOG BUNNY LEGGING BASIC</t>
  </si>
  <si>
    <t>100042445BG</t>
  </si>
  <si>
    <t>732994155106</t>
  </si>
  <si>
    <t>732994881814</t>
  </si>
  <si>
    <t>732996960029</t>
  </si>
  <si>
    <t>732995577747</t>
  </si>
  <si>
    <t>732996890326</t>
  </si>
  <si>
    <t>732995801668</t>
  </si>
  <si>
    <t>732996240183</t>
  </si>
  <si>
    <t>732995799378</t>
  </si>
  <si>
    <t>DOG KNOT TEE BASIC</t>
  </si>
  <si>
    <t>100042523BG</t>
  </si>
  <si>
    <t>732996889498</t>
  </si>
  <si>
    <t>732995575323</t>
  </si>
  <si>
    <t>732996210735</t>
  </si>
  <si>
    <t>732996240619</t>
  </si>
  <si>
    <t>732995882414</t>
  </si>
  <si>
    <t>732994852944</t>
  </si>
  <si>
    <t>SWIMMING BEAR TEE BASIC</t>
  </si>
  <si>
    <t>100041895BB</t>
  </si>
  <si>
    <t>732997001776</t>
  </si>
  <si>
    <t>732994853002</t>
  </si>
  <si>
    <t>COOL BEAR TEE BASIC</t>
  </si>
  <si>
    <t>100041896BB</t>
  </si>
  <si>
    <t>46094635940</t>
  </si>
  <si>
    <t>MF SMLS MINISHORT BASIC</t>
  </si>
  <si>
    <t>M4102</t>
  </si>
  <si>
    <t>NYLON/POLYESTER/SPANDEX; GUSSET: NYLON/POLYESTER/COTTON/SPANDEX</t>
  </si>
  <si>
    <t>192042689135</t>
  </si>
  <si>
    <t>192042693293</t>
  </si>
  <si>
    <t>192042693323</t>
  </si>
  <si>
    <t>192042693255</t>
  </si>
  <si>
    <t>736576081197</t>
  </si>
  <si>
    <t>KP W GIRLS LONG DRESS BASIC</t>
  </si>
  <si>
    <t>884733525463</t>
  </si>
  <si>
    <t>DENSE POPLIN-TAPERED JOG</t>
  </si>
  <si>
    <t>883914587108</t>
  </si>
  <si>
    <t>SL SCALLOP HEM LCE D</t>
  </si>
  <si>
    <t>SD331231RM</t>
  </si>
  <si>
    <t>NYLON/COTTON/RAYON; CONTRAST/LINING: POLYESTER</t>
  </si>
  <si>
    <t>747157904149</t>
  </si>
  <si>
    <t>RAINBOW SEQUIN TWO PIECE</t>
  </si>
  <si>
    <t>5345MTHG</t>
  </si>
  <si>
    <t>TOP/SKIRT/LINING: POLYESTER</t>
  </si>
  <si>
    <t>791088507566</t>
  </si>
  <si>
    <t>PINK FLORAL HI/LOW</t>
  </si>
  <si>
    <t>F738028</t>
  </si>
  <si>
    <t>POLYESTER/COTTON/SPANDEX; LINED: POLYESTER</t>
  </si>
  <si>
    <t>193579337056</t>
  </si>
  <si>
    <t>192042680293</t>
  </si>
  <si>
    <t>SEERSUCKER VEST SET</t>
  </si>
  <si>
    <t>N3K0157-641</t>
  </si>
  <si>
    <t>F &amp; T APPAREL LLC</t>
  </si>
  <si>
    <t>VEST, SHORTS: COTTON; SHIRT: COTTON/POLYESTER; NECKTIE: POLYESTER</t>
  </si>
  <si>
    <t>193579294892</t>
  </si>
  <si>
    <t>HILFIGER 85 POLO</t>
  </si>
  <si>
    <t>TBFCB94F-100</t>
  </si>
  <si>
    <t>193579337254</t>
  </si>
  <si>
    <t>TBFCB38F-100</t>
  </si>
  <si>
    <t>193579337278</t>
  </si>
  <si>
    <t>192500284742</t>
  </si>
  <si>
    <t>B NK DRY SHORT AOP 2</t>
  </si>
  <si>
    <t>CI1056</t>
  </si>
  <si>
    <t>191888203543</t>
  </si>
  <si>
    <t>B NSW HOODIE PO JSY SSNL</t>
  </si>
  <si>
    <t>BQ8398</t>
  </si>
  <si>
    <t>880680740126</t>
  </si>
  <si>
    <t>FLAG PRINTED SHORT</t>
  </si>
  <si>
    <t>TBSCC026-405</t>
  </si>
  <si>
    <t>193579330286</t>
  </si>
  <si>
    <t>192399445453</t>
  </si>
  <si>
    <t>LS CROPPED SWEATSHIRT</t>
  </si>
  <si>
    <t>AA4632</t>
  </si>
  <si>
    <t>COTTON/POLYESTER; EXCLUSIVE OF TRIM</t>
  </si>
  <si>
    <t>193579083304</t>
  </si>
  <si>
    <t>193579356446</t>
  </si>
  <si>
    <t>192042699042</t>
  </si>
  <si>
    <t>880680737553</t>
  </si>
  <si>
    <t>637348173099</t>
  </si>
  <si>
    <t>732995126907</t>
  </si>
  <si>
    <t>889799667560</t>
  </si>
  <si>
    <t>883288212880</t>
  </si>
  <si>
    <t>COTTON JERSEY-SS GRAPHIC</t>
  </si>
  <si>
    <t>193573022088</t>
  </si>
  <si>
    <t>SHIFT EW SHORT</t>
  </si>
  <si>
    <t>C1001901</t>
  </si>
  <si>
    <t>636189924105</t>
  </si>
  <si>
    <t>CLRBLK ANORAK JACKET</t>
  </si>
  <si>
    <t>100044103GR</t>
  </si>
  <si>
    <t>46094874233</t>
  </si>
  <si>
    <t>880680640884</t>
  </si>
  <si>
    <t>3G52644-99</t>
  </si>
  <si>
    <t>880680784618</t>
  </si>
  <si>
    <t>HILFIGER STRIPE PULL ON</t>
  </si>
  <si>
    <t>TBMCC044-004</t>
  </si>
  <si>
    <t>636189923047</t>
  </si>
  <si>
    <t>636206542923</t>
  </si>
  <si>
    <t>193585035885</t>
  </si>
  <si>
    <t>46094874189</t>
  </si>
  <si>
    <t>2PC SLVLSS TOP SHORT</t>
  </si>
  <si>
    <t>M2132</t>
  </si>
  <si>
    <t>192135492253</t>
  </si>
  <si>
    <t>GSW 4PC NAVY CAT</t>
  </si>
  <si>
    <t>192502613991</t>
  </si>
  <si>
    <t>B NSW TEE ELITE POD FILL</t>
  </si>
  <si>
    <t>CD9580</t>
  </si>
  <si>
    <t>192502613984</t>
  </si>
  <si>
    <t>192502614011</t>
  </si>
  <si>
    <t>883418554682</t>
  </si>
  <si>
    <t>B NK DRY TEE DFCT KYRIE</t>
  </si>
  <si>
    <t>BQ8581</t>
  </si>
  <si>
    <t>883418554699</t>
  </si>
  <si>
    <t>192502614004</t>
  </si>
  <si>
    <t>883418554897</t>
  </si>
  <si>
    <t>880680737591</t>
  </si>
  <si>
    <t>887622867774</t>
  </si>
  <si>
    <t>732995296501</t>
  </si>
  <si>
    <t>732995050455</t>
  </si>
  <si>
    <t>CHEVRON TRACK JACKET</t>
  </si>
  <si>
    <t>100044436GR</t>
  </si>
  <si>
    <t>192399510700</t>
  </si>
  <si>
    <t>AH5420</t>
  </si>
  <si>
    <t>192399510717</t>
  </si>
  <si>
    <t>192399510724</t>
  </si>
  <si>
    <t>193579295103</t>
  </si>
  <si>
    <t>HILFIGER ANGLE TEE</t>
  </si>
  <si>
    <t>TBFCA05F-004</t>
  </si>
  <si>
    <t>190796602219</t>
  </si>
  <si>
    <t>MULTI DINO PRINT</t>
  </si>
  <si>
    <t>192135562529</t>
  </si>
  <si>
    <t>190796602196</t>
  </si>
  <si>
    <t>192769048222</t>
  </si>
  <si>
    <t>732995559309</t>
  </si>
  <si>
    <t>PATTERN CS JUMPSUIT</t>
  </si>
  <si>
    <t>100047041GR</t>
  </si>
  <si>
    <t>RAYON; LACE: COTTON/NYLON</t>
  </si>
  <si>
    <t>192135503577</t>
  </si>
  <si>
    <t>706254869652</t>
  </si>
  <si>
    <t>SPRI SPRING MULTI CKET BASIC</t>
  </si>
  <si>
    <t>G6187SM431</t>
  </si>
  <si>
    <t>706254869638</t>
  </si>
  <si>
    <t>706254869621</t>
  </si>
  <si>
    <t>732996348032</t>
  </si>
  <si>
    <t>9328790938</t>
  </si>
  <si>
    <t>CROPPED SOLID POLO</t>
  </si>
  <si>
    <t>411976F</t>
  </si>
  <si>
    <t>9328790907</t>
  </si>
  <si>
    <t>880680774442</t>
  </si>
  <si>
    <t>DYED T-SHIRT</t>
  </si>
  <si>
    <t>TBMCA056-620</t>
  </si>
  <si>
    <t>617846837778</t>
  </si>
  <si>
    <t>CUT OFF SHORTY SHORT</t>
  </si>
  <si>
    <t>316327F</t>
  </si>
  <si>
    <t>9328790921</t>
  </si>
  <si>
    <t>689439329656</t>
  </si>
  <si>
    <t>807746655736</t>
  </si>
  <si>
    <t>WHITE MULTI HEARTS DRESS</t>
  </si>
  <si>
    <t>MAB11129</t>
  </si>
  <si>
    <t>DRESS: COTTON; LINING: POLYESTER/COTTON; MESH: POLYESTER</t>
  </si>
  <si>
    <t>192503459437</t>
  </si>
  <si>
    <t>192500448458</t>
  </si>
  <si>
    <t>B NSW TEE NIKE BLOCK 3D</t>
  </si>
  <si>
    <t>BQ2702</t>
  </si>
  <si>
    <t>192135488621</t>
  </si>
  <si>
    <t>S19 PINK DOG SWEATSHIRT</t>
  </si>
  <si>
    <t>239G880</t>
  </si>
  <si>
    <t>192136181330</t>
  </si>
  <si>
    <t>192136180470</t>
  </si>
  <si>
    <t>192135608456</t>
  </si>
  <si>
    <t>S19 PINK BUTTERFLY PRINT</t>
  </si>
  <si>
    <t>291G104</t>
  </si>
  <si>
    <t>192135640104</t>
  </si>
  <si>
    <t>S19 LBB NAVY CARDI SLOTH</t>
  </si>
  <si>
    <t>192135640142</t>
  </si>
  <si>
    <t>S19 LBB SLOTH SHORT SET</t>
  </si>
  <si>
    <t>BODYSUIT AND SHORTS: COTTON; TOP: COTTON/POLYESTER</t>
  </si>
  <si>
    <t>722947176586</t>
  </si>
  <si>
    <t>SPLATTER PRINT/LOGO ON T</t>
  </si>
  <si>
    <t>CALVIN KLEIN BELTS/CENTRIC ACCS</t>
  </si>
  <si>
    <t>732994961905</t>
  </si>
  <si>
    <t>732995697971</t>
  </si>
  <si>
    <t>45299016486</t>
  </si>
  <si>
    <t>MULT PALACE PETS G 7PK BASIC</t>
  </si>
  <si>
    <t>GUP8051</t>
  </si>
  <si>
    <t>HANDCRAFT CORPORATION</t>
  </si>
  <si>
    <t>47852266048</t>
  </si>
  <si>
    <t>MARLED HEEL/TOE 6 PK</t>
  </si>
  <si>
    <t>G40068GPK2</t>
  </si>
  <si>
    <t>POLYESTER/SPANDEX/OTHER FIBERS</t>
  </si>
  <si>
    <t>884630141902</t>
  </si>
  <si>
    <t>TIE FRONT TOP</t>
  </si>
  <si>
    <t>K21367</t>
  </si>
  <si>
    <t>RAYON/LINEN</t>
  </si>
  <si>
    <t>689439317509</t>
  </si>
  <si>
    <t>100039665LB</t>
  </si>
  <si>
    <t>735869404118</t>
  </si>
  <si>
    <t>FLORAL PINT LEGGING</t>
  </si>
  <si>
    <t>C7748M</t>
  </si>
  <si>
    <t>735869404125</t>
  </si>
  <si>
    <t>48283891182</t>
  </si>
  <si>
    <t>732996174600</t>
  </si>
  <si>
    <t>CHECK SHORTALL SET</t>
  </si>
  <si>
    <t>100053816BB</t>
  </si>
  <si>
    <t>SHIRT: COTTON/POLYESTER; SHORTALLS: COTTON</t>
  </si>
  <si>
    <t>732996174662</t>
  </si>
  <si>
    <t>CRAB SHORTALL SET</t>
  </si>
  <si>
    <t>100053817BB</t>
  </si>
  <si>
    <t>T-SHIRT: COTTON/POLYESTER; SHORTALLS: 100% COTTON</t>
  </si>
  <si>
    <t>192136215622</t>
  </si>
  <si>
    <t>2 PC SETF19 N 2PC JACKOL</t>
  </si>
  <si>
    <t>192135746387</t>
  </si>
  <si>
    <t>BOY RASHGUARDS19 FISH FI</t>
  </si>
  <si>
    <t>732996174433</t>
  </si>
  <si>
    <t>732996083230</t>
  </si>
  <si>
    <t>CORAL LACE SHORT</t>
  </si>
  <si>
    <t>100057064GR</t>
  </si>
  <si>
    <t>888822007694</t>
  </si>
  <si>
    <t>617846742164</t>
  </si>
  <si>
    <t>192136246442</t>
  </si>
  <si>
    <t>48283013805</t>
  </si>
  <si>
    <t>888282684039</t>
  </si>
  <si>
    <t>PALM TREE SWIM TRUNK</t>
  </si>
  <si>
    <t>LBS9701</t>
  </si>
  <si>
    <t>888282683919</t>
  </si>
  <si>
    <t>888282684763</t>
  </si>
  <si>
    <t>888282684756</t>
  </si>
  <si>
    <t>888282684770</t>
  </si>
  <si>
    <t>888282684046</t>
  </si>
  <si>
    <t>888282684589</t>
  </si>
  <si>
    <t>888282684602</t>
  </si>
  <si>
    <t>883953661005</t>
  </si>
  <si>
    <t>633716934743</t>
  </si>
  <si>
    <t>192135977057</t>
  </si>
  <si>
    <t>192135977033</t>
  </si>
  <si>
    <t>192136003205</t>
  </si>
  <si>
    <t>192503446482</t>
  </si>
  <si>
    <t>756500010260</t>
  </si>
  <si>
    <t>81BK1293</t>
  </si>
  <si>
    <t>706255618433</t>
  </si>
  <si>
    <t>706254871891</t>
  </si>
  <si>
    <t>706254871877</t>
  </si>
  <si>
    <t>706254871907</t>
  </si>
  <si>
    <t>732996084688</t>
  </si>
  <si>
    <t>732995696325</t>
  </si>
  <si>
    <t>880680636597</t>
  </si>
  <si>
    <t>880680636696</t>
  </si>
  <si>
    <t>COR 2PC PINEAPPLE SET</t>
  </si>
  <si>
    <t>11G02674-99</t>
  </si>
  <si>
    <t>732995144796</t>
  </si>
  <si>
    <t>FLORAL CS OPP DRESS</t>
  </si>
  <si>
    <t>100040141GR</t>
  </si>
  <si>
    <t>732996582207</t>
  </si>
  <si>
    <t>732996582191</t>
  </si>
  <si>
    <t>191603760504</t>
  </si>
  <si>
    <t>SON OF KRYPTON STRIPE</t>
  </si>
  <si>
    <t>2YDCB1664</t>
  </si>
  <si>
    <t>191603760511</t>
  </si>
  <si>
    <t>732995523829</t>
  </si>
  <si>
    <t>STRIPE SS TEE</t>
  </si>
  <si>
    <t>100046792BO</t>
  </si>
  <si>
    <t>732995884784</t>
  </si>
  <si>
    <t>EPIC BURGER TEE</t>
  </si>
  <si>
    <t>100056759BO</t>
  </si>
  <si>
    <t>732995884593</t>
  </si>
  <si>
    <t>732995884616</t>
  </si>
  <si>
    <t>732995299762</t>
  </si>
  <si>
    <t>SKULL SS TEE</t>
  </si>
  <si>
    <t>100046782BO</t>
  </si>
  <si>
    <t>732996031965</t>
  </si>
  <si>
    <t>732996433431</t>
  </si>
  <si>
    <t>STRIPED RAINBOW TANK</t>
  </si>
  <si>
    <t>100057024GR</t>
  </si>
  <si>
    <t>192135586808</t>
  </si>
  <si>
    <t>S19 SUR MULTI STRP HEART</t>
  </si>
  <si>
    <t>732997558287</t>
  </si>
  <si>
    <t>732995560299</t>
  </si>
  <si>
    <t>STRIPE CHALLIS SHORT</t>
  </si>
  <si>
    <t>100057059GR</t>
  </si>
  <si>
    <t>732997558256</t>
  </si>
  <si>
    <t>724536920563</t>
  </si>
  <si>
    <t>REPLEN BLACK LEGGING</t>
  </si>
  <si>
    <t>6431DEE474</t>
  </si>
  <si>
    <t>724536920570</t>
  </si>
  <si>
    <t>732996528212</t>
  </si>
  <si>
    <t>640013636089</t>
  </si>
  <si>
    <t>DREAM L.SLV CONCRETE</t>
  </si>
  <si>
    <t>UB218006LS</t>
  </si>
  <si>
    <t>732996082592</t>
  </si>
  <si>
    <t>190796652665</t>
  </si>
  <si>
    <t>S18 SNAP UP BOY NAVY NAU</t>
  </si>
  <si>
    <t>118H913</t>
  </si>
  <si>
    <t>190796652689</t>
  </si>
  <si>
    <t>732995559811</t>
  </si>
  <si>
    <t>732996527024</t>
  </si>
  <si>
    <t>732996242378</t>
  </si>
  <si>
    <t>COLOR BLOCK POLO BASIC</t>
  </si>
  <si>
    <t>100052633BB</t>
  </si>
  <si>
    <t>732996242392</t>
  </si>
  <si>
    <t>732996242408</t>
  </si>
  <si>
    <t>732995328431</t>
  </si>
  <si>
    <t>BEST COAST TEE</t>
  </si>
  <si>
    <t>100046652LB</t>
  </si>
  <si>
    <t>732995328455</t>
  </si>
  <si>
    <t>732995881462</t>
  </si>
  <si>
    <t>192136218579</t>
  </si>
  <si>
    <t>732995880786</t>
  </si>
  <si>
    <t>735869407393</t>
  </si>
  <si>
    <t>735869407409</t>
  </si>
  <si>
    <t>732995879988</t>
  </si>
  <si>
    <t>608381991216</t>
  </si>
  <si>
    <t>LINE QUILTED JOGGER BASIC</t>
  </si>
  <si>
    <t>ALL COTTON/POLYESTER</t>
  </si>
  <si>
    <t>608381991223</t>
  </si>
  <si>
    <t>608381989565</t>
  </si>
  <si>
    <t>732995564808</t>
  </si>
  <si>
    <t>732996124797</t>
  </si>
  <si>
    <t>701570933896</t>
  </si>
  <si>
    <t>VAMPORINA</t>
  </si>
  <si>
    <t>VP001TNSZA-LVL</t>
  </si>
  <si>
    <t>732995577105</t>
  </si>
  <si>
    <t>T PURPLE PLAID SHORT BASIC</t>
  </si>
  <si>
    <t>100042008TB</t>
  </si>
  <si>
    <t>732994855457</t>
  </si>
  <si>
    <t>732994549226</t>
  </si>
  <si>
    <t>LS AOP DOTTY TUNIC</t>
  </si>
  <si>
    <t>100021567TG</t>
  </si>
  <si>
    <t>732996176031</t>
  </si>
  <si>
    <t>732996176314</t>
  </si>
  <si>
    <t>732996176444</t>
  </si>
  <si>
    <t>732994549424</t>
  </si>
  <si>
    <t>LS STRIPE HART TUNIC</t>
  </si>
  <si>
    <t>100021555TG</t>
  </si>
  <si>
    <t>732994549417</t>
  </si>
  <si>
    <t>732996960586</t>
  </si>
  <si>
    <t>636189119198</t>
  </si>
  <si>
    <t>LS STRIPE BOW TUNIC</t>
  </si>
  <si>
    <t>732994549479</t>
  </si>
  <si>
    <t>LS TULLE FLOWERS TEE</t>
  </si>
  <si>
    <t>100021573TG</t>
  </si>
  <si>
    <t>732994549486</t>
  </si>
  <si>
    <t>608381724944</t>
  </si>
  <si>
    <t>LS SQUIRREL TEE</t>
  </si>
  <si>
    <t>100022403TG</t>
  </si>
  <si>
    <t>608381724326</t>
  </si>
  <si>
    <t>608381724937</t>
  </si>
  <si>
    <t>732994549592</t>
  </si>
  <si>
    <t>LS BUNNIES TEE</t>
  </si>
  <si>
    <t>100022436TG</t>
  </si>
  <si>
    <t>732995884357</t>
  </si>
  <si>
    <t>732994549615</t>
  </si>
  <si>
    <t>732995576108</t>
  </si>
  <si>
    <t>732996245065</t>
  </si>
  <si>
    <t>FRY BODYSUIT</t>
  </si>
  <si>
    <t>732996245416</t>
  </si>
  <si>
    <t>PIZZA BODYSUIT</t>
  </si>
  <si>
    <t>726895168532</t>
  </si>
  <si>
    <t>SS1 PLAID SHORT</t>
  </si>
  <si>
    <t>726895168525</t>
  </si>
  <si>
    <t>636193241939</t>
  </si>
  <si>
    <t>SS3 PLAID SHORT</t>
  </si>
  <si>
    <t>726895168518</t>
  </si>
  <si>
    <t>726895708875</t>
  </si>
  <si>
    <t>ALOHA PLAID SHORT</t>
  </si>
  <si>
    <t>726895708899</t>
  </si>
  <si>
    <t>726895168495</t>
  </si>
  <si>
    <t>726895878370</t>
  </si>
  <si>
    <t>WS2 PLAID SHORT</t>
  </si>
  <si>
    <t>636193242042</t>
  </si>
  <si>
    <t>636189031407</t>
  </si>
  <si>
    <t>POCKET JOGGER</t>
  </si>
  <si>
    <t>732994543293</t>
  </si>
  <si>
    <t>LS BUNNY PEPLUM</t>
  </si>
  <si>
    <t>636189031414</t>
  </si>
  <si>
    <t>636189031391</t>
  </si>
  <si>
    <t>732994543309</t>
  </si>
  <si>
    <t>732994543279</t>
  </si>
  <si>
    <t>732995799316</t>
  </si>
  <si>
    <t>GINGHAM RUFFLE TEE BASIC</t>
  </si>
  <si>
    <t>100042522BG</t>
  </si>
  <si>
    <t>732996245362</t>
  </si>
  <si>
    <t>732996244983</t>
  </si>
  <si>
    <t>608381744577</t>
  </si>
  <si>
    <t>METALLIC LEGGING BASIC</t>
  </si>
  <si>
    <t>POLYESTER/COTTON/METALLIC/SPANDEX</t>
  </si>
  <si>
    <t>732996890630</t>
  </si>
  <si>
    <t>608381708951</t>
  </si>
  <si>
    <t>COTTON; APPLIQUÉ: COTTON/POLYESTER</t>
  </si>
  <si>
    <t>608381708968</t>
  </si>
  <si>
    <t>726895211894</t>
  </si>
  <si>
    <t>CIRCLE YOGA JOGGER</t>
  </si>
  <si>
    <t>726895211917</t>
  </si>
  <si>
    <t>726895211955</t>
  </si>
  <si>
    <t>726895677591</t>
  </si>
  <si>
    <t>SUSPENDERS TEE</t>
  </si>
  <si>
    <t>726895677553</t>
  </si>
  <si>
    <t>726895677584</t>
  </si>
  <si>
    <t>726895211948</t>
  </si>
  <si>
    <t>726895211870</t>
  </si>
  <si>
    <t>732995579468</t>
  </si>
  <si>
    <t>726895211887</t>
  </si>
  <si>
    <t>732995159356</t>
  </si>
  <si>
    <t>726895211962</t>
  </si>
  <si>
    <t>726895708783</t>
  </si>
  <si>
    <t>CHAMBRAY WOVEN SHORT BASIC</t>
  </si>
  <si>
    <t>732996173559</t>
  </si>
  <si>
    <t>726895168624</t>
  </si>
  <si>
    <t>MARLED KNIT SHORT</t>
  </si>
  <si>
    <t>636189029022</t>
  </si>
  <si>
    <t>HORSE BODYSUIT</t>
  </si>
  <si>
    <t>636189029015</t>
  </si>
  <si>
    <t>636189019641</t>
  </si>
  <si>
    <t>LAMB BODYSUIT</t>
  </si>
  <si>
    <t>COTTON/ELASTANE; APPLIQUÉ: POLYESTER</t>
  </si>
  <si>
    <t>636189020616</t>
  </si>
  <si>
    <t>636189020623</t>
  </si>
  <si>
    <t>636189030820</t>
  </si>
  <si>
    <t>COW BODYSUIT</t>
  </si>
  <si>
    <t>636189030769</t>
  </si>
  <si>
    <t>636189030745</t>
  </si>
  <si>
    <t>636189025956</t>
  </si>
  <si>
    <t>BOY BARNYARD BDYSUIT</t>
  </si>
  <si>
    <t>192135622520</t>
  </si>
  <si>
    <t>S19 4TH JULY COOL BIB</t>
  </si>
  <si>
    <t>732994881449</t>
  </si>
  <si>
    <t>MED BLUE BOW CAPRI BASIC</t>
  </si>
  <si>
    <t>100042446BG</t>
  </si>
  <si>
    <t>732995891423</t>
  </si>
  <si>
    <t>732995175370</t>
  </si>
  <si>
    <t>732997002100</t>
  </si>
  <si>
    <t>732995574920</t>
  </si>
  <si>
    <t>732996901336</t>
  </si>
  <si>
    <t>726895876741</t>
  </si>
  <si>
    <t>ROARSOME TEE</t>
  </si>
  <si>
    <t>726895876734</t>
  </si>
  <si>
    <t>726895876727</t>
  </si>
  <si>
    <t>726895877359</t>
  </si>
  <si>
    <t>WILD ONE TANK</t>
  </si>
  <si>
    <t>726895677508</t>
  </si>
  <si>
    <t>COOL TEE</t>
  </si>
  <si>
    <t>726895677744</t>
  </si>
  <si>
    <t>DINO TEE</t>
  </si>
  <si>
    <t>726895877342</t>
  </si>
  <si>
    <t>726895877311</t>
  </si>
  <si>
    <t>726895878073</t>
  </si>
  <si>
    <t>HELICOPTER TEE</t>
  </si>
  <si>
    <t>726895878066</t>
  </si>
  <si>
    <t>726895878080</t>
  </si>
  <si>
    <t>726895677836</t>
  </si>
  <si>
    <t>CHILL TEE</t>
  </si>
  <si>
    <t>726895877380</t>
  </si>
  <si>
    <t>WALRUS TANK</t>
  </si>
  <si>
    <t>726895877403</t>
  </si>
  <si>
    <t>726895877366</t>
  </si>
  <si>
    <t>726895877397</t>
  </si>
  <si>
    <t>726895677256</t>
  </si>
  <si>
    <t>FLAG TEE</t>
  </si>
  <si>
    <t>192136107576</t>
  </si>
  <si>
    <t>192500447932</t>
  </si>
  <si>
    <t>192135979303</t>
  </si>
  <si>
    <t>884733974018</t>
  </si>
  <si>
    <t>PRINTED OXFORD-LS BD-TOP</t>
  </si>
  <si>
    <t>884733889367</t>
  </si>
  <si>
    <t>BASIC MESH-SS YD POLO-TO</t>
  </si>
  <si>
    <t>885854720584</t>
  </si>
  <si>
    <t>OXFORD-LS BD SPADE-TOPS-</t>
  </si>
  <si>
    <t>736576076810</t>
  </si>
  <si>
    <t>791088771257</t>
  </si>
  <si>
    <t>PINK LONG SLEEVE</t>
  </si>
  <si>
    <t>S490699</t>
  </si>
  <si>
    <t>POLYESTER/SPANDEX; NYLON/SPANDEX</t>
  </si>
  <si>
    <t>884733473290</t>
  </si>
  <si>
    <t>POPLIN-LS BD-TOPS-SHIRT</t>
  </si>
  <si>
    <t>884733535332</t>
  </si>
  <si>
    <t>PRINTED POLYESTER-TRAVEL</t>
  </si>
  <si>
    <t>SHELL AND BRIEFS: POLYESTER</t>
  </si>
  <si>
    <t>884733817100</t>
  </si>
  <si>
    <t>RED/BLU STRIPED SWIM SHO</t>
  </si>
  <si>
    <t>192500032039</t>
  </si>
  <si>
    <t>G NSW SHORT TEMPO ICON A</t>
  </si>
  <si>
    <t>AQ9173</t>
  </si>
  <si>
    <t>BODY: NYLON; MESH: RECYCLED POLYESTER; TIGHTS: POLYESTER/SPANDEX</t>
  </si>
  <si>
    <t>193579337544</t>
  </si>
  <si>
    <t>TBFCB48F-460</t>
  </si>
  <si>
    <t>887407314721</t>
  </si>
  <si>
    <t>KC-ROSE BOW-ROSE MET</t>
  </si>
  <si>
    <t>3 1/2 M</t>
  </si>
  <si>
    <t>GLITTER/FAUX-LEATHER UPPER; EVA SOLE</t>
  </si>
  <si>
    <t>192500030646</t>
  </si>
  <si>
    <t>791088734184</t>
  </si>
  <si>
    <t>HIGH LOW LACE TOP</t>
  </si>
  <si>
    <t>S790309</t>
  </si>
  <si>
    <t>BODICE: NYLON/COTTON; SKIRT: POLYESTER/SPANDEX; LINING: POLYESTER</t>
  </si>
  <si>
    <t>880680775388</t>
  </si>
  <si>
    <t>LARRY SS SHIRT</t>
  </si>
  <si>
    <t>TBMCB084-471</t>
  </si>
  <si>
    <t>193579337605</t>
  </si>
  <si>
    <t>884733895818</t>
  </si>
  <si>
    <t>633716716219</t>
  </si>
  <si>
    <t>G NSW ICON JKT</t>
  </si>
  <si>
    <t>36E646G</t>
  </si>
  <si>
    <t>193579294502</t>
  </si>
  <si>
    <t>193579294489</t>
  </si>
  <si>
    <t>193579294885</t>
  </si>
  <si>
    <t>193579334574</t>
  </si>
  <si>
    <t>193579294496</t>
  </si>
  <si>
    <t>884733895795</t>
  </si>
  <si>
    <t>7613414576271</t>
  </si>
  <si>
    <t>609588158723</t>
  </si>
  <si>
    <t>RAINBOW MAXI</t>
  </si>
  <si>
    <t>2217L9Q</t>
  </si>
  <si>
    <t>807746655262</t>
  </si>
  <si>
    <t>192042700694</t>
  </si>
  <si>
    <t>192500030547</t>
  </si>
  <si>
    <t>G NP BRA CLASSIC REV</t>
  </si>
  <si>
    <t>AQ9156</t>
  </si>
  <si>
    <t>791088712922</t>
  </si>
  <si>
    <t>FLAMINGOO MESH</t>
  </si>
  <si>
    <t>S788039</t>
  </si>
  <si>
    <t>BODICE: COTTON/POLYESTER/SPANDEX; SKIRT/LINING: POLYESTER</t>
  </si>
  <si>
    <t>627729857977</t>
  </si>
  <si>
    <t>193579348335</t>
  </si>
  <si>
    <t>POCKET LOGO DRESS</t>
  </si>
  <si>
    <t>35H31003-03</t>
  </si>
  <si>
    <t>193579344252</t>
  </si>
  <si>
    <t>RINGER DRESS</t>
  </si>
  <si>
    <t>35H31006-97</t>
  </si>
  <si>
    <t>880680422763</t>
  </si>
  <si>
    <t>UA GRIT VOLLEY SET</t>
  </si>
  <si>
    <t>27G52663-81</t>
  </si>
  <si>
    <t>886066290483</t>
  </si>
  <si>
    <t>B NK BRTHE TOP SS HYPER</t>
  </si>
  <si>
    <t>AQ9558</t>
  </si>
  <si>
    <t>RECYCLED POLYESTER/COTTON/RAYON</t>
  </si>
  <si>
    <t>886066046837</t>
  </si>
  <si>
    <t>885854437284</t>
  </si>
  <si>
    <t>30/1 BASIC JERSEY-SSCN-T</t>
  </si>
  <si>
    <t>885854717478</t>
  </si>
  <si>
    <t>30/1 JERSEY-LS CN-TOPS-T</t>
  </si>
  <si>
    <t>756998892560</t>
  </si>
  <si>
    <t>191539441799</t>
  </si>
  <si>
    <t>CREAM FALL MOTIF SET WIT</t>
  </si>
  <si>
    <t>W58756-PT</t>
  </si>
  <si>
    <t>633716922580</t>
  </si>
  <si>
    <t>191539440099</t>
  </si>
  <si>
    <t>192500041024</t>
  </si>
  <si>
    <t>884733809051</t>
  </si>
  <si>
    <t>193573022071</t>
  </si>
  <si>
    <t>193573022095</t>
  </si>
  <si>
    <t>617846259365</t>
  </si>
  <si>
    <t>JORDAN STENCIL HBR TEE</t>
  </si>
  <si>
    <t>955902G</t>
  </si>
  <si>
    <t>887622587023</t>
  </si>
  <si>
    <t>3PC PNK DOT VEST SET</t>
  </si>
  <si>
    <t>11F03601-99</t>
  </si>
  <si>
    <t>VEST: POLYESTER; TOP: COTTON/POLYESTER; LEGGINGS: COTTON/POLYESTER/SPANDEX</t>
  </si>
  <si>
    <t>617846869274</t>
  </si>
  <si>
    <t>ELITE STRIPE SHORT SUPER</t>
  </si>
  <si>
    <t>86E402G</t>
  </si>
  <si>
    <t>841372144806</t>
  </si>
  <si>
    <t>841372148668</t>
  </si>
  <si>
    <t>ENERGY STRIPE</t>
  </si>
  <si>
    <t>4PLB122</t>
  </si>
  <si>
    <t>841372148675</t>
  </si>
  <si>
    <t>732995076127</t>
  </si>
  <si>
    <t>887622952777</t>
  </si>
  <si>
    <t>887622952739</t>
  </si>
  <si>
    <t>27G66022-47</t>
  </si>
  <si>
    <t>887622952746</t>
  </si>
  <si>
    <t>887622949173</t>
  </si>
  <si>
    <t>UA BOARD SHORT STRIPE VO</t>
  </si>
  <si>
    <t>27G66024-34</t>
  </si>
  <si>
    <t>887622949197</t>
  </si>
  <si>
    <t>887622949180</t>
  </si>
  <si>
    <t>732995696868</t>
  </si>
  <si>
    <t>756998891433</t>
  </si>
  <si>
    <t>756998891426</t>
  </si>
  <si>
    <t>756998891310</t>
  </si>
  <si>
    <t>886061697492</t>
  </si>
  <si>
    <t>880680605630</t>
  </si>
  <si>
    <t>880680617466</t>
  </si>
  <si>
    <t>DENIM DRESS W/ EYELET TR</t>
  </si>
  <si>
    <t>3G21637-99</t>
  </si>
  <si>
    <t>DENIM/EYELET: 100% COTTON</t>
  </si>
  <si>
    <t>732995319118</t>
  </si>
  <si>
    <t>GRAFFITI FISHTAL JKT BASIC</t>
  </si>
  <si>
    <t>100049039LB</t>
  </si>
  <si>
    <t>807746659970</t>
  </si>
  <si>
    <t>NAVY UNICORN SWEATER WIT</t>
  </si>
  <si>
    <t>MAB13275</t>
  </si>
  <si>
    <t>SWEATER: COTTON; LEGGINGS: POLYESTER/SPANDEX</t>
  </si>
  <si>
    <t>9328433941</t>
  </si>
  <si>
    <t>732995520873</t>
  </si>
  <si>
    <t>WHITE RIP DENIM</t>
  </si>
  <si>
    <t>100053115GR</t>
  </si>
  <si>
    <t>192136029656</t>
  </si>
  <si>
    <t>BSW 4PC COTTONBSW 4PC NA</t>
  </si>
  <si>
    <t>633716830755</t>
  </si>
  <si>
    <t>NSW SS FUTURA DRESS</t>
  </si>
  <si>
    <t>16D687G</t>
  </si>
  <si>
    <t>DRESS: 100% COTTON; LEGGINGS: COTTON/ELASTANE</t>
  </si>
  <si>
    <t>732995104400</t>
  </si>
  <si>
    <t>192399510694</t>
  </si>
  <si>
    <t>889799598239</t>
  </si>
  <si>
    <t>192135999417</t>
  </si>
  <si>
    <t>880680746234</t>
  </si>
  <si>
    <t>UA WORDMARK FADE BOOST S</t>
  </si>
  <si>
    <t>27G55639-42</t>
  </si>
  <si>
    <t>193579296001</t>
  </si>
  <si>
    <t>880680459783</t>
  </si>
  <si>
    <t>MULTI LOGO BIKINI SET</t>
  </si>
  <si>
    <t>35G36701-67</t>
  </si>
  <si>
    <t>192135565551</t>
  </si>
  <si>
    <t>BSW 4PC COTTON BSW 4PC Y</t>
  </si>
  <si>
    <t>192135615874</t>
  </si>
  <si>
    <t>S19 BERRY AMAZING STRAWB</t>
  </si>
  <si>
    <t>293G476</t>
  </si>
  <si>
    <t>TOP: COTTON; BOTTOM; COTTON/POLYESTER/ELASTANE</t>
  </si>
  <si>
    <t>617846838089</t>
  </si>
  <si>
    <t>9328766483</t>
  </si>
  <si>
    <t>732995523157</t>
  </si>
  <si>
    <t>791088734054</t>
  </si>
  <si>
    <t>BLUE STRIPE BOW DRESS</t>
  </si>
  <si>
    <t>S890469</t>
  </si>
  <si>
    <t>DRESS AND PANTY: COTTON; DRESS LINING: POLYESTER/COTTON</t>
  </si>
  <si>
    <t>889338947634</t>
  </si>
  <si>
    <t>F18 CARDIGAN SET BOY RED</t>
  </si>
  <si>
    <t>121I637</t>
  </si>
  <si>
    <t>HOODIE: POLYESTER; FAUX-SHERPA LINING: POLYESTER; BODYSUIT: COTTON; PANTS: COTTON</t>
  </si>
  <si>
    <t>880680617336</t>
  </si>
  <si>
    <t>PNK/GRY 2PC SHORTALL SET</t>
  </si>
  <si>
    <t>3G70697-99</t>
  </si>
  <si>
    <t>192135503591</t>
  </si>
  <si>
    <t>732996348018</t>
  </si>
  <si>
    <t>732995102147</t>
  </si>
  <si>
    <t>LACE TUNIC SET</t>
  </si>
  <si>
    <t>100041853BG</t>
  </si>
  <si>
    <t>TUNIC BODY: COTTON/NYLON; TUNIC LINING: POLYESTER/COTTON; LEGGINGS: COTTON/SPANDEX</t>
  </si>
  <si>
    <t>633716937294</t>
  </si>
  <si>
    <t>KY2G RISE SHORT 3</t>
  </si>
  <si>
    <t>855202G</t>
  </si>
  <si>
    <t>889338672567</t>
  </si>
  <si>
    <t>882925594518</t>
  </si>
  <si>
    <t>732995144055</t>
  </si>
  <si>
    <t>TIEDYE SWEATSHIRT</t>
  </si>
  <si>
    <t>100047662GR</t>
  </si>
  <si>
    <t>732996129877</t>
  </si>
  <si>
    <t>RAINBOW SKORT ROMPER</t>
  </si>
  <si>
    <t>100056965LG</t>
  </si>
  <si>
    <t>732996129037</t>
  </si>
  <si>
    <t>193579356286</t>
  </si>
  <si>
    <t>EMBRO LOGO SHIRT</t>
  </si>
  <si>
    <t>35H34109-62</t>
  </si>
  <si>
    <t>888822009797</t>
  </si>
  <si>
    <t>SHIRT: POLYESTER/COTTON; SHORTS: POLYESTER/SPANDEX</t>
  </si>
  <si>
    <t>889799595214</t>
  </si>
  <si>
    <t>MOANA DORM</t>
  </si>
  <si>
    <t>OM042GDSMA</t>
  </si>
  <si>
    <t>880680225500</t>
  </si>
  <si>
    <t>HILFIGER SIDE STRIPE SWI</t>
  </si>
  <si>
    <t>TBSCK024-626</t>
  </si>
  <si>
    <t>880680226040</t>
  </si>
  <si>
    <t>732996526447</t>
  </si>
  <si>
    <t>732995569179</t>
  </si>
  <si>
    <t>FLUTTER PEASANT DRES</t>
  </si>
  <si>
    <t>100046871LG</t>
  </si>
  <si>
    <t>732996090184</t>
  </si>
  <si>
    <t>STRIPED WRAP ROMPER</t>
  </si>
  <si>
    <t>100057092GR</t>
  </si>
  <si>
    <t>732995569186</t>
  </si>
  <si>
    <t>732996242316</t>
  </si>
  <si>
    <t>AMERICANA DENIM JCKT BASIC</t>
  </si>
  <si>
    <t>100052631BB</t>
  </si>
  <si>
    <t>880680855431</t>
  </si>
  <si>
    <t>HOLO HEART TEE</t>
  </si>
  <si>
    <t>TGFCA06S-411</t>
  </si>
  <si>
    <t>883288188529</t>
  </si>
  <si>
    <t>884733716298</t>
  </si>
  <si>
    <t>191886654576</t>
  </si>
  <si>
    <t>B NSW TEE AIR LOGO</t>
  </si>
  <si>
    <t>AA8761</t>
  </si>
  <si>
    <t>192502593958</t>
  </si>
  <si>
    <t>G NSW TANK SCRIPT AM</t>
  </si>
  <si>
    <t>CD9575</t>
  </si>
  <si>
    <t>192500448939</t>
  </si>
  <si>
    <t>843340194875</t>
  </si>
  <si>
    <t>5PC SET CAMO</t>
  </si>
  <si>
    <t>B19GC43230</t>
  </si>
  <si>
    <t>880680774831</t>
  </si>
  <si>
    <t>ABSTRACT T-SHIRT</t>
  </si>
  <si>
    <t>TBMCA164-100</t>
  </si>
  <si>
    <t>880680167961</t>
  </si>
  <si>
    <t>COLEBROOK SS GRAPHIC TEE</t>
  </si>
  <si>
    <t>TLSCA084-499</t>
  </si>
  <si>
    <t>TIMBERLAND/KHQ INVESTMENT CONSIGN</t>
  </si>
  <si>
    <t>886608835127</t>
  </si>
  <si>
    <t>OATM MISS MASH SS TEE YTH</t>
  </si>
  <si>
    <t>C5721930</t>
  </si>
  <si>
    <t>886608835141</t>
  </si>
  <si>
    <t>807746650373</t>
  </si>
  <si>
    <t>FLORAL 2PK</t>
  </si>
  <si>
    <t>MAB11014</t>
  </si>
  <si>
    <t>192136180432</t>
  </si>
  <si>
    <t>192136176336</t>
  </si>
  <si>
    <t>783466317133</t>
  </si>
  <si>
    <t>U3224L6</t>
  </si>
  <si>
    <t>192136181361</t>
  </si>
  <si>
    <t>192136181378</t>
  </si>
  <si>
    <t>889338676992</t>
  </si>
  <si>
    <t>F18 LBB 3PC FOOTED SET N</t>
  </si>
  <si>
    <t>126H509</t>
  </si>
  <si>
    <t>193579295011</t>
  </si>
  <si>
    <t>193579294984</t>
  </si>
  <si>
    <t>732995331547</t>
  </si>
  <si>
    <t>732995575798</t>
  </si>
  <si>
    <t>732995261554</t>
  </si>
  <si>
    <t>732995989328</t>
  </si>
  <si>
    <t>732995989304</t>
  </si>
  <si>
    <t>888411178378</t>
  </si>
  <si>
    <t>LTWT NO SHOW 6PR</t>
  </si>
  <si>
    <t>SX6870</t>
  </si>
  <si>
    <t>NIKE USA INC SOCKS GIRLS</t>
  </si>
  <si>
    <t>192135617779</t>
  </si>
  <si>
    <t>S19 PINK HEDGEHOG PANT S</t>
  </si>
  <si>
    <t>239G886</t>
  </si>
  <si>
    <t>829268950380</t>
  </si>
  <si>
    <t>48283003257</t>
  </si>
  <si>
    <t>7-16 PLEATED SCOOTER REG</t>
  </si>
  <si>
    <t>NDF0074E</t>
  </si>
  <si>
    <t>SKIRT/SHORTS: POLYESTER</t>
  </si>
  <si>
    <t>732995989083</t>
  </si>
  <si>
    <t>100054253BO</t>
  </si>
  <si>
    <t>732995989090</t>
  </si>
  <si>
    <t>732996105222</t>
  </si>
  <si>
    <t>46094705469</t>
  </si>
  <si>
    <t>191539333353</t>
  </si>
  <si>
    <t>192136219859</t>
  </si>
  <si>
    <t>BSPSF19 B BSPS FRANKENST</t>
  </si>
  <si>
    <t>191539333315</t>
  </si>
  <si>
    <t>735869354758</t>
  </si>
  <si>
    <t>732995989359</t>
  </si>
  <si>
    <t>696114318737</t>
  </si>
  <si>
    <t>ANOTHER DAY OF AWESOME</t>
  </si>
  <si>
    <t>54139-MA</t>
  </si>
  <si>
    <t>696114315958</t>
  </si>
  <si>
    <t>696114318805</t>
  </si>
  <si>
    <t>PLAY ALL NIGHT SHORT SET</t>
  </si>
  <si>
    <t>54149-MA</t>
  </si>
  <si>
    <t>732995050806</t>
  </si>
  <si>
    <t>883096726425</t>
  </si>
  <si>
    <t>UA BOYS PHENOM 5.0 CREW</t>
  </si>
  <si>
    <t>U0871P3</t>
  </si>
  <si>
    <t>9328753643</t>
  </si>
  <si>
    <t>192135645789</t>
  </si>
  <si>
    <t>S19 CHAMBRAY PULL ON SHO</t>
  </si>
  <si>
    <t>248G995</t>
  </si>
  <si>
    <t>732996347875</t>
  </si>
  <si>
    <t>716106858895</t>
  </si>
  <si>
    <t>YTH SUPERLITE 6-PACK LC</t>
  </si>
  <si>
    <t>5145838B</t>
  </si>
  <si>
    <t>POLYESTER/SPANDEX/LATEX</t>
  </si>
  <si>
    <t>192135640975</t>
  </si>
  <si>
    <t>S19 GREY RIBBED WAISTBAN</t>
  </si>
  <si>
    <t>248G967</t>
  </si>
  <si>
    <t>732995051728</t>
  </si>
  <si>
    <t>633716882204</t>
  </si>
  <si>
    <t>LEADER OF THE PACK S/S T</t>
  </si>
  <si>
    <t>86E940G</t>
  </si>
  <si>
    <t>633716882952</t>
  </si>
  <si>
    <t>SWOOSH/ BLOCK BACK HIT S</t>
  </si>
  <si>
    <t>86E952G</t>
  </si>
  <si>
    <t>888282683896</t>
  </si>
  <si>
    <t>888282684855</t>
  </si>
  <si>
    <t>TIE DYE OMBRE SWIM TRUNK</t>
  </si>
  <si>
    <t>LBS9700</t>
  </si>
  <si>
    <t>888282684886</t>
  </si>
  <si>
    <t>888282684497</t>
  </si>
  <si>
    <t>888282684473</t>
  </si>
  <si>
    <t>888282684435</t>
  </si>
  <si>
    <t>888282683988</t>
  </si>
  <si>
    <t>888282684008</t>
  </si>
  <si>
    <t>888282684817</t>
  </si>
  <si>
    <t>888282684572</t>
  </si>
  <si>
    <t>888282684862</t>
  </si>
  <si>
    <t>888282684831</t>
  </si>
  <si>
    <t>888282683889</t>
  </si>
  <si>
    <t>888282684725</t>
  </si>
  <si>
    <t>888282684749</t>
  </si>
  <si>
    <t>888282684640</t>
  </si>
  <si>
    <t>888282684442</t>
  </si>
  <si>
    <t>888282684930</t>
  </si>
  <si>
    <t>OCEAN SPLASH SWIM TRUNK</t>
  </si>
  <si>
    <t>LBS9387</t>
  </si>
  <si>
    <t>888282684824</t>
  </si>
  <si>
    <t>888282684947</t>
  </si>
  <si>
    <t>888282684923</t>
  </si>
  <si>
    <t>888282684480</t>
  </si>
  <si>
    <t>888282684534</t>
  </si>
  <si>
    <t>617847563416</t>
  </si>
  <si>
    <t>735869359890</t>
  </si>
  <si>
    <t>883953728258</t>
  </si>
  <si>
    <t>888282683025</t>
  </si>
  <si>
    <t>888282236962</t>
  </si>
  <si>
    <t>732995507355</t>
  </si>
  <si>
    <t>885779990581</t>
  </si>
  <si>
    <t>732995105773</t>
  </si>
  <si>
    <t>100046224LB</t>
  </si>
  <si>
    <t>732994853385</t>
  </si>
  <si>
    <t>192136003199</t>
  </si>
  <si>
    <t>732996320243</t>
  </si>
  <si>
    <t>888282684275</t>
  </si>
  <si>
    <t>TURTLE BAY SWIM TRUNK</t>
  </si>
  <si>
    <t>LYS9365</t>
  </si>
  <si>
    <t>888282684268</t>
  </si>
  <si>
    <t>732996085845</t>
  </si>
  <si>
    <t>PALM SWIM TRUNK</t>
  </si>
  <si>
    <t>100054254LB</t>
  </si>
  <si>
    <t>732996348452</t>
  </si>
  <si>
    <t>100055522LG</t>
  </si>
  <si>
    <t>732996085838</t>
  </si>
  <si>
    <t>732996085821</t>
  </si>
  <si>
    <t>735869351320</t>
  </si>
  <si>
    <t>BIG C LOGO GRAP</t>
  </si>
  <si>
    <t>CS5920</t>
  </si>
  <si>
    <t>T-SHIRT: COTTON; SHORTS: POLYESTER</t>
  </si>
  <si>
    <t>735869352419</t>
  </si>
  <si>
    <t>LOGO C 2 PCS SET</t>
  </si>
  <si>
    <t>CS5921</t>
  </si>
  <si>
    <t>TOP: POLYESTER/COTTON; SHORTS: POLYESTER</t>
  </si>
  <si>
    <t>735869351283</t>
  </si>
  <si>
    <t>735869351313</t>
  </si>
  <si>
    <t>732996031644</t>
  </si>
  <si>
    <t>732995067927</t>
  </si>
  <si>
    <t>888822006567</t>
  </si>
  <si>
    <t>633716825447</t>
  </si>
  <si>
    <t>192136324546</t>
  </si>
  <si>
    <t>EVENT TEEF19 BPW SKELETO</t>
  </si>
  <si>
    <t>732996525990</t>
  </si>
  <si>
    <t>STRAPPY CUTOUT TEE BASIC</t>
  </si>
  <si>
    <t>100054248GR</t>
  </si>
  <si>
    <t>732996245676</t>
  </si>
  <si>
    <t>WATERMELON SET</t>
  </si>
  <si>
    <t>100053795BG</t>
  </si>
  <si>
    <t>732995552713</t>
  </si>
  <si>
    <t>732995144659</t>
  </si>
  <si>
    <t>TIEFRONT OPP DRESS</t>
  </si>
  <si>
    <t>100040145GR</t>
  </si>
  <si>
    <t>732996380865</t>
  </si>
  <si>
    <t>732995884487</t>
  </si>
  <si>
    <t>100056752BO</t>
  </si>
  <si>
    <t>29534425691</t>
  </si>
  <si>
    <t>732995884791</t>
  </si>
  <si>
    <t>732995884777</t>
  </si>
  <si>
    <t>732995884807</t>
  </si>
  <si>
    <t>732995579864</t>
  </si>
  <si>
    <t>FLORAL ONE PIECE BASIC</t>
  </si>
  <si>
    <t>100043421BG</t>
  </si>
  <si>
    <t>BODY: POLYESTER/SPANDEX; LINING: POLYESTER</t>
  </si>
  <si>
    <t>732995697070</t>
  </si>
  <si>
    <t>732995696646</t>
  </si>
  <si>
    <t>732995251234</t>
  </si>
  <si>
    <t>633716824563</t>
  </si>
  <si>
    <t>633716824570</t>
  </si>
  <si>
    <t>633716824532</t>
  </si>
  <si>
    <t>732995047707</t>
  </si>
  <si>
    <t>PHOTOREAL FLOWER BRA</t>
  </si>
  <si>
    <t>100044383GR</t>
  </si>
  <si>
    <t>640013644732</t>
  </si>
  <si>
    <t>732996176765</t>
  </si>
  <si>
    <t>732996031194</t>
  </si>
  <si>
    <t>617845934683</t>
  </si>
  <si>
    <t>GREATNESS BODYSUIT</t>
  </si>
  <si>
    <t>56D447G</t>
  </si>
  <si>
    <t>735869399087</t>
  </si>
  <si>
    <t>735869399056</t>
  </si>
  <si>
    <t>732996442617</t>
  </si>
  <si>
    <t>LEOPARD OPP DRESS</t>
  </si>
  <si>
    <t>100057011LG</t>
  </si>
  <si>
    <t>732995221237</t>
  </si>
  <si>
    <t>100046888LG</t>
  </si>
  <si>
    <t>640013644404</t>
  </si>
  <si>
    <t>732996526508</t>
  </si>
  <si>
    <t>732996526775</t>
  </si>
  <si>
    <t>732996526836</t>
  </si>
  <si>
    <t>732996526881</t>
  </si>
  <si>
    <t>732995566642</t>
  </si>
  <si>
    <t>FIERCE TANK BASIC</t>
  </si>
  <si>
    <t>100045189LG</t>
  </si>
  <si>
    <t>COTTON/POLYESTER; CONTRAST: POLYESTER/SPANDEX</t>
  </si>
  <si>
    <t>732996213842</t>
  </si>
  <si>
    <t>SMOCK CREPE TOP BASIC</t>
  </si>
  <si>
    <t>100054713BG</t>
  </si>
  <si>
    <t>732996213934</t>
  </si>
  <si>
    <t>CAPRI PANT BASIC</t>
  </si>
  <si>
    <t>100054716BG</t>
  </si>
  <si>
    <t>732995251517</t>
  </si>
  <si>
    <t>732995521740</t>
  </si>
  <si>
    <t>PALM PHOTO SS TEE</t>
  </si>
  <si>
    <t>100046642LB</t>
  </si>
  <si>
    <t>732996584027</t>
  </si>
  <si>
    <t>735869350026</t>
  </si>
  <si>
    <t>735869349143</t>
  </si>
  <si>
    <t>VERITCAL SCRIPT CREW</t>
  </si>
  <si>
    <t>C5434R</t>
  </si>
  <si>
    <t>735869399360</t>
  </si>
  <si>
    <t>732994616645</t>
  </si>
  <si>
    <t>T THERMAL JOGGER BASIC</t>
  </si>
  <si>
    <t>100021554TB</t>
  </si>
  <si>
    <t>732994616638</t>
  </si>
  <si>
    <t>732995586206</t>
  </si>
  <si>
    <t>LEMON DRESS</t>
  </si>
  <si>
    <t>100043159BG</t>
  </si>
  <si>
    <t>732995586268</t>
  </si>
  <si>
    <t>732995586121</t>
  </si>
  <si>
    <t>CHERRIES DRESS</t>
  </si>
  <si>
    <t>100048834BG</t>
  </si>
  <si>
    <t>732995586084</t>
  </si>
  <si>
    <t>732996176215</t>
  </si>
  <si>
    <t>732995251371</t>
  </si>
  <si>
    <t>732995251333</t>
  </si>
  <si>
    <t>732996280264</t>
  </si>
  <si>
    <t>732996239811</t>
  </si>
  <si>
    <t>732996280097</t>
  </si>
  <si>
    <t>732996890593</t>
  </si>
  <si>
    <t>732996245218</t>
  </si>
  <si>
    <t>732996210384</t>
  </si>
  <si>
    <t>732995881684</t>
  </si>
  <si>
    <t>46094832158</t>
  </si>
  <si>
    <t>732996210674</t>
  </si>
  <si>
    <t>732995882469</t>
  </si>
  <si>
    <t>192136010487</t>
  </si>
  <si>
    <t>192042689227</t>
  </si>
  <si>
    <t>SLUB LINEN JACKET</t>
  </si>
  <si>
    <t>K8J0075-272</t>
  </si>
  <si>
    <t>LINEN/POLYESTER/RAYON</t>
  </si>
  <si>
    <t>884733777305</t>
  </si>
  <si>
    <t>COTTON BLEND-LS CN PO-TO</t>
  </si>
  <si>
    <t>884733353790</t>
  </si>
  <si>
    <t>RED/WHT 2PC STRIPE SET</t>
  </si>
  <si>
    <t>SHIRT AND PANTS: COTTON</t>
  </si>
  <si>
    <t>736576077732</t>
  </si>
  <si>
    <t>884733439555</t>
  </si>
  <si>
    <t>COTTON-PEPLUM CARDI-TOPS</t>
  </si>
  <si>
    <t>SHELL: COTTON; CUFFS: NYLON/ELASTANE</t>
  </si>
  <si>
    <t>884733439548</t>
  </si>
  <si>
    <t>884733439562</t>
  </si>
  <si>
    <t>884733850473</t>
  </si>
  <si>
    <t>884733432259</t>
  </si>
  <si>
    <t>ARTISAN MESH-STRIPE HENL</t>
  </si>
  <si>
    <t>885854039785</t>
  </si>
  <si>
    <t>193579352288</t>
  </si>
  <si>
    <t>193579352295</t>
  </si>
  <si>
    <t>791088603107</t>
  </si>
  <si>
    <t>ONE SHOULDER SATIN</t>
  </si>
  <si>
    <t>H496688</t>
  </si>
  <si>
    <t>POLYESTER, EXCLUSIVE OF DECORATION</t>
  </si>
  <si>
    <t>791088702831</t>
  </si>
  <si>
    <t>TWILL SATIN HIGH LOW</t>
  </si>
  <si>
    <t>E459259</t>
  </si>
  <si>
    <t>BODICE: POLYESTER/SPANDEX; SKIRT/LINING: POLYESTER</t>
  </si>
  <si>
    <t>192810227811</t>
  </si>
  <si>
    <t>193579359096</t>
  </si>
  <si>
    <t>JENSEN REVOLUTION FIT DEBASIC</t>
  </si>
  <si>
    <t>TBFCC25F-468</t>
  </si>
  <si>
    <t>193579359164</t>
  </si>
  <si>
    <t>193579359171</t>
  </si>
  <si>
    <t>887407313984</t>
  </si>
  <si>
    <t>193579337681</t>
  </si>
  <si>
    <t>193579358952</t>
  </si>
  <si>
    <t>ANGEL PULL ON SHORT</t>
  </si>
  <si>
    <t>TBFCC27F-232</t>
  </si>
  <si>
    <t>193579358976</t>
  </si>
  <si>
    <t>884733928875</t>
  </si>
  <si>
    <t>884733924839</t>
  </si>
  <si>
    <t>193579337124</t>
  </si>
  <si>
    <t>879674025530</t>
  </si>
  <si>
    <t>MULT PROJECTION SOOTHER</t>
  </si>
  <si>
    <t>ABS/POLYESTER</t>
  </si>
  <si>
    <t>827592792478</t>
  </si>
  <si>
    <t>GLITTER TULLE 3D FLOWER</t>
  </si>
  <si>
    <t>NGU01567S</t>
  </si>
  <si>
    <t>GUESS/MAMIYE BROTHERS</t>
  </si>
  <si>
    <t>193579359546</t>
  </si>
  <si>
    <t>TBFCC27J-232</t>
  </si>
  <si>
    <t>617847383182</t>
  </si>
  <si>
    <t>91201251759</t>
  </si>
  <si>
    <t>880680775821</t>
  </si>
  <si>
    <t>BRENDON SS CAMP SHIRT</t>
  </si>
  <si>
    <t>TBMCB034-428</t>
  </si>
  <si>
    <t>46094936498</t>
  </si>
  <si>
    <t>7PK HIPSTER</t>
  </si>
  <si>
    <t>46094936597</t>
  </si>
  <si>
    <t>5PK BOXER BRIEF</t>
  </si>
  <si>
    <t>622363876292</t>
  </si>
  <si>
    <t>886061965683</t>
  </si>
  <si>
    <t>48283319006</t>
  </si>
  <si>
    <t>TWILL VEST SET</t>
  </si>
  <si>
    <t>N135262</t>
  </si>
  <si>
    <t>SHIRT AND VEST: COTTON/POLYESTER; PANTS: COTTON; TIE: POLYESTER</t>
  </si>
  <si>
    <t>191539410832</t>
  </si>
  <si>
    <t>791088719174</t>
  </si>
  <si>
    <t>BOWBACK SEERSUCKER</t>
  </si>
  <si>
    <t>E759179</t>
  </si>
  <si>
    <t>SHELL: COTTON/POLYESTER; LINING: POLYESTER/COTTON; CRINOLINE: POLYESTER</t>
  </si>
  <si>
    <t>191524530361</t>
  </si>
  <si>
    <t>191885723044</t>
  </si>
  <si>
    <t>KD B NK DRY TEE DFC 1</t>
  </si>
  <si>
    <t>AR1696</t>
  </si>
  <si>
    <t>192136205678</t>
  </si>
  <si>
    <t>COSTUMEF19 G COSTUME UNI</t>
  </si>
  <si>
    <t>882925619624</t>
  </si>
  <si>
    <t>30/1 BASIC JERSEY-BASEBA</t>
  </si>
  <si>
    <t>882925619631</t>
  </si>
  <si>
    <t>617845966967</t>
  </si>
  <si>
    <t>MILI RIPSTOP JOGGER</t>
  </si>
  <si>
    <t>71R807F</t>
  </si>
  <si>
    <t>617847618352</t>
  </si>
  <si>
    <t>MIDN 505 HUSKY DENIM</t>
  </si>
  <si>
    <t>617845392940</t>
  </si>
  <si>
    <t>880680394503</t>
  </si>
  <si>
    <t>MONOGRAM SWEATSHIRT</t>
  </si>
  <si>
    <t>35G34604-65</t>
  </si>
  <si>
    <t>191524962889</t>
  </si>
  <si>
    <t>OUTLINE TEE</t>
  </si>
  <si>
    <t>DY9360</t>
  </si>
  <si>
    <t>633716922481</t>
  </si>
  <si>
    <t>46094874301</t>
  </si>
  <si>
    <t>617847620096</t>
  </si>
  <si>
    <t>5-PKT JEAN</t>
  </si>
  <si>
    <t>91S550F</t>
  </si>
  <si>
    <t>18 SLIM</t>
  </si>
  <si>
    <t>880680640938</t>
  </si>
  <si>
    <t>732996569772</t>
  </si>
  <si>
    <t>888978954590</t>
  </si>
  <si>
    <t>AVER PO PANT</t>
  </si>
  <si>
    <t>888978466581</t>
  </si>
  <si>
    <t>CM POLO PO PANT</t>
  </si>
  <si>
    <t>880680606750</t>
  </si>
  <si>
    <t>2PC SET</t>
  </si>
  <si>
    <t>3G22618-99</t>
  </si>
  <si>
    <t>TOP: COTTON; LEGGINGS: COTTON/VISCOSE/SPANDEX</t>
  </si>
  <si>
    <t>732995143997</t>
  </si>
  <si>
    <t>COLORBLOCK SWTSHRT</t>
  </si>
  <si>
    <t>100047661GR</t>
  </si>
  <si>
    <t>COTTON/POLYESTER; HOOD LINING: COTTON/POLYESTER</t>
  </si>
  <si>
    <t>888822031774</t>
  </si>
  <si>
    <t>2PC TRICOT TRACK JACKET</t>
  </si>
  <si>
    <t>191358684056</t>
  </si>
  <si>
    <t>192399514142</t>
  </si>
  <si>
    <t>617847523960</t>
  </si>
  <si>
    <t>NIKE THERMA GFX PANT</t>
  </si>
  <si>
    <t>8MC336G</t>
  </si>
  <si>
    <t>193444282870</t>
  </si>
  <si>
    <t>882925151865</t>
  </si>
  <si>
    <t>192500033678</t>
  </si>
  <si>
    <t>B NK SHORT ICON</t>
  </si>
  <si>
    <t>AQ9477</t>
  </si>
  <si>
    <t>617844431527</t>
  </si>
  <si>
    <t>BLUE KNIT JOGGER</t>
  </si>
  <si>
    <t>517772F</t>
  </si>
  <si>
    <t>COTTON/POLYESTER/ELASTANE/VISCOSE</t>
  </si>
  <si>
    <t>193444304565</t>
  </si>
  <si>
    <t>617847211973</t>
  </si>
  <si>
    <t>SWEETIE SKINNY TODD BASIC</t>
  </si>
  <si>
    <t>212629F</t>
  </si>
  <si>
    <t>617844117148</t>
  </si>
  <si>
    <t>617844117131</t>
  </si>
  <si>
    <t>732996441399</t>
  </si>
  <si>
    <t>SMOCK CLRBLCK DRESS</t>
  </si>
  <si>
    <t>100056972LG</t>
  </si>
  <si>
    <t>192136028161</t>
  </si>
  <si>
    <t>BSW 4PC COTTONBSW 4PC GA</t>
  </si>
  <si>
    <t>192136019343</t>
  </si>
  <si>
    <t>633716766559</t>
  </si>
  <si>
    <t>NSW CONFETTI JSY TUN</t>
  </si>
  <si>
    <t>16E441G</t>
  </si>
  <si>
    <t>633716838904</t>
  </si>
  <si>
    <t>NSW PE SS DRESS AND</t>
  </si>
  <si>
    <t>16E528G</t>
  </si>
  <si>
    <t>T-SHIRT: COTTON/POLYESTER; LEGGINGS: COTTON/ELASTANE</t>
  </si>
  <si>
    <t>732996380728</t>
  </si>
  <si>
    <t>887407941422</t>
  </si>
  <si>
    <t>TALIA SATIN BOW</t>
  </si>
  <si>
    <t>192399515811</t>
  </si>
  <si>
    <t>SPORT SHORT</t>
  </si>
  <si>
    <t>AH5444</t>
  </si>
  <si>
    <t>192399515644</t>
  </si>
  <si>
    <t>192007725229</t>
  </si>
  <si>
    <t>TECH BIG LOGO PRINTE</t>
  </si>
  <si>
    <t>732995168181</t>
  </si>
  <si>
    <t>RUFF BOTTOM DENIM</t>
  </si>
  <si>
    <t>100047074GR</t>
  </si>
  <si>
    <t>732995168211</t>
  </si>
  <si>
    <t>WHITE FLORAL DENIM</t>
  </si>
  <si>
    <t>100047075GR</t>
  </si>
  <si>
    <t>192135487228</t>
  </si>
  <si>
    <t>GSW 4PC PINK UNICORN</t>
  </si>
  <si>
    <t>880680459837</t>
  </si>
  <si>
    <t>LOGO HI NECK BIKINI SET</t>
  </si>
  <si>
    <t>35G36702-54</t>
  </si>
  <si>
    <t>880680219110</t>
  </si>
  <si>
    <t>880680218878</t>
  </si>
  <si>
    <t>880680218892</t>
  </si>
  <si>
    <t>617845221981</t>
  </si>
  <si>
    <t>633716853099</t>
  </si>
  <si>
    <t>732995697285</t>
  </si>
  <si>
    <t>CHAMPIONS HOODIE BASIC</t>
  </si>
  <si>
    <t>100044716BO</t>
  </si>
  <si>
    <t>190444558677</t>
  </si>
  <si>
    <t>191603767466</t>
  </si>
  <si>
    <t>192136265245</t>
  </si>
  <si>
    <t>OVERALLSF19 G OVERALLS F</t>
  </si>
  <si>
    <t>889338670013</t>
  </si>
  <si>
    <t>F18 LBB 5PK SS BODYSUIT</t>
  </si>
  <si>
    <t>126H592</t>
  </si>
  <si>
    <t>192135017746</t>
  </si>
  <si>
    <t>243I031</t>
  </si>
  <si>
    <t>732995697384</t>
  </si>
  <si>
    <t>BASIC SWEATPANT BASIC</t>
  </si>
  <si>
    <t>100044718BO</t>
  </si>
  <si>
    <t>732996348100</t>
  </si>
  <si>
    <t>627736999899</t>
  </si>
  <si>
    <t>OMBRE STRIPE BLUE</t>
  </si>
  <si>
    <t>TIEDTTAY3016</t>
  </si>
  <si>
    <t>192399581090</t>
  </si>
  <si>
    <t>TRANSITION TOP</t>
  </si>
  <si>
    <t>AA6432</t>
  </si>
  <si>
    <t>192399581120</t>
  </si>
  <si>
    <t>9328142706</t>
  </si>
  <si>
    <t>ALESSANDRA SCOOTER</t>
  </si>
  <si>
    <t>212527F</t>
  </si>
  <si>
    <t>48238369544</t>
  </si>
  <si>
    <t>48238373275</t>
  </si>
  <si>
    <t>MM BOW LEGGING SET</t>
  </si>
  <si>
    <t>TF6679GD7342</t>
  </si>
  <si>
    <t>TOP: COTTON/POLYESTER; PEPLUM: POLYESTER; LEGGINGS: COTTON/POLYESTER/SPANDEX</t>
  </si>
  <si>
    <t>843340194882</t>
  </si>
  <si>
    <t>JUSTICE LEAGUE BP 5PC</t>
  </si>
  <si>
    <t>B19JL43232</t>
  </si>
  <si>
    <t>732995520798</t>
  </si>
  <si>
    <t>889338669857</t>
  </si>
  <si>
    <t>F18 LBB 3PC TERRY SET NE</t>
  </si>
  <si>
    <t>126H515</t>
  </si>
  <si>
    <t>JACKET/PANTS: COTTON/POLYESTER; BODYSUIT: ALL COTTON</t>
  </si>
  <si>
    <t>732996083377</t>
  </si>
  <si>
    <t>BANDANA DENIM SHORT</t>
  </si>
  <si>
    <t>100057066GR</t>
  </si>
  <si>
    <t>192769048598</t>
  </si>
  <si>
    <t>1PC06007-IM A MERMAID</t>
  </si>
  <si>
    <t>732995046441</t>
  </si>
  <si>
    <t>WOVEN JOGGER</t>
  </si>
  <si>
    <t>100049035GR</t>
  </si>
  <si>
    <t>633716465483</t>
  </si>
  <si>
    <t>C GR WESTWOOD CARGO SHOBASIC</t>
  </si>
  <si>
    <t>818369F</t>
  </si>
  <si>
    <t>193579356163</t>
  </si>
  <si>
    <t>POCKET LOLLIPOP TEE</t>
  </si>
  <si>
    <t>35H34107-95</t>
  </si>
  <si>
    <t>192399584763</t>
  </si>
  <si>
    <t>4KRFT MELANGE SHORT</t>
  </si>
  <si>
    <t>AH5445</t>
  </si>
  <si>
    <t>191603943624</t>
  </si>
  <si>
    <t>791088735624</t>
  </si>
  <si>
    <t>BLACK PLAID BEE DRESS</t>
  </si>
  <si>
    <t>S890479</t>
  </si>
  <si>
    <t>SHELL/LINING/DIAPER COVER: COTTON/POLYESTER</t>
  </si>
  <si>
    <t>48238306808</t>
  </si>
  <si>
    <t>SHIMMER SPLIT</t>
  </si>
  <si>
    <t>NI5731871</t>
  </si>
  <si>
    <t>COTTON/POLYESTER/SPANDEX; SKIRT/LINING: POLYESTER</t>
  </si>
  <si>
    <t>192399584732</t>
  </si>
  <si>
    <t>636193085618</t>
  </si>
  <si>
    <t>636193086424</t>
  </si>
  <si>
    <t>884733865309</t>
  </si>
  <si>
    <t>192135605424</t>
  </si>
  <si>
    <t>249G903</t>
  </si>
  <si>
    <t>SHIRT AND SHORTS; COTTON</t>
  </si>
  <si>
    <t>884733761229</t>
  </si>
  <si>
    <t>884733715215</t>
  </si>
  <si>
    <t>192135605592</t>
  </si>
  <si>
    <t>S19 PINK BUTTON DOWN SET</t>
  </si>
  <si>
    <t>249G898</t>
  </si>
  <si>
    <t>889799599830</t>
  </si>
  <si>
    <t>JOJO DORM</t>
  </si>
  <si>
    <t>JW035GDSMA</t>
  </si>
  <si>
    <t>732995993035</t>
  </si>
  <si>
    <t>BTTRFLY TULLE COVRAL</t>
  </si>
  <si>
    <t>100061090BG</t>
  </si>
  <si>
    <t>732996336329</t>
  </si>
  <si>
    <t>MESH BACK TWOFER TAN</t>
  </si>
  <si>
    <t>100055486GR</t>
  </si>
  <si>
    <t>SHELL, INNER BRA: POLYESTER/SPANDEX; MESH: NYLON/SPANDEX</t>
  </si>
  <si>
    <t>732996336305</t>
  </si>
  <si>
    <t>732996083292</t>
  </si>
  <si>
    <t>732996083285</t>
  </si>
  <si>
    <t>192136108979</t>
  </si>
  <si>
    <t>192135534342</t>
  </si>
  <si>
    <t>192136308515</t>
  </si>
  <si>
    <t>192136176350</t>
  </si>
  <si>
    <t>192136178286</t>
  </si>
  <si>
    <t>192136010760</t>
  </si>
  <si>
    <t>732994957823</t>
  </si>
  <si>
    <t>732995051582</t>
  </si>
  <si>
    <t>889338672710</t>
  </si>
  <si>
    <t>889338674714</t>
  </si>
  <si>
    <t>192136119463</t>
  </si>
  <si>
    <t>FLEECE HOODIEF19 BPW HOO</t>
  </si>
  <si>
    <t>192135528532</t>
  </si>
  <si>
    <t>S19 GREEN 2PK 1PC</t>
  </si>
  <si>
    <t>885779990260</t>
  </si>
  <si>
    <t>192135589786</t>
  </si>
  <si>
    <t>S19 DCS BLUE FLOWERS</t>
  </si>
  <si>
    <t>TOP, SHORTS: COTTON; BODYSUIT: COTTON/POLYESTER</t>
  </si>
  <si>
    <t>688955025011</t>
  </si>
  <si>
    <t>UNICORN PINK FUR</t>
  </si>
  <si>
    <t>D19293</t>
  </si>
  <si>
    <t>47852110242</t>
  </si>
  <si>
    <t>HALF CUSHION SOLID PED BASIC</t>
  </si>
  <si>
    <t>G40017GPK2</t>
  </si>
  <si>
    <t>884630143234</t>
  </si>
  <si>
    <t>BEIGE SHORT</t>
  </si>
  <si>
    <t>K8543</t>
  </si>
  <si>
    <t>47852110235</t>
  </si>
  <si>
    <t>47852110228</t>
  </si>
  <si>
    <t>192135555460</t>
  </si>
  <si>
    <t>689439137510</t>
  </si>
  <si>
    <t>STRIPE TRUNK SET BASIC</t>
  </si>
  <si>
    <t>100029899BB</t>
  </si>
  <si>
    <t>46094840061</t>
  </si>
  <si>
    <t>735869404101</t>
  </si>
  <si>
    <t>735869404132</t>
  </si>
  <si>
    <t>192136010623</t>
  </si>
  <si>
    <t>829268950373</t>
  </si>
  <si>
    <t>640013643674</t>
  </si>
  <si>
    <t>640013643704</t>
  </si>
  <si>
    <t>640013643643</t>
  </si>
  <si>
    <t>640013643650</t>
  </si>
  <si>
    <t>640013643698</t>
  </si>
  <si>
    <t>640013643865</t>
  </si>
  <si>
    <t>640013643629</t>
  </si>
  <si>
    <t>640013643612</t>
  </si>
  <si>
    <t>640013643599</t>
  </si>
  <si>
    <t>640013643605</t>
  </si>
  <si>
    <t>640013784964</t>
  </si>
  <si>
    <t>640013784872</t>
  </si>
  <si>
    <t>732996213293</t>
  </si>
  <si>
    <t>CLIP DOT MESH DRESS BASIC</t>
  </si>
  <si>
    <t>100052650BG</t>
  </si>
  <si>
    <t>738994573605</t>
  </si>
  <si>
    <t>732996335865</t>
  </si>
  <si>
    <t>732994441605</t>
  </si>
  <si>
    <t>880680637945</t>
  </si>
  <si>
    <t>46094705483</t>
  </si>
  <si>
    <t>880680637594</t>
  </si>
  <si>
    <t>2 PC GIRAFFE TRIBAL SHOR</t>
  </si>
  <si>
    <t>11G22668-99</t>
  </si>
  <si>
    <t>880680222042</t>
  </si>
  <si>
    <t>GRN/GRY 2PC TANK SET</t>
  </si>
  <si>
    <t>3G72078-99</t>
  </si>
  <si>
    <t>880680222097</t>
  </si>
  <si>
    <t>192135739631</t>
  </si>
  <si>
    <t>S19 FISH FIN RASHGUARD</t>
  </si>
  <si>
    <t>889799634647</t>
  </si>
  <si>
    <t>TROLLS 2 PC SHORT SET</t>
  </si>
  <si>
    <t>TP262TTSMA</t>
  </si>
  <si>
    <t>608356088514</t>
  </si>
  <si>
    <t>633716689018</t>
  </si>
  <si>
    <t>FUTURA STICKER LS TEE</t>
  </si>
  <si>
    <t>8ME122G</t>
  </si>
  <si>
    <t>732995064834</t>
  </si>
  <si>
    <t>732996348223</t>
  </si>
  <si>
    <t>192135744031</t>
  </si>
  <si>
    <t>690691004724</t>
  </si>
  <si>
    <t>192135640968</t>
  </si>
  <si>
    <t>46094815687</t>
  </si>
  <si>
    <t>SEAMLESS HYBRID BRA</t>
  </si>
  <si>
    <t>M4322B</t>
  </si>
  <si>
    <t>732996085937</t>
  </si>
  <si>
    <t>840587221463</t>
  </si>
  <si>
    <t>46094705025</t>
  </si>
  <si>
    <t>617847563386</t>
  </si>
  <si>
    <t>888282682905</t>
  </si>
  <si>
    <t>192135598115</t>
  </si>
  <si>
    <t>S19 BSPS ORANGE CHERRY</t>
  </si>
  <si>
    <t>TOP: COTTON/POLYESTER; PANTS: COTTON</t>
  </si>
  <si>
    <t>192136002376</t>
  </si>
  <si>
    <t>192136003236</t>
  </si>
  <si>
    <t>192135471678</t>
  </si>
  <si>
    <t>S19 1PC WATERMELON</t>
  </si>
  <si>
    <t>192135977323</t>
  </si>
  <si>
    <t>1 PCF19 B 1PC BEAR STRIP</t>
  </si>
  <si>
    <t>192136002369</t>
  </si>
  <si>
    <t>48238372247</t>
  </si>
  <si>
    <t>48238362996</t>
  </si>
  <si>
    <t>46094840184</t>
  </si>
  <si>
    <t>M6101</t>
  </si>
  <si>
    <t>732996336466</t>
  </si>
  <si>
    <t>735869352662</t>
  </si>
  <si>
    <t>VERTICAL CHAMPI</t>
  </si>
  <si>
    <t>CS5916</t>
  </si>
  <si>
    <t>79092450604</t>
  </si>
  <si>
    <t>HI BYE PU SHOE</t>
  </si>
  <si>
    <t>40034FI410</t>
  </si>
  <si>
    <t>79092450611</t>
  </si>
  <si>
    <t>732996208527</t>
  </si>
  <si>
    <t>PLAID SUNSUIT BASIC</t>
  </si>
  <si>
    <t>100057760BB</t>
  </si>
  <si>
    <t>46094831519</t>
  </si>
  <si>
    <t>46094831489</t>
  </si>
  <si>
    <t>23616389109</t>
  </si>
  <si>
    <t>BOYS ASSORTED NO SHOW -</t>
  </si>
  <si>
    <t>CK103</t>
  </si>
  <si>
    <t>CALVIN KLEIN SOCKS/DELTA GALIL BOYS</t>
  </si>
  <si>
    <t>POLYESTER/RUBBER/SPANDEX</t>
  </si>
  <si>
    <t>883953728814</t>
  </si>
  <si>
    <t>LIGH SWEET BEAR BLANKETBASIC</t>
  </si>
  <si>
    <t>LB704026N</t>
  </si>
  <si>
    <t>23616389130</t>
  </si>
  <si>
    <t>735869409939</t>
  </si>
  <si>
    <t>880680494739</t>
  </si>
  <si>
    <t>YEL/BLU 2PC DOG SET</t>
  </si>
  <si>
    <t>10G72629-99</t>
  </si>
  <si>
    <t>23616440800</t>
  </si>
  <si>
    <t>6PK SOCK NS (RED/GRY/BL)</t>
  </si>
  <si>
    <t>CK215</t>
  </si>
  <si>
    <t>889338694422</t>
  </si>
  <si>
    <t>F18 LBB CORE SLEEPBA</t>
  </si>
  <si>
    <t>126H767</t>
  </si>
  <si>
    <t>192135658529</t>
  </si>
  <si>
    <t>S19 ORANGE FIVE POCKET W</t>
  </si>
  <si>
    <t>258H257</t>
  </si>
  <si>
    <t>696114340004</t>
  </si>
  <si>
    <t>192135545799</t>
  </si>
  <si>
    <t>S19 KNIT SHORT BLUE PRIN</t>
  </si>
  <si>
    <t>248H046</t>
  </si>
  <si>
    <t>732995695267</t>
  </si>
  <si>
    <t>732996573915</t>
  </si>
  <si>
    <t>100057118GR</t>
  </si>
  <si>
    <t>732996573939</t>
  </si>
  <si>
    <t>732996573922</t>
  </si>
  <si>
    <t>192135384442</t>
  </si>
  <si>
    <t>S19 INTERLOCK NEUTRAL</t>
  </si>
  <si>
    <t>192135384695</t>
  </si>
  <si>
    <t>S19 INTERLOCK FLORAL</t>
  </si>
  <si>
    <t>192135384732</t>
  </si>
  <si>
    <t>192135981108</t>
  </si>
  <si>
    <t>INTERLOCK SNPF19 B SNP DBASIC</t>
  </si>
  <si>
    <t>46094759134</t>
  </si>
  <si>
    <t>46094948873</t>
  </si>
  <si>
    <t>732996351230</t>
  </si>
  <si>
    <t>SEERSUCKER SHIRT BASIC</t>
  </si>
  <si>
    <t>100052628BB</t>
  </si>
  <si>
    <t>46094819067</t>
  </si>
  <si>
    <t>192136091912</t>
  </si>
  <si>
    <t>KNIT TEEF19 BPW RACE CAR</t>
  </si>
  <si>
    <t>886252217874</t>
  </si>
  <si>
    <t>LAMB SNUGGLER BASIC</t>
  </si>
  <si>
    <t>63811FI410</t>
  </si>
  <si>
    <t>VELBOA FAUX FUR: POLYESTER</t>
  </si>
  <si>
    <t>886252217867</t>
  </si>
  <si>
    <t>DOG SNUGGLER BASIC</t>
  </si>
  <si>
    <t>63810FI410</t>
  </si>
  <si>
    <t>732995566253</t>
  </si>
  <si>
    <t>46094831359</t>
  </si>
  <si>
    <t>735869399032</t>
  </si>
  <si>
    <t>732996433516</t>
  </si>
  <si>
    <t>192135645598</t>
  </si>
  <si>
    <t>S19 BLACK AND WHITE ANIM</t>
  </si>
  <si>
    <t>258H221</t>
  </si>
  <si>
    <t>192135705933</t>
  </si>
  <si>
    <t>192135641767</t>
  </si>
  <si>
    <t>S19 PINK UNICORN PRINT L</t>
  </si>
  <si>
    <t>258H219</t>
  </si>
  <si>
    <t>192136329626</t>
  </si>
  <si>
    <t>192135649534</t>
  </si>
  <si>
    <t>732995559897</t>
  </si>
  <si>
    <t>732995628265</t>
  </si>
  <si>
    <t>ROSETTE BOW HB PK BASIC</t>
  </si>
  <si>
    <t>100046443BG</t>
  </si>
  <si>
    <t>BOW: NYLON/COTTON/POLYESTER/SPANDEX; ROSSETTE: NYLON/POLYESTER/SPANDEX</t>
  </si>
  <si>
    <t>732995559828</t>
  </si>
  <si>
    <t>732996213811</t>
  </si>
  <si>
    <t>732995633313</t>
  </si>
  <si>
    <t>WHALE TAIL SUNSUIT BASIC</t>
  </si>
  <si>
    <t>100043394BB</t>
  </si>
  <si>
    <t>726895516074</t>
  </si>
  <si>
    <t>732996583532</t>
  </si>
  <si>
    <t>PAINTED TIGER TEE</t>
  </si>
  <si>
    <t>100056725LB</t>
  </si>
  <si>
    <t>732996128306</t>
  </si>
  <si>
    <t>100056889LG</t>
  </si>
  <si>
    <t>735869399186</t>
  </si>
  <si>
    <t>735869404316</t>
  </si>
  <si>
    <t>732996431383</t>
  </si>
  <si>
    <t>732996958972</t>
  </si>
  <si>
    <t>732996431475</t>
  </si>
  <si>
    <t>732996431512</t>
  </si>
  <si>
    <t>732997720752</t>
  </si>
  <si>
    <t>CAMO OMBRE TEE</t>
  </si>
  <si>
    <t>100067057LB</t>
  </si>
  <si>
    <t>608381745543</t>
  </si>
  <si>
    <t>732995489040</t>
  </si>
  <si>
    <t>THREE BUNNIES SS TEE</t>
  </si>
  <si>
    <t>100046388LG</t>
  </si>
  <si>
    <t>732995252064</t>
  </si>
  <si>
    <t>732996176420</t>
  </si>
  <si>
    <t>732996176161</t>
  </si>
  <si>
    <t>732994853941</t>
  </si>
  <si>
    <t>732995800715</t>
  </si>
  <si>
    <t>T STARS STRIPE TUNIC BASIC</t>
  </si>
  <si>
    <t>100042526TG</t>
  </si>
  <si>
    <t>732996891972</t>
  </si>
  <si>
    <t>732996280585</t>
  </si>
  <si>
    <t>732995159745</t>
  </si>
  <si>
    <t>732995159714</t>
  </si>
  <si>
    <t>732997482117</t>
  </si>
  <si>
    <t>732996212975</t>
  </si>
  <si>
    <t>T PUPPY CHICK TEE BASIC</t>
  </si>
  <si>
    <t>100052322TG</t>
  </si>
  <si>
    <t>732996891804</t>
  </si>
  <si>
    <t>T SS BUTTERFLY TEE</t>
  </si>
  <si>
    <t>100056178TG</t>
  </si>
  <si>
    <t>732996891828</t>
  </si>
  <si>
    <t>732996891811</t>
  </si>
  <si>
    <t>732996961804</t>
  </si>
  <si>
    <t>732996280189</t>
  </si>
  <si>
    <t>732997481882</t>
  </si>
  <si>
    <t>732996890272</t>
  </si>
  <si>
    <t>LS HEART TUNIC</t>
  </si>
  <si>
    <t>100054002BG</t>
  </si>
  <si>
    <t>732996245058</t>
  </si>
  <si>
    <t>732995159868</t>
  </si>
  <si>
    <t>WC BUTTERFLY LEGGING BASIC</t>
  </si>
  <si>
    <t>100042475BG</t>
  </si>
  <si>
    <t>732996245249</t>
  </si>
  <si>
    <t>732994881166</t>
  </si>
  <si>
    <t>732994880909</t>
  </si>
  <si>
    <t>732996890791</t>
  </si>
  <si>
    <t>SS BIRD TUNIC</t>
  </si>
  <si>
    <t>100056320BG</t>
  </si>
  <si>
    <t>732996210179</t>
  </si>
  <si>
    <t>CARNIVAL FOOD TUNIC BASIC</t>
  </si>
  <si>
    <t>100052324BG</t>
  </si>
  <si>
    <t>732995801644</t>
  </si>
  <si>
    <t>732996890432</t>
  </si>
  <si>
    <t>732996890692</t>
  </si>
  <si>
    <t>732996905198</t>
  </si>
  <si>
    <t>732996242125</t>
  </si>
  <si>
    <t>732996242101</t>
  </si>
  <si>
    <t>732996901275</t>
  </si>
  <si>
    <t>LS DOG STRIPE TEE</t>
  </si>
  <si>
    <t>100053763BB</t>
  </si>
  <si>
    <t>732996905228</t>
  </si>
  <si>
    <t>732995579413</t>
  </si>
  <si>
    <t>732995579406</t>
  </si>
  <si>
    <t>732996959344</t>
  </si>
  <si>
    <t>732995159165</t>
  </si>
  <si>
    <t>732996959658</t>
  </si>
  <si>
    <t>816523024528</t>
  </si>
  <si>
    <t>CHIME BALL</t>
  </si>
  <si>
    <t>732995799392</t>
  </si>
  <si>
    <t>732996889252</t>
  </si>
  <si>
    <t>46094636046</t>
  </si>
  <si>
    <t>46094831854</t>
  </si>
  <si>
    <t>732996901497</t>
  </si>
  <si>
    <t>732996212173</t>
  </si>
  <si>
    <t>732996212210</t>
  </si>
  <si>
    <t>STRAWBERRY TEE BASIC</t>
  </si>
  <si>
    <t>100052318BG</t>
  </si>
  <si>
    <t>732996900537</t>
  </si>
  <si>
    <t>732996279626</t>
  </si>
  <si>
    <t>732996210667</t>
  </si>
  <si>
    <t>732996210780</t>
  </si>
  <si>
    <t>732996210681</t>
  </si>
  <si>
    <t>46094700402</t>
  </si>
  <si>
    <t>732996240657</t>
  </si>
  <si>
    <t>732996240374</t>
  </si>
  <si>
    <t>732995575545</t>
  </si>
  <si>
    <t>732996212319</t>
  </si>
  <si>
    <t>732995882193</t>
  </si>
  <si>
    <t>608356357894</t>
  </si>
  <si>
    <t>SS GAME ON 2FER TEE BASIC</t>
  </si>
  <si>
    <t>100035271BB</t>
  </si>
  <si>
    <t>46094635933</t>
  </si>
  <si>
    <t>46094635919</t>
  </si>
  <si>
    <t>192170041478</t>
  </si>
  <si>
    <t>FULTON2-CR</t>
  </si>
  <si>
    <t>192170035125</t>
  </si>
  <si>
    <t>888737829589</t>
  </si>
  <si>
    <t>192136107552</t>
  </si>
  <si>
    <t>192136010111</t>
  </si>
  <si>
    <t>KNIT SETF19 BPW TREX HD</t>
  </si>
  <si>
    <t>192135979440</t>
  </si>
  <si>
    <t>192135979723</t>
  </si>
  <si>
    <t>BSPSF19 B BSPS MOMMYS HE</t>
  </si>
  <si>
    <t>840805128864</t>
  </si>
  <si>
    <t>SOCKS KIDS PETITE HEART</t>
  </si>
  <si>
    <t>HELLO KITTY/NEKO WORLD INC</t>
  </si>
  <si>
    <t>192042689142</t>
  </si>
  <si>
    <t>884733786222</t>
  </si>
  <si>
    <t>DENIM-TRUCKER-OUTERWEAR-</t>
  </si>
  <si>
    <t>884733950166</t>
  </si>
  <si>
    <t>DENIM-AMERICANA SH-BOTTO</t>
  </si>
  <si>
    <t>880680836355</t>
  </si>
  <si>
    <t>192500032312</t>
  </si>
  <si>
    <t>829092800523</t>
  </si>
  <si>
    <t>CHEVRON SEQUIN SHIFT</t>
  </si>
  <si>
    <t>8731NPHG</t>
  </si>
  <si>
    <t>192500030721</t>
  </si>
  <si>
    <t>193579337704</t>
  </si>
  <si>
    <t>193579337728</t>
  </si>
  <si>
    <t>884733850503</t>
  </si>
  <si>
    <t>BODY, COLLAR AND CUFFS: POLYESTER/ELASTANE</t>
  </si>
  <si>
    <t>193579337131</t>
  </si>
  <si>
    <t>192504063572</t>
  </si>
  <si>
    <t>MINI MOTIF SS BOY</t>
  </si>
  <si>
    <t>EQKWT03152</t>
  </si>
  <si>
    <t>7AVGREGMED</t>
  </si>
  <si>
    <t>193579337148</t>
  </si>
  <si>
    <t>193579293741</t>
  </si>
  <si>
    <t>TGFCH01S-411</t>
  </si>
  <si>
    <t>193579337223</t>
  </si>
  <si>
    <t>609588158730</t>
  </si>
  <si>
    <t>193579293895</t>
  </si>
  <si>
    <t>883914577772</t>
  </si>
  <si>
    <t>RUFFLE MIXED PRINT MAXI</t>
  </si>
  <si>
    <t>SD356872M</t>
  </si>
  <si>
    <t>SELF AND LINING: POLYESTER</t>
  </si>
  <si>
    <t>791088773749</t>
  </si>
  <si>
    <t>PINK W LACE TOP</t>
  </si>
  <si>
    <t>F863189</t>
  </si>
  <si>
    <t>617846820930</t>
  </si>
  <si>
    <t>AUTH STORY SHORT 1</t>
  </si>
  <si>
    <t>955700G</t>
  </si>
  <si>
    <t>633731399107</t>
  </si>
  <si>
    <t>192399526305</t>
  </si>
  <si>
    <t>COLORBLOCK TRICOT JACKET</t>
  </si>
  <si>
    <t>AP5451</t>
  </si>
  <si>
    <t>756998891624</t>
  </si>
  <si>
    <t>756998992437</t>
  </si>
  <si>
    <t>RIFT PRISM CROSSBACK TAN</t>
  </si>
  <si>
    <t>NESS9603DS</t>
  </si>
  <si>
    <t>747941638601</t>
  </si>
  <si>
    <t>STRIPED WALK THROUGH</t>
  </si>
  <si>
    <t>S4009D02GA17</t>
  </si>
  <si>
    <t>747941638618</t>
  </si>
  <si>
    <t>192135634042</t>
  </si>
  <si>
    <t>S19 DMU TURQ SUSPENDER</t>
  </si>
  <si>
    <t>BODYSUIT/PANTS: COTTON</t>
  </si>
  <si>
    <t>7613414577476</t>
  </si>
  <si>
    <t>STRETCH DENIM MINI SKIRT</t>
  </si>
  <si>
    <t>J93D11D3QF0</t>
  </si>
  <si>
    <t>COTTON/POLYESTER/VISCOSE/SPANDEX</t>
  </si>
  <si>
    <t>192501024583</t>
  </si>
  <si>
    <t>192136217091</t>
  </si>
  <si>
    <t>887622795350</t>
  </si>
  <si>
    <t>RACE CAR 3 PC SET</t>
  </si>
  <si>
    <t>10G53608-99</t>
  </si>
  <si>
    <t>HOODIE, T-SHIRT: COTTON/POLYESTER; JOGGERS: 100% COTTON</t>
  </si>
  <si>
    <t>192500040997</t>
  </si>
  <si>
    <t>192500041031</t>
  </si>
  <si>
    <t>9328678359</t>
  </si>
  <si>
    <t>732996089966</t>
  </si>
  <si>
    <t>EYELET TIE DRESS</t>
  </si>
  <si>
    <t>100057072GR</t>
  </si>
  <si>
    <t>RAYONE/POLYESTER</t>
  </si>
  <si>
    <t>9343098018849</t>
  </si>
  <si>
    <t>GATHERED LEGGINGS</t>
  </si>
  <si>
    <t>FMA611G</t>
  </si>
  <si>
    <t>FLO DANCEWEAR PTY LTD GIRLS</t>
  </si>
  <si>
    <t>VISCOSE/ELASTANE</t>
  </si>
  <si>
    <t>636189923498</t>
  </si>
  <si>
    <t>841372148798</t>
  </si>
  <si>
    <t>841372148743</t>
  </si>
  <si>
    <t>841372148699</t>
  </si>
  <si>
    <t>850000343122</t>
  </si>
  <si>
    <t>BBBABY BAGEL</t>
  </si>
  <si>
    <t>3-6 MOS</t>
  </si>
  <si>
    <t>BONBONBABY APPAREL</t>
  </si>
  <si>
    <t>ORGANIC COTTON</t>
  </si>
  <si>
    <t>745644319827</t>
  </si>
  <si>
    <t>SAILBOAT SHORTALL SET</t>
  </si>
  <si>
    <t>LCN08132N</t>
  </si>
  <si>
    <t>884733884539</t>
  </si>
  <si>
    <t>889799598000</t>
  </si>
  <si>
    <t>INCREDIBLES 2FOR SET</t>
  </si>
  <si>
    <t>I2013BSLMA</t>
  </si>
  <si>
    <t>617844187417</t>
  </si>
  <si>
    <t>#1 DRAFT PICK SHORT SET</t>
  </si>
  <si>
    <t>86F027G</t>
  </si>
  <si>
    <t>732995556179</t>
  </si>
  <si>
    <t>FLORAL BUTTON ROMPER</t>
  </si>
  <si>
    <t>100047036GR</t>
  </si>
  <si>
    <t>193579295851</t>
  </si>
  <si>
    <t>193579295875</t>
  </si>
  <si>
    <t>193579295844</t>
  </si>
  <si>
    <t>732996105659</t>
  </si>
  <si>
    <t>880680632537</t>
  </si>
  <si>
    <t>191524651257</t>
  </si>
  <si>
    <t>DV2909</t>
  </si>
  <si>
    <t>732996130033</t>
  </si>
  <si>
    <t>MULTI COLOR SHORTALL</t>
  </si>
  <si>
    <t>100056960LG</t>
  </si>
  <si>
    <t>732995318982</t>
  </si>
  <si>
    <t>RACE STRIPE ZIP UP BASIC</t>
  </si>
  <si>
    <t>100044720LB</t>
  </si>
  <si>
    <t>880680459820</t>
  </si>
  <si>
    <t>192135565193</t>
  </si>
  <si>
    <t>GSW 4PC BLACK &amp; WHITE</t>
  </si>
  <si>
    <t>192135563212</t>
  </si>
  <si>
    <t>617846838096</t>
  </si>
  <si>
    <t>633716806033</t>
  </si>
  <si>
    <t>633716806057</t>
  </si>
  <si>
    <t>633716806071</t>
  </si>
  <si>
    <t>633716853112</t>
  </si>
  <si>
    <t>617844868453</t>
  </si>
  <si>
    <t>617846838072</t>
  </si>
  <si>
    <t>617846838065</t>
  </si>
  <si>
    <t>633716806064</t>
  </si>
  <si>
    <t>191013977905</t>
  </si>
  <si>
    <t>JS FOIL HEART RUFFLE BIK</t>
  </si>
  <si>
    <t>SP19A011-ME</t>
  </si>
  <si>
    <t>AMEREX GROUP INC</t>
  </si>
  <si>
    <t>889799657592</t>
  </si>
  <si>
    <t>732995559163</t>
  </si>
  <si>
    <t>FLUTTER STRIPE DRESS</t>
  </si>
  <si>
    <t>100047027GR</t>
  </si>
  <si>
    <t>193579018580</t>
  </si>
  <si>
    <t>LOGO STRAP SPORTS TOP</t>
  </si>
  <si>
    <t>35G34702-64</t>
  </si>
  <si>
    <t>192135525364</t>
  </si>
  <si>
    <t>S19 CARDI SET STRAWBERRY</t>
  </si>
  <si>
    <t>192135523674</t>
  </si>
  <si>
    <t>S19 CARDI SET TURQ SHARK</t>
  </si>
  <si>
    <t>BODYSUIT, PANTS: COTTON; HOODIE: COTTON/POLYESTER</t>
  </si>
  <si>
    <t>192135523681</t>
  </si>
  <si>
    <t>192135523667</t>
  </si>
  <si>
    <t>880680774435</t>
  </si>
  <si>
    <t>193579295493</t>
  </si>
  <si>
    <t>732995324983</t>
  </si>
  <si>
    <t>732995324990</t>
  </si>
  <si>
    <t>732995144154</t>
  </si>
  <si>
    <t>732996031873</t>
  </si>
  <si>
    <t>CAMO SET BASIC</t>
  </si>
  <si>
    <t>100055548LB</t>
  </si>
  <si>
    <t>SHIRT: COTTON/POLYESTER; SHORTS, SHELL AND MESH: POLYESTER</t>
  </si>
  <si>
    <t>880680226477</t>
  </si>
  <si>
    <t>TBSCK044-626</t>
  </si>
  <si>
    <t>880680628325</t>
  </si>
  <si>
    <t>732996090467</t>
  </si>
  <si>
    <t>SMOCK TOP ROMPER</t>
  </si>
  <si>
    <t>100057094GR</t>
  </si>
  <si>
    <t>732996573441</t>
  </si>
  <si>
    <t>732996442518</t>
  </si>
  <si>
    <t>732995567762</t>
  </si>
  <si>
    <t>880680844718</t>
  </si>
  <si>
    <t>TGSCA39S-100</t>
  </si>
  <si>
    <t>191888196661</t>
  </si>
  <si>
    <t>G NSW TEE DPTL GLOW SWOO</t>
  </si>
  <si>
    <t>AR5089</t>
  </si>
  <si>
    <t>192007719174</t>
  </si>
  <si>
    <t>633731115455</t>
  </si>
  <si>
    <t>23 SPECKLE</t>
  </si>
  <si>
    <t>956416G</t>
  </si>
  <si>
    <t>880680774848</t>
  </si>
  <si>
    <t>887407258322</t>
  </si>
  <si>
    <t>ETHEL GLITZ</t>
  </si>
  <si>
    <t>SAM EDELMAN/SYNCLAIRE BRANDS</t>
  </si>
  <si>
    <t>UPPER TEXTILE/LINNING TEXTILE/RUBBER BLEND OUTSOLE</t>
  </si>
  <si>
    <t>732996104836</t>
  </si>
  <si>
    <t>192136306511</t>
  </si>
  <si>
    <t>192136323419</t>
  </si>
  <si>
    <t>732994957816</t>
  </si>
  <si>
    <t>889338678194</t>
  </si>
  <si>
    <t>732995697872</t>
  </si>
  <si>
    <t>732995331578</t>
  </si>
  <si>
    <t>COTTON/SPANDEX; EXCLUSIVE OF DECORATION</t>
  </si>
  <si>
    <t>636202746943</t>
  </si>
  <si>
    <t>GEO RASHGUARD</t>
  </si>
  <si>
    <t>100042122G</t>
  </si>
  <si>
    <t>192135607336</t>
  </si>
  <si>
    <t>S19 SCOOP NECK WATERMELO</t>
  </si>
  <si>
    <t>251G647</t>
  </si>
  <si>
    <t>192135617748</t>
  </si>
  <si>
    <t>192135606100</t>
  </si>
  <si>
    <t>S19 BLUE STRIPE SET WITH</t>
  </si>
  <si>
    <t>229G927</t>
  </si>
  <si>
    <t>192135619339</t>
  </si>
  <si>
    <t>192135614976</t>
  </si>
  <si>
    <t>239G894</t>
  </si>
  <si>
    <t>192135604212</t>
  </si>
  <si>
    <t>S19 MONSTER STRIPE WITH</t>
  </si>
  <si>
    <t>229G966</t>
  </si>
  <si>
    <t>46094705568</t>
  </si>
  <si>
    <t>HNGR 2PK PERF BOX BRF</t>
  </si>
  <si>
    <t>M5135</t>
  </si>
  <si>
    <t>732996440880</t>
  </si>
  <si>
    <t>100056954LG</t>
  </si>
  <si>
    <t>640013643827</t>
  </si>
  <si>
    <t>640013643810</t>
  </si>
  <si>
    <t>640013643780</t>
  </si>
  <si>
    <t>732996335858</t>
  </si>
  <si>
    <t>880680637563</t>
  </si>
  <si>
    <t>736576075110</t>
  </si>
  <si>
    <t>KP W 1322/1752 SHOE/SOXBASIC</t>
  </si>
  <si>
    <t>SOCKS:COTTON/SPANDEX; SHOES:POLYESTER; LINING:COTTON</t>
  </si>
  <si>
    <t>732995051476</t>
  </si>
  <si>
    <t>100044395GR</t>
  </si>
  <si>
    <t>732996083254</t>
  </si>
  <si>
    <t>732995521146</t>
  </si>
  <si>
    <t>SIDETAPE RIBD DRESS</t>
  </si>
  <si>
    <t>100053126GR</t>
  </si>
  <si>
    <t>192135979167</t>
  </si>
  <si>
    <t>BSPSF19 B BSPS MONSTER L</t>
  </si>
  <si>
    <t>192135647912</t>
  </si>
  <si>
    <t>248H074</t>
  </si>
  <si>
    <t>732996347844</t>
  </si>
  <si>
    <t>192135892763</t>
  </si>
  <si>
    <t>S19 G SEQUIN HEART TANK</t>
  </si>
  <si>
    <t>253I322</t>
  </si>
  <si>
    <t>46094958032</t>
  </si>
  <si>
    <t>46094958063</t>
  </si>
  <si>
    <t>690691004540</t>
  </si>
  <si>
    <t>732995045895</t>
  </si>
  <si>
    <t>636202748640</t>
  </si>
  <si>
    <t>STAR SHORTIE</t>
  </si>
  <si>
    <t>100042127G</t>
  </si>
  <si>
    <t>POLYESTER/SPANDEX; SECONDARY: POLYESTE</t>
  </si>
  <si>
    <t>735869366904</t>
  </si>
  <si>
    <t>883953728265</t>
  </si>
  <si>
    <t>732995104998</t>
  </si>
  <si>
    <t>100046220BO</t>
  </si>
  <si>
    <t>640013645975</t>
  </si>
  <si>
    <t>SMARTIES SUNGLASS PRINT</t>
  </si>
  <si>
    <t>UB1191463</t>
  </si>
  <si>
    <t>192135510407</t>
  </si>
  <si>
    <t>S19 BSPS PINK STRAWBERRY</t>
  </si>
  <si>
    <t>885779990673</t>
  </si>
  <si>
    <t>192135601075</t>
  </si>
  <si>
    <t>S19 BSPS PURPLE ICECREAM</t>
  </si>
  <si>
    <t>885779990598</t>
  </si>
  <si>
    <t>732995507171</t>
  </si>
  <si>
    <t>732995506921</t>
  </si>
  <si>
    <t>ELEPHANT PLAID SALL</t>
  </si>
  <si>
    <t>100042042BB</t>
  </si>
  <si>
    <t>192136001843</t>
  </si>
  <si>
    <t>192135977378</t>
  </si>
  <si>
    <t>192135977354</t>
  </si>
  <si>
    <t>192135976623</t>
  </si>
  <si>
    <t>192135977880</t>
  </si>
  <si>
    <t>192135976586</t>
  </si>
  <si>
    <t>192135977071</t>
  </si>
  <si>
    <t>192135977422</t>
  </si>
  <si>
    <t>192135977361</t>
  </si>
  <si>
    <t>636202748671</t>
  </si>
  <si>
    <t>732995105476</t>
  </si>
  <si>
    <t>732996320236</t>
  </si>
  <si>
    <t>756500009523</t>
  </si>
  <si>
    <t>81K91490</t>
  </si>
  <si>
    <t>732996048123</t>
  </si>
  <si>
    <t>RIP AND REPAIR SHORT BASIC</t>
  </si>
  <si>
    <t>100056149BB</t>
  </si>
  <si>
    <t>887188685836</t>
  </si>
  <si>
    <t>BLAC NEW CIRCLE S/S T YTH</t>
  </si>
  <si>
    <t>689439329090</t>
  </si>
  <si>
    <t>SKULL MUSIC TEE</t>
  </si>
  <si>
    <t>100039589BO</t>
  </si>
  <si>
    <t>732994134453</t>
  </si>
  <si>
    <t>LS CS HEART DRESS</t>
  </si>
  <si>
    <t>100027550GR</t>
  </si>
  <si>
    <t>192135567777</t>
  </si>
  <si>
    <t>GSW 1PC YELLOW BUTTERFLY</t>
  </si>
  <si>
    <t>192135566701</t>
  </si>
  <si>
    <t>GSW 1PC PINK PURRMAID</t>
  </si>
  <si>
    <t>192135500514</t>
  </si>
  <si>
    <t>GSW 1PC NAVY UNICORN</t>
  </si>
  <si>
    <t>192135500880</t>
  </si>
  <si>
    <t>GSW 1PC GREY BALLERINA</t>
  </si>
  <si>
    <t>192135545812</t>
  </si>
  <si>
    <t>732996442242</t>
  </si>
  <si>
    <t>BIRD DOT DRESS</t>
  </si>
  <si>
    <t>100056982LG</t>
  </si>
  <si>
    <t>192135585665</t>
  </si>
  <si>
    <t>S19 DRESS PINK TUTU</t>
  </si>
  <si>
    <t>617845920242</t>
  </si>
  <si>
    <t>3M5984F</t>
  </si>
  <si>
    <t>735869410003</t>
  </si>
  <si>
    <t>735869355434</t>
  </si>
  <si>
    <t>FRENCH TERRY SIDE SCRIPT</t>
  </si>
  <si>
    <t>C5537M</t>
  </si>
  <si>
    <t>735869409489</t>
  </si>
  <si>
    <t>735869409434</t>
  </si>
  <si>
    <t>732996525655</t>
  </si>
  <si>
    <t>29534425677</t>
  </si>
  <si>
    <t>732995194531</t>
  </si>
  <si>
    <t>SKATES 4-6X SS TEE</t>
  </si>
  <si>
    <t>100047508LG</t>
  </si>
  <si>
    <t>192135582558</t>
  </si>
  <si>
    <t>S19 1PC PINK BLUE FLORAL</t>
  </si>
  <si>
    <t>192135879306</t>
  </si>
  <si>
    <t>S19 1PC B RED HOODED</t>
  </si>
  <si>
    <t>192135583432</t>
  </si>
  <si>
    <t>S19 1PC GREY BLACK DOT</t>
  </si>
  <si>
    <t>192135384299</t>
  </si>
  <si>
    <t>192135384411</t>
  </si>
  <si>
    <t>192135384282</t>
  </si>
  <si>
    <t>192135474174</t>
  </si>
  <si>
    <t>S19 1PC RED POLO</t>
  </si>
  <si>
    <t>192135481066</t>
  </si>
  <si>
    <t>S19 1PC NAVY TURQ FLORAL</t>
  </si>
  <si>
    <t>732995567281</t>
  </si>
  <si>
    <t>640013656551</t>
  </si>
  <si>
    <t>BOYS GABRIEL HOODY</t>
  </si>
  <si>
    <t>UB1192038</t>
  </si>
  <si>
    <t>732995552874</t>
  </si>
  <si>
    <t>FIERCE SPLITBACK TEE BASIC</t>
  </si>
  <si>
    <t>100044686GR</t>
  </si>
  <si>
    <t>732995513899</t>
  </si>
  <si>
    <t>732995696486</t>
  </si>
  <si>
    <t>636206541919</t>
  </si>
  <si>
    <t>VISIONARY SS TEE</t>
  </si>
  <si>
    <t>100040061GR</t>
  </si>
  <si>
    <t>735869347347</t>
  </si>
  <si>
    <t>TRI COLOR SCRIPT TIE</t>
  </si>
  <si>
    <t>C5486M</t>
  </si>
  <si>
    <t>46094831281</t>
  </si>
  <si>
    <t>732995193978</t>
  </si>
  <si>
    <t>BEST DAY 2T SS TEE</t>
  </si>
  <si>
    <t>100047502LG</t>
  </si>
  <si>
    <t>732995193961</t>
  </si>
  <si>
    <t>192135584286</t>
  </si>
  <si>
    <t>46094831298</t>
  </si>
  <si>
    <t>192135585139</t>
  </si>
  <si>
    <t>S19 SUR ORANGE ICE CREAM</t>
  </si>
  <si>
    <t>617846940379</t>
  </si>
  <si>
    <t>JDI BODYSUIT</t>
  </si>
  <si>
    <t>56E660G</t>
  </si>
  <si>
    <t>735869398974</t>
  </si>
  <si>
    <t>735869459620</t>
  </si>
  <si>
    <t>732995220650</t>
  </si>
  <si>
    <t>BFLIES CS OPP DRESS</t>
  </si>
  <si>
    <t>100046882LG</t>
  </si>
  <si>
    <t>732996433523</t>
  </si>
  <si>
    <t>732995553994</t>
  </si>
  <si>
    <t>732996526546</t>
  </si>
  <si>
    <t>735869394952</t>
  </si>
  <si>
    <t>C7458M</t>
  </si>
  <si>
    <t>735869395034</t>
  </si>
  <si>
    <t>732995800432</t>
  </si>
  <si>
    <t>LADYBUG ROMPER BASIC</t>
  </si>
  <si>
    <t>100045216BG</t>
  </si>
  <si>
    <t>732995559842</t>
  </si>
  <si>
    <t>732995559767</t>
  </si>
  <si>
    <t>732995559736</t>
  </si>
  <si>
    <t>190344842746</t>
  </si>
  <si>
    <t>BLAC BATMAN YOKE</t>
  </si>
  <si>
    <t>2TJDCB391</t>
  </si>
  <si>
    <t>732995637816</t>
  </si>
  <si>
    <t>BUNNY TULLE HB PK BASIC</t>
  </si>
  <si>
    <t>100041936BG</t>
  </si>
  <si>
    <t>SILVER/GOLD: POLYESTER/RUBBER/METALLIC; WHITE: NYLON/SPANDEX; TULLE/BUNNY EARS: POLYESTER</t>
  </si>
  <si>
    <t>732995328110</t>
  </si>
  <si>
    <t>CAMO POCKET SS TEE</t>
  </si>
  <si>
    <t>100046641LB</t>
  </si>
  <si>
    <t>732995631241</t>
  </si>
  <si>
    <t>192136099895</t>
  </si>
  <si>
    <t>735869731566</t>
  </si>
  <si>
    <t>732995195392</t>
  </si>
  <si>
    <t>732996436661</t>
  </si>
  <si>
    <t>SEA SUN FUN TANK</t>
  </si>
  <si>
    <t>100056910LG</t>
  </si>
  <si>
    <t>732995192605</t>
  </si>
  <si>
    <t>732995565201</t>
  </si>
  <si>
    <t>732995193626</t>
  </si>
  <si>
    <t>732995193442</t>
  </si>
  <si>
    <t>FAIRY BALLOON SS TEE</t>
  </si>
  <si>
    <t>100046380LG</t>
  </si>
  <si>
    <t>732995192827</t>
  </si>
  <si>
    <t>732995192704</t>
  </si>
  <si>
    <t>732996124827</t>
  </si>
  <si>
    <t>732995193725</t>
  </si>
  <si>
    <t>732995193657</t>
  </si>
  <si>
    <t>732995585957</t>
  </si>
  <si>
    <t>UMBRELLA DRESS</t>
  </si>
  <si>
    <t>100043163BG</t>
  </si>
  <si>
    <t>732995578393</t>
  </si>
  <si>
    <t>T PETALS LEGGING BASIC</t>
  </si>
  <si>
    <t>100042505TG</t>
  </si>
  <si>
    <t>732994853873</t>
  </si>
  <si>
    <t>732994939065</t>
  </si>
  <si>
    <t>608356322984</t>
  </si>
  <si>
    <t>CUFF MARLED JOGGER BASIC</t>
  </si>
  <si>
    <t>100031246BB</t>
  </si>
  <si>
    <t>732995251470</t>
  </si>
  <si>
    <t>732995251326</t>
  </si>
  <si>
    <t>732995251364</t>
  </si>
  <si>
    <t>732995251340</t>
  </si>
  <si>
    <t>732995884234</t>
  </si>
  <si>
    <t>732995884265</t>
  </si>
  <si>
    <t>732995884340</t>
  </si>
  <si>
    <t>732994938730</t>
  </si>
  <si>
    <t>732994938754</t>
  </si>
  <si>
    <t>732995250749</t>
  </si>
  <si>
    <t>JUST HATCHED BDYSUIT</t>
  </si>
  <si>
    <t>732995158830</t>
  </si>
  <si>
    <t>T FLRAL BORDER SHORT BASIC</t>
  </si>
  <si>
    <t>100042479TG</t>
  </si>
  <si>
    <t>732994855204</t>
  </si>
  <si>
    <t>732995881677</t>
  </si>
  <si>
    <t>732995881646</t>
  </si>
  <si>
    <t>732995574975</t>
  </si>
  <si>
    <t>732995159943</t>
  </si>
  <si>
    <t>732994938631</t>
  </si>
  <si>
    <t>G LADYBUG LEGGING</t>
  </si>
  <si>
    <t>100043485BG</t>
  </si>
  <si>
    <t>732994938891</t>
  </si>
  <si>
    <t>732995882063</t>
  </si>
  <si>
    <t>PATROTIC BOWTIE TEE BASIC</t>
  </si>
  <si>
    <t>100043934BB</t>
  </si>
  <si>
    <t>732995882056</t>
  </si>
  <si>
    <t>732995882087</t>
  </si>
  <si>
    <t>732995882094</t>
  </si>
  <si>
    <t>732996905525</t>
  </si>
  <si>
    <t>732995801651</t>
  </si>
  <si>
    <t>732994881616</t>
  </si>
  <si>
    <t>732995799637</t>
  </si>
  <si>
    <t>732995176018</t>
  </si>
  <si>
    <t>COLOR BLOCK SHORT BASIC</t>
  </si>
  <si>
    <t>100041912BB</t>
  </si>
  <si>
    <t>732995159493</t>
  </si>
  <si>
    <t>732995159363</t>
  </si>
  <si>
    <t>732995798166</t>
  </si>
  <si>
    <t>732995175196</t>
  </si>
  <si>
    <t>732995175004</t>
  </si>
  <si>
    <t>732995175028</t>
  </si>
  <si>
    <t>732994937795</t>
  </si>
  <si>
    <t>G RAINBOW BODYSUIT</t>
  </si>
  <si>
    <t>100043465BG</t>
  </si>
  <si>
    <t>46094832141</t>
  </si>
  <si>
    <t>732994938044</t>
  </si>
  <si>
    <t>732995577457</t>
  </si>
  <si>
    <t>BUNNY W FLOWERS TEE BASIC</t>
  </si>
  <si>
    <t>100042489BG</t>
  </si>
  <si>
    <t>PRIMARY: 100% COTTON; NECK BINDING: COTTON/SPANDEX</t>
  </si>
  <si>
    <t>732995882254</t>
  </si>
  <si>
    <t>732995575293</t>
  </si>
  <si>
    <t>732995891416</t>
  </si>
  <si>
    <t>732995891454</t>
  </si>
  <si>
    <t>732995891430</t>
  </si>
  <si>
    <t>732995797718</t>
  </si>
  <si>
    <t>46094832066</t>
  </si>
  <si>
    <t>46094832073</t>
  </si>
  <si>
    <t>732995175387</t>
  </si>
  <si>
    <t>732994852791</t>
  </si>
  <si>
    <t>BASKETBALL CRANE TEE BASIC</t>
  </si>
  <si>
    <t>100041894BB</t>
  </si>
  <si>
    <t>732995175578</t>
  </si>
  <si>
    <t>732995175608</t>
  </si>
  <si>
    <t>732994880824</t>
  </si>
  <si>
    <t>732994852593</t>
  </si>
  <si>
    <t>ELEPHANT TEE BASIC</t>
  </si>
  <si>
    <t>100041889BB</t>
  </si>
  <si>
    <t>732995174885</t>
  </si>
  <si>
    <t>732995174908</t>
  </si>
  <si>
    <t>732995175592</t>
  </si>
  <si>
    <t>732995882032</t>
  </si>
  <si>
    <t>LOBSTER TEE BASIC</t>
  </si>
  <si>
    <t>100043933BB</t>
  </si>
  <si>
    <t>732995175585</t>
  </si>
  <si>
    <t>732995174922</t>
  </si>
  <si>
    <t>732994852456</t>
  </si>
  <si>
    <t>732994852470</t>
  </si>
  <si>
    <t>732994852234</t>
  </si>
  <si>
    <t>732995175257</t>
  </si>
  <si>
    <t>732995575378</t>
  </si>
  <si>
    <t>WOOF TEE BASIC</t>
  </si>
  <si>
    <t>100042195BB</t>
  </si>
  <si>
    <t>732995575422</t>
  </si>
  <si>
    <t>732995882445</t>
  </si>
  <si>
    <t>732995882421</t>
  </si>
  <si>
    <t>732995882407</t>
  </si>
  <si>
    <t>732994852357</t>
  </si>
  <si>
    <t>732995882520</t>
  </si>
  <si>
    <t>732995575590</t>
  </si>
  <si>
    <t>DINSOSAURS TEE BASIC</t>
  </si>
  <si>
    <t>100042002BB</t>
  </si>
  <si>
    <t>732995575620</t>
  </si>
  <si>
    <t>732995575583</t>
  </si>
  <si>
    <t>732995882506</t>
  </si>
  <si>
    <t>732994852180</t>
  </si>
  <si>
    <t>SEAGULL TEE BASIC</t>
  </si>
  <si>
    <t>100041880BB</t>
  </si>
  <si>
    <t>732994852654</t>
  </si>
  <si>
    <t>732994852678</t>
  </si>
  <si>
    <t>732994852166</t>
  </si>
  <si>
    <t>732994852531</t>
  </si>
  <si>
    <t>732995175288</t>
  </si>
  <si>
    <t>732995882186</t>
  </si>
  <si>
    <t>636193159319</t>
  </si>
  <si>
    <t>BOY SNOWMAN PLUSH</t>
  </si>
  <si>
    <t>100029799BB</t>
  </si>
  <si>
    <t>192135978832</t>
  </si>
  <si>
    <t>192135979235</t>
  </si>
  <si>
    <t>BSPSF19 B BSPS DIGGER</t>
  </si>
  <si>
    <t>192135979921</t>
  </si>
  <si>
    <t>192042689111</t>
  </si>
  <si>
    <t>Calvin Klein Big Boys Slim-Fit Stretch Pind Blue Wonder 10</t>
  </si>
  <si>
    <t>192042689203</t>
  </si>
  <si>
    <t>Calvin Klein Big Boys Slim-Fit Textured Sui Stone 14</t>
  </si>
  <si>
    <t>192042689197</t>
  </si>
  <si>
    <t>Calvin Klein Big Boys Slim-Fit Textured Sui Stone 12</t>
  </si>
  <si>
    <t>192042689128</t>
  </si>
  <si>
    <t>Calvin Klein Big Boys Slim-Fit Stretch Pind Blue Wonder 12</t>
  </si>
  <si>
    <t>Calvin Klein Big Boys Slim-Fit Stretch Pind Blue Wonder 16</t>
  </si>
  <si>
    <t>Calvin Klein Big Boys Slim-Fit Stretch Pind Blue Wonder 14</t>
  </si>
  <si>
    <t>192042693583</t>
  </si>
  <si>
    <t>Tommy Hilfiger Big Boys Oxford Cotton Jacket Medium Pink 20</t>
  </si>
  <si>
    <t>192042693576</t>
  </si>
  <si>
    <t>Tommy Hilfiger Big Boys Oxford Cotton Jacket Medium Pink 18</t>
  </si>
  <si>
    <t>192042693262</t>
  </si>
  <si>
    <t>Tommy Hilfiger Big Boys Fine Twill Jacket White 12</t>
  </si>
  <si>
    <t>Tommy Hilfiger Big Boys Oxford Cotton Jacket Medium Pink 16</t>
  </si>
  <si>
    <t>192042693330</t>
  </si>
  <si>
    <t>Tommy Hilfiger Big Boys Patchwork Cotton Blaz Rapture Rose 12</t>
  </si>
  <si>
    <t>Tommy Hilfiger Big Boys Patchwork Cotton Blaz Rapture Rose 14</t>
  </si>
  <si>
    <t>Tommy Hilfiger Big Boys Patchwork Cotton Blaz Rapture Rose 18</t>
  </si>
  <si>
    <t>884733524404</t>
  </si>
  <si>
    <t>Polo Ralph Lauren Big Boys Kailua Striped Swim T Red Multi L 1416</t>
  </si>
  <si>
    <t>SHELL AND BOXER: POLYESTER</t>
  </si>
  <si>
    <t>884733524435</t>
  </si>
  <si>
    <t>Polo Ralph Lauren Big Boys Kailua Striped Swim T Red Multi XL 1820</t>
  </si>
  <si>
    <t>682510243407</t>
  </si>
  <si>
    <t>Calvin Klein Girls Everest Puffer Jacket w Dark Grey 7</t>
  </si>
  <si>
    <t>829092678214</t>
  </si>
  <si>
    <t>Sequin Hearts Big Girls 2-Pc. Maxi Dress Brightblue 16</t>
  </si>
  <si>
    <t>5356DSHG</t>
  </si>
  <si>
    <t>883498270762</t>
  </si>
  <si>
    <t>Lauren Ralph Lauren Big Boys Classic-Fit Stretch D Royal Blue 14R</t>
  </si>
  <si>
    <t>BNKLPZ3W0004</t>
  </si>
  <si>
    <t>883498270779</t>
  </si>
  <si>
    <t>Lauren Ralph Lauren Big Boys Classic-Fit Stretch D Royal Blue 16R</t>
  </si>
  <si>
    <t>883498270748</t>
  </si>
  <si>
    <t>Lauren Ralph Lauren Big Boys Classic-Fit Stretch D Royal Blue 8R</t>
  </si>
  <si>
    <t>193579337636</t>
  </si>
  <si>
    <t>Tommy Hilfiger Little Boys Tony Logo-Print Ch Light Blue XL 7</t>
  </si>
  <si>
    <t>193579295066</t>
  </si>
  <si>
    <t>Tommy Hilfiger Big Boys Logo-Tape Hooded T-Sh True Navy S 810</t>
  </si>
  <si>
    <t>TBFCA06F-434</t>
  </si>
  <si>
    <t>193579233976</t>
  </si>
  <si>
    <t>Tommy Hilfiger Little Girls Striped Tie-Front Bright Red 5</t>
  </si>
  <si>
    <t>TGFCH11V-626</t>
  </si>
  <si>
    <t>826218657351</t>
  </si>
  <si>
    <t>Nike Big Boys Kyrie Dri-FIT Shorts BlackLime Blast M 1012</t>
  </si>
  <si>
    <t>AQ9369</t>
  </si>
  <si>
    <t>826218657368</t>
  </si>
  <si>
    <t>Nike Big Boys Kyrie Dri-FIT Shorts BlackLime Blast L 1416</t>
  </si>
  <si>
    <t>826218657344</t>
  </si>
  <si>
    <t>Nike Big Boys Kyrie Dri-FIT Shorts BlackLime Blast S 810</t>
  </si>
  <si>
    <t>193579337186</t>
  </si>
  <si>
    <t>Tommy Hilfiger Toddler Boys Hale Stretch Logo Bright White 2T</t>
  </si>
  <si>
    <t>Blueberi Boulevard Baby Girls Floral Embroidered Pink 6-9 months</t>
  </si>
  <si>
    <t>791088687923</t>
  </si>
  <si>
    <t>Rare Editions Baby Girls 3D Floral Dress Multi 24 months</t>
  </si>
  <si>
    <t>E859279</t>
  </si>
  <si>
    <t>DRESS: POLYESTER/VISCOSE: LINING/DIAPER COVER: POLYESTER</t>
  </si>
  <si>
    <t>Tommy Hilfiger Big Girls Striped Romper Flag Blue L 1214</t>
  </si>
  <si>
    <t>Calvin Klein Big Boys Slim-Fit Striated Twi Misty Rain L 1416</t>
  </si>
  <si>
    <t>193579330330</t>
  </si>
  <si>
    <t>Tommy Hilfiger Little Girls Tommy-Print Sweat Bright Red 6</t>
  </si>
  <si>
    <t>Nike Nike Big Girls 2-Pc. Optic Cam Light Blue Fury L 1416</t>
  </si>
  <si>
    <t>617847119149</t>
  </si>
  <si>
    <t>Levis Little Boys 511 Sueded Pants Dark Gull Grey 4</t>
  </si>
  <si>
    <t>817648F</t>
  </si>
  <si>
    <t>617844012313</t>
  </si>
  <si>
    <t>Levis Ripstop Jogger Pants, Big Boys Military 5</t>
  </si>
  <si>
    <t>8M7807F</t>
  </si>
  <si>
    <t>617847629563</t>
  </si>
  <si>
    <t>Levis Boys Regular Husky Fit 505 Je Anchor 12 Husky</t>
  </si>
  <si>
    <t>12 HUSKY</t>
  </si>
  <si>
    <t>192042698519</t>
  </si>
  <si>
    <t>Calvin Klein Big Boys Slim-Fit Stretch Open Wave Runner 8</t>
  </si>
  <si>
    <t>Ideology Big Boys Colorblocked Windbrea Noir L 1416</t>
  </si>
  <si>
    <t>Under Armour Little Boys 2-Pc. Like a Boss Red Rage 7</t>
  </si>
  <si>
    <t>880680422619</t>
  </si>
  <si>
    <t>Under Armour Little Boys 2-Pc. Baseball Ant Black 7</t>
  </si>
  <si>
    <t>27G52638-01</t>
  </si>
  <si>
    <t>880680421841</t>
  </si>
  <si>
    <t>Under Armour Little Boys 2-Pc. Red, White White 7</t>
  </si>
  <si>
    <t>27G52627-10</t>
  </si>
  <si>
    <t>adidas Big Boys Energy Striped Volley Royal Blue M 1012</t>
  </si>
  <si>
    <t>841372148682</t>
  </si>
  <si>
    <t>adidas Big Boys Energy Striped Volley Royal Blue L 1416</t>
  </si>
  <si>
    <t>841372148781</t>
  </si>
  <si>
    <t>adidas Big Boys Billboard 2.0 Volley Black S 78</t>
  </si>
  <si>
    <t>841372144141</t>
  </si>
  <si>
    <t>adidas Big Boys Kamo Fusion Volley Sw Blue M 1012</t>
  </si>
  <si>
    <t>4ABB116</t>
  </si>
  <si>
    <t>adidas Big Boys Camophase Volley Swim Red L 1416</t>
  </si>
  <si>
    <t>841372148804</t>
  </si>
  <si>
    <t>adidas Big Boys Billboard 2.0 Volley Black L 1416</t>
  </si>
  <si>
    <t>841372144776</t>
  </si>
  <si>
    <t>adidas Big Boys Camophase Volley Swim Red S 78</t>
  </si>
  <si>
    <t>adidas Big Boys Energy Striped Volley Royal Blue S 78</t>
  </si>
  <si>
    <t>adidas Big Boys Tech Stripe Volley Sw Green L 1416</t>
  </si>
  <si>
    <t>adidas Big Boys Tech Stripe Volley Sw Green M 1012</t>
  </si>
  <si>
    <t>841372148736</t>
  </si>
  <si>
    <t>adidas Big Boys Tech Stripe Volley Sw Green XL 1820</t>
  </si>
  <si>
    <t>841372148705</t>
  </si>
  <si>
    <t>adidas Big Boys Tech Stripe Volley Sw Green S 78</t>
  </si>
  <si>
    <t>adidas Big Boys Billboard 2.0 Volley Black M 1012</t>
  </si>
  <si>
    <t>841372144134</t>
  </si>
  <si>
    <t>adidas Big Boys Kamo Fusion Volley Sw Blue S 78</t>
  </si>
  <si>
    <t>adidas Big Boys Billboard 2.0 Volley Blue L 1416</t>
  </si>
  <si>
    <t>841372148750</t>
  </si>
  <si>
    <t>adidas Big Boys Billboard 2.0 Volley Blue M 1012</t>
  </si>
  <si>
    <t>adidas Big Boys Energy Striped Volley Royal Blue XL 1820</t>
  </si>
  <si>
    <t>adidas Big Boys Billboard 2.0 Volley Blue S 78</t>
  </si>
  <si>
    <t>841372148811</t>
  </si>
  <si>
    <t>adidas Big Boys Billboard 2.0 Volley Black XL 1820</t>
  </si>
  <si>
    <t>887622937330</t>
  </si>
  <si>
    <t>Under Armour Big Boys Mixed-Print Volley Sw Surfs Up L 1416</t>
  </si>
  <si>
    <t>27G66015-43</t>
  </si>
  <si>
    <t>633716937508</t>
  </si>
  <si>
    <t>Jordan Big Boys Colorblocked Rise Sho Green L 1416</t>
  </si>
  <si>
    <t>955202G</t>
  </si>
  <si>
    <t>633716937515</t>
  </si>
  <si>
    <t>Jordan Big Boys Colorblocked Rise Sho Green XL 1820</t>
  </si>
  <si>
    <t>633716937492</t>
  </si>
  <si>
    <t>Jordan Big Boys Colorblocked Rise Sho Green M 1012</t>
  </si>
  <si>
    <t>732994675840</t>
  </si>
  <si>
    <t>Ideology Big Boys Zip-Up Jacket Grey Heather L 1416</t>
  </si>
  <si>
    <t>100027381BO</t>
  </si>
  <si>
    <t>732996526225</t>
  </si>
  <si>
    <t>Ideology Big Girls Striped Windbreaker Camo Green Moss L 14</t>
  </si>
  <si>
    <t>Ideology Big Girls Striped Windbreaker Camo Green Moss XL 16</t>
  </si>
  <si>
    <t>Ideology Big Girls Striped Windbreaker Camo Green Moss S 78</t>
  </si>
  <si>
    <t>Ideology Big Girls Striped Windbreaker Camo Green Moss M 1012</t>
  </si>
  <si>
    <t>Ideology Big Girls Printed Bomber Jacke Floral Multi M 1012</t>
  </si>
  <si>
    <t>Ideology Big Girls Printed Bomber Jacke Floral Multi XL 16</t>
  </si>
  <si>
    <t>633716872717</t>
  </si>
  <si>
    <t>Nike Baby Girls 2-Pc. T-Shirt Sho Brght Pink 18 months</t>
  </si>
  <si>
    <t>Nike Baby Girls 2-Pc. T-Shirt Sho Brght Pink 12 months</t>
  </si>
  <si>
    <t>633716872724</t>
  </si>
  <si>
    <t>Nike Baby Girls 2-Pc. T-Shirt Sho Brght Pink 24 months</t>
  </si>
  <si>
    <t>732995050448</t>
  </si>
  <si>
    <t>Ideology Big Girls Printed Colorblocked Noir M 1012</t>
  </si>
  <si>
    <t>889799637259</t>
  </si>
  <si>
    <t>AME Little Big Girls 2-Pack Froz Assorted 8</t>
  </si>
  <si>
    <t>889799637242</t>
  </si>
  <si>
    <t>AME Little Big Girls 2-Pack Froz Assorted 6</t>
  </si>
  <si>
    <t>Ideology Little Girls 2-Pc. Mermaid Ras Crystal Mist 6X</t>
  </si>
  <si>
    <t>Carters Baby Girls 3-Pc. Unicorn Hoodi Pink Newborn</t>
  </si>
  <si>
    <t>Ideology Big Girls Mesh Floral-Print Ro Floral Pink L 14</t>
  </si>
  <si>
    <t>Calvin Klein Big Girls 2-Pc. Flounce Tankin Magenta 577 M 810</t>
  </si>
  <si>
    <t>732995697728</t>
  </si>
  <si>
    <t>Ideology Big Boys Jogger Pants Vintage Tan M 1012</t>
  </si>
  <si>
    <t>880680218809</t>
  </si>
  <si>
    <t>Tommy Hilfiger Big Girls Dita Swimsuit Lt Azure Blue 446 M 810</t>
  </si>
  <si>
    <t>880680460246</t>
  </si>
  <si>
    <t>Calvin Klein Big Girls 2-Pc. Flounce Tankin Magenta 577 XL 16</t>
  </si>
  <si>
    <t>Calvin Klein Big Girls 2-Pc. Striped Tankin Lollipop L 1214</t>
  </si>
  <si>
    <t>732996090429</t>
  </si>
  <si>
    <t>Epic Threads Big Girls Dot-Print Skort Romp Light Wash M</t>
  </si>
  <si>
    <t>880680628356</t>
  </si>
  <si>
    <t>Calvin Klein Big Boys Striped Volley Swimsu Prince Blue S 8</t>
  </si>
  <si>
    <t>880680628370</t>
  </si>
  <si>
    <t>Calvin Klein Big Boys Striped Volley Swimsu Prince Blue L 1416</t>
  </si>
  <si>
    <t>732997557303</t>
  </si>
  <si>
    <t>Epic Threads Big Boys Stretch Denim Drawstr Leonard Wash L 1416</t>
  </si>
  <si>
    <t>706257394441</t>
  </si>
  <si>
    <t>Ideology Active Jacket, Big Girls 7-16 Charcoal Melang L 14</t>
  </si>
  <si>
    <t>Ideology Active Jacket, Big Girls 7-16 Charcoal Melang S 78</t>
  </si>
  <si>
    <t>732996528106</t>
  </si>
  <si>
    <t>Ideology Little Boys 2-Pc. Legend T-Shi Noir 7</t>
  </si>
  <si>
    <t>Calvin Klein Big Girls Layered-Look Logo-Pr Black L 1214</t>
  </si>
  <si>
    <t>Calvin Klein Big Girls Layered-Look Logo-Pr Black XL 16</t>
  </si>
  <si>
    <t>Epic Threads Big Girls Tiger-Print Jumpsuit Peacoat L</t>
  </si>
  <si>
    <t>Epic Threads Big Girls Tiger-Print Jumpsuit Peacoat S</t>
  </si>
  <si>
    <t>Levis Little Girls Step Up Shorty De Dark Blue 6X</t>
  </si>
  <si>
    <t>886608809043</t>
  </si>
  <si>
    <t>Volcom Big Girls Graphic-Print Tank T Black L 1416</t>
  </si>
  <si>
    <t>Levis Little Girls Step Up Shorty De Dark Blue 6</t>
  </si>
  <si>
    <t>689439329663</t>
  </si>
  <si>
    <t>Epic Threads Big Boys Moto Twill Shorts Dark Sprout M 1214</t>
  </si>
  <si>
    <t>Jordan Big Boys Remix Logo Cap Crimson 8-20</t>
  </si>
  <si>
    <t>192769048307</t>
  </si>
  <si>
    <t>Summer Crush Big Girls Cold-Shoulder Cover- Aqua-aqua L 1416</t>
  </si>
  <si>
    <t>101988B</t>
  </si>
  <si>
    <t>192769049274</t>
  </si>
  <si>
    <t>Summer Crush Big Girls 1-Pc. Colorblocked S Pink 12</t>
  </si>
  <si>
    <t>Summer Crush Big Girls 2-Pc. Ruffle Printed Pink 16</t>
  </si>
  <si>
    <t>Summer Crush ig Girls 2-Pc. Halter Top Biki Aqua 16</t>
  </si>
  <si>
    <t>193579356187</t>
  </si>
  <si>
    <t>Calvin Klein Big Girls Heart Lollipop T-Shi Light Grey Heather L 1214</t>
  </si>
  <si>
    <t>Calvin Klein Big Girls Tulip Sleeve T-Shirt Mint M 810</t>
  </si>
  <si>
    <t>732996031835</t>
  </si>
  <si>
    <t>Ideology Little Boys 2-Pc. Basketball G Noir 7</t>
  </si>
  <si>
    <t>Ideology Toddler Boys 2-Pc. Basketball Noir 4T</t>
  </si>
  <si>
    <t>Epic Threads Big Girls Scalloped Ruffle Col Bright White L</t>
  </si>
  <si>
    <t>Epic Threads Big Girls Scalloped Ruffle Col Bright White M</t>
  </si>
  <si>
    <t>795459804322</t>
  </si>
  <si>
    <t>Breaking Waves Big Girls 2-Pc. Printed Strapp Multi 10</t>
  </si>
  <si>
    <t>192399584794</t>
  </si>
  <si>
    <t>adidas Little Boys Melange Shorts Black 7</t>
  </si>
  <si>
    <t>880680226460</t>
  </si>
  <si>
    <t>Tommy Hilfiger Big Boys Kito Rash Guard Chinese Red L 1618</t>
  </si>
  <si>
    <t>Tommy Hilfiger Big Boys Kito Rash Guard Chinese Red M 1214</t>
  </si>
  <si>
    <t>640013421043</t>
  </si>
  <si>
    <t>Univibe Elastic Waist Cotton Pants, Bi Indigo L 1416</t>
  </si>
  <si>
    <t>UB2171460</t>
  </si>
  <si>
    <t>DC Comics Toddler Boys Superman 2-Pc. T- Surf the Web Navy 2T</t>
  </si>
  <si>
    <t>192399516375</t>
  </si>
  <si>
    <t>adidas Little Boys Melange Shorts BlackWhite 7</t>
  </si>
  <si>
    <t>192399584787</t>
  </si>
  <si>
    <t>adidas Little Boys Melange Shorts Black 6</t>
  </si>
  <si>
    <t>880680226484</t>
  </si>
  <si>
    <t>Tommy Hilfiger Big Boys Kito Rash Guard Chinese Red S 810</t>
  </si>
  <si>
    <t>880680226491</t>
  </si>
  <si>
    <t>Tommy Hilfiger Big Boys Kito Rash Guard Chinese Red XL 20</t>
  </si>
  <si>
    <t>795459804513</t>
  </si>
  <si>
    <t>Breaking Waves Big Girls 2-Pc. Printed Flounc Multi 12</t>
  </si>
  <si>
    <t>MBW271007</t>
  </si>
  <si>
    <t>Ideology Big Girls Striped Caged Leggin Heather Grey L 14</t>
  </si>
  <si>
    <t>Epic Threads Toddler Girls Tiger-Print Jump Peacoat 4T</t>
  </si>
  <si>
    <t>732996442532</t>
  </si>
  <si>
    <t>Epic Threads Little Girls Embroidered Jumps Solar Power 6X</t>
  </si>
  <si>
    <t>Epic Threads Little Girls Smocked Star-Prin Bright White 5</t>
  </si>
  <si>
    <t>Epic Threads Little Girls Printed Jumpsuit Peacoat 5</t>
  </si>
  <si>
    <t>636202753651</t>
  </si>
  <si>
    <t>Ideology Big Girls Caged-Hem Leggings Charcoal Melange 16 PLUS</t>
  </si>
  <si>
    <t>100040986GP</t>
  </si>
  <si>
    <t>POLYESTER/SPANDEX; MESH AND CAGE: POLYESTER/SPANDEX</t>
  </si>
  <si>
    <t>732996084862</t>
  </si>
  <si>
    <t>Epic Threads Big Girls Tiered Smocked Top Bright White S</t>
  </si>
  <si>
    <t>Ideology Big Girls Jogger Pants Noir L 14</t>
  </si>
  <si>
    <t>Ideology Big Girls Jogger Pants Noir M 1012</t>
  </si>
  <si>
    <t>Kids Headquarters Little Boys Textured Construct Assorted 7</t>
  </si>
  <si>
    <t>192564471126</t>
  </si>
  <si>
    <t>Under Armour Big Boys Prototype Logo Shorts Charcoal S 8</t>
  </si>
  <si>
    <t>689439317196</t>
  </si>
  <si>
    <t>Epic Threads Little Boys White Denim Shorts Bright White 5</t>
  </si>
  <si>
    <t>732996104829</t>
  </si>
  <si>
    <t>Ideology Big Girls Printed Skort Floral Multi L 14</t>
  </si>
  <si>
    <t>Carters Baby Girls 2-Pc. Glow In The D Black 24 months</t>
  </si>
  <si>
    <t>Imperial Star Big Girls Camouflage Utility S Camo 12</t>
  </si>
  <si>
    <t>884630141872</t>
  </si>
  <si>
    <t>Monteau Big Girls Striped Faux Wrap To Natural Mu XL 14</t>
  </si>
  <si>
    <t>732996086071</t>
  </si>
  <si>
    <t>Ideology Big Girls 1-Pc. Palm-Print Cut Flashmode M 1012</t>
  </si>
  <si>
    <t>100054232GR</t>
  </si>
  <si>
    <t>732995105025</t>
  </si>
  <si>
    <t>Ideology Big Boys Striped Swim Trunks Variegated Blue M 1012</t>
  </si>
  <si>
    <t>Epic Threads Big Girls Tie-Front Culottes Crystal Rose XL</t>
  </si>
  <si>
    <t>Champion Big Girls Floral-Print Legging Pink M 1012</t>
  </si>
  <si>
    <t>Champion Big Girls Floral-Print Legging Pink L 14</t>
  </si>
  <si>
    <t>Ideology Big Girls Colorblocked High-Ri Floral Pink S 78</t>
  </si>
  <si>
    <t>732996380087</t>
  </si>
  <si>
    <t>Ideology Big Girls Colorblocked High-Ri Triangle Multi L 14</t>
  </si>
  <si>
    <t>Champion Big Girls Floral-Print Legging Pink XL 16</t>
  </si>
  <si>
    <t>732996380063</t>
  </si>
  <si>
    <t>Ideology Big Girls Colorblocked High-Ri Triangle Multi S 78</t>
  </si>
  <si>
    <t>732996380094</t>
  </si>
  <si>
    <t>Ideology Big Girls Colorblocked High-Ri Triangle Multi XL 16</t>
  </si>
  <si>
    <t>Ideology Big Girls Colorblocked High-Ri Triangle Multi M 1012</t>
  </si>
  <si>
    <t>732996083605</t>
  </si>
  <si>
    <t>Epic Threads Big Girls Crocheted Denim Shor Medium Wash 14</t>
  </si>
  <si>
    <t>100057521GR</t>
  </si>
  <si>
    <t>732996336220</t>
  </si>
  <si>
    <t>Ideology Big Girls Mesh Shorts Noir S 78</t>
  </si>
  <si>
    <t>732996336251</t>
  </si>
  <si>
    <t>Ideology Big Girls Mesh Shorts Noir XL 16</t>
  </si>
  <si>
    <t>Ideology Big Girls Cage Inset Capri Leg Noir L 14</t>
  </si>
  <si>
    <t>732995050271</t>
  </si>
  <si>
    <t>Ideology Big Girls Power-Print Layered- Lt Hthr Melange S 78</t>
  </si>
  <si>
    <t>100044399GR</t>
  </si>
  <si>
    <t>Univibe Big Boys Duarte Regular-Fit Gr Marsala 14</t>
  </si>
  <si>
    <t>Univibe Big Boys Juniper Drawstring Sh Gator Green S 8</t>
  </si>
  <si>
    <t>Univibe Big Boys Skully-Print Chinos Black 14</t>
  </si>
  <si>
    <t>Univibe Big Boys Jungle Regular-Fit Co Black M 1012</t>
  </si>
  <si>
    <t>Univibe Big Boys Duarte Regular-Fit Gr Marsala 12</t>
  </si>
  <si>
    <t>Univibe Big Boys Juniper Drawstring Sh Gator Green M 1012</t>
  </si>
  <si>
    <t>Univibe Big Boys Skully-Print Chinos Black 8</t>
  </si>
  <si>
    <t>732995261028</t>
  </si>
  <si>
    <t>Ideology Big Girls Hooded Mesh Swim Cov Bright White M 1012</t>
  </si>
  <si>
    <t>Epic Threads Little Girls Ruffle Gingham Dr Jelylbean 5</t>
  </si>
  <si>
    <t>Epic Threads Toddler Boys Stretch Twill Dra Peacoat 3T</t>
  </si>
  <si>
    <t>Epic Threads Little Girls Ruffle Gingham Dr Jelylbean 6</t>
  </si>
  <si>
    <t>Epic Threads Toddler Girls Gingham-Print Ru Jelylbean 4T</t>
  </si>
  <si>
    <t>Epic Threads Little Girls Ruffle Gingham Dr Jelylbean 6X</t>
  </si>
  <si>
    <t>Ideology Big Girls Cage Capri Leggings Noir S 78</t>
  </si>
  <si>
    <t>Ideology Big Girls Cage Capri Leggings Floral Pink S 78</t>
  </si>
  <si>
    <t>Ideology Big Girls Cage Capri Leggings Floral Pink L 14</t>
  </si>
  <si>
    <t>732996105215</t>
  </si>
  <si>
    <t>Ideology Big Girls Cage Capri Leggings Floral Pink M 1012</t>
  </si>
  <si>
    <t>Ideology Big Girls Cage Capri Leggings Floral Green L 14</t>
  </si>
  <si>
    <t>Ideology Big Girls Printed Active Short Noir M 1012</t>
  </si>
  <si>
    <t>Sol Swimwear Toddler Girls 2-Pc. Going Bana Yellow 3T</t>
  </si>
  <si>
    <t>Sol Swimwear Little Girls 2-Pc. Mermaid Gla Turquoise 5</t>
  </si>
  <si>
    <t>Sol Swimwear Little Girls 1-Pc. Going Banan Yellow 5</t>
  </si>
  <si>
    <t>Sol Swimwear Toddler Girls 1-Pc. Going Bana Yellow 2T</t>
  </si>
  <si>
    <t>Sol Swimwear Little Girls 2-Pc. Going Banan Yellow 6X</t>
  </si>
  <si>
    <t>Sol Swimwear Little Girls 2-Pc. Mermaid Gla Turquoise 6X</t>
  </si>
  <si>
    <t>Sol Swimwear Toddler Girls 1-Pc. Going Bana Yellow 3T</t>
  </si>
  <si>
    <t>Sol Swimwear Toddler Girls 2-Pc. Mermaid Gl Turquoise 3T</t>
  </si>
  <si>
    <t>Sol Swimwear Toddler Girls 2-Pc. Mermaid Gl Turquoise 2T</t>
  </si>
  <si>
    <t>Sol Swimwear Toddler Girls 2-Pc. Mermaid Gl Turquoise 4T</t>
  </si>
  <si>
    <t>Sol Swimwear Toddler Girls 1-Pc. Mermaid Gl Turquoise 3T</t>
  </si>
  <si>
    <t>Sol Swimwear Little Girls 1-Pc. Mermaid Gla Turquoise 4</t>
  </si>
  <si>
    <t>Sol Swimwear Little Girls 1-Pc. Mermaid Gla Turquoise 6</t>
  </si>
  <si>
    <t>Sol Swimwear Little Girls 1-Pc. Unicorn Gla White 6</t>
  </si>
  <si>
    <t>Sol Swimwear Little Girls 1-Pc. Unicorn Gla White 5</t>
  </si>
  <si>
    <t>Sol Swimwear Little Girls 1-Pc. Unicorn Gla White 6X</t>
  </si>
  <si>
    <t>Sol Swimwear Little Girls 1-Pc. Unicorn Gla White 4</t>
  </si>
  <si>
    <t>Sol Swimwear Toddler Girls 1-Pc. Unicorn Gl White 2T</t>
  </si>
  <si>
    <t>Sol Swimwear Toddler Girls 1-Pc. Mermaid Gl Turquoise 2T</t>
  </si>
  <si>
    <t>Sol Swimwear Little Girls 1-Pc. Mermaid Gla Turquoise 5</t>
  </si>
  <si>
    <t>Sol Swimwear Little Girls 1-Pc. Mermaid Gla Turquoise 6X</t>
  </si>
  <si>
    <t>Sol Swimwear Little Girls 2-Pc. Mermaid Gla Turquoise 4</t>
  </si>
  <si>
    <t>880680638003</t>
  </si>
  <si>
    <t>Kids Headquarters Toddler Girls 2-Pc. Tank Top BlackWhiteFuchsia Pink 4T</t>
  </si>
  <si>
    <t>11G22675-99</t>
  </si>
  <si>
    <t>880680637778</t>
  </si>
  <si>
    <t>Kids Headquarters Little Girls 2-Pc. Tank Top Aqua 5</t>
  </si>
  <si>
    <t>880680637785</t>
  </si>
  <si>
    <t>Kids Headquarters Little Girls 2-Pc. Tank Top Aqua 6</t>
  </si>
  <si>
    <t>Sol Swimwear Little Girls 2-Pc. Unicorn Gla White 4</t>
  </si>
  <si>
    <t>Sol Swimwear Little Girls 2-Pc. Unicorn Gla White 6X</t>
  </si>
  <si>
    <t>Sol Swimwear Little Girls 2-Pc. Unicorn Gla White 6</t>
  </si>
  <si>
    <t>Sol Swimwear Toddler Girls 1-Pc. Mermaid Gl Turquoise 4T</t>
  </si>
  <si>
    <t>Sol Swimwear Little Girls 2-Pc. Mermaid Gla Turquoise 6</t>
  </si>
  <si>
    <t>Sol Swimwear Toddler Girls 1-Pc. Unicorn Gl White 3T</t>
  </si>
  <si>
    <t>Sol Swimwear Toddler Girls 1-Pc. Unicorn Gl White 4T</t>
  </si>
  <si>
    <t>Sol Swimwear Little Girls 2-Pc. Unicorn Gla White 5</t>
  </si>
  <si>
    <t>Sol Swimwear Toddler Girls 2-Pc. Going Bana Yellow 4T</t>
  </si>
  <si>
    <t>Sol Swimwear Little Girls 2-Pc. Going Banan Yellow 5</t>
  </si>
  <si>
    <t>Sol Swimwear Toddler Girls 2-Pc. Going Bana Yellow 2T</t>
  </si>
  <si>
    <t>Sol Swimwear Little Girls 2-Pc. Going Banan Yellow 4</t>
  </si>
  <si>
    <t>Sol Swimwear Little Girls 2-Pc. Going Banan Yellow 6</t>
  </si>
  <si>
    <t>Sol Swimwear Toddler Girls 2-Pc. Unicorn Gl White 2T</t>
  </si>
  <si>
    <t>Ideology Big Girls 1-Pc. Floral-Print S Lucky Blue L 14</t>
  </si>
  <si>
    <t>192135739648</t>
  </si>
  <si>
    <t>Carters Baby Boys Fish-Print Rash Guar Orange 6 months</t>
  </si>
  <si>
    <t>732996528052</t>
  </si>
  <si>
    <t>Ideology Toddler Boys Terry Shorts Gumball Red 4T</t>
  </si>
  <si>
    <t>732996527956</t>
  </si>
  <si>
    <t>Ideology Little Boys Terry Shorts Black 5</t>
  </si>
  <si>
    <t>Ideology Big Girls Striped Leggings Noir M 1012</t>
  </si>
  <si>
    <t>Carters Little Boys Cotton Chambray Sh Blue 6</t>
  </si>
  <si>
    <t>732996174419</t>
  </si>
  <si>
    <t>First Impressions RAINBOW SHORTALL SET Caribe Blue 24 months</t>
  </si>
  <si>
    <t>732996570631</t>
  </si>
  <si>
    <t>Epic Threads Big Girls Pineapple Knit Rompe Oatmeal Heather S</t>
  </si>
  <si>
    <t>100059292GR</t>
  </si>
  <si>
    <t>Ideology Big Boys Camo Shorts Voltage Blue L 1416</t>
  </si>
  <si>
    <t>Ideology Big Girls Mesh-Inset Colorbloc Noir S 78</t>
  </si>
  <si>
    <t>Ideology Big Girls Mesh-Inset Colorbloc Noir M 1012</t>
  </si>
  <si>
    <t>Ideology Big Girls Side-Stripe Capri Le Indigo Berry S 78</t>
  </si>
  <si>
    <t>Ideology Big Girls Side-Stripe Capri Le Camo Green Moss L 14</t>
  </si>
  <si>
    <t>Ideology Big Girls Side-Stripe Capri Le Camo Green Moss XL 16</t>
  </si>
  <si>
    <t>Ideology Big Girls Side-Stripe Capri Le Camo Green Moss S 78</t>
  </si>
  <si>
    <t>Ideology Big Girls Side-Stripe Capri Le Indigo Berry L 14</t>
  </si>
  <si>
    <t>Ideology Big Girls Side-Stripe Capri Le Indigo Berry M 1012</t>
  </si>
  <si>
    <t>Ideology Big Girls Side-Stripe Capri Le Camo Green Moss M 1012</t>
  </si>
  <si>
    <t>735869365068</t>
  </si>
  <si>
    <t>Champion Big Girls Side-Script Logo Leg Pink Candy S 8</t>
  </si>
  <si>
    <t>735869365099</t>
  </si>
  <si>
    <t>Champion Big Girls Side-Script Logo Leg Pink Candy XL 16</t>
  </si>
  <si>
    <t>Champion Big Girls Side-Script Logo Leg Pink Candy M 1012</t>
  </si>
  <si>
    <t>193585244102</t>
  </si>
  <si>
    <t>adidas Toddler Boys Ball Diamond-Prin Grey Heather 2T</t>
  </si>
  <si>
    <t>AA6516</t>
  </si>
  <si>
    <t>193585149407</t>
  </si>
  <si>
    <t>adidas Little Boys Colorblocked Logo- White 6</t>
  </si>
  <si>
    <t>193585149384</t>
  </si>
  <si>
    <t>adidas Little Boys Colorblocked Logo- White 4</t>
  </si>
  <si>
    <t>192399992070</t>
  </si>
  <si>
    <t>adidas Little Boys Logo-Print Cotton White 6</t>
  </si>
  <si>
    <t>AA6548</t>
  </si>
  <si>
    <t>adidas Little Boys Colorblocked Logo- White 7</t>
  </si>
  <si>
    <t>193585244164</t>
  </si>
  <si>
    <t>adidas Little Boys Ball-Diamond-Print Grey Heather 7</t>
  </si>
  <si>
    <t>Ideology Big Girls Mermaids Graphic Ras Crystal Mist L 14</t>
  </si>
  <si>
    <t>Ideology Big Girls Mermaids Graphic Ras Crystal Mist S 78</t>
  </si>
  <si>
    <t>Champion Little Girls Floral-Print Legg Pink 4</t>
  </si>
  <si>
    <t>Champion Little Girls Floral-Print Legg Pink 6</t>
  </si>
  <si>
    <t>Epic Threads Big Girls Embroidered Tank Top Dark Blue L</t>
  </si>
  <si>
    <t>732995051773</t>
  </si>
  <si>
    <t>Ideology Big Girls Floral-Print Skort PH Real Flowers XL 16</t>
  </si>
  <si>
    <t>Ideology Little Boys Colorblocked Swim Noir 6</t>
  </si>
  <si>
    <t>Laguna Big Boys Ocean-Print Swim Trun Blue Combo 1820</t>
  </si>
  <si>
    <t>Laguna Big Boys Palm Tree Printed Swi White Combo 8</t>
  </si>
  <si>
    <t>888282684558</t>
  </si>
  <si>
    <t>Laguna Big Boys Summer Stripe Swim Tr Black Beauty Gargoyle 8</t>
  </si>
  <si>
    <t>Laguna Big Boys Summer Stripe Swim Tr Black Beauty Gargoyle 1820</t>
  </si>
  <si>
    <t>Laguna Big Boys Summer Stripe Swim Tr Black Beauty Gargoyle 1416</t>
  </si>
  <si>
    <t>Ring of Fire Woodman Jacket, Big Boys 8-20 Black M 1012</t>
  </si>
  <si>
    <t>Laguna Big Boys Speed Zone Striped Sw Blue Atoll Combo 8</t>
  </si>
  <si>
    <t>Laguna Big Boys Ocean-Print Swim Trun Blue Combo 1012</t>
  </si>
  <si>
    <t>Laguna Big Boys Ocean-Print Swim Trun Blue Combo 1416</t>
  </si>
  <si>
    <t>Laguna Big Boys Summer Stripe Swim Tr Deep Sky White 1416</t>
  </si>
  <si>
    <t>Ring of Fire Woodman Jacket, Big Boys 8-20 Black S 8</t>
  </si>
  <si>
    <t>Laguna Big Boys Palm Tree Printed Swi White Combo 1012</t>
  </si>
  <si>
    <t>888282684954</t>
  </si>
  <si>
    <t>Laguna Big Boys Ocean-Print Swim Trun Blue Combo 8</t>
  </si>
  <si>
    <t>Laguna Big Boys Palm Tree Printed Swi White Combo 1820</t>
  </si>
  <si>
    <t>Laguna Big Boys Palm Tree Printed Swi White Combo 1416</t>
  </si>
  <si>
    <t>633716918491</t>
  </si>
  <si>
    <t>Nike Toddler Boys Futura Repeat Log Indigo Force 2T</t>
  </si>
  <si>
    <t>86E947G</t>
  </si>
  <si>
    <t>Imperial Star Big Girls Rayon Shorts Garden Shed 12</t>
  </si>
  <si>
    <t>Carters Carters Baby Girls Leopard-Pr Pink 3 months</t>
  </si>
  <si>
    <t>Carters Carters Baby Girls Leopard-Pr Pink Newborn</t>
  </si>
  <si>
    <t>Carters Baby Girls Floral-Print Cotton Navy 12 months</t>
  </si>
  <si>
    <t>Carters Baby Boys Striped Cotton Cover Navy Stripes 3 months</t>
  </si>
  <si>
    <t>Carters Baby Girls Floral-Print Ruffle Navy 3 months</t>
  </si>
  <si>
    <t>Tommy Hilfiger Toddler Little Boys Pastel P Blue ONE SIZE</t>
  </si>
  <si>
    <t>Epic Threads Big Girls Embroidered Tassel T White L</t>
  </si>
  <si>
    <t>First Impressions Baby Boys Striped Waist Denim Matador Red 18 months</t>
  </si>
  <si>
    <t>732996083094</t>
  </si>
  <si>
    <t>Epic Threads Big Girls Embroidered Tassel T White XL</t>
  </si>
  <si>
    <t>Epic Threads Big Girls Embroidered Tassel T White S</t>
  </si>
  <si>
    <t>Ideology Girls Run Like A Girl Capri L Charcoal XL 16</t>
  </si>
  <si>
    <t>Ideology Girls Run Like A Girl Capri L Charcoal L 14</t>
  </si>
  <si>
    <t>48283004438</t>
  </si>
  <si>
    <t>Nautica Boys Pique Polo Grey Heather L 1416</t>
  </si>
  <si>
    <t>N881606E</t>
  </si>
  <si>
    <t>732996031637</t>
  </si>
  <si>
    <t>Ideology Little Boys Basketball Shorts Noir 5</t>
  </si>
  <si>
    <t>Ideology Little Boys Basketball Shorts Noir 6</t>
  </si>
  <si>
    <t>Ideology Girls Abstract-Print Capris Spring Multi M 1012</t>
  </si>
  <si>
    <t>Ideology Girls Abstract-Print Capris Spring Multi S 78</t>
  </si>
  <si>
    <t>732995695342</t>
  </si>
  <si>
    <t>Ideology Little Boys Border Stripe Shor Id Grey Heather 7</t>
  </si>
  <si>
    <t>Champion Big Girls Floral-Print Shorts White S 8</t>
  </si>
  <si>
    <t>Champion Big Girls Floral-Print Shorts White M 1012</t>
  </si>
  <si>
    <t>732996129211</t>
  </si>
  <si>
    <t>Epic Threads Toddler Girls Ice Cream Tulle Gray 2T</t>
  </si>
  <si>
    <t>COTTON/POLYESTER; CONTRAST: POLYESTER; LINING: POLYESTER</t>
  </si>
  <si>
    <t>732996031590</t>
  </si>
  <si>
    <t>Ideology Little Boys Camo-Print Shorts Camo Green Moss 7</t>
  </si>
  <si>
    <t>732996031583</t>
  </si>
  <si>
    <t>Ideology Little Boys Camo-Print Shorts Camo Green Moss 6</t>
  </si>
  <si>
    <t>Ideology Little Boys Camo-Print Shorts Camo Green Moss 5</t>
  </si>
  <si>
    <t>Ideology Big Girls Floral-Print Tankini Crystal Mist M 1012</t>
  </si>
  <si>
    <t>192136208655</t>
  </si>
  <si>
    <t>Carters Baby Boys Fleece Jogger Pants Black 18 months</t>
  </si>
  <si>
    <t>192136208679</t>
  </si>
  <si>
    <t>Carters Baby Boys Fleece Jogger Pants Black 3 months</t>
  </si>
  <si>
    <t>Ideology Big Girls Floral-Trim Swim Boy Noir M 1012</t>
  </si>
  <si>
    <t>732995696318</t>
  </si>
  <si>
    <t>Ideology Little Boys Checkerboard Short Lucky Blue 6</t>
  </si>
  <si>
    <t>732995695274</t>
  </si>
  <si>
    <t>Ideology Little Boys Checkerboard Short Noir 6</t>
  </si>
  <si>
    <t>Ideology Little Boys Checkerboard Short Noir 5</t>
  </si>
  <si>
    <t>732995696301</t>
  </si>
  <si>
    <t>Ideology Little Boys Checkerboard Short Lucky Blue 5</t>
  </si>
  <si>
    <t>Ideology Little Boys Checkerboard Short Lucky Blue 7</t>
  </si>
  <si>
    <t>732995695281</t>
  </si>
  <si>
    <t>Ideology Little Boys Checkerboard Short Noir 7</t>
  </si>
  <si>
    <t>732995696295</t>
  </si>
  <si>
    <t>Ideology Toddler Boys Checkerboard Shor Lucky Blue 4T</t>
  </si>
  <si>
    <t>192135519097</t>
  </si>
  <si>
    <t>Carters Baby Boys Little Shamrocker Co Navy 3 months</t>
  </si>
  <si>
    <t>732996525945</t>
  </si>
  <si>
    <t>Ideology Big Girls Strappy T-Shirt Red L 14</t>
  </si>
  <si>
    <t>Ideology Big Girls Graphic Tank Top Chinese Red XL 16</t>
  </si>
  <si>
    <t>732995984682</t>
  </si>
  <si>
    <t>Ideology Big Girls Graphic Tank Top Bright White S 78</t>
  </si>
  <si>
    <t>Epic Threads Big Girls Floral-Print Fit F Bay XL</t>
  </si>
  <si>
    <t>Epic Threads Big Boys Hamburger Shop T-Shir Sea Blue L 1618</t>
  </si>
  <si>
    <t>192135980408</t>
  </si>
  <si>
    <t>Carters Baby Girls 1-Pc. Footed Heart- White 6 months</t>
  </si>
  <si>
    <t>889338714755</t>
  </si>
  <si>
    <t>Carters Baby Boys Girls Bear Footed 153 Ivy Ivory 3 months</t>
  </si>
  <si>
    <t>689439328772</t>
  </si>
  <si>
    <t>Epic Threads Big Boys Skull Graphic T-Shirt Navy Blue Snit S 810</t>
  </si>
  <si>
    <t>100039588BO</t>
  </si>
  <si>
    <t>880680816159</t>
  </si>
  <si>
    <t>Tommy Hilfiger Little Boys Jason H Logo Cotto Bright White M 5</t>
  </si>
  <si>
    <t>TBMCA176-100</t>
  </si>
  <si>
    <t>732995520415</t>
  </si>
  <si>
    <t>Epic Threads Big Girls Camo-Print Cropped T Pewter Heather XL</t>
  </si>
  <si>
    <t>100053098GR</t>
  </si>
  <si>
    <t>732995520408</t>
  </si>
  <si>
    <t>Epic Threads Big Girls Camo-Print Cropped T Pewter Heather L</t>
  </si>
  <si>
    <t>732995520385</t>
  </si>
  <si>
    <t>Epic Threads Big Girls Camo-Print Cropped T Pewter Heather S</t>
  </si>
  <si>
    <t>732995520392</t>
  </si>
  <si>
    <t>Epic Threads Big Girls Camo-Print Cropped T Pewter Heather M</t>
  </si>
  <si>
    <t>732996528397</t>
  </si>
  <si>
    <t>Ideology Little Boys Mesh-Inset Shorts Gumball Red 6</t>
  </si>
  <si>
    <t>First Impressions WATERMELON TUTU Matador Red Newborn</t>
  </si>
  <si>
    <t>732994961813</t>
  </si>
  <si>
    <t>Ideology Big Boys Graphic-Print T-Shirt Chalky Rose M 1012</t>
  </si>
  <si>
    <t>Epic Threads Little Boys Fleece Drawstring Charcoal 7</t>
  </si>
  <si>
    <t>696114317105</t>
  </si>
  <si>
    <t>Max Olivia Little Big Girls Plaid Pajam Multi XL 1416</t>
  </si>
  <si>
    <t>440078-MA</t>
  </si>
  <si>
    <t>732995696448</t>
  </si>
  <si>
    <t>Ideology Little Boys Limitless T-Shirt Noir 7</t>
  </si>
  <si>
    <t>Ideology Big Girls Striped Bikini Top Crystal Mist M 1012</t>
  </si>
  <si>
    <t>Ideology Big Girls Striped Bikini Botto Crystal Mist L 14</t>
  </si>
  <si>
    <t>Ideology Big Girls Striped Bikini Botto Crystal Mist XL 16</t>
  </si>
  <si>
    <t>Ideology Big Girls Floral-Print Bikini Lucky Blue XL 16</t>
  </si>
  <si>
    <t>Ideology Big Girls Floral-Print Bikini Lucky Blue L 14</t>
  </si>
  <si>
    <t>Ideology Big Girls Floral-Print Bikini Lucky Blue M 1012</t>
  </si>
  <si>
    <t>Ideology Big Girls Striped Bikini Botto Crystal Mist M 1012</t>
  </si>
  <si>
    <t>Ideology Big Girls Floral-Print Bikini Lucky Blue S 78</t>
  </si>
  <si>
    <t>Epic Threads Big Boys Motorcycle T-Shirt Chrysanthemum L 1618</t>
  </si>
  <si>
    <t>732995884753</t>
  </si>
  <si>
    <t>Epic Threads Big Boys Limited Edition T-Shi Peacoat L 1618</t>
  </si>
  <si>
    <t>100056758BO</t>
  </si>
  <si>
    <t>732995299915</t>
  </si>
  <si>
    <t>Epic Threads Big Boys Geo-Print T-Shirt Peacoat L 1618</t>
  </si>
  <si>
    <t>100046796BO</t>
  </si>
  <si>
    <t>732996031941</t>
  </si>
  <si>
    <t>Ideology Little Boys Graphic T-Shirt Noir 6</t>
  </si>
  <si>
    <t>732996032016</t>
  </si>
  <si>
    <t>Ideology Little Boys Graphic T-Shirt Green Moss 7</t>
  </si>
  <si>
    <t>732996031934</t>
  </si>
  <si>
    <t>Ideology Little Boys Graphic T-Shirt Noir 5</t>
  </si>
  <si>
    <t>732996031958</t>
  </si>
  <si>
    <t>Ideology Little Boys Graphic T-Shirt Noir 7</t>
  </si>
  <si>
    <t>732996031972</t>
  </si>
  <si>
    <t>Ideology Toddler Boys Graphic T-Shirt Noir 2T</t>
  </si>
  <si>
    <t>732996032047</t>
  </si>
  <si>
    <t>Ideology Toddler Boys Graphic T-Shirt Green Moss 3T</t>
  </si>
  <si>
    <t>Maidenform Little Big Girls Seamless Ru Dreamheather Grey S 66X</t>
  </si>
  <si>
    <t>732996433417</t>
  </si>
  <si>
    <t>Epic Threads Big Girls Striped Tank Top Rome Wash S</t>
  </si>
  <si>
    <t>Univibe Big Boys Lucas Colorblocked St Newport L 1416</t>
  </si>
  <si>
    <t>732995560282</t>
  </si>
  <si>
    <t>Epic Threads Big Girls Striped Challis Shor Lemon Zest L</t>
  </si>
  <si>
    <t>Epic Threads Big Boys Authentic NYC T-Shirt Tango Red M 1012</t>
  </si>
  <si>
    <t>732996176796</t>
  </si>
  <si>
    <t>First Impressions STRIPE TERRY DRESS Sugar Blue 0-3 months</t>
  </si>
  <si>
    <t>724536920556</t>
  </si>
  <si>
    <t>Epic Threads Girls Solid Leggings Deep Black M 1012</t>
  </si>
  <si>
    <t>First Impressions Baby Boys or Girls Striped Ter Sun Yellow 12 months</t>
  </si>
  <si>
    <t>First Impressions Baby Boys or Girls Striped Ter Caribe Blue 3-6 months</t>
  </si>
  <si>
    <t>732996031217</t>
  </si>
  <si>
    <t>Ideology Little Boys Graphic T-Shirt Football Noir 7</t>
  </si>
  <si>
    <t>732996528205</t>
  </si>
  <si>
    <t>Ideology Little Boys Graphic T-Shirt Baseball Blue 5</t>
  </si>
  <si>
    <t>Ideology Little Boys Graphic T-Shirt Baseball White 5</t>
  </si>
  <si>
    <t>732996528182</t>
  </si>
  <si>
    <t>Ideology Toddler Boys Graphic T-Shirt Baseball White 2T</t>
  </si>
  <si>
    <t>732996031309</t>
  </si>
  <si>
    <t>Ideology Toddler Boys Graphic T-Shirt Blazing Sun 2T</t>
  </si>
  <si>
    <t>732996031293</t>
  </si>
  <si>
    <t>Ideology Toddler Boys Graphic T-Shirt Blazing Sun 4T</t>
  </si>
  <si>
    <t>732996528168</t>
  </si>
  <si>
    <t>Ideology Little Boys Graphic T-Shirt Baseball White 7</t>
  </si>
  <si>
    <t>732996031262</t>
  </si>
  <si>
    <t>Ideology Little Boys Graphic T-Shirt Blazing Sun 6</t>
  </si>
  <si>
    <t>732996528267</t>
  </si>
  <si>
    <t>Ideology Little Boys Graphic T-Shirt Soccer Blue 5</t>
  </si>
  <si>
    <t>732996528311</t>
  </si>
  <si>
    <t>Ideology Toddler Boys Graphic T-Shirt Soccer Blue 3T</t>
  </si>
  <si>
    <t>Ideology Little Boys Graphic T-Shirt Baseball Blue 6</t>
  </si>
  <si>
    <t>Ideology Toddler Boys Graphic T-Shirt Baseball Blue 4T</t>
  </si>
  <si>
    <t>732996528151</t>
  </si>
  <si>
    <t>Ideology Little Boys Graphic T-Shirt Baseball White 6</t>
  </si>
  <si>
    <t>732996031248</t>
  </si>
  <si>
    <t>Ideology Toddler Boys Graphic T-Shirt Football Noir 3T</t>
  </si>
  <si>
    <t>732996528328</t>
  </si>
  <si>
    <t>Ideology Little Boys Graphic T-Shirt Legend Red 5</t>
  </si>
  <si>
    <t>Ideology Little Boys Graphic T-Shirt Football Noir 6</t>
  </si>
  <si>
    <t>Ideology Little Boys Graphic T-Shirt Soccer Blue 6</t>
  </si>
  <si>
    <t>633716717278</t>
  </si>
  <si>
    <t>Nike Baby Boys Jersey-Graphic Bodys Red 0-3 months</t>
  </si>
  <si>
    <t>Champion Little Girls Logo-Print Tie-Fr White 6</t>
  </si>
  <si>
    <t>Champion Little Girls High-Low Hem Tank White 6</t>
  </si>
  <si>
    <t>617847174933</t>
  </si>
  <si>
    <t>Nike Baby Girls Run Graphic Bodysui White 3 months</t>
  </si>
  <si>
    <t>Ideology Little Girls Strappy Back Grap Play Heart Red 5</t>
  </si>
  <si>
    <t>Ideology Toddler Girls Play with Heart Play Heart Red 4T</t>
  </si>
  <si>
    <t>732996526355</t>
  </si>
  <si>
    <t>Ideology Toddler Girls Play with Heart Play Heart Red 3T</t>
  </si>
  <si>
    <t>732996526379</t>
  </si>
  <si>
    <t>Ideology Little Girls Strappy Back Grap Play Heart Red 6X</t>
  </si>
  <si>
    <t>732996526331</t>
  </si>
  <si>
    <t>Ideology Little Girls Strappy Back Grap Play Heart Red 6</t>
  </si>
  <si>
    <t>732996526348</t>
  </si>
  <si>
    <t>Ideology Toddler Girls Play with Heart Play Heart Red 2T</t>
  </si>
  <si>
    <t>732995560091</t>
  </si>
  <si>
    <t>Epic Threads Big Girls Challis Shorts Peacoat XL</t>
  </si>
  <si>
    <t>100057055GR</t>
  </si>
  <si>
    <t>696114316993</t>
  </si>
  <si>
    <t>Max Olivia Little Big Girls Rainbow-Pri Blue S 66X</t>
  </si>
  <si>
    <t>640098-MA</t>
  </si>
  <si>
    <t>640013644695</t>
  </si>
  <si>
    <t>Univibe Big Boys Conner Pieced Checker Black S 8</t>
  </si>
  <si>
    <t>Epic Threads Big Girls Graphic-Print Flag T Bright White L</t>
  </si>
  <si>
    <t>Epic Threads Big Girls Graphic-Print Tie-Fr Ghost Heat L</t>
  </si>
  <si>
    <t>Epic Threads Big Girls Graphic-Print Tie-Fr Ghost Heat XL</t>
  </si>
  <si>
    <t>732995553987</t>
  </si>
  <si>
    <t>Epic Threads Big Girls Graphic-Print Tie-Fr Ghost Heat M</t>
  </si>
  <si>
    <t>735869394761</t>
  </si>
  <si>
    <t>Champion Big Girls Logo-Print Tank Top Dark Purple XL 16</t>
  </si>
  <si>
    <t>735869394754</t>
  </si>
  <si>
    <t>Champion Big Girls Logo-Print Tank Top Dark Purple L 14</t>
  </si>
  <si>
    <t>735869394747</t>
  </si>
  <si>
    <t>Champion Big Girls Logo-Print Tank Top Dark Purple M 1012</t>
  </si>
  <si>
    <t>735869347576</t>
  </si>
  <si>
    <t>Champion Big Boys Logo-Print T-Shirt Oxford Heather S 8</t>
  </si>
  <si>
    <t>C8478R</t>
  </si>
  <si>
    <t>732996008974</t>
  </si>
  <si>
    <t>Ideology Little Girls Keyhole Back T-Sh Awesome Pink 5</t>
  </si>
  <si>
    <t>732996526867</t>
  </si>
  <si>
    <t>Ideology Little Girls Keyhole Back T-Sh Awesome White 6X</t>
  </si>
  <si>
    <t>732996526911</t>
  </si>
  <si>
    <t>Ideology Toddler Girls Keyhole Back T-S Star Red 4T</t>
  </si>
  <si>
    <t>640013784766</t>
  </si>
  <si>
    <t>Univibe Big Boys Aaron Checker Stripe White XL 1820</t>
  </si>
  <si>
    <t>UB119710</t>
  </si>
  <si>
    <t>Carters Baby Boys Navy Blue Fleece Pan Navy 3 months</t>
  </si>
  <si>
    <t>Epic Threads Big Girls Geo-Print Crisscross Bright White XL</t>
  </si>
  <si>
    <t>732996526980</t>
  </si>
  <si>
    <t>Ideology Little Girls Mesh-Trimmed Grap You Glow Green 6X</t>
  </si>
  <si>
    <t>732996526942</t>
  </si>
  <si>
    <t>Ideology Little Girls Mesh-Trimmed Grap You Glow Green 6</t>
  </si>
  <si>
    <t>732996527048</t>
  </si>
  <si>
    <t>Ideology Little Girls Mesh-Trimmed Grap Strong Red 6X</t>
  </si>
  <si>
    <t>732996526997</t>
  </si>
  <si>
    <t>Ideology Little Girls Mesh-Trimmed Grap Strong Red 5</t>
  </si>
  <si>
    <t>732996527000</t>
  </si>
  <si>
    <t>Ideology Little Girls Mesh-Trimmed Grap Strong Red 6</t>
  </si>
  <si>
    <t>732996526935</t>
  </si>
  <si>
    <t>Ideology Little Girls Mesh-Trimmed Grap You Glow Green 5</t>
  </si>
  <si>
    <t>732996526973</t>
  </si>
  <si>
    <t>Ideology Toddler Girls Graphic Mesh-Hem You Glow Green 4T</t>
  </si>
  <si>
    <t>732996527031</t>
  </si>
  <si>
    <t>Ideology Toddler Girls Graphic Mesh-Hem Strong Red 4T</t>
  </si>
  <si>
    <t>Ideology Toddler Girls Graphic Mesh-Hem Strong Red 3T</t>
  </si>
  <si>
    <t>732996526959</t>
  </si>
  <si>
    <t>Ideology Toddler Girls Graphic Mesh-Hem You Glow Green 2T</t>
  </si>
  <si>
    <t>Ideology Toddler Girls Graphic Mesh-Hem You Glow Green 3T</t>
  </si>
  <si>
    <t>732996527017</t>
  </si>
  <si>
    <t>Ideology Toddler Girls Graphic Mesh-Hem Strong Red 2T</t>
  </si>
  <si>
    <t>Epic Threads Big Girls Cold-Shoulder T-Shir Bright White XL</t>
  </si>
  <si>
    <t>724536935260</t>
  </si>
  <si>
    <t>Epic Threads Little Girls SolidLeggings Deep Black 5</t>
  </si>
  <si>
    <t>M360BLK429</t>
  </si>
  <si>
    <t>First Impressions Baby Boys Froggy Graphic Cotto Reef Green 3-6 months</t>
  </si>
  <si>
    <t>First Impressions Baby Girls Peplum Hem Cardigan Pearl Blush 12 months</t>
  </si>
  <si>
    <t>First Impressions Baby Girls Peplum Hem Cardigan Pearl Blush 3-6 months</t>
  </si>
  <si>
    <t>First Impressions Baby Girls Peplum Hem Cardigan Pearl Blush 0-3 months</t>
  </si>
  <si>
    <t>First Impressions Baby Girl Cotton Dot Cardigan Whisper Grey Ht 0-3 months</t>
  </si>
  <si>
    <t>First Impressions Baby Girl Cotton Dot Cardigan Whisper Grey Ht 6-9 months</t>
  </si>
  <si>
    <t>First Impressions Baby Girl Cotton Dot Cardigan Whisper Grey Ht 3-6 months</t>
  </si>
  <si>
    <t>First Impressions Baby Girl Cotton Dot Cardigan Whisper Grey Ht 12 months</t>
  </si>
  <si>
    <t>First Impressions Baby Girl Cotton Dot Cardigan Whisper Grey Ht Newborn</t>
  </si>
  <si>
    <t>732996128320</t>
  </si>
  <si>
    <t>Epic Threads Toddler Girls Striped Bermuda Peacoat 4T</t>
  </si>
  <si>
    <t>735869404309</t>
  </si>
  <si>
    <t>Champion Little Boys Script Logo T-Shir White 5</t>
  </si>
  <si>
    <t>735869350019</t>
  </si>
  <si>
    <t>Champion Little Boys Logo-Print T-Shirt White 5</t>
  </si>
  <si>
    <t>735869404293</t>
  </si>
  <si>
    <t>Champion Little Boys Script Logo T-Shir White 4</t>
  </si>
  <si>
    <t>735869350002</t>
  </si>
  <si>
    <t>Champion Little Boys Logo-Print T-Shirt White 4</t>
  </si>
  <si>
    <t>735869349532</t>
  </si>
  <si>
    <t>C5476R</t>
  </si>
  <si>
    <t>Champion Little Girls Logo-Print Tank T Dark Purple 5</t>
  </si>
  <si>
    <t>735869399339</t>
  </si>
  <si>
    <t>Champion Little Girls Logo-Print T-Shir Purple 4</t>
  </si>
  <si>
    <t>Epic Threads Little Girls Solid Bermuda Sho Tomato 6</t>
  </si>
  <si>
    <t>Epic Threads Toddler Girls Solid Bermuda Sh Tomato 2T</t>
  </si>
  <si>
    <t>Epic Threads Little Girls Solid Bermuda Sho Tomato 6X</t>
  </si>
  <si>
    <t>Epic Threads Little Girls Solid Bermuda Sho Tomato 5</t>
  </si>
  <si>
    <t>Epic Threads Toddler Girls Solid Bermuda Sh Tomato 3T</t>
  </si>
  <si>
    <t>Epic Threads Toddler Girls Solid Bermuda Sh Tomato 4T</t>
  </si>
  <si>
    <t>First Impressions PINDOT CARDIGAN Lavender Taffy 3-6 months</t>
  </si>
  <si>
    <t>First Impressions PINDOT CARDIGAN Lavender Taffy 0-3 months</t>
  </si>
  <si>
    <t>732996434964</t>
  </si>
  <si>
    <t>Epic Threads Toddler Girls All One-Print T- Coral Bells 2T</t>
  </si>
  <si>
    <t>Epic Threads Little Girls Tiger-Print Tank Peacoat 5</t>
  </si>
  <si>
    <t>Epic Threads Little Girls Rainbow Ruffle Ta Limpet Shell 6</t>
  </si>
  <si>
    <t>Epic Threads Little Girls Graphic-Print T-S Coral Bells 5</t>
  </si>
  <si>
    <t>732996436739</t>
  </si>
  <si>
    <t>Epic Threads Toddler Girls Tiger-Print Tank Peacoat 3T</t>
  </si>
  <si>
    <t>Epic Threads Toddler Girls Zebra-Print T-Sh Bright White 4T</t>
  </si>
  <si>
    <t>Epic Threads Little Girls Graphic-Print Omb Coral Bells 5</t>
  </si>
  <si>
    <t>Epic Threads Toddler Girls Graphic-Print T- Peacoat 2T</t>
  </si>
  <si>
    <t>Epic Threads Toddler Girls Graphic-Print T- Peacoat 3T</t>
  </si>
  <si>
    <t>First Impressions Toddler Boys Striped Knit Shor Whispy Grey 3T</t>
  </si>
  <si>
    <t>732995176575</t>
  </si>
  <si>
    <t>First Impressions Toddler Boys Cotton Twill Shor Sunny Yellow 3T</t>
  </si>
  <si>
    <t>First Impressions Toddler Boys Cotton Twill Shor White Tea 4T</t>
  </si>
  <si>
    <t>First Impressions Toddler Girls Ditsy Floral-Pri Angel Whit 4T</t>
  </si>
  <si>
    <t>First Impressions Toddler Girls Cotton Splatter- Horizon Blue 3T</t>
  </si>
  <si>
    <t>First Impressions Toddler Girls Ditsy Floral-Pri Angel Whit 2T</t>
  </si>
  <si>
    <t>First Impressions Toddler Girls Cotton Border-St Opal Blush 4T</t>
  </si>
  <si>
    <t>First Impressions UNICORN DRESS Navy Nautical 0-3 months</t>
  </si>
  <si>
    <t>First Impressions MERMAID DRESS Hyacinth Violet 3-6 months</t>
  </si>
  <si>
    <t>First Impressions MERMAID DRESS Hyacinth Violet 0-3 months</t>
  </si>
  <si>
    <t>First Impressions Toddler Girls Floral-Print Cot Angel White 2T</t>
  </si>
  <si>
    <t>First Impressions Toddler Girls Floral-Print Cot Angel White 4T</t>
  </si>
  <si>
    <t>First Impressions Toddler Girls Bow Tunic Orange Haz 4T</t>
  </si>
  <si>
    <t>First Impressions Toddler Girls Bow Tunic Orange Haz 3T</t>
  </si>
  <si>
    <t>First Impressions Toddler Girls Floral-Print Cot Angel White 3T</t>
  </si>
  <si>
    <t>First Impressions Baby Girls Cotton Dot Jogger P Whisper Gray Ht 6-9 months</t>
  </si>
  <si>
    <t>First Impressions Toddler Girls Cotton Chambray Dark Chambray 4T</t>
  </si>
  <si>
    <t>608356334567</t>
  </si>
  <si>
    <t>First Impressions Baby Boys Hi-Print Jogger Pant Grey 24 months</t>
  </si>
  <si>
    <t>732995801019</t>
  </si>
  <si>
    <t>First Impressions Toddler Girls Eyelet Cotton Sh First Blush 3T</t>
  </si>
  <si>
    <t>706258821977</t>
  </si>
  <si>
    <t>First Impressions Knee-Patch Pants, Baby Boys 0 Deep Black 18 months</t>
  </si>
  <si>
    <t>First Impressions WATERMELON BIB Matador Red ONE SIZE</t>
  </si>
  <si>
    <t>732996414188</t>
  </si>
  <si>
    <t>First Impressions Toddler Girls Striped Swing Ta Bright White 4T</t>
  </si>
  <si>
    <t>732996414171</t>
  </si>
  <si>
    <t>First Impressions Toddler Girls Striped Swing Ta Bright White 3T</t>
  </si>
  <si>
    <t>First Impressions Baby Girls Cotton Wickedly Cut Black Solar 6-9 months</t>
  </si>
  <si>
    <t>First Impressions Baby Girls Cotton Fab-Boo-Lous Ivory Cloud 0-3 months</t>
  </si>
  <si>
    <t>First Impressions Baby Girls Cotton Wickedly Cut Black Solar 24 months</t>
  </si>
  <si>
    <t>732996211749</t>
  </si>
  <si>
    <t>First Impressions Toddler Girls Animal-Print Tan Bright White 2T</t>
  </si>
  <si>
    <t>First Impressions Toddler Girls Animal-Print Tan Bright White 4T</t>
  </si>
  <si>
    <t>732995251296</t>
  </si>
  <si>
    <t>First Impressions Baby Girls Bloomer Shorts Light Jade Newborn</t>
  </si>
  <si>
    <t>First Impressions Baby Girls or Boys Lemon Hat Lemon Zest 12-24 months</t>
  </si>
  <si>
    <t>First Impressions Baby Girls or Boys Orange Frui Pure Peach 6-12 months</t>
  </si>
  <si>
    <t>First Impressions Baby Girls Strawberry Hat Pink Glaze 12-24 months</t>
  </si>
  <si>
    <t>First Impressions Baby Girls Strawberry Hat Pink Glaze 0-6 months</t>
  </si>
  <si>
    <t>First Impressions Baby Girls or Boys Orange Frui Pure Peach 12-24 months</t>
  </si>
  <si>
    <t>First Impressions Baby Girls Strawberry Hat Pink Glaze 6-12 months</t>
  </si>
  <si>
    <t>First Impressions Baby Girls or Boys Orange Frui Pure Peach 0-6 months</t>
  </si>
  <si>
    <t>First Impressions Toddler Girls Cotton Girl Powe Angel Whit 4T</t>
  </si>
  <si>
    <t>732996244914</t>
  </si>
  <si>
    <t>First Impressions WATERMELON BODYSUIT Angel White 3-6 months</t>
  </si>
  <si>
    <t>100053780BG</t>
  </si>
  <si>
    <t>First Impressions Baby Boys Cotton Shorts Deep Black 18 months</t>
  </si>
  <si>
    <t>First Impressions Baby Boys Cotton Shorts Cherry Flame 18 months</t>
  </si>
  <si>
    <t>First Impressions Baby Boys Cotton Shorts Deep Black 24 months</t>
  </si>
  <si>
    <t>First Impressions Baby Boys Cotton Shorts Navy Sea 18 months</t>
  </si>
  <si>
    <t>First Impressions Toddler Girls Cat-Print Cotton Angel Whit 2T</t>
  </si>
  <si>
    <t>732996211497</t>
  </si>
  <si>
    <t>First Impressions Toddler Girls Ice Cream-Print Deep Black 4T</t>
  </si>
  <si>
    <t>First Impressions Toddler Girls Cat-Print Cotton Angel Whit 3T</t>
  </si>
  <si>
    <t>First Impressions Baby Boys Hipster Pumpkin T-Sh Melon Ball Hthr 6-9 months</t>
  </si>
  <si>
    <t>First Impressions Baby Boys Hipster Pumpkin T-Sh Melon Ball Hthr 18 months</t>
  </si>
  <si>
    <t>732996280479</t>
  </si>
  <si>
    <t>First Impressions B CIRCLE YOGA PANT Glacier 0-3 months</t>
  </si>
  <si>
    <t>First Impressions Baby Boys Hipster Pumpkin T-Sh Melon Ball Hthr 3-6 months</t>
  </si>
  <si>
    <t>732996240220</t>
  </si>
  <si>
    <t>First Impressions Baby Boys Colorblocked Polo Sh Multi 6-9 months</t>
  </si>
  <si>
    <t>732995800753</t>
  </si>
  <si>
    <t>First Impressions Toddler Girls Cat-Print Bow-Ba Bright White 4T</t>
  </si>
  <si>
    <t>100042527TG</t>
  </si>
  <si>
    <t>First Impressions Baby Boys 2-Pk. Hats Sweet Blue 0-6 months</t>
  </si>
  <si>
    <t>First Impressions Baby Girls Marled Pocket Jogge Chalky Blue 3-6 months</t>
  </si>
  <si>
    <t>First Impressions Toddler Girls Cotton Chicks T- Opal Blush 4T</t>
  </si>
  <si>
    <t>First Impressions Baby Girls Cotton Bird-Print L Angel Whit 12 months</t>
  </si>
  <si>
    <t>First Impressions Baby Girls Ditsy Floral-Print Angel Whit 6-9 months</t>
  </si>
  <si>
    <t>732995579796</t>
  </si>
  <si>
    <t>First Impressions Baby Girls Retro Floral-Print Multi 24 months</t>
  </si>
  <si>
    <t>First Impressions Baby Girls Ditsy Floral-Print Angel Whit 18 months</t>
  </si>
  <si>
    <t>First Impressions Baby Girls Cotton Bird-Print L Angel Whit 3-6 months</t>
  </si>
  <si>
    <t>First Impressions Baby Boys Striped Knit Shorts Whispy Grey 3-6 months</t>
  </si>
  <si>
    <t>First Impressions Baby Girls Retro Floral-Print Multi 18 months</t>
  </si>
  <si>
    <t>First Impressions Baby Boys Striped Knit Shorts Whispy Grey 6-9 months</t>
  </si>
  <si>
    <t>First Impressions Baby Girls Cotton Border-Strip Opal Blush 18 months</t>
  </si>
  <si>
    <t>First Impressions SEA CREATURE SHORT Glacier Stream 0-3 months</t>
  </si>
  <si>
    <t>First Impressions CHILL BODYSUIT Caribe Blue 0-3 months</t>
  </si>
  <si>
    <t>First Impressions Baby Girls Ruffled Leggings Pink Dogwood 6-9 months</t>
  </si>
  <si>
    <t>First Impressions Baby Girls Pull-On Bermuda Sho Lollipop 3-6 months</t>
  </si>
  <si>
    <t>First Impressions Baby Boys Girls Striped Cott Whispy Gray 6-9 months</t>
  </si>
  <si>
    <t>First Impressions Baby Boys Cotton Chambray Shor Dark Chambray 18 months</t>
  </si>
  <si>
    <t>732994938860</t>
  </si>
  <si>
    <t>First Impressions Baby Boys Girls Striped Cott Whispy Gray</t>
  </si>
  <si>
    <t>First Impressions Baby Boys Girls Cotton Jogge Whispy Gray Heather 6-9 months</t>
  </si>
  <si>
    <t>732994938907</t>
  </si>
  <si>
    <t>First Impressions Baby Boys Girls Striped Cott Whispy Gray 0-3 months</t>
  </si>
  <si>
    <t>First Impressions Baby Girls Bunnies Bodysuit Pure Lavender 6-9 months</t>
  </si>
  <si>
    <t>First Impressions Baby Boys Cotton Chambray Shor Dark Chambray 24 months</t>
  </si>
  <si>
    <t>First Impressions Baby Boys Cotton Chambray Shor Dark Chambray 3-6 months</t>
  </si>
  <si>
    <t>First Impressions Baby Boys Girls Striped Cott Whispy Gray 3-6 months</t>
  </si>
  <si>
    <t>First Impressions Baby Boys Cotton Chambray Shor Dark Chambray 12 months</t>
  </si>
  <si>
    <t>First Impressions Baby Girls Floral-Print Cotton Angel Whit 24 months</t>
  </si>
  <si>
    <t>First Impressions Baby Girls Cotton Safari-Print Horizon Bl 18 months</t>
  </si>
  <si>
    <t>First Impressions Baby Girls Cotton Safari-Print Horizon Bl 6-9 months</t>
  </si>
  <si>
    <t>732996890807</t>
  </si>
  <si>
    <t>First Impressions Baby Girls Cotton Bird-Print T Angel Whit 6-9 months</t>
  </si>
  <si>
    <t>First Impressions Baby Girls Cotton Contrast-Pri Angel White 12 months</t>
  </si>
  <si>
    <t>732996890470</t>
  </si>
  <si>
    <t>First Impressions Baby Girls Cotton Bear Tunic Herbal Sag 24 months</t>
  </si>
  <si>
    <t>First Impressions Baby Girls Cotton Lion Tunic Angel Whit 3-6 months</t>
  </si>
  <si>
    <t>732996890814</t>
  </si>
  <si>
    <t>First Impressions Baby Girls Cotton Bird-Print T Angel Whit 18 months</t>
  </si>
  <si>
    <t>First Impressions Baby Girls Cotton Contrast-Pri Angel White 18 months</t>
  </si>
  <si>
    <t>732996890296</t>
  </si>
  <si>
    <t>First Impressions Baby Girls Bow Tunic Orange Haze 3-6 months</t>
  </si>
  <si>
    <t>First Impressions Toddler Boys Cotton Dinosaur T Black Sola 3T</t>
  </si>
  <si>
    <t>First Impressions Baby Boys Marled Shorts Navy Nautical 12 months</t>
  </si>
  <si>
    <t>First Impressions Baby Boys Marled Shorts Navy Nautical 18 months</t>
  </si>
  <si>
    <t>First Impressions Baby Boys Marled Shorts Navy Nautical 6-9 months</t>
  </si>
  <si>
    <t>First Impressions Baby Boys Marled Shorts Navy Nautical 24 months</t>
  </si>
  <si>
    <t>First Impressions Baby Boys Marled Shorts Navy Nautical 3-6 months</t>
  </si>
  <si>
    <t>732995798401</t>
  </si>
  <si>
    <t>First Impressions Baby Girls Eyelet Cotton Short Flora Petal 3-6 months</t>
  </si>
  <si>
    <t>First Impressions Baby Girls Eyelet Cotton Short Medieval Blue 3-6 months</t>
  </si>
  <si>
    <t>First Impressions Baby Girls Eyelet Cotton Short Medieval Blue 12 months</t>
  </si>
  <si>
    <t>First Impressions Baby Boys Graphic-Print Cotton Charm Green 3-6 months</t>
  </si>
  <si>
    <t>First Impressions Baby Girls Koala Bodysuit Sweetest Blue 3-6 months</t>
  </si>
  <si>
    <t>First Impressions Baby Boys Fox Bodysuit Whispy Gray Hth 6-9 months</t>
  </si>
  <si>
    <t>First Impressions Baby Girls Sheep Bodysuit Angel White 3-6 months</t>
  </si>
  <si>
    <t>First Impressions Baby Girls Sheep Bodysuit Angel White 6-9 months</t>
  </si>
  <si>
    <t>First Impressions Baby Girls Cotton Chambray Rom Dark Chambray 3-6 months</t>
  </si>
  <si>
    <t>First Impressions Baby Girls Cotton Chambray Rom Dark Chambray 24 months</t>
  </si>
  <si>
    <t>First Impressions Baby Girls Cotton Chambray Rom Dark Chambray 6-9 months</t>
  </si>
  <si>
    <t>First Impressions Baby Girls Cotton Chambray Rom Dark Chambray 18 months</t>
  </si>
  <si>
    <t>First Impressions Baby Girls Cotton Chambray Rom Dark Chambray 12 months</t>
  </si>
  <si>
    <t>First Impressions Baby Girls Striped Bloomer Sho Matador Red 0-3 months</t>
  </si>
  <si>
    <t>First Impressions Baby Girls Striped Bloomer Sho Matador Red 6-9 months</t>
  </si>
  <si>
    <t>First Impressions Baby Girls Striped Bloomer Sho Black Solar 0-3 months</t>
  </si>
  <si>
    <t>First Impressions Baby Girls Striped Bloomer Sho Matador Red Newborn</t>
  </si>
  <si>
    <t>First Impressions Baby Girls Striped Bloomer Sho Matador Red 3-6 months</t>
  </si>
  <si>
    <t>First Impressions Baby Girls Striped Swing Top Bright White 3-6 months</t>
  </si>
  <si>
    <t>First Impressions Baby Boys Printed Bodysuit Glacier Stream 6-9 months</t>
  </si>
  <si>
    <t>First Impressions Baby Boys Printed Bodysuit Glacier Stream 0-3 months</t>
  </si>
  <si>
    <t>First Impressions Baby Boys Colorblocked Raglan Ivory Cloud 3-6 months</t>
  </si>
  <si>
    <t>First Impressions Baby Girls Donut Graphic Top Breeze Blue 6-9 months</t>
  </si>
  <si>
    <t>First Impressions Baby Girls Cotton Love My Mom Deep Black 18 months</t>
  </si>
  <si>
    <t>First Impressions Baby Girls Cotton Girl Power T Angel Whit 24 months</t>
  </si>
  <si>
    <t>First Impressions Baby Girls Puppy-Print Cotton Opal Blush 24 months</t>
  </si>
  <si>
    <t>First Impressions Baby Girls Cotton Girl Power T Angel Whit 12 months</t>
  </si>
  <si>
    <t>First Impressions Baby Girls Cotton Girl Power T Angel Whit 6-9 months</t>
  </si>
  <si>
    <t>First Impressions Baby Boys Show-Print T-Shirt Multi 3T</t>
  </si>
  <si>
    <t>First Impressions Baby Boys or Girls Pineapple B Sunset Gold ONE SIZE</t>
  </si>
  <si>
    <t>First Impressions Baby Boys Bowtie Bib Diamond Blue ONE SIZE</t>
  </si>
  <si>
    <t>First Impressions Toddler Boys Monster T-Shirt Whispy Gre 4T</t>
  </si>
  <si>
    <t>First Impressions Toddler Boys Monster T-Shirt Whispy Gre 2T</t>
  </si>
  <si>
    <t>732996241630</t>
  </si>
  <si>
    <t>First Impressions Toddler Boys Cotton Taco T-Shi Bright White 4T</t>
  </si>
  <si>
    <t>100053738TB</t>
  </si>
  <si>
    <t>First Impressions Baby Boys Girls 2-Pk. Revers Whispy Grey ONE SIZE</t>
  </si>
  <si>
    <t>First Impressions Baby Boys Tiger-Print T-Shirt Bluepoint 24 months</t>
  </si>
  <si>
    <t>732995799194</t>
  </si>
  <si>
    <t>First Impressions Baby Girls Watermelon Graphic Bright White 24 months</t>
  </si>
  <si>
    <t>100042515BG</t>
  </si>
  <si>
    <t>First Impressions Baby Girls Ice Cream-Print Bow Deep Black 6-9 months</t>
  </si>
  <si>
    <t>732996210926</t>
  </si>
  <si>
    <t>First Impressions Baby Girls Daisy-Print Cotton Reef Green 18 months</t>
  </si>
  <si>
    <t>First Impressions Baby Girls Tropical-Print Cott Bright White 3-6 months</t>
  </si>
  <si>
    <t>First Impressions Baby Girls Capri Pants Bright White 3-6 months</t>
  </si>
  <si>
    <t>First Impressions Baby Girls Cotton Colorblocked Angel Whit 6-9 months</t>
  </si>
  <si>
    <t>First Impressions Baby Boys Pineapple Graphic Co Charm Green 6-9 months</t>
  </si>
  <si>
    <t>732995575040</t>
  </si>
  <si>
    <t>First Impressions Baby Boys Cheeky Alligator Gra Bone Heather 3-6 months</t>
  </si>
  <si>
    <t>First Impressions Baby Boys Vibes-Print Cotton T Bluepoint 6-9 months</t>
  </si>
  <si>
    <t>First Impressions Baby Boys Girls Just Hatched Lemon Zest ONE SIZE</t>
  </si>
  <si>
    <t>First Impressions Baby Boys Sloth-Print Cotton T Matador Re 18 months</t>
  </si>
  <si>
    <t>First Impressions Baby Boys Sloth-Print Cotton T Matador Re 6-9 months</t>
  </si>
  <si>
    <t>First Impressions Baby Boys Sloth-Print Cotton T Matador Re 12 months</t>
  </si>
  <si>
    <t>First Impressions Baby Boys Train T-Shirt Whispy Gre 6-9 months</t>
  </si>
  <si>
    <t>Maidenform Seamless Girlshort Underwear, Navy S 66X</t>
  </si>
  <si>
    <t>First Impressions Baby Boys Monster-Print T-Shir Whispy Grey 6-9 months</t>
  </si>
  <si>
    <t>First Impressions Baby Boys Red, White Blue Gr Chrome Heather 18 months</t>
  </si>
  <si>
    <t>192136110125</t>
  </si>
  <si>
    <t>192136105305</t>
  </si>
  <si>
    <t>192135979389</t>
  </si>
  <si>
    <t>882506835405</t>
  </si>
  <si>
    <t>882506835412</t>
  </si>
  <si>
    <t>20 REG/MED</t>
  </si>
  <si>
    <t>882506828315</t>
  </si>
  <si>
    <t>OXFORD-OXFORD SET-SETS-S</t>
  </si>
  <si>
    <t>191886544228</t>
  </si>
  <si>
    <t>B NSW WINDRUNNER GFX</t>
  </si>
  <si>
    <t>93263230574</t>
  </si>
  <si>
    <t>BONNETT-CP PATENT MA</t>
  </si>
  <si>
    <t>BONNETT-CP</t>
  </si>
  <si>
    <t>12.5 W</t>
  </si>
  <si>
    <t>791088825424</t>
  </si>
  <si>
    <t>12.5CHUBBY</t>
  </si>
  <si>
    <t>791088811687</t>
  </si>
  <si>
    <t>791088811632</t>
  </si>
  <si>
    <t>FLORAL WALKTHRU</t>
  </si>
  <si>
    <t>F468819</t>
  </si>
  <si>
    <t>191524633543</t>
  </si>
  <si>
    <t>885031359149</t>
  </si>
  <si>
    <t>884733947814</t>
  </si>
  <si>
    <t>193579424190</t>
  </si>
  <si>
    <t>791088550678</t>
  </si>
  <si>
    <t>BLK VELVET RED FLOCKED</t>
  </si>
  <si>
    <t>H498678</t>
  </si>
  <si>
    <t>DRESS TOP: POLYESTER/SPANDEX; SKIRT: POLYESTER; NETTING: NYLON</t>
  </si>
  <si>
    <t>191539401205</t>
  </si>
  <si>
    <t>884733639467</t>
  </si>
  <si>
    <t>POLY SPANDEX-RASHGUARD-S</t>
  </si>
  <si>
    <t>191539481450</t>
  </si>
  <si>
    <t>807746663564</t>
  </si>
  <si>
    <t>807746663588</t>
  </si>
  <si>
    <t>807746663601</t>
  </si>
  <si>
    <t>807746663571</t>
  </si>
  <si>
    <t>193579337087</t>
  </si>
  <si>
    <t>193579337094</t>
  </si>
  <si>
    <t>192170068604</t>
  </si>
  <si>
    <t>FONDA</t>
  </si>
  <si>
    <t>MANMADE UPPER; RUBBER SOLE; FAUX-FUR LINING: POLYESTER</t>
  </si>
  <si>
    <t>807746663618</t>
  </si>
  <si>
    <t>RED VELVET COAT DRESS</t>
  </si>
  <si>
    <t>MAB15081</t>
  </si>
  <si>
    <t>COAT: POLYESTER/NYLON; DRESS BODICE: RAYON/POLYESTER/SPANDEX; DRESS SKIRT: POLYESTER/METALLIC; DIAPER COVER: POLYESTER</t>
  </si>
  <si>
    <t>9328464921</t>
  </si>
  <si>
    <t>COAS 501 SKINNY</t>
  </si>
  <si>
    <t>791088808199</t>
  </si>
  <si>
    <t>193579298234</t>
  </si>
  <si>
    <t>Y/D RIB DRESS</t>
  </si>
  <si>
    <t>TGFCH09S-469</t>
  </si>
  <si>
    <t>193579337261</t>
  </si>
  <si>
    <t>791088811502</t>
  </si>
  <si>
    <t>RED LNG SLVS FLORAL DRES</t>
  </si>
  <si>
    <t>F869759</t>
  </si>
  <si>
    <t>791088825288</t>
  </si>
  <si>
    <t>9328733355</t>
  </si>
  <si>
    <t>SHORTALL</t>
  </si>
  <si>
    <t>314538F</t>
  </si>
  <si>
    <t>791088774180</t>
  </si>
  <si>
    <t>191539481566</t>
  </si>
  <si>
    <t>191539481580</t>
  </si>
  <si>
    <t>191539481573</t>
  </si>
  <si>
    <t>192042881119</t>
  </si>
  <si>
    <t>192042881263</t>
  </si>
  <si>
    <t>REINDEER TREE SWEATER VE</t>
  </si>
  <si>
    <t>TFFCR19C-105</t>
  </si>
  <si>
    <t>192042880907</t>
  </si>
  <si>
    <t>192042880785</t>
  </si>
  <si>
    <t>REINDEER ORNAMENT SWEATE</t>
  </si>
  <si>
    <t>TFFCR03C-605</t>
  </si>
  <si>
    <t>192042880792</t>
  </si>
  <si>
    <t>192042881249</t>
  </si>
  <si>
    <t>791088773961</t>
  </si>
  <si>
    <t>192042881126</t>
  </si>
  <si>
    <t>192042880808</t>
  </si>
  <si>
    <t>192042881270</t>
  </si>
  <si>
    <t>192042880891</t>
  </si>
  <si>
    <t>191539481382</t>
  </si>
  <si>
    <t>BURGUNDY LS VELVET GOLD</t>
  </si>
  <si>
    <t>X59314-PL</t>
  </si>
  <si>
    <t>BODICE: POLYESTER/SPANDEX; LACE SKIRT: COTTON/NYLON; LINING/DIAPER COVER: POLYESTER</t>
  </si>
  <si>
    <t>191539446626</t>
  </si>
  <si>
    <t>191539481399</t>
  </si>
  <si>
    <t>191539481351</t>
  </si>
  <si>
    <t>191539446640</t>
  </si>
  <si>
    <t>791088774265</t>
  </si>
  <si>
    <t>PINK INV PLEAT W FLORAL</t>
  </si>
  <si>
    <t>F863149</t>
  </si>
  <si>
    <t>791088853984</t>
  </si>
  <si>
    <t>791088837267</t>
  </si>
  <si>
    <t>791088837199</t>
  </si>
  <si>
    <t>RED PLAID DRESS</t>
  </si>
  <si>
    <t>H816149</t>
  </si>
  <si>
    <t>SHELL: POLYESTER/LUREX; COLLAR, WAISTBAND AND BACK TIE: POLYESTER/SPANDEX; LINING: POLYESTER; DIAPER COVER: POLYESTER</t>
  </si>
  <si>
    <t>791088837205</t>
  </si>
  <si>
    <t>791088837304</t>
  </si>
  <si>
    <t>791088837212</t>
  </si>
  <si>
    <t>791088815524</t>
  </si>
  <si>
    <t>192136233343</t>
  </si>
  <si>
    <t>191539475718</t>
  </si>
  <si>
    <t>192136233350</t>
  </si>
  <si>
    <t>191539475725</t>
  </si>
  <si>
    <t>193147926682</t>
  </si>
  <si>
    <t>192136218500</t>
  </si>
  <si>
    <t>COSTUMEF19 B COSTUME LIO</t>
  </si>
  <si>
    <t>193579424497</t>
  </si>
  <si>
    <t>617845967018</t>
  </si>
  <si>
    <t>807746668491</t>
  </si>
  <si>
    <t>WHITE SWEATER DRESS WITH</t>
  </si>
  <si>
    <t>MAB15092</t>
  </si>
  <si>
    <t>807746668507</t>
  </si>
  <si>
    <t>807746668484</t>
  </si>
  <si>
    <t>807746668538</t>
  </si>
  <si>
    <t>807746668521</t>
  </si>
  <si>
    <t>807746668545</t>
  </si>
  <si>
    <t>191539481610</t>
  </si>
  <si>
    <t>191539461407</t>
  </si>
  <si>
    <t>191539483799</t>
  </si>
  <si>
    <t>191539460998</t>
  </si>
  <si>
    <t>191539481627</t>
  </si>
  <si>
    <t>193150310317</t>
  </si>
  <si>
    <t>G NSW TEE DPTL DISTO</t>
  </si>
  <si>
    <t>CK3744</t>
  </si>
  <si>
    <t>791088799602</t>
  </si>
  <si>
    <t>LONG SET PLAID</t>
  </si>
  <si>
    <t>F866279</t>
  </si>
  <si>
    <t>791088799619</t>
  </si>
  <si>
    <t>791088845415</t>
  </si>
  <si>
    <t>STRIPED SANTA SET WITH D</t>
  </si>
  <si>
    <t>H819349</t>
  </si>
  <si>
    <t>TOP: COTTON/SPANDEX; LEGGINGS: COTTON/SPANDEX</t>
  </si>
  <si>
    <t>791088807635</t>
  </si>
  <si>
    <t>LONG SET BROWN DOTS PUMP</t>
  </si>
  <si>
    <t>F866299</t>
  </si>
  <si>
    <t>807746663557</t>
  </si>
  <si>
    <t>RED VELVET TOP WITH WHIT</t>
  </si>
  <si>
    <t>MAB15077</t>
  </si>
  <si>
    <t>POLYESTER/SPANDEX; SKIRT SHELL &amp; LINING: POLYESTER; PANTY (3/6M, 6/9M): POLYESTER</t>
  </si>
  <si>
    <t>791088807642</t>
  </si>
  <si>
    <t>633716011666</t>
  </si>
  <si>
    <t>192135625132</t>
  </si>
  <si>
    <t>S19 C3 CHAMBRAY TOP SET</t>
  </si>
  <si>
    <t>TUNIC: COTTON/LYOCELL; LEGGINGS: COTTON/SPANDEX</t>
  </si>
  <si>
    <t>636193078344</t>
  </si>
  <si>
    <t>636193080835</t>
  </si>
  <si>
    <t>DALTON DENIM</t>
  </si>
  <si>
    <t>100029365BO</t>
  </si>
  <si>
    <t>732996176970</t>
  </si>
  <si>
    <t>887346484400</t>
  </si>
  <si>
    <t>FLAT FRONT TWILL PANT</t>
  </si>
  <si>
    <t>N451072E</t>
  </si>
  <si>
    <t>887407912644</t>
  </si>
  <si>
    <t>633716924775</t>
  </si>
  <si>
    <t>193579423094</t>
  </si>
  <si>
    <t>193579107246</t>
  </si>
  <si>
    <t>191603943631</t>
  </si>
  <si>
    <t>617847621314</t>
  </si>
  <si>
    <t>NIKE STAR CROSS BACK TAN</t>
  </si>
  <si>
    <t>36F156G</t>
  </si>
  <si>
    <t>617846240813</t>
  </si>
  <si>
    <t>2PC ALL ME SHORT SET</t>
  </si>
  <si>
    <t>66E501G</t>
  </si>
  <si>
    <t>T-SHIRT: COTTON/POLYESTER; SHORTS: POLYESTER</t>
  </si>
  <si>
    <t>732995556636</t>
  </si>
  <si>
    <t>732996978925</t>
  </si>
  <si>
    <t>193149883358</t>
  </si>
  <si>
    <t>192810322561</t>
  </si>
  <si>
    <t>BIG LOGO TEE SOLID S</t>
  </si>
  <si>
    <t>192007719150</t>
  </si>
  <si>
    <t>192399519246</t>
  </si>
  <si>
    <t>STRIPE CAPRI TIGHT</t>
  </si>
  <si>
    <t>AK4564</t>
  </si>
  <si>
    <t>192135569160</t>
  </si>
  <si>
    <t>BSW 3PC FOOD</t>
  </si>
  <si>
    <t>TOP/SHORTS/BOTTOM: POLYESTER</t>
  </si>
  <si>
    <t>889338673205</t>
  </si>
  <si>
    <t>F18 LBB 3PK CAP BOY MULT</t>
  </si>
  <si>
    <t>126H451</t>
  </si>
  <si>
    <t>192399454530</t>
  </si>
  <si>
    <t>192170028141</t>
  </si>
  <si>
    <t>633716836740</t>
  </si>
  <si>
    <t>CHUCK PATCH SHORTS</t>
  </si>
  <si>
    <t>469025E</t>
  </si>
  <si>
    <t>889799656441</t>
  </si>
  <si>
    <t>PRINCESS TODDLER FLEECE</t>
  </si>
  <si>
    <t>DP418TLLZA</t>
  </si>
  <si>
    <t>732997383933</t>
  </si>
  <si>
    <t>696114346211</t>
  </si>
  <si>
    <t>192555291092</t>
  </si>
  <si>
    <t>192555291085</t>
  </si>
  <si>
    <t>192555291078</t>
  </si>
  <si>
    <t>608356088545</t>
  </si>
  <si>
    <t>192136034612</t>
  </si>
  <si>
    <t>PRINTED SHORT BASIC</t>
  </si>
  <si>
    <t>617845008490</t>
  </si>
  <si>
    <t>STAMP AOP SS TEE</t>
  </si>
  <si>
    <t>86F035G</t>
  </si>
  <si>
    <t>735869366874</t>
  </si>
  <si>
    <t>735869405108</t>
  </si>
  <si>
    <t>735869405047</t>
  </si>
  <si>
    <t>735869405078</t>
  </si>
  <si>
    <t>793775301921</t>
  </si>
  <si>
    <t>SILV GEMSTONE STRIPE BOYS 4 H</t>
  </si>
  <si>
    <t>K7K04401</t>
  </si>
  <si>
    <t>756500009608</t>
  </si>
  <si>
    <t>192136082996</t>
  </si>
  <si>
    <t>F19 BPW BLUE POLO</t>
  </si>
  <si>
    <t>192136083009</t>
  </si>
  <si>
    <t>79092450598</t>
  </si>
  <si>
    <t>79092450581</t>
  </si>
  <si>
    <t>192136223559</t>
  </si>
  <si>
    <t>192136224556</t>
  </si>
  <si>
    <t>696114339503</t>
  </si>
  <si>
    <t>696114340400</t>
  </si>
  <si>
    <t>PLAID BELIEVE 2 PC W SOC</t>
  </si>
  <si>
    <t>75193-MA</t>
  </si>
  <si>
    <t>696114340394</t>
  </si>
  <si>
    <t>696114340349</t>
  </si>
  <si>
    <t>696114340387</t>
  </si>
  <si>
    <t>696114340370</t>
  </si>
  <si>
    <t>696114340356</t>
  </si>
  <si>
    <t>192136207559</t>
  </si>
  <si>
    <t>1PCF19 N 1PC NAP</t>
  </si>
  <si>
    <t>192136207566</t>
  </si>
  <si>
    <t>192136207580</t>
  </si>
  <si>
    <t>191603760542</t>
  </si>
  <si>
    <t>INFLUENCER STRIPE</t>
  </si>
  <si>
    <t>2YSWC4031</t>
  </si>
  <si>
    <t>735869404934</t>
  </si>
  <si>
    <t>C5449R</t>
  </si>
  <si>
    <t>732995513882</t>
  </si>
  <si>
    <t>732995697087</t>
  </si>
  <si>
    <t>732994877909</t>
  </si>
  <si>
    <t>732996351223</t>
  </si>
  <si>
    <t>735869346616</t>
  </si>
  <si>
    <t>735869224914</t>
  </si>
  <si>
    <t>732997406670</t>
  </si>
  <si>
    <t>T DOG FACE JOGGER</t>
  </si>
  <si>
    <t>100064415TB</t>
  </si>
  <si>
    <t>732994956079</t>
  </si>
  <si>
    <t>735869423553</t>
  </si>
  <si>
    <t>732994666909</t>
  </si>
  <si>
    <t>HOLIDAY 3PK</t>
  </si>
  <si>
    <t>732994666893</t>
  </si>
  <si>
    <t>636206570704</t>
  </si>
  <si>
    <t>636206570773</t>
  </si>
  <si>
    <t>636206570681</t>
  </si>
  <si>
    <t>PARTY IS HERE SS TEE</t>
  </si>
  <si>
    <t>100040627LG</t>
  </si>
  <si>
    <t>732995193633</t>
  </si>
  <si>
    <t>732995236477</t>
  </si>
  <si>
    <t>RBOW POCKET SS TEE</t>
  </si>
  <si>
    <t>100046375LG</t>
  </si>
  <si>
    <t>732995236552</t>
  </si>
  <si>
    <t>732995489026</t>
  </si>
  <si>
    <t>732997351550</t>
  </si>
  <si>
    <t>732996904993</t>
  </si>
  <si>
    <t>732996905020</t>
  </si>
  <si>
    <t>732996905013</t>
  </si>
  <si>
    <t>732997204443</t>
  </si>
  <si>
    <t>732997204467</t>
  </si>
  <si>
    <t>732996891170</t>
  </si>
  <si>
    <t>732996891187</t>
  </si>
  <si>
    <t>732997490655</t>
  </si>
  <si>
    <t>T FOX TEE</t>
  </si>
  <si>
    <t>100064377TB</t>
  </si>
  <si>
    <t>732994883108</t>
  </si>
  <si>
    <t>T FRENCHIE TEE BASIC</t>
  </si>
  <si>
    <t>100042420TG</t>
  </si>
  <si>
    <t>732994938723</t>
  </si>
  <si>
    <t>732996280271</t>
  </si>
  <si>
    <t>732994609906</t>
  </si>
  <si>
    <t>THERMAL JOGGER BASIC</t>
  </si>
  <si>
    <t>732996245409</t>
  </si>
  <si>
    <t>732997347522</t>
  </si>
  <si>
    <t>732997347515</t>
  </si>
  <si>
    <t>732997347485</t>
  </si>
  <si>
    <t>732994881845</t>
  </si>
  <si>
    <t>732994881838</t>
  </si>
  <si>
    <t>732994881807</t>
  </si>
  <si>
    <t>732996280493</t>
  </si>
  <si>
    <t>732994881630</t>
  </si>
  <si>
    <t>732997340332</t>
  </si>
  <si>
    <t>732995797749</t>
  </si>
  <si>
    <t>732997768297</t>
  </si>
  <si>
    <t>732997768303</t>
  </si>
  <si>
    <t>732996905464</t>
  </si>
  <si>
    <t>732997340936</t>
  </si>
  <si>
    <t>732997342411</t>
  </si>
  <si>
    <t>732997343012</t>
  </si>
  <si>
    <t>732995882377</t>
  </si>
  <si>
    <t>732995882353</t>
  </si>
  <si>
    <t>732995882384</t>
  </si>
  <si>
    <t>732995882360</t>
  </si>
  <si>
    <t>732994666978</t>
  </si>
  <si>
    <t>732994666992</t>
  </si>
  <si>
    <t>732994667012</t>
  </si>
  <si>
    <t>732994667005</t>
  </si>
  <si>
    <t>192170305556</t>
  </si>
  <si>
    <t>192170305532</t>
  </si>
  <si>
    <t>192170305549</t>
  </si>
  <si>
    <t>192170305570</t>
  </si>
  <si>
    <t>192170305563</t>
  </si>
  <si>
    <t>192170305518</t>
  </si>
  <si>
    <t>617846419110</t>
  </si>
  <si>
    <t>CROSSBODY JORDAN</t>
  </si>
  <si>
    <t>192170035064</t>
  </si>
  <si>
    <t>192170042598</t>
  </si>
  <si>
    <t>192170042581</t>
  </si>
  <si>
    <t>192170042635</t>
  </si>
  <si>
    <t>192170042611</t>
  </si>
  <si>
    <t>192170042604</t>
  </si>
  <si>
    <t>192136106852</t>
  </si>
  <si>
    <t>888737807334</t>
  </si>
  <si>
    <t>192136110118</t>
  </si>
  <si>
    <t>887407916475</t>
  </si>
  <si>
    <t>622363876261</t>
  </si>
  <si>
    <t>791088808359</t>
  </si>
  <si>
    <t>732995299700</t>
  </si>
  <si>
    <t>617845392902</t>
  </si>
  <si>
    <t>10 HUSKY</t>
  </si>
  <si>
    <t>617847629549</t>
  </si>
  <si>
    <t>505 HUSKY DENIM</t>
  </si>
  <si>
    <t>192399516818</t>
  </si>
  <si>
    <t>AH5446</t>
  </si>
  <si>
    <t>791088818976</t>
  </si>
  <si>
    <t>732997343586</t>
  </si>
  <si>
    <t>SWEATER TUNIC SET</t>
  </si>
  <si>
    <t>100062977BG</t>
  </si>
  <si>
    <t>SWEATER: COTTON/OTHER FIBERS; LEGGINGS: COTTON/SPANDEX</t>
  </si>
  <si>
    <t>191603943563</t>
  </si>
  <si>
    <t>191603943549</t>
  </si>
  <si>
    <t>192135589304</t>
  </si>
  <si>
    <t>S19 DCS GREEN NAVY DINO</t>
  </si>
  <si>
    <t>633716934750</t>
  </si>
  <si>
    <t>735869405030</t>
  </si>
  <si>
    <t>732997491898</t>
  </si>
  <si>
    <t>732996582108</t>
  </si>
  <si>
    <t>732996178110</t>
  </si>
  <si>
    <t>100053835BG</t>
  </si>
  <si>
    <t>192136030003</t>
  </si>
  <si>
    <t>735869731665</t>
  </si>
  <si>
    <t>SHAR CHAMPION "HERITAGE"</t>
  </si>
  <si>
    <t>882925151698</t>
  </si>
  <si>
    <t>MERINO BLEND-POLO SW DRE</t>
  </si>
  <si>
    <t>MERINO WOOL/COTTON</t>
  </si>
  <si>
    <t>840001501089</t>
  </si>
  <si>
    <t>GOLDEN FRIENDS ONE PIECE</t>
  </si>
  <si>
    <t>GFR-603P</t>
  </si>
  <si>
    <t>PILYQ SWIM/PILY Q LLC</t>
  </si>
  <si>
    <t>SELF &amp; LINING: POLYAMIDE/ELASTANE</t>
  </si>
  <si>
    <t>884733980811</t>
  </si>
  <si>
    <t>884733947821</t>
  </si>
  <si>
    <t>791088811885</t>
  </si>
  <si>
    <t>TRANS BEST SELLER</t>
  </si>
  <si>
    <t>F468829</t>
  </si>
  <si>
    <t>BODICE: POLYESTER/SPANDEX; SKIRT: POLYESTER; LINING: POLYESTER</t>
  </si>
  <si>
    <t>191539481481</t>
  </si>
  <si>
    <t>807746663656</t>
  </si>
  <si>
    <t>807746663625</t>
  </si>
  <si>
    <t>807746663649</t>
  </si>
  <si>
    <t>191539408426</t>
  </si>
  <si>
    <t>791088716524</t>
  </si>
  <si>
    <t>CORAL 3D FLOWER DRESS</t>
  </si>
  <si>
    <t>E858889</t>
  </si>
  <si>
    <t>DRESS: RAYON/POLYESTER: LINING/DIAPER COVER: POLYESTER</t>
  </si>
  <si>
    <t>191539408730</t>
  </si>
  <si>
    <t>LIGHT BLUE INV PLEAT W B</t>
  </si>
  <si>
    <t>B58524-PS</t>
  </si>
  <si>
    <t>SHELL: POLYESTER/METALLIC THREADING; LINING, PANTY: POLYESTER</t>
  </si>
  <si>
    <t>791088843930</t>
  </si>
  <si>
    <t>791088808342</t>
  </si>
  <si>
    <t>191539316776</t>
  </si>
  <si>
    <t>191539481542</t>
  </si>
  <si>
    <t>633731402609</t>
  </si>
  <si>
    <t>956303G</t>
  </si>
  <si>
    <t>633716863456</t>
  </si>
  <si>
    <t>TIE-DYE BOARDSHORT SET</t>
  </si>
  <si>
    <t>783580E</t>
  </si>
  <si>
    <t>TANK: COTTON/POLYESTER; SHORT: POLYESTER</t>
  </si>
  <si>
    <t>192042881287</t>
  </si>
  <si>
    <t>791088837274</t>
  </si>
  <si>
    <t>791088837281</t>
  </si>
  <si>
    <t>791088808083</t>
  </si>
  <si>
    <t>791088836802</t>
  </si>
  <si>
    <t>191539476104</t>
  </si>
  <si>
    <t>192609141007</t>
  </si>
  <si>
    <t>FLW LEGGINGS</t>
  </si>
  <si>
    <t>EJ6332</t>
  </si>
  <si>
    <t>192136205685</t>
  </si>
  <si>
    <t>884733927175</t>
  </si>
  <si>
    <t>26/1 JERSEY-SS CN-TOPS-T</t>
  </si>
  <si>
    <t>807746668477</t>
  </si>
  <si>
    <t>617846439514</t>
  </si>
  <si>
    <t>L3R- GIRLFRIEND JEAN</t>
  </si>
  <si>
    <t>414406F</t>
  </si>
  <si>
    <t>COTTON/POLYESTER/VISCOSE/ELASTHANNE</t>
  </si>
  <si>
    <t>617847227370</t>
  </si>
  <si>
    <t>720 HIGH RISE SUPER SKIN</t>
  </si>
  <si>
    <t>414691F</t>
  </si>
  <si>
    <t>192136239291</t>
  </si>
  <si>
    <t>9328846208</t>
  </si>
  <si>
    <t>191539490964</t>
  </si>
  <si>
    <t>REINDEER STRIPED SET</t>
  </si>
  <si>
    <t>X59137-PL</t>
  </si>
  <si>
    <t>TOP &amp; LEGGINGS: COTTON/SPANDEX; FLEECE: POLYESTER</t>
  </si>
  <si>
    <t>191539481658</t>
  </si>
  <si>
    <t>191539433787</t>
  </si>
  <si>
    <t>191539440204</t>
  </si>
  <si>
    <t>191539461018</t>
  </si>
  <si>
    <t>191539483829</t>
  </si>
  <si>
    <t>633716922375</t>
  </si>
  <si>
    <t>193579127916</t>
  </si>
  <si>
    <t>191539442260</t>
  </si>
  <si>
    <t>192609195116</t>
  </si>
  <si>
    <t>192399794124</t>
  </si>
  <si>
    <t>192399794117</t>
  </si>
  <si>
    <t>756998891273</t>
  </si>
  <si>
    <t>884733853832</t>
  </si>
  <si>
    <t>192810207608</t>
  </si>
  <si>
    <t>192501009375</t>
  </si>
  <si>
    <t>192500028926</t>
  </si>
  <si>
    <t>192136225591</t>
  </si>
  <si>
    <t>791088845439</t>
  </si>
  <si>
    <t>791088827367</t>
  </si>
  <si>
    <t>GRAY LS SWEATER WITH PLA</t>
  </si>
  <si>
    <t>F869559</t>
  </si>
  <si>
    <t>TOP: RAYON/POLYESTER/SPANDEX; LINING &amp; MESH: POLYESTER; LEGGINGS: COTTON/SPANDEX</t>
  </si>
  <si>
    <t>791088827374</t>
  </si>
  <si>
    <t>791088827350</t>
  </si>
  <si>
    <t>791088819041</t>
  </si>
  <si>
    <t>791088819058</t>
  </si>
  <si>
    <t>791088819034</t>
  </si>
  <si>
    <t>617847634192</t>
  </si>
  <si>
    <t>633716754204</t>
  </si>
  <si>
    <t>RUFFLE TANK &amp; SHORT SET</t>
  </si>
  <si>
    <t>36E485G</t>
  </si>
  <si>
    <t>192135623015</t>
  </si>
  <si>
    <t>S19 C3 STRP SHORTALL</t>
  </si>
  <si>
    <t>T-SHIRT: COTTON; SHORTALLS: COTTON/ELASTANE</t>
  </si>
  <si>
    <t>192136225652</t>
  </si>
  <si>
    <t>192136225676</t>
  </si>
  <si>
    <t>192136225638</t>
  </si>
  <si>
    <t>192136229742</t>
  </si>
  <si>
    <t>192136228097</t>
  </si>
  <si>
    <t>192136235453</t>
  </si>
  <si>
    <t>COLLECTION 2 WHITE SET</t>
  </si>
  <si>
    <t>732995297515</t>
  </si>
  <si>
    <t>SAND MOTO JOGGER</t>
  </si>
  <si>
    <t>100046868BO</t>
  </si>
  <si>
    <t>193579018771</t>
  </si>
  <si>
    <t>MAGE COLORBLOCK SPORT SHO</t>
  </si>
  <si>
    <t>35G35205-64</t>
  </si>
  <si>
    <t>791088815746</t>
  </si>
  <si>
    <t>791088815777</t>
  </si>
  <si>
    <t>192399970085</t>
  </si>
  <si>
    <t>842332106049</t>
  </si>
  <si>
    <t>SLEEPING BAG</t>
  </si>
  <si>
    <t>S258</t>
  </si>
  <si>
    <t>M-T</t>
  </si>
  <si>
    <t>880680459936</t>
  </si>
  <si>
    <t>880680459790</t>
  </si>
  <si>
    <t>617845920709</t>
  </si>
  <si>
    <t>732997336649</t>
  </si>
  <si>
    <t>DRAMA FUR VEST SET</t>
  </si>
  <si>
    <t>100062979BG</t>
  </si>
  <si>
    <t>TOP/LEGGINGS: COTTON/SPANDEX; FAUX FUR: POLYESTER; VEST LINING: COTTON; TULLE/BOW: POLYESTER</t>
  </si>
  <si>
    <t>732997336717</t>
  </si>
  <si>
    <t>732997336700</t>
  </si>
  <si>
    <t>193145106390</t>
  </si>
  <si>
    <t>193145106413</t>
  </si>
  <si>
    <t>193145106420</t>
  </si>
  <si>
    <t>732997336748</t>
  </si>
  <si>
    <t>192135557082</t>
  </si>
  <si>
    <t>192769049632</t>
  </si>
  <si>
    <t>880680633909</t>
  </si>
  <si>
    <t>CKSBG-2072</t>
  </si>
  <si>
    <t>3G52672-99</t>
  </si>
  <si>
    <t>TANK: COTTON/POLYESTER; BOARD SHORTS: POLYESTER</t>
  </si>
  <si>
    <t>880680628318</t>
  </si>
  <si>
    <t>884411366098</t>
  </si>
  <si>
    <t>884411366111</t>
  </si>
  <si>
    <t>732996584829</t>
  </si>
  <si>
    <t>FLORAL TWILL SHORT</t>
  </si>
  <si>
    <t>100061186LB</t>
  </si>
  <si>
    <t>191539424990</t>
  </si>
  <si>
    <t>191539425027</t>
  </si>
  <si>
    <t>191539425010</t>
  </si>
  <si>
    <t>192136011675</t>
  </si>
  <si>
    <t>WOVEN SETF19 BPW IVORY P</t>
  </si>
  <si>
    <t>192136180487</t>
  </si>
  <si>
    <t>192136180517</t>
  </si>
  <si>
    <t>192136233947</t>
  </si>
  <si>
    <t>193579316068</t>
  </si>
  <si>
    <t>HAPPY HEART TEE</t>
  </si>
  <si>
    <t>TGFCA11V-469</t>
  </si>
  <si>
    <t>192042807522</t>
  </si>
  <si>
    <t>SS PERFORMANCE POLO</t>
  </si>
  <si>
    <t>NUFBB121-430</t>
  </si>
  <si>
    <t>36X37</t>
  </si>
  <si>
    <t>732997383919</t>
  </si>
  <si>
    <t>191539444219</t>
  </si>
  <si>
    <t>732996174303</t>
  </si>
  <si>
    <t>DINO SHORTALL SET BASIC</t>
  </si>
  <si>
    <t>100053812BG</t>
  </si>
  <si>
    <t>735869405757</t>
  </si>
  <si>
    <t>C8523R</t>
  </si>
  <si>
    <t>756845987395</t>
  </si>
  <si>
    <t>732995104196</t>
  </si>
  <si>
    <t>732996174747</t>
  </si>
  <si>
    <t>883953728739</t>
  </si>
  <si>
    <t>732996985008</t>
  </si>
  <si>
    <t>732996985039</t>
  </si>
  <si>
    <t>193579315924</t>
  </si>
  <si>
    <t>TGFCA11P-469</t>
  </si>
  <si>
    <t>193579315931</t>
  </si>
  <si>
    <t>633716882532</t>
  </si>
  <si>
    <t>GEOMETRIC 360 SWOOSH S/S</t>
  </si>
  <si>
    <t>86E948G</t>
  </si>
  <si>
    <t>633731109423</t>
  </si>
  <si>
    <t>192135977347</t>
  </si>
  <si>
    <t>192135977026</t>
  </si>
  <si>
    <t>192135977828</t>
  </si>
  <si>
    <t>1 PCF19 G 1 PC PINK RUFF</t>
  </si>
  <si>
    <t>192136053262</t>
  </si>
  <si>
    <t>192136066583</t>
  </si>
  <si>
    <t>F19 PURPLE DINO TOP</t>
  </si>
  <si>
    <t>192136066590</t>
  </si>
  <si>
    <t>192136066576</t>
  </si>
  <si>
    <t>192136082224</t>
  </si>
  <si>
    <t>732997491843</t>
  </si>
  <si>
    <t>192136214472</t>
  </si>
  <si>
    <t>732997307106</t>
  </si>
  <si>
    <t>732997489666</t>
  </si>
  <si>
    <t>192136035152</t>
  </si>
  <si>
    <t>F19 GIRAFFE TOP</t>
  </si>
  <si>
    <t>192136030164</t>
  </si>
  <si>
    <t>F19 PURPLE LOVE TIE TOP</t>
  </si>
  <si>
    <t>696114340431</t>
  </si>
  <si>
    <t>696114340646</t>
  </si>
  <si>
    <t>696114340639</t>
  </si>
  <si>
    <t>726895238938</t>
  </si>
  <si>
    <t>726895238969</t>
  </si>
  <si>
    <t>726895238914</t>
  </si>
  <si>
    <t>732996525747</t>
  </si>
  <si>
    <t>100054247GR</t>
  </si>
  <si>
    <t>732997491928</t>
  </si>
  <si>
    <t>732997307014</t>
  </si>
  <si>
    <t>732997306994</t>
  </si>
  <si>
    <t>732997489611</t>
  </si>
  <si>
    <t>46094542583</t>
  </si>
  <si>
    <t>PLAYGROUND PAL ANIMAL BASIC</t>
  </si>
  <si>
    <t>M3150</t>
  </si>
  <si>
    <t>PLAYGROUND PALS/DELTA GALIL GIRLS</t>
  </si>
  <si>
    <t>732995697995</t>
  </si>
  <si>
    <t>732996126913</t>
  </si>
  <si>
    <t>HEART OPP ROMPER</t>
  </si>
  <si>
    <t>100057017LG</t>
  </si>
  <si>
    <t>192136041115</t>
  </si>
  <si>
    <t>732996009094</t>
  </si>
  <si>
    <t>192136218562</t>
  </si>
  <si>
    <t>192136218609</t>
  </si>
  <si>
    <t>735869731689</t>
  </si>
  <si>
    <t>732995194982</t>
  </si>
  <si>
    <t>732997490112</t>
  </si>
  <si>
    <t>732994939034</t>
  </si>
  <si>
    <t>732996960531</t>
  </si>
  <si>
    <t>732995579703</t>
  </si>
  <si>
    <t>732997340356</t>
  </si>
  <si>
    <t>732995798395</t>
  </si>
  <si>
    <t>732997481936</t>
  </si>
  <si>
    <t>732996240756</t>
  </si>
  <si>
    <t>MONKEY TEE BASIC</t>
  </si>
  <si>
    <t>100053744BB</t>
  </si>
  <si>
    <t>732997342435</t>
  </si>
  <si>
    <t>732997489987</t>
  </si>
  <si>
    <t>732997489970</t>
  </si>
  <si>
    <t>622363681049</t>
  </si>
  <si>
    <t>CHARCOAL STRIPE NESTED J</t>
  </si>
  <si>
    <t>BLAY11KB0000</t>
  </si>
  <si>
    <t>884733856390</t>
  </si>
  <si>
    <t>LIGHT WEIGHT TERRY-BSBAL</t>
  </si>
  <si>
    <t>627736330456</t>
  </si>
  <si>
    <t>884733980842</t>
  </si>
  <si>
    <t>885031352713</t>
  </si>
  <si>
    <t>COTTON-FIT N FLAR-DRESSE</t>
  </si>
  <si>
    <t>884733855614</t>
  </si>
  <si>
    <t>BASIC MESH-NOVELTY CVRL-</t>
  </si>
  <si>
    <t>885031359132</t>
  </si>
  <si>
    <t>884733810453</t>
  </si>
  <si>
    <t>YD MADRAS-LS BD-TOPS-SHI</t>
  </si>
  <si>
    <t>791088803668</t>
  </si>
  <si>
    <t>EMBROIDERED ILLUSION TOP</t>
  </si>
  <si>
    <t>F468859</t>
  </si>
  <si>
    <t>193579207236</t>
  </si>
  <si>
    <t>192504229459</t>
  </si>
  <si>
    <t>TROPICAL GETAWAY CROP TO</t>
  </si>
  <si>
    <t>ERLX203079</t>
  </si>
  <si>
    <t>MED YELLOW</t>
  </si>
  <si>
    <t>4 REG</t>
  </si>
  <si>
    <t>NYLON/ELASTANE</t>
  </si>
  <si>
    <t>791088818068</t>
  </si>
  <si>
    <t>791088818082</t>
  </si>
  <si>
    <t>191539491572</t>
  </si>
  <si>
    <t>191539408518</t>
  </si>
  <si>
    <t>791088770199</t>
  </si>
  <si>
    <t>191539479501</t>
  </si>
  <si>
    <t>BLACK WITH PLAID SKIRT A</t>
  </si>
  <si>
    <t>X59078-PS</t>
  </si>
  <si>
    <t>BODICE: POLYESTER/SPANDEX; SKIRT/BAND/FLOWERS: POLYESTER/METALLIC THREADING; LINING &amp; DIAPER COVER: POLYESTER</t>
  </si>
  <si>
    <t>192136217107</t>
  </si>
  <si>
    <t>884733898789</t>
  </si>
  <si>
    <t>617844455417</t>
  </si>
  <si>
    <t>880680585642</t>
  </si>
  <si>
    <t>MARLED SPACE DYE POLO</t>
  </si>
  <si>
    <t>35G64114-01</t>
  </si>
  <si>
    <t>193579205065</t>
  </si>
  <si>
    <t>191539444844</t>
  </si>
  <si>
    <t>732997343432</t>
  </si>
  <si>
    <t>732997343425</t>
  </si>
  <si>
    <t>192564484560</t>
  </si>
  <si>
    <t>192504192470</t>
  </si>
  <si>
    <t>NIGHT JUNGLE ZIG ZAG</t>
  </si>
  <si>
    <t>ERGKD03096</t>
  </si>
  <si>
    <t>791088818983</t>
  </si>
  <si>
    <t>617847634222</t>
  </si>
  <si>
    <t>617847634253</t>
  </si>
  <si>
    <t>617846958787</t>
  </si>
  <si>
    <t>DF CROSSDYE SPORT ROMPER</t>
  </si>
  <si>
    <t>36E444G</t>
  </si>
  <si>
    <t>889799636559</t>
  </si>
  <si>
    <t>732994663939</t>
  </si>
  <si>
    <t>193149884812</t>
  </si>
  <si>
    <t>880680582337</t>
  </si>
  <si>
    <t>193579422752</t>
  </si>
  <si>
    <t>193579422639</t>
  </si>
  <si>
    <t>9328165156</t>
  </si>
  <si>
    <t>190444518794</t>
  </si>
  <si>
    <t>888737796966</t>
  </si>
  <si>
    <t>ROSE TWEEN</t>
  </si>
  <si>
    <t>CS180564</t>
  </si>
  <si>
    <t>GLITTER POLYURETHANE</t>
  </si>
  <si>
    <t>192135400012</t>
  </si>
  <si>
    <t>S19 CARDI SET PINK BUNNY</t>
  </si>
  <si>
    <t>192135974575</t>
  </si>
  <si>
    <t>BSW 2PC GREY SPORTS</t>
  </si>
  <si>
    <t>TOP: COTTON; PANTS: POLYESTER</t>
  </si>
  <si>
    <t>48238369735</t>
  </si>
  <si>
    <t>617847270833</t>
  </si>
  <si>
    <t>HALEY MAY LEGGING BASIC</t>
  </si>
  <si>
    <t>3M4286F</t>
  </si>
  <si>
    <t>191539361530</t>
  </si>
  <si>
    <t>SLEEVELESS SHEER W/COLOR</t>
  </si>
  <si>
    <t>S28107-RV</t>
  </si>
  <si>
    <t>ROMPER AND LINING: POLYESTER</t>
  </si>
  <si>
    <t>617847270819</t>
  </si>
  <si>
    <t>193579422981</t>
  </si>
  <si>
    <t>193579103910</t>
  </si>
  <si>
    <t>2PC NAVY/PINK STRIPES LS</t>
  </si>
  <si>
    <t>11H22609-99</t>
  </si>
  <si>
    <t>192136011965</t>
  </si>
  <si>
    <t>F19 BPW RACCOON HD SET</t>
  </si>
  <si>
    <t>192769049656</t>
  </si>
  <si>
    <t>192136180104</t>
  </si>
  <si>
    <t>F19 SCARY CUTE HW SET</t>
  </si>
  <si>
    <t>BODY: COTTON; HEM: POLYESTER; LEGGINGS: COTTON/ELASTANE</t>
  </si>
  <si>
    <t>9328392156</t>
  </si>
  <si>
    <t>810119F</t>
  </si>
  <si>
    <t>191603943570</t>
  </si>
  <si>
    <t>735869786610</t>
  </si>
  <si>
    <t>OXFH CHAMPION ACTIVE JOGG</t>
  </si>
  <si>
    <t>C8751R</t>
  </si>
  <si>
    <t>617847621307</t>
  </si>
  <si>
    <t>192136106708</t>
  </si>
  <si>
    <t>F19 MUSTARD JEGGING SET</t>
  </si>
  <si>
    <t>TOP: COTTON/ELASTANE; LEGGINGS: COTTON/POLYESTER/ELASTANE</t>
  </si>
  <si>
    <t>889338920040</t>
  </si>
  <si>
    <t>F18 MAROON RUFFLE TOP NA</t>
  </si>
  <si>
    <t>259G743</t>
  </si>
  <si>
    <t>193149777992</t>
  </si>
  <si>
    <t>193149881989</t>
  </si>
  <si>
    <t>192399963872</t>
  </si>
  <si>
    <t>192810592285</t>
  </si>
  <si>
    <t>880680579931</t>
  </si>
  <si>
    <t>192399965593</t>
  </si>
  <si>
    <t>193579182502</t>
  </si>
  <si>
    <t>886524094035</t>
  </si>
  <si>
    <t>886524094127</t>
  </si>
  <si>
    <t>193579113506</t>
  </si>
  <si>
    <t>191539424983</t>
  </si>
  <si>
    <t>193579111564</t>
  </si>
  <si>
    <t>193579113537</t>
  </si>
  <si>
    <t>193579182519</t>
  </si>
  <si>
    <t>887622579660</t>
  </si>
  <si>
    <t>BLU/BLK EXCAVATOR SET</t>
  </si>
  <si>
    <t>10F72624-99</t>
  </si>
  <si>
    <t>193579182489</t>
  </si>
  <si>
    <t>192136178262</t>
  </si>
  <si>
    <t>192135490822</t>
  </si>
  <si>
    <t>S19 BLACK AND WHITE MIXE</t>
  </si>
  <si>
    <t>239G876</t>
  </si>
  <si>
    <t>191539225634</t>
  </si>
  <si>
    <t>W67026-SL</t>
  </si>
  <si>
    <t>192135497715</t>
  </si>
  <si>
    <t>S19 DCS PINK BEAR</t>
  </si>
  <si>
    <t>46094846322</t>
  </si>
  <si>
    <t>732996584669</t>
  </si>
  <si>
    <t>689439317349</t>
  </si>
  <si>
    <t>633716871529</t>
  </si>
  <si>
    <t>STRIP WORDMARK STRIPED T</t>
  </si>
  <si>
    <t>969504E</t>
  </si>
  <si>
    <t>880680484983</t>
  </si>
  <si>
    <t>BLU/MINT 2PC PLAID SET</t>
  </si>
  <si>
    <t>10G72651-99</t>
  </si>
  <si>
    <t>46094831755</t>
  </si>
  <si>
    <t>732997383926</t>
  </si>
  <si>
    <t>690691021387</t>
  </si>
  <si>
    <t>UNICORN HEAT SEAL TEE</t>
  </si>
  <si>
    <t>7453440K8522</t>
  </si>
  <si>
    <t>735869350699</t>
  </si>
  <si>
    <t>78715822095</t>
  </si>
  <si>
    <t>640013450951</t>
  </si>
  <si>
    <t>INDI DIEGO STRIPE</t>
  </si>
  <si>
    <t>UB2171299</t>
  </si>
  <si>
    <t>192170275491</t>
  </si>
  <si>
    <t>192136153818</t>
  </si>
  <si>
    <t>CARDIF19 G CARDI BLUE</t>
  </si>
  <si>
    <t>735869351115</t>
  </si>
  <si>
    <t>C8526R</t>
  </si>
  <si>
    <t>735869405795</t>
  </si>
  <si>
    <t>738386347197</t>
  </si>
  <si>
    <t>SILVER GLITTER DRESS</t>
  </si>
  <si>
    <t>8494H1</t>
  </si>
  <si>
    <t>BODICE, SLEEVES: POLYESTER/SPANDEX; SKIRT, LINING: POLYESTER</t>
  </si>
  <si>
    <t>735869404613</t>
  </si>
  <si>
    <t>192135507926</t>
  </si>
  <si>
    <t>S19 BSPS BUNNY STRIPE</t>
  </si>
  <si>
    <t>192135509869</t>
  </si>
  <si>
    <t>S19 BSPS CHEETAH HEART</t>
  </si>
  <si>
    <t>633716882556</t>
  </si>
  <si>
    <t>640013645876</t>
  </si>
  <si>
    <t>RADIATOR NAP CHAMBRAY</t>
  </si>
  <si>
    <t>UB1191458</t>
  </si>
  <si>
    <t>192136045106</t>
  </si>
  <si>
    <t>F19 BPW CAR PRINT HENLEY</t>
  </si>
  <si>
    <t>192136054986</t>
  </si>
  <si>
    <t>F19 LIVE COLORFULLY TEE</t>
  </si>
  <si>
    <t>735869408840</t>
  </si>
  <si>
    <t>192136224549</t>
  </si>
  <si>
    <t>192136223627</t>
  </si>
  <si>
    <t>BSW 2PC MUMMY</t>
  </si>
  <si>
    <t>735869467137</t>
  </si>
  <si>
    <t>WOVEN SHORT</t>
  </si>
  <si>
    <t>7501CM</t>
  </si>
  <si>
    <t>883953232335</t>
  </si>
  <si>
    <t>Ivor VINTAGE ROSE GOWN/HA</t>
  </si>
  <si>
    <t>L654324</t>
  </si>
  <si>
    <t>735869467120</t>
  </si>
  <si>
    <t>732997425596</t>
  </si>
  <si>
    <t>BOW JEAN</t>
  </si>
  <si>
    <t>100063712BG</t>
  </si>
  <si>
    <t>192135637388</t>
  </si>
  <si>
    <t>S19 CHAMBRAY TWILL SHORT</t>
  </si>
  <si>
    <t>258H246</t>
  </si>
  <si>
    <t>192136030171</t>
  </si>
  <si>
    <t>192136030188</t>
  </si>
  <si>
    <t>192136031215</t>
  </si>
  <si>
    <t>608356142742</t>
  </si>
  <si>
    <t>608356142582</t>
  </si>
  <si>
    <t>192136324584</t>
  </si>
  <si>
    <t>608356142759</t>
  </si>
  <si>
    <t>883953127464</t>
  </si>
  <si>
    <t>EDV PINK FROG FRIENDS FBASIC</t>
  </si>
  <si>
    <t>L657311</t>
  </si>
  <si>
    <t>732996245638</t>
  </si>
  <si>
    <t>732997491881</t>
  </si>
  <si>
    <t>732997307007</t>
  </si>
  <si>
    <t>192135582978</t>
  </si>
  <si>
    <t>S19 1PC PINK LACE</t>
  </si>
  <si>
    <t>732997489635</t>
  </si>
  <si>
    <t>732996582115</t>
  </si>
  <si>
    <t>732996582122</t>
  </si>
  <si>
    <t>682875526726</t>
  </si>
  <si>
    <t>TWILL SOLID</t>
  </si>
  <si>
    <t>81K62238</t>
  </si>
  <si>
    <t>192136077664</t>
  </si>
  <si>
    <t>F19 BPW FIRETRUCK TEE</t>
  </si>
  <si>
    <t>640013539670</t>
  </si>
  <si>
    <t>BOYS SS NATURE</t>
  </si>
  <si>
    <t>UB218474</t>
  </si>
  <si>
    <t>732996123301</t>
  </si>
  <si>
    <t>SOLID TIERED SKIRT</t>
  </si>
  <si>
    <t>100061122LG</t>
  </si>
  <si>
    <t>COTTON/POLYESTER/SPANDEX; LINING: POLYESTER</t>
  </si>
  <si>
    <t>191603614678</t>
  </si>
  <si>
    <t>GAME SKILLS</t>
  </si>
  <si>
    <t>1TJBTAT4175</t>
  </si>
  <si>
    <t>BEIGE</t>
  </si>
  <si>
    <t>191603768357</t>
  </si>
  <si>
    <t>192136041146</t>
  </si>
  <si>
    <t>192136041689</t>
  </si>
  <si>
    <t>F19 UNICORN LEGGING</t>
  </si>
  <si>
    <t>732996526591</t>
  </si>
  <si>
    <t>192136041672</t>
  </si>
  <si>
    <t>735869407195</t>
  </si>
  <si>
    <t>732997547021</t>
  </si>
  <si>
    <t>732997547120</t>
  </si>
  <si>
    <t>732996128412</t>
  </si>
  <si>
    <t>100061123LG</t>
  </si>
  <si>
    <t>732996128436</t>
  </si>
  <si>
    <t>732997406663</t>
  </si>
  <si>
    <t>735869731924</t>
  </si>
  <si>
    <t>735869350156</t>
  </si>
  <si>
    <t>LOGO C TEE WITH</t>
  </si>
  <si>
    <t>732996985749</t>
  </si>
  <si>
    <t>732996985756</t>
  </si>
  <si>
    <t>732995489378</t>
  </si>
  <si>
    <t>732996989587</t>
  </si>
  <si>
    <t>732997354308</t>
  </si>
  <si>
    <t>T SIDE RUFFLE LEGGIN</t>
  </si>
  <si>
    <t>100063965TG</t>
  </si>
  <si>
    <t>732997490082</t>
  </si>
  <si>
    <t>732997204429</t>
  </si>
  <si>
    <t>732997490648</t>
  </si>
  <si>
    <t>732997340776</t>
  </si>
  <si>
    <t>BEAUTIFUL PEPLUM</t>
  </si>
  <si>
    <t>100063957BG</t>
  </si>
  <si>
    <t>732996280257</t>
  </si>
  <si>
    <t>732997347492</t>
  </si>
  <si>
    <t>732996280042</t>
  </si>
  <si>
    <t>732995159257</t>
  </si>
  <si>
    <t>732997339596</t>
  </si>
  <si>
    <t>BUNNY TEE</t>
  </si>
  <si>
    <t>100063953BG</t>
  </si>
  <si>
    <t>732996240732</t>
  </si>
  <si>
    <t>732996240718</t>
  </si>
  <si>
    <t>732996240725</t>
  </si>
  <si>
    <t>732997343005</t>
  </si>
  <si>
    <t>732997489994</t>
  </si>
  <si>
    <t>732997489963</t>
  </si>
  <si>
    <t>732996212333</t>
  </si>
  <si>
    <t>636193159302</t>
  </si>
  <si>
    <t>GIRL REINDEER PLUSH</t>
  </si>
  <si>
    <t>100029798BG</t>
  </si>
  <si>
    <t>MAIN BODY: COTTON/POLYESTER/ELASTANE; FAUX SHERPA: POLYESTER; ANTLERS: COTTON/SPANDEX</t>
  </si>
  <si>
    <t>192170035071</t>
  </si>
  <si>
    <t>192136030393</t>
  </si>
  <si>
    <t>791088671724</t>
  </si>
  <si>
    <t>BLUSH MESH ILLUSION</t>
  </si>
  <si>
    <t>E454239</t>
  </si>
  <si>
    <t>POLYESTER; EXCLUSIVE OF DECORATION</t>
  </si>
  <si>
    <t>791088671731</t>
  </si>
  <si>
    <t>791088671748</t>
  </si>
  <si>
    <t>887999511409</t>
  </si>
  <si>
    <t>KCREACT 2015 Q1Q2 -</t>
  </si>
  <si>
    <t>KIDCLUB</t>
  </si>
  <si>
    <t>5.5 M</t>
  </si>
  <si>
    <t>736576077770</t>
  </si>
  <si>
    <t>736576076704</t>
  </si>
  <si>
    <t>885031352720</t>
  </si>
  <si>
    <t>809115482691</t>
  </si>
  <si>
    <t>IVOR CAP SLEEVE LACE BODI</t>
  </si>
  <si>
    <t>LF-1017-L</t>
  </si>
  <si>
    <t>DRESS/LINING: POLYESTER; LACE: NYLON/SPANDEX</t>
  </si>
  <si>
    <t>809115482684</t>
  </si>
  <si>
    <t>759448261121</t>
  </si>
  <si>
    <t>TINY FLEX BL</t>
  </si>
  <si>
    <t>TINYFLEX</t>
  </si>
  <si>
    <t>192564554935</t>
  </si>
  <si>
    <t>TOUR TIPS STRIPE POLO</t>
  </si>
  <si>
    <t>193579424183</t>
  </si>
  <si>
    <t>882506834972</t>
  </si>
  <si>
    <t>BEDGPZ6W0001</t>
  </si>
  <si>
    <t>885854726258</t>
  </si>
  <si>
    <t>791088840939</t>
  </si>
  <si>
    <t>193579412272</t>
  </si>
  <si>
    <t>DIAMOND QUILTED BARN</t>
  </si>
  <si>
    <t>61F06005</t>
  </si>
  <si>
    <t>889604011038</t>
  </si>
  <si>
    <t>OXFORD-SLD OXFD SHRT BASIC</t>
  </si>
  <si>
    <t>192500437827</t>
  </si>
  <si>
    <t>G NSW LGGNG FAVORITE</t>
  </si>
  <si>
    <t>193146760720</t>
  </si>
  <si>
    <t>192500033548</t>
  </si>
  <si>
    <t>192504410932</t>
  </si>
  <si>
    <t>ROXY SHORE ATHLETIC SET</t>
  </si>
  <si>
    <t>ERGX203240</t>
  </si>
  <si>
    <t>887622627705</t>
  </si>
  <si>
    <t>3PC FAUX FUR VEST SET</t>
  </si>
  <si>
    <t>3F00623-99</t>
  </si>
  <si>
    <t>TOP: COTTON/POLYESTER, LEGGINGS: COTTON/POLYESTER/SPANDEX, VEST: POLYESTER FAUX FUR, LINING: COTTON/POLYESTER</t>
  </si>
  <si>
    <t>193579294380</t>
  </si>
  <si>
    <t>TBFCB27J-100</t>
  </si>
  <si>
    <t>791088837229</t>
  </si>
  <si>
    <t>886066036937</t>
  </si>
  <si>
    <t>884733810804</t>
  </si>
  <si>
    <t>807746668514</t>
  </si>
  <si>
    <t>192136237280</t>
  </si>
  <si>
    <t>COLLECTION 2 OVERALL SET</t>
  </si>
  <si>
    <t>192810462908</t>
  </si>
  <si>
    <t>617844807926</t>
  </si>
  <si>
    <t>DK S 4-7 505 DARK SKYSTRAGHT</t>
  </si>
  <si>
    <t>8R5505F</t>
  </si>
  <si>
    <t>192614766592</t>
  </si>
  <si>
    <t>TREFOIL TREE MARBLE LOGO</t>
  </si>
  <si>
    <t>EK5582</t>
  </si>
  <si>
    <t>884733894385</t>
  </si>
  <si>
    <t>617844253518</t>
  </si>
  <si>
    <t>AOP DRY SHORT</t>
  </si>
  <si>
    <t>86F145G</t>
  </si>
  <si>
    <t>886061546158</t>
  </si>
  <si>
    <t>791088799596</t>
  </si>
  <si>
    <t>791088776023</t>
  </si>
  <si>
    <t>RED TO FLORAL PRINT</t>
  </si>
  <si>
    <t>F855339</t>
  </si>
  <si>
    <t>TOP: COTTON/POLYESTER/SPANDEX; LEGGINGS: COTTON/POLYESTER/SPANDEX</t>
  </si>
  <si>
    <t>732996573571</t>
  </si>
  <si>
    <t>192136227816</t>
  </si>
  <si>
    <t>636193078276</t>
  </si>
  <si>
    <t>192136226284</t>
  </si>
  <si>
    <t>633716853082</t>
  </si>
  <si>
    <t>732997489765</t>
  </si>
  <si>
    <t>633716924720</t>
  </si>
  <si>
    <t>880680479194</t>
  </si>
  <si>
    <t>193579296049</t>
  </si>
  <si>
    <t>TBFCA19J-004</t>
  </si>
  <si>
    <t>193579295233</t>
  </si>
  <si>
    <t>TBFCA05J-004</t>
  </si>
  <si>
    <t>192810466715</t>
  </si>
  <si>
    <t>BEEN THERE WON THAT SHOR</t>
  </si>
  <si>
    <t>193579105334</t>
  </si>
  <si>
    <t>2PC FUSHIA PINK TUNIC SS</t>
  </si>
  <si>
    <t>11H22665-99</t>
  </si>
  <si>
    <t>TOP: COTTON/POLYESTER; /LEGGINGS: COTTON/POLYESTER/SPANDEX</t>
  </si>
  <si>
    <t>193579107253</t>
  </si>
  <si>
    <t>738994600950</t>
  </si>
  <si>
    <t>RKWBH2JWO</t>
  </si>
  <si>
    <t>192503459420</t>
  </si>
  <si>
    <t>193579317560</t>
  </si>
  <si>
    <t>THD TEE</t>
  </si>
  <si>
    <t>TGFCA16V-550</t>
  </si>
  <si>
    <t>191886655979</t>
  </si>
  <si>
    <t>B NSW TEE DT SHOEBOX JDI</t>
  </si>
  <si>
    <t>AA8780</t>
  </si>
  <si>
    <t>192500448489</t>
  </si>
  <si>
    <t>B NSW TEE NIKE BLOCK</t>
  </si>
  <si>
    <t>689439122172</t>
  </si>
  <si>
    <t>888822007038</t>
  </si>
  <si>
    <t>FRENCH TERRY PUMA SHORTS</t>
  </si>
  <si>
    <t>191539139542</t>
  </si>
  <si>
    <t>SLEEVELESS PRNTD CREPE D</t>
  </si>
  <si>
    <t>S32926-RS</t>
  </si>
  <si>
    <t>ROMPER: POLYESTER/SPANDEX; VENISE LACE: COTTON/NYLON; LINING: POLYESTER</t>
  </si>
  <si>
    <t>884733900031</t>
  </si>
  <si>
    <t>JERSEY-LS CN-TOPS-T-SHIR</t>
  </si>
  <si>
    <t>192136112785</t>
  </si>
  <si>
    <t>192136110620</t>
  </si>
  <si>
    <t>47852266055</t>
  </si>
  <si>
    <t>193585025077</t>
  </si>
  <si>
    <t>47852266130</t>
  </si>
  <si>
    <t>WHIT MINI ME SPECIAL OP -</t>
  </si>
  <si>
    <t>B62429BPK2</t>
  </si>
  <si>
    <t>POLO RALPH LAUREN-HOT SOX BOYS</t>
  </si>
  <si>
    <t>9328753704</t>
  </si>
  <si>
    <t>192135574263</t>
  </si>
  <si>
    <t>S19 NETRL 2PK GREY PNT</t>
  </si>
  <si>
    <t>ALL: ORGANIC COTTON</t>
  </si>
  <si>
    <t>192136010920</t>
  </si>
  <si>
    <t>732997559550</t>
  </si>
  <si>
    <t>17149833802</t>
  </si>
  <si>
    <t>880680222035</t>
  </si>
  <si>
    <t>WHT/BLK 2PC TANK SET</t>
  </si>
  <si>
    <t>3G72077-99</t>
  </si>
  <si>
    <t>732995989458</t>
  </si>
  <si>
    <t>617846741969</t>
  </si>
  <si>
    <t>9328729174</t>
  </si>
  <si>
    <t>WVN SHORT</t>
  </si>
  <si>
    <t>327358G</t>
  </si>
  <si>
    <t>735869405085</t>
  </si>
  <si>
    <t>735869366935</t>
  </si>
  <si>
    <t>633716882570</t>
  </si>
  <si>
    <t>192503446505</t>
  </si>
  <si>
    <t>192503446550</t>
  </si>
  <si>
    <t>RKBBS26TD</t>
  </si>
  <si>
    <t>192503446222</t>
  </si>
  <si>
    <t>P2 CREW</t>
  </si>
  <si>
    <t>RKCNS2N3H</t>
  </si>
  <si>
    <t>732995031683</t>
  </si>
  <si>
    <t>43935706784</t>
  </si>
  <si>
    <t>P31 BOYS DYED BXR BR</t>
  </si>
  <si>
    <t>MC74P4</t>
  </si>
  <si>
    <t>617846742591</t>
  </si>
  <si>
    <t>CHECKLIST AOP HIGH CREW</t>
  </si>
  <si>
    <t>XJ0091G</t>
  </si>
  <si>
    <t>23616389161</t>
  </si>
  <si>
    <t>47852259408</t>
  </si>
  <si>
    <t>ICON STRIPE 3 PK</t>
  </si>
  <si>
    <t>B61181IPK</t>
  </si>
  <si>
    <t>18-24 MOS</t>
  </si>
  <si>
    <t>POLO RALPH LAUREN/HOT SOX CO INC</t>
  </si>
  <si>
    <t>696114340424</t>
  </si>
  <si>
    <t>696114340448</t>
  </si>
  <si>
    <t>696114340325</t>
  </si>
  <si>
    <t>608356142353</t>
  </si>
  <si>
    <t>192136092438</t>
  </si>
  <si>
    <t>F19 BPW ROBOT TEE</t>
  </si>
  <si>
    <t>735869409625</t>
  </si>
  <si>
    <t>C5544M</t>
  </si>
  <si>
    <t>732995984781</t>
  </si>
  <si>
    <t>46094542569</t>
  </si>
  <si>
    <t>46094542552</t>
  </si>
  <si>
    <t>732995136845</t>
  </si>
  <si>
    <t>192136357391</t>
  </si>
  <si>
    <t>F19 BLK PINK HEART LEG</t>
  </si>
  <si>
    <t>732995579802</t>
  </si>
  <si>
    <t>STRAWBERRY ONE PIECE BASIC</t>
  </si>
  <si>
    <t>100043420BG</t>
  </si>
  <si>
    <t>192136077671</t>
  </si>
  <si>
    <t>732995035124</t>
  </si>
  <si>
    <t>8 INCH FLAMINGO</t>
  </si>
  <si>
    <t>192135495674</t>
  </si>
  <si>
    <t>S19 DENIM LEGGING</t>
  </si>
  <si>
    <t>258H200</t>
  </si>
  <si>
    <t>732997547052</t>
  </si>
  <si>
    <t>732997406700</t>
  </si>
  <si>
    <t>T FOX KNEE JOGGER</t>
  </si>
  <si>
    <t>100064416TB</t>
  </si>
  <si>
    <t>732994956130</t>
  </si>
  <si>
    <t>ESSEX TEE</t>
  </si>
  <si>
    <t>100039661LB</t>
  </si>
  <si>
    <t>732996583563</t>
  </si>
  <si>
    <t>732996128344</t>
  </si>
  <si>
    <t>732996128368</t>
  </si>
  <si>
    <t>732996432144</t>
  </si>
  <si>
    <t>732996436647</t>
  </si>
  <si>
    <t>732997491041</t>
  </si>
  <si>
    <t>T SS DRAGON TEE</t>
  </si>
  <si>
    <t>100065061TB</t>
  </si>
  <si>
    <t>SHELL: COTTON; TRIM: COTTON/POLYESTER</t>
  </si>
  <si>
    <t>608356583736</t>
  </si>
  <si>
    <t>608356583460</t>
  </si>
  <si>
    <t>732997383896</t>
  </si>
  <si>
    <t>732997347119</t>
  </si>
  <si>
    <t>T SS BUNNY TEE</t>
  </si>
  <si>
    <t>100069814TG</t>
  </si>
  <si>
    <t>608356662431</t>
  </si>
  <si>
    <t>T LS HUNTNG BEAR TEE BASIC</t>
  </si>
  <si>
    <t>100031196TB</t>
  </si>
  <si>
    <t>726895168358</t>
  </si>
  <si>
    <t>732994616478</t>
  </si>
  <si>
    <t>T LS HUG TEE</t>
  </si>
  <si>
    <t>100021548TB</t>
  </si>
  <si>
    <t>732997491225</t>
  </si>
  <si>
    <t>732995159264</t>
  </si>
  <si>
    <t>732997340400</t>
  </si>
  <si>
    <t>SS EYELET RUFFLE TEE</t>
  </si>
  <si>
    <t>100069823BG</t>
  </si>
  <si>
    <t>732996961378</t>
  </si>
  <si>
    <t>732997342442</t>
  </si>
  <si>
    <t>732997491065</t>
  </si>
  <si>
    <t>T SS GREATST ADV TEE</t>
  </si>
  <si>
    <t>100070003TB</t>
  </si>
  <si>
    <t>732996279947</t>
  </si>
  <si>
    <t>ICE CREAM BIB</t>
  </si>
  <si>
    <t>GRAPHIC SIDE: COTTON; PRINTED SIDE: COTTON/POLYESTER/SPANDEX</t>
  </si>
  <si>
    <t>192136025917</t>
  </si>
  <si>
    <t>192136019558</t>
  </si>
  <si>
    <t>192136019541</t>
  </si>
  <si>
    <t>888737807327</t>
  </si>
  <si>
    <t>888737807372</t>
  </si>
  <si>
    <t>888737807341</t>
  </si>
  <si>
    <t>888737807365</t>
  </si>
  <si>
    <t>882506835382</t>
  </si>
  <si>
    <t>882506828285</t>
  </si>
  <si>
    <t>884733855607</t>
  </si>
  <si>
    <t>885031359248</t>
  </si>
  <si>
    <t>190085493832</t>
  </si>
  <si>
    <t>MATCH PLAY SHORT</t>
  </si>
  <si>
    <t>191274978529</t>
  </si>
  <si>
    <t>HONEY SUNDAY DENIM</t>
  </si>
  <si>
    <t>ERGDS03048</t>
  </si>
  <si>
    <t>885872988607</t>
  </si>
  <si>
    <t>SMOCK BODICE SKATER WITH</t>
  </si>
  <si>
    <t>E75906353K</t>
  </si>
  <si>
    <t>DRESS: POLYESTER/SPANDEX; LINING: POLYESTER</t>
  </si>
  <si>
    <t>791088808335</t>
  </si>
  <si>
    <t>9343098011659</t>
  </si>
  <si>
    <t>SEQUIN TUTU</t>
  </si>
  <si>
    <t>FMA020C</t>
  </si>
  <si>
    <t>WAISTBAND:NAYLON/ELASTANE,SKIRT: POLYESTER</t>
  </si>
  <si>
    <t>191539446664</t>
  </si>
  <si>
    <t>193579183448</t>
  </si>
  <si>
    <t>193579294953</t>
  </si>
  <si>
    <t>TBFCB94J-100</t>
  </si>
  <si>
    <t>791088837236</t>
  </si>
  <si>
    <t>732995126938</t>
  </si>
  <si>
    <t>SLV STRIPE ACT JACKT</t>
  </si>
  <si>
    <t>100044729BO</t>
  </si>
  <si>
    <t>9328375531</t>
  </si>
  <si>
    <t>9328375524</t>
  </si>
  <si>
    <t>9328375548</t>
  </si>
  <si>
    <t>191539483812</t>
  </si>
  <si>
    <t>633731400322</t>
  </si>
  <si>
    <t>JUMPMAN CLASSICS SHORT</t>
  </si>
  <si>
    <t>856352G</t>
  </si>
  <si>
    <t>732995127102</t>
  </si>
  <si>
    <t>NEVER ACTIVE JACKET</t>
  </si>
  <si>
    <t>100049038BO</t>
  </si>
  <si>
    <t>192502399192</t>
  </si>
  <si>
    <t>B NK BRT ACDMY SHORT JAQ</t>
  </si>
  <si>
    <t>AT5661</t>
  </si>
  <si>
    <t>791088807697</t>
  </si>
  <si>
    <t>PINK LS STRIPE LEGGING S</t>
  </si>
  <si>
    <t>F869569</t>
  </si>
  <si>
    <t>TOP POLYESTER/COTTON; LINING: POLYESTER; PANTS: COTTON/POLYESTER/SPANDEX</t>
  </si>
  <si>
    <t>791088843527</t>
  </si>
  <si>
    <t>GREEN SNOWMAN SET</t>
  </si>
  <si>
    <t>H819379</t>
  </si>
  <si>
    <t>791088801879</t>
  </si>
  <si>
    <t>JUMPER BROWN LS DRS</t>
  </si>
  <si>
    <t>F866289</t>
  </si>
  <si>
    <t>TOP: COTTON/POLYESTER; JUMPER: COTTON</t>
  </si>
  <si>
    <t>633716766160</t>
  </si>
  <si>
    <t>791088815760</t>
  </si>
  <si>
    <t>492019350656</t>
  </si>
  <si>
    <t>LEVIS RAINBOW CREW</t>
  </si>
  <si>
    <t>31A449F-SY</t>
  </si>
  <si>
    <t>60% COTTON, 40% POLYESTER</t>
  </si>
  <si>
    <t>492019350632</t>
  </si>
  <si>
    <t>492019350649</t>
  </si>
  <si>
    <t>492019350625</t>
  </si>
  <si>
    <t>192135974520</t>
  </si>
  <si>
    <t>193579325763</t>
  </si>
  <si>
    <t>SPORTY STRIPE LEGGING</t>
  </si>
  <si>
    <t>TGFCC12P-626</t>
  </si>
  <si>
    <t>192769048628</t>
  </si>
  <si>
    <t>9328789550</t>
  </si>
  <si>
    <t>511 BELTED SUEDED SHORT</t>
  </si>
  <si>
    <t>710298F</t>
  </si>
  <si>
    <t>COTTON/ELASTANE; BELT: POLYESTER</t>
  </si>
  <si>
    <t>732996129716</t>
  </si>
  <si>
    <t>192136208884</t>
  </si>
  <si>
    <t>JUMPERF19 G JUMPER TURKE</t>
  </si>
  <si>
    <t>192136220411</t>
  </si>
  <si>
    <t>BSW 2PC BONES</t>
  </si>
  <si>
    <t>880680167695</t>
  </si>
  <si>
    <t>BRIDGEWATER SS GRAPHIC T</t>
  </si>
  <si>
    <t>TLSCA064-730</t>
  </si>
  <si>
    <t>191539169587</t>
  </si>
  <si>
    <t>PRINTED WOVEN SUNDRESS W</t>
  </si>
  <si>
    <t>M33148-DV</t>
  </si>
  <si>
    <t>192135529553</t>
  </si>
  <si>
    <t>S19 LBB WHITE CARDI</t>
  </si>
  <si>
    <t>HOODIE, PANTS: COTTON; T-SHIRT: COTTON/POLYESTER</t>
  </si>
  <si>
    <t>888822010021</t>
  </si>
  <si>
    <t>TERRY CLOTH ROMPER</t>
  </si>
  <si>
    <t>193579295400</t>
  </si>
  <si>
    <t>TBFCA11J-100</t>
  </si>
  <si>
    <t>192555291047</t>
  </si>
  <si>
    <t>883953728661</t>
  </si>
  <si>
    <t>192136223580</t>
  </si>
  <si>
    <t>888822007922</t>
  </si>
  <si>
    <t>TERRY CLOTH SHORTS</t>
  </si>
  <si>
    <t>732997360255</t>
  </si>
  <si>
    <t>633716909840</t>
  </si>
  <si>
    <t>732996176352</t>
  </si>
  <si>
    <t>884733872703</t>
  </si>
  <si>
    <t>CHAMBRAY-CHAMBRAY DRS-DR</t>
  </si>
  <si>
    <t>DRESS: COTTON; BELT: POLYESTER/COTTON</t>
  </si>
  <si>
    <t>747941681089</t>
  </si>
  <si>
    <t>GLITTER LACE /TULLE WITH</t>
  </si>
  <si>
    <t>SC410B02H908</t>
  </si>
  <si>
    <t>807746663632</t>
  </si>
  <si>
    <t>191539408419</t>
  </si>
  <si>
    <t>191274978512</t>
  </si>
  <si>
    <t>791088811465</t>
  </si>
  <si>
    <t>791088811496</t>
  </si>
  <si>
    <t>191539481641</t>
  </si>
  <si>
    <t>791088807611</t>
  </si>
  <si>
    <t>192136233282</t>
  </si>
  <si>
    <t>192136225690</t>
  </si>
  <si>
    <t>807746666763</t>
  </si>
  <si>
    <t>RAINDEER W PEPLUM SKIRT</t>
  </si>
  <si>
    <t>MAB15060</t>
  </si>
  <si>
    <t>BODICE/LEGGINGS: COTTON/POLYESTER; SKIRT: POLYESTER</t>
  </si>
  <si>
    <t>192135565032</t>
  </si>
  <si>
    <t>192136181897</t>
  </si>
  <si>
    <t>F19 SKELETON HW SET</t>
  </si>
  <si>
    <t>TOP: COTTON/POLYESTER; LEGGINGS: COTTON/POLYESTER/METALLIC/ELASTANE; TULLE: POLYESTER</t>
  </si>
  <si>
    <t>192502593972</t>
  </si>
  <si>
    <t>192502593989</t>
  </si>
  <si>
    <t>193148140353</t>
  </si>
  <si>
    <t>B NSW TEE 3 FINGERS</t>
  </si>
  <si>
    <t>CI9606</t>
  </si>
  <si>
    <t>193148140360</t>
  </si>
  <si>
    <t>9328405108</t>
  </si>
  <si>
    <t>TOP DOWN FLIGHT</t>
  </si>
  <si>
    <t>956179G</t>
  </si>
  <si>
    <t>696114315590</t>
  </si>
  <si>
    <t>NOPE OCLOCK PANT SET</t>
  </si>
  <si>
    <t>54049-MA</t>
  </si>
  <si>
    <t>889338678798</t>
  </si>
  <si>
    <t>F18 LBB 2PK PANT BOY GRE</t>
  </si>
  <si>
    <t>126H549</t>
  </si>
  <si>
    <t>883953317865</t>
  </si>
  <si>
    <t>617845696697</t>
  </si>
  <si>
    <t>B9G- LS GRAPHIC KNIT TOP</t>
  </si>
  <si>
    <t>3M4741F</t>
  </si>
  <si>
    <t>617844492955</t>
  </si>
  <si>
    <t>NIKE GIRLS DRY TEMPO</t>
  </si>
  <si>
    <t>36E352G</t>
  </si>
  <si>
    <t>640013645814</t>
  </si>
  <si>
    <t>ATOL VARIGATED STRIPE WO</t>
  </si>
  <si>
    <t>UB1191465</t>
  </si>
  <si>
    <t>192136053279</t>
  </si>
  <si>
    <t>885872993717</t>
  </si>
  <si>
    <t>192136209805</t>
  </si>
  <si>
    <t>696114340479</t>
  </si>
  <si>
    <t>732997489628</t>
  </si>
  <si>
    <t>617847174926</t>
  </si>
  <si>
    <t>192136248460</t>
  </si>
  <si>
    <t>SLOGAN BSF19 G BS IVORY</t>
  </si>
  <si>
    <t>732995881936</t>
  </si>
  <si>
    <t>PART TIME MONSTR TEE BASIC</t>
  </si>
  <si>
    <t>100043930BB</t>
  </si>
  <si>
    <t>192170300667</t>
  </si>
  <si>
    <t>192170300711</t>
  </si>
  <si>
    <t>192170300681</t>
  </si>
  <si>
    <t>192502593637</t>
  </si>
  <si>
    <t>G NK DRY TEE DFC DISTORT</t>
  </si>
  <si>
    <t>BQ1190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</si>
</sst>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8" formatCode="&quot;$&quot;#,##0.00_);[Red]\(&quot;$&quot;#,##0.00\)"/>
  </numFmts>
  <fonts count="4" x14ac:knownFonts="1">
    <font>
      <sz val="11"/>
      <color theme="1"/>
      <name val="Calibri"/>
      <family val="2"/>
      <scheme val="minor"/>
    </font>
    <font>
      <b/>
      <sz val="9"/>
      <color theme="1"/>
      <name val="Arial"/>
      <family val="2"/>
    </font>
    <font>
      <sz val="9"/>
      <color theme="1"/>
      <name val="Arial"/>
      <family val="2"/>
    </font>
    <font>
      <u/>
      <sz val="9"/>
      <color rgb="FF0000FF"/>
      <name val="Arial"/>
      <family val="2"/>
    </font>
  </fonts>
  <fills count="29">
    <fill>
      <patternFill patternType="none"/>
    </fill>
    <fill>
      <patternFill patternType="gray125"/>
    </fill>
    <fill>
      <patternFill patternType="solid">
        <fgColor rgb="FFFF00FF"/>
        <bgColor indexed="64"/>
      </patternFill>
    </fill>
    <fill>
      <patternFill patternType="solid">
        <fgColor rgb="FF00CCFF"/>
        <bgColor indexed="64"/>
      </patternFill>
    </fill>
    <fill>
      <patternFill patternType="solid">
        <fgColor rgb="FF66FF3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CCCCFF"/>
        <bgColor indexed="64"/>
      </patternFill>
    </fill>
    <fill>
      <patternFill patternType="solid">
        <fgColor rgb="FFFF9999"/>
        <bgColor indexed="64"/>
      </patternFill>
    </fill>
    <fill>
      <patternFill patternType="solid">
        <fgColor rgb="FF99FFCC"/>
        <bgColor indexed="64"/>
      </patternFill>
    </fill>
    <fill>
      <patternFill patternType="solid">
        <fgColor rgb="FF99CCFF"/>
        <bgColor indexed="64"/>
      </patternFill>
    </fill>
    <fill>
      <patternFill patternType="solid">
        <fgColor rgb="FFCCFF99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33CCFF"/>
        <bgColor indexed="64"/>
      </patternFill>
    </fill>
    <fill>
      <patternFill patternType="solid">
        <fgColor rgb="FFFF3399"/>
        <bgColor indexed="64"/>
      </patternFill>
    </fill>
    <fill>
      <patternFill patternType="solid">
        <fgColor rgb="FF9966FF"/>
        <bgColor indexed="64"/>
      </patternFill>
    </fill>
    <fill>
      <patternFill patternType="solid">
        <fgColor rgb="FF00CC66"/>
        <bgColor indexed="64"/>
      </patternFill>
    </fill>
    <fill>
      <patternFill patternType="solid">
        <fgColor rgb="FFCC99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6600"/>
        <bgColor indexed="64"/>
      </patternFill>
    </fill>
    <fill>
      <patternFill patternType="solid">
        <fgColor rgb="FF0066FF"/>
        <bgColor indexed="64"/>
      </patternFill>
    </fill>
    <fill>
      <patternFill patternType="solid">
        <fgColor rgb="FFCCCC00"/>
        <bgColor indexed="64"/>
      </patternFill>
    </fill>
    <fill>
      <patternFill patternType="solid">
        <fgColor rgb="FF6666FF"/>
        <bgColor indexed="64"/>
      </patternFill>
    </fill>
    <fill>
      <patternFill patternType="solid">
        <fgColor rgb="FFCCFF66"/>
        <bgColor indexed="64"/>
      </patternFill>
    </fill>
    <fill>
      <patternFill patternType="solid">
        <fgColor rgb="FFCC66FF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theme="4" tint="0.39997558519241921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36">
    <xf numFmtId="0" fontId="0" fillId="0" borderId="0" xfId="0"/>
    <xf numFmtId="0" fontId="1" fillId="2" borderId="1" xfId="0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1" fontId="1" fillId="0" borderId="1" xfId="0" applyNumberFormat="1" applyFont="1" applyBorder="1" applyAlignment="1">
      <alignment horizontal="center" vertical="center" wrapText="1"/>
    </xf>
    <xf numFmtId="1" fontId="2" fillId="0" borderId="1" xfId="0" applyNumberFormat="1" applyFont="1" applyBorder="1" applyAlignment="1">
      <alignment horizontal="center" vertical="center" wrapText="1"/>
    </xf>
    <xf numFmtId="8" fontId="2" fillId="0" borderId="1" xfId="0" applyNumberFormat="1" applyFont="1" applyBorder="1" applyAlignment="1">
      <alignment horizontal="center" vertical="center" wrapText="1"/>
    </xf>
    <xf numFmtId="0" fontId="0" fillId="0" borderId="0" xfId="0" applyBorder="1"/>
    <xf numFmtId="49" fontId="2" fillId="0" borderId="1" xfId="0" applyNumberFormat="1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1" fillId="3" borderId="1" xfId="0" applyFont="1" applyFill="1" applyBorder="1" applyAlignment="1">
      <alignment horizontal="center" vertical="center" wrapText="1"/>
    </xf>
    <xf numFmtId="0" fontId="3" fillId="0" borderId="0" xfId="0" applyFont="1" applyAlignment="1">
      <alignment wrapText="1"/>
    </xf>
    <xf numFmtId="0" fontId="1" fillId="4" borderId="1" xfId="0" applyFont="1" applyFill="1" applyBorder="1" applyAlignment="1">
      <alignment horizontal="center" vertical="center" wrapText="1"/>
    </xf>
    <xf numFmtId="0" fontId="1" fillId="5" borderId="1" xfId="0" applyFont="1" applyFill="1" applyBorder="1" applyAlignment="1">
      <alignment horizontal="center" vertical="center" wrapText="1"/>
    </xf>
    <xf numFmtId="0" fontId="1" fillId="6" borderId="1" xfId="0" applyFont="1" applyFill="1" applyBorder="1" applyAlignment="1">
      <alignment horizontal="center" vertical="center" wrapText="1"/>
    </xf>
    <xf numFmtId="0" fontId="1" fillId="7" borderId="1" xfId="0" applyFont="1" applyFill="1" applyBorder="1" applyAlignment="1">
      <alignment horizontal="center" vertical="center" wrapText="1"/>
    </xf>
    <xf numFmtId="0" fontId="1" fillId="8" borderId="1" xfId="0" applyFont="1" applyFill="1" applyBorder="1" applyAlignment="1">
      <alignment horizontal="center" vertical="center" wrapText="1"/>
    </xf>
    <xf numFmtId="0" fontId="1" fillId="9" borderId="1" xfId="0" applyFont="1" applyFill="1" applyBorder="1" applyAlignment="1">
      <alignment horizontal="center" vertical="center" wrapText="1"/>
    </xf>
    <xf numFmtId="0" fontId="1" fillId="10" borderId="1" xfId="0" applyFont="1" applyFill="1" applyBorder="1" applyAlignment="1">
      <alignment horizontal="center" vertical="center" wrapText="1"/>
    </xf>
    <xf numFmtId="0" fontId="1" fillId="11" borderId="1" xfId="0" applyFont="1" applyFill="1" applyBorder="1" applyAlignment="1">
      <alignment horizontal="center" vertical="center" wrapText="1"/>
    </xf>
    <xf numFmtId="0" fontId="1" fillId="12" borderId="1" xfId="0" applyFont="1" applyFill="1" applyBorder="1" applyAlignment="1">
      <alignment horizontal="center" vertical="center" wrapText="1"/>
    </xf>
    <xf numFmtId="0" fontId="1" fillId="13" borderId="1" xfId="0" applyFont="1" applyFill="1" applyBorder="1" applyAlignment="1">
      <alignment horizontal="center" vertical="center" wrapText="1"/>
    </xf>
    <xf numFmtId="0" fontId="1" fillId="14" borderId="1" xfId="0" applyFont="1" applyFill="1" applyBorder="1" applyAlignment="1">
      <alignment horizontal="center" vertical="center" wrapText="1"/>
    </xf>
    <xf numFmtId="0" fontId="1" fillId="15" borderId="1" xfId="0" applyFont="1" applyFill="1" applyBorder="1" applyAlignment="1">
      <alignment horizontal="center" vertical="center" wrapText="1"/>
    </xf>
    <xf numFmtId="0" fontId="1" fillId="16" borderId="1" xfId="0" applyFont="1" applyFill="1" applyBorder="1" applyAlignment="1">
      <alignment horizontal="center" vertical="center" wrapText="1"/>
    </xf>
    <xf numFmtId="0" fontId="1" fillId="17" borderId="1" xfId="0" applyFont="1" applyFill="1" applyBorder="1" applyAlignment="1">
      <alignment horizontal="center" vertical="center" wrapText="1"/>
    </xf>
    <xf numFmtId="0" fontId="1" fillId="18" borderId="1" xfId="0" applyFont="1" applyFill="1" applyBorder="1" applyAlignment="1">
      <alignment horizontal="center" vertical="center" wrapText="1"/>
    </xf>
    <xf numFmtId="0" fontId="1" fillId="19" borderId="1" xfId="0" applyFont="1" applyFill="1" applyBorder="1" applyAlignment="1">
      <alignment horizontal="center" vertical="center" wrapText="1"/>
    </xf>
    <xf numFmtId="0" fontId="1" fillId="20" borderId="1" xfId="0" applyFont="1" applyFill="1" applyBorder="1" applyAlignment="1">
      <alignment horizontal="center" vertical="center" wrapText="1"/>
    </xf>
    <xf numFmtId="0" fontId="1" fillId="21" borderId="1" xfId="0" applyFont="1" applyFill="1" applyBorder="1" applyAlignment="1">
      <alignment horizontal="center" vertical="center" wrapText="1"/>
    </xf>
    <xf numFmtId="0" fontId="1" fillId="22" borderId="1" xfId="0" applyFont="1" applyFill="1" applyBorder="1" applyAlignment="1">
      <alignment horizontal="center" vertical="center" wrapText="1"/>
    </xf>
    <xf numFmtId="0" fontId="1" fillId="23" borderId="1" xfId="0" applyFont="1" applyFill="1" applyBorder="1" applyAlignment="1">
      <alignment horizontal="center" vertical="center" wrapText="1"/>
    </xf>
    <xf numFmtId="0" fontId="1" fillId="24" borderId="1" xfId="0" applyFont="1" applyFill="1" applyBorder="1" applyAlignment="1">
      <alignment horizontal="center" vertical="center" wrapText="1"/>
    </xf>
    <xf numFmtId="0" fontId="1" fillId="25" borderId="1" xfId="0" applyFont="1" applyFill="1" applyBorder="1" applyAlignment="1">
      <alignment horizontal="center" vertical="center" wrapText="1"/>
    </xf>
    <xf numFmtId="0" fontId="1" fillId="26" borderId="1" xfId="0" applyFont="1" applyFill="1" applyBorder="1" applyAlignment="1">
      <alignment horizontal="center" vertical="center" wrapText="1"/>
    </xf>
    <xf numFmtId="0" fontId="1" fillId="27" borderId="1" xfId="0" applyFont="1" applyFill="1" applyBorder="1" applyAlignment="1">
      <alignment horizontal="center" vertical="center" wrapText="1"/>
    </xf>
    <xf numFmtId="0" fontId="1" fillId="28" borderId="1" xfId="0" applyFont="1" applyFill="1" applyBorder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53"/>
  <sheetViews>
    <sheetView tabSelected="1" workbookViewId="0">
      <selection activeCell="N9" sqref="N9"/>
    </sheetView>
  </sheetViews>
  <sheetFormatPr defaultRowHeight="15" x14ac:dyDescent="0.25"/>
  <cols>
    <col min="1" max="1" width="14.28515625" customWidth="1"/>
    <col min="2" max="2" width="39.42578125" customWidth="1"/>
    <col min="3" max="3" width="15" customWidth="1"/>
    <col min="4" max="4" width="10.85546875" customWidth="1"/>
    <col min="5" max="6" width="15" customWidth="1"/>
    <col min="7" max="7" width="10.28515625" customWidth="1"/>
    <col min="8" max="8" width="12.5703125" customWidth="1"/>
    <col min="9" max="11" width="11.42578125" customWidth="1"/>
    <col min="12" max="12" width="7.42578125" customWidth="1"/>
    <col min="13" max="13" width="10.85546875" customWidth="1"/>
    <col min="14" max="14" width="12.140625" customWidth="1"/>
    <col min="15" max="15" width="36.5703125" bestFit="1" customWidth="1"/>
    <col min="16" max="17" width="20.7109375" customWidth="1"/>
    <col min="18" max="18" width="64.28515625" customWidth="1"/>
  </cols>
  <sheetData>
    <row r="1" spans="1:13" ht="36" x14ac:dyDescent="0.25">
      <c r="A1" s="35" t="s">
        <v>0</v>
      </c>
      <c r="B1" s="35" t="s">
        <v>1</v>
      </c>
      <c r="C1" s="35" t="s">
        <v>2</v>
      </c>
      <c r="D1" s="35" t="s">
        <v>3</v>
      </c>
      <c r="E1" s="35" t="s">
        <v>4</v>
      </c>
      <c r="F1" s="35" t="s">
        <v>5</v>
      </c>
      <c r="G1" s="35" t="s">
        <v>6</v>
      </c>
      <c r="H1" s="35" t="s">
        <v>7</v>
      </c>
      <c r="I1" s="35" t="s">
        <v>8</v>
      </c>
      <c r="J1" s="35" t="s">
        <v>9</v>
      </c>
    </row>
    <row r="2" spans="1:13" ht="36" x14ac:dyDescent="0.25">
      <c r="A2" s="2" t="s">
        <v>654</v>
      </c>
      <c r="B2" s="3">
        <v>12469939</v>
      </c>
      <c r="C2" s="2" t="s">
        <v>11</v>
      </c>
      <c r="D2" s="2" t="s">
        <v>12</v>
      </c>
      <c r="E2" s="4">
        <v>1</v>
      </c>
      <c r="F2" s="4">
        <v>16</v>
      </c>
      <c r="G2" s="2">
        <v>240</v>
      </c>
      <c r="H2" s="5">
        <v>5410.13</v>
      </c>
      <c r="I2" s="5">
        <v>13274.53</v>
      </c>
      <c r="J2" s="2">
        <v>486</v>
      </c>
    </row>
    <row r="4" spans="1:13" s="6" customFormat="1" x14ac:dyDescent="0.25"/>
    <row r="7" spans="1:13" s="6" customFormat="1" x14ac:dyDescent="0.25"/>
    <row r="8" spans="1:13" ht="36" x14ac:dyDescent="0.25">
      <c r="A8" s="35" t="s">
        <v>13</v>
      </c>
      <c r="B8" s="35" t="s">
        <v>14</v>
      </c>
      <c r="C8" s="35" t="s">
        <v>15</v>
      </c>
      <c r="D8" s="35" t="s">
        <v>16</v>
      </c>
      <c r="E8" s="35" t="s">
        <v>17</v>
      </c>
      <c r="F8" s="35" t="s">
        <v>18</v>
      </c>
      <c r="G8" s="35" t="s">
        <v>19</v>
      </c>
      <c r="H8" s="35" t="s">
        <v>20</v>
      </c>
      <c r="I8" s="35" t="s">
        <v>21</v>
      </c>
      <c r="J8" s="35" t="s">
        <v>22</v>
      </c>
      <c r="K8" s="35" t="s">
        <v>2737</v>
      </c>
      <c r="L8" s="35" t="s">
        <v>23</v>
      </c>
      <c r="M8" s="35" t="s">
        <v>24</v>
      </c>
    </row>
    <row r="9" spans="1:13" ht="84" x14ac:dyDescent="0.25">
      <c r="A9" s="7" t="s">
        <v>14333</v>
      </c>
      <c r="B9" s="2" t="s">
        <v>14334</v>
      </c>
      <c r="C9" s="4">
        <v>1</v>
      </c>
      <c r="D9" s="5">
        <v>24.75</v>
      </c>
      <c r="E9" s="5">
        <v>55</v>
      </c>
      <c r="F9" s="4">
        <v>312743975001</v>
      </c>
      <c r="G9" s="2" t="s">
        <v>28</v>
      </c>
      <c r="H9" s="7" t="s">
        <v>123</v>
      </c>
      <c r="I9" s="2" t="s">
        <v>3028</v>
      </c>
      <c r="J9" s="2" t="s">
        <v>205</v>
      </c>
      <c r="K9" s="2" t="s">
        <v>304</v>
      </c>
      <c r="L9" s="2" t="s">
        <v>14335</v>
      </c>
      <c r="M9" s="8" t="str">
        <f>HYPERLINK("http://slimages.macys.com/is/image/MCY/12703781 ")</f>
        <v xml:space="preserve">http://slimages.macys.com/is/image/MCY/12703781 </v>
      </c>
    </row>
    <row r="10" spans="1:13" ht="60" x14ac:dyDescent="0.25">
      <c r="A10" s="7" t="s">
        <v>3612</v>
      </c>
      <c r="B10" s="2" t="s">
        <v>1413</v>
      </c>
      <c r="C10" s="4">
        <v>1</v>
      </c>
      <c r="D10" s="5">
        <v>24.75</v>
      </c>
      <c r="E10" s="5">
        <v>55</v>
      </c>
      <c r="F10" s="4">
        <v>310752315001</v>
      </c>
      <c r="G10" s="2" t="s">
        <v>41</v>
      </c>
      <c r="H10" s="7" t="s">
        <v>438</v>
      </c>
      <c r="I10" s="2" t="s">
        <v>676</v>
      </c>
      <c r="J10" s="2" t="s">
        <v>677</v>
      </c>
      <c r="K10" s="2" t="s">
        <v>304</v>
      </c>
      <c r="L10" s="2" t="s">
        <v>38</v>
      </c>
      <c r="M10" s="8" t="str">
        <f>HYPERLINK("http://slimages.macys.com/is/image/MCY/14361795 ")</f>
        <v xml:space="preserve">http://slimages.macys.com/is/image/MCY/14361795 </v>
      </c>
    </row>
    <row r="11" spans="1:13" ht="132" x14ac:dyDescent="0.25">
      <c r="A11" s="7" t="s">
        <v>67</v>
      </c>
      <c r="B11" s="2" t="s">
        <v>60</v>
      </c>
      <c r="C11" s="4">
        <v>1</v>
      </c>
      <c r="D11" s="5">
        <v>19.5</v>
      </c>
      <c r="E11" s="5">
        <v>54.99</v>
      </c>
      <c r="F11" s="4" t="s">
        <v>61</v>
      </c>
      <c r="G11" s="2" t="s">
        <v>62</v>
      </c>
      <c r="H11" s="7" t="s">
        <v>68</v>
      </c>
      <c r="I11" s="2" t="s">
        <v>64</v>
      </c>
      <c r="J11" s="2" t="s">
        <v>65</v>
      </c>
      <c r="K11" s="2" t="s">
        <v>304</v>
      </c>
      <c r="L11" s="2" t="s">
        <v>66</v>
      </c>
      <c r="M11" s="8" t="str">
        <f>HYPERLINK("http://slimages.macys.com/is/image/MCY/14703249 ")</f>
        <v xml:space="preserve">http://slimages.macys.com/is/image/MCY/14703249 </v>
      </c>
    </row>
    <row r="12" spans="1:13" ht="132" x14ac:dyDescent="0.25">
      <c r="A12" s="7" t="s">
        <v>3622</v>
      </c>
      <c r="B12" s="2" t="s">
        <v>60</v>
      </c>
      <c r="C12" s="4">
        <v>1</v>
      </c>
      <c r="D12" s="5">
        <v>19.5</v>
      </c>
      <c r="E12" s="5">
        <v>54.99</v>
      </c>
      <c r="F12" s="4" t="s">
        <v>61</v>
      </c>
      <c r="G12" s="2" t="s">
        <v>62</v>
      </c>
      <c r="H12" s="7" t="s">
        <v>209</v>
      </c>
      <c r="I12" s="2" t="s">
        <v>64</v>
      </c>
      <c r="J12" s="2" t="s">
        <v>65</v>
      </c>
      <c r="K12" s="2" t="s">
        <v>304</v>
      </c>
      <c r="L12" s="2" t="s">
        <v>66</v>
      </c>
      <c r="M12" s="8" t="str">
        <f>HYPERLINK("http://slimages.macys.com/is/image/MCY/14703249 ")</f>
        <v xml:space="preserve">http://slimages.macys.com/is/image/MCY/14703249 </v>
      </c>
    </row>
    <row r="13" spans="1:13" ht="132" x14ac:dyDescent="0.25">
      <c r="A13" s="7" t="s">
        <v>59</v>
      </c>
      <c r="B13" s="2" t="s">
        <v>60</v>
      </c>
      <c r="C13" s="4">
        <v>1</v>
      </c>
      <c r="D13" s="5">
        <v>19.5</v>
      </c>
      <c r="E13" s="5">
        <v>54.99</v>
      </c>
      <c r="F13" s="4" t="s">
        <v>61</v>
      </c>
      <c r="G13" s="2" t="s">
        <v>62</v>
      </c>
      <c r="H13" s="7" t="s">
        <v>63</v>
      </c>
      <c r="I13" s="2" t="s">
        <v>64</v>
      </c>
      <c r="J13" s="2" t="s">
        <v>65</v>
      </c>
      <c r="K13" s="2" t="s">
        <v>304</v>
      </c>
      <c r="L13" s="2" t="s">
        <v>66</v>
      </c>
      <c r="M13" s="8" t="str">
        <f>HYPERLINK("http://slimages.macys.com/is/image/MCY/14703249 ")</f>
        <v xml:space="preserve">http://slimages.macys.com/is/image/MCY/14703249 </v>
      </c>
    </row>
    <row r="14" spans="1:13" ht="228" x14ac:dyDescent="0.25">
      <c r="A14" s="7" t="s">
        <v>13197</v>
      </c>
      <c r="B14" s="2" t="s">
        <v>89</v>
      </c>
      <c r="C14" s="4">
        <v>1</v>
      </c>
      <c r="D14" s="5">
        <v>17.5</v>
      </c>
      <c r="E14" s="5">
        <v>39.99</v>
      </c>
      <c r="F14" s="4" t="s">
        <v>90</v>
      </c>
      <c r="G14" s="2" t="s">
        <v>41</v>
      </c>
      <c r="H14" s="7" t="s">
        <v>442</v>
      </c>
      <c r="I14" s="2" t="s">
        <v>92</v>
      </c>
      <c r="J14" s="2" t="s">
        <v>65</v>
      </c>
      <c r="K14" s="2" t="s">
        <v>304</v>
      </c>
      <c r="L14" s="2" t="s">
        <v>93</v>
      </c>
      <c r="M14" s="8" t="str">
        <f>HYPERLINK("http://slimages.macys.com/is/image/MCY/14885680 ")</f>
        <v xml:space="preserve">http://slimages.macys.com/is/image/MCY/14885680 </v>
      </c>
    </row>
    <row r="15" spans="1:13" ht="96" x14ac:dyDescent="0.25">
      <c r="A15" s="7" t="s">
        <v>14336</v>
      </c>
      <c r="B15" s="2" t="s">
        <v>14337</v>
      </c>
      <c r="C15" s="4">
        <v>1</v>
      </c>
      <c r="D15" s="5">
        <v>17</v>
      </c>
      <c r="E15" s="5">
        <v>49.99</v>
      </c>
      <c r="F15" s="4" t="s">
        <v>14338</v>
      </c>
      <c r="G15" s="2" t="s">
        <v>437</v>
      </c>
      <c r="H15" s="7" t="s">
        <v>68</v>
      </c>
      <c r="I15" s="2" t="s">
        <v>64</v>
      </c>
      <c r="J15" s="2" t="s">
        <v>1427</v>
      </c>
      <c r="K15" s="2" t="s">
        <v>304</v>
      </c>
      <c r="L15" s="2" t="s">
        <v>1516</v>
      </c>
      <c r="M15" s="8" t="str">
        <f>HYPERLINK("http://slimages.macys.com/is/image/MCY/13585221 ")</f>
        <v xml:space="preserve">http://slimages.macys.com/is/image/MCY/13585221 </v>
      </c>
    </row>
    <row r="16" spans="1:13" ht="264" x14ac:dyDescent="0.25">
      <c r="A16" s="7" t="s">
        <v>14339</v>
      </c>
      <c r="B16" s="2" t="s">
        <v>13208</v>
      </c>
      <c r="C16" s="4">
        <v>1</v>
      </c>
      <c r="D16" s="5">
        <v>16.75</v>
      </c>
      <c r="E16" s="5">
        <v>39.99</v>
      </c>
      <c r="F16" s="4" t="s">
        <v>13209</v>
      </c>
      <c r="G16" s="2" t="s">
        <v>129</v>
      </c>
      <c r="H16" s="7" t="s">
        <v>442</v>
      </c>
      <c r="I16" s="2" t="s">
        <v>92</v>
      </c>
      <c r="J16" s="2" t="s">
        <v>187</v>
      </c>
      <c r="K16" s="2" t="s">
        <v>304</v>
      </c>
      <c r="L16" s="2" t="s">
        <v>13210</v>
      </c>
      <c r="M16" s="8" t="str">
        <f>HYPERLINK("http://slimages.macys.com/is/image/MCY/14802453 ")</f>
        <v xml:space="preserve">http://slimages.macys.com/is/image/MCY/14802453 </v>
      </c>
    </row>
    <row r="17" spans="1:13" ht="120" x14ac:dyDescent="0.25">
      <c r="A17" s="7" t="s">
        <v>1453</v>
      </c>
      <c r="B17" s="2" t="s">
        <v>1454</v>
      </c>
      <c r="C17" s="4">
        <v>6</v>
      </c>
      <c r="D17" s="5">
        <v>16.5</v>
      </c>
      <c r="E17" s="5">
        <v>39.99</v>
      </c>
      <c r="F17" s="4" t="s">
        <v>1455</v>
      </c>
      <c r="G17" s="2" t="s">
        <v>103</v>
      </c>
      <c r="H17" s="7" t="s">
        <v>442</v>
      </c>
      <c r="I17" s="2" t="s">
        <v>92</v>
      </c>
      <c r="J17" s="2" t="s">
        <v>65</v>
      </c>
      <c r="K17" s="2" t="s">
        <v>304</v>
      </c>
      <c r="L17" s="2" t="s">
        <v>1456</v>
      </c>
      <c r="M17" s="8" t="str">
        <f>HYPERLINK("http://slimages.macys.com/is/image/MCY/13965178 ")</f>
        <v xml:space="preserve">http://slimages.macys.com/is/image/MCY/13965178 </v>
      </c>
    </row>
    <row r="18" spans="1:13" ht="120" x14ac:dyDescent="0.25">
      <c r="A18" s="7" t="s">
        <v>2951</v>
      </c>
      <c r="B18" s="2" t="s">
        <v>1454</v>
      </c>
      <c r="C18" s="4">
        <v>4</v>
      </c>
      <c r="D18" s="5">
        <v>16.5</v>
      </c>
      <c r="E18" s="5">
        <v>39.99</v>
      </c>
      <c r="F18" s="4" t="s">
        <v>1455</v>
      </c>
      <c r="G18" s="2" t="s">
        <v>103</v>
      </c>
      <c r="H18" s="7" t="s">
        <v>91</v>
      </c>
      <c r="I18" s="2" t="s">
        <v>92</v>
      </c>
      <c r="J18" s="2" t="s">
        <v>65</v>
      </c>
      <c r="K18" s="2" t="s">
        <v>304</v>
      </c>
      <c r="L18" s="2" t="s">
        <v>1456</v>
      </c>
      <c r="M18" s="8" t="str">
        <f>HYPERLINK("http://slimages.macys.com/is/image/MCY/13965178 ")</f>
        <v xml:space="preserve">http://slimages.macys.com/is/image/MCY/13965178 </v>
      </c>
    </row>
    <row r="19" spans="1:13" ht="120" x14ac:dyDescent="0.25">
      <c r="A19" s="7" t="s">
        <v>14340</v>
      </c>
      <c r="B19" s="2" t="s">
        <v>1454</v>
      </c>
      <c r="C19" s="4">
        <v>5</v>
      </c>
      <c r="D19" s="5">
        <v>16.5</v>
      </c>
      <c r="E19" s="5">
        <v>39.99</v>
      </c>
      <c r="F19" s="4" t="s">
        <v>1455</v>
      </c>
      <c r="G19" s="2" t="s">
        <v>103</v>
      </c>
      <c r="H19" s="7" t="s">
        <v>42</v>
      </c>
      <c r="I19" s="2" t="s">
        <v>92</v>
      </c>
      <c r="J19" s="2" t="s">
        <v>65</v>
      </c>
      <c r="K19" s="2" t="s">
        <v>304</v>
      </c>
      <c r="L19" s="2" t="s">
        <v>1456</v>
      </c>
      <c r="M19" s="8" t="str">
        <f>HYPERLINK("http://slimages.macys.com/is/image/MCY/13965178 ")</f>
        <v xml:space="preserve">http://slimages.macys.com/is/image/MCY/13965178 </v>
      </c>
    </row>
    <row r="20" spans="1:13" ht="120" x14ac:dyDescent="0.25">
      <c r="A20" s="7" t="s">
        <v>3660</v>
      </c>
      <c r="B20" s="2" t="s">
        <v>1454</v>
      </c>
      <c r="C20" s="4">
        <v>1</v>
      </c>
      <c r="D20" s="5">
        <v>16.5</v>
      </c>
      <c r="E20" s="5">
        <v>39.99</v>
      </c>
      <c r="F20" s="4" t="s">
        <v>1455</v>
      </c>
      <c r="G20" s="2" t="s">
        <v>103</v>
      </c>
      <c r="H20" s="7" t="s">
        <v>590</v>
      </c>
      <c r="I20" s="2" t="s">
        <v>92</v>
      </c>
      <c r="J20" s="2" t="s">
        <v>65</v>
      </c>
      <c r="K20" s="2" t="s">
        <v>304</v>
      </c>
      <c r="L20" s="2" t="s">
        <v>1456</v>
      </c>
      <c r="M20" s="8" t="str">
        <f>HYPERLINK("http://slimages.macys.com/is/image/MCY/13965178 ")</f>
        <v xml:space="preserve">http://slimages.macys.com/is/image/MCY/13965178 </v>
      </c>
    </row>
    <row r="21" spans="1:13" ht="60" x14ac:dyDescent="0.25">
      <c r="A21" s="7" t="s">
        <v>14341</v>
      </c>
      <c r="B21" s="2" t="s">
        <v>14246</v>
      </c>
      <c r="C21" s="4">
        <v>1</v>
      </c>
      <c r="D21" s="5">
        <v>15.2</v>
      </c>
      <c r="E21" s="5">
        <v>40</v>
      </c>
      <c r="F21" s="4" t="s">
        <v>14247</v>
      </c>
      <c r="G21" s="2" t="s">
        <v>262</v>
      </c>
      <c r="H21" s="7" t="s">
        <v>172</v>
      </c>
      <c r="I21" s="2" t="s">
        <v>700</v>
      </c>
      <c r="J21" s="2" t="s">
        <v>1721</v>
      </c>
      <c r="K21" s="2" t="s">
        <v>304</v>
      </c>
      <c r="L21" s="2" t="s">
        <v>38</v>
      </c>
      <c r="M21" s="8" t="str">
        <f>HYPERLINK("http://slimages.macys.com/is/image/MCY/11682620 ")</f>
        <v xml:space="preserve">http://slimages.macys.com/is/image/MCY/11682620 </v>
      </c>
    </row>
    <row r="22" spans="1:13" ht="180" x14ac:dyDescent="0.25">
      <c r="A22" s="7" t="s">
        <v>14342</v>
      </c>
      <c r="B22" s="2" t="s">
        <v>13219</v>
      </c>
      <c r="C22" s="4">
        <v>1</v>
      </c>
      <c r="D22" s="5">
        <v>15</v>
      </c>
      <c r="E22" s="5">
        <v>39.99</v>
      </c>
      <c r="F22" s="4" t="s">
        <v>13220</v>
      </c>
      <c r="G22" s="2" t="s">
        <v>595</v>
      </c>
      <c r="H22" s="7" t="s">
        <v>149</v>
      </c>
      <c r="I22" s="2" t="s">
        <v>92</v>
      </c>
      <c r="J22" s="2" t="s">
        <v>239</v>
      </c>
      <c r="K22" s="2" t="s">
        <v>304</v>
      </c>
      <c r="L22" s="2" t="s">
        <v>1452</v>
      </c>
      <c r="M22" s="8" t="str">
        <f>HYPERLINK("http://slimages.macys.com/is/image/MCY/14988479 ")</f>
        <v xml:space="preserve">http://slimages.macys.com/is/image/MCY/14988479 </v>
      </c>
    </row>
    <row r="23" spans="1:13" ht="180" x14ac:dyDescent="0.25">
      <c r="A23" s="7" t="s">
        <v>14343</v>
      </c>
      <c r="B23" s="2" t="s">
        <v>13219</v>
      </c>
      <c r="C23" s="4">
        <v>1</v>
      </c>
      <c r="D23" s="5">
        <v>15</v>
      </c>
      <c r="E23" s="5">
        <v>39.99</v>
      </c>
      <c r="F23" s="4" t="s">
        <v>13220</v>
      </c>
      <c r="G23" s="2" t="s">
        <v>595</v>
      </c>
      <c r="H23" s="7" t="s">
        <v>91</v>
      </c>
      <c r="I23" s="2" t="s">
        <v>92</v>
      </c>
      <c r="J23" s="2" t="s">
        <v>239</v>
      </c>
      <c r="K23" s="2" t="s">
        <v>304</v>
      </c>
      <c r="L23" s="2" t="s">
        <v>1452</v>
      </c>
      <c r="M23" s="8" t="str">
        <f>HYPERLINK("http://slimages.macys.com/is/image/MCY/14988479 ")</f>
        <v xml:space="preserve">http://slimages.macys.com/is/image/MCY/14988479 </v>
      </c>
    </row>
    <row r="24" spans="1:13" ht="60" x14ac:dyDescent="0.25">
      <c r="A24" s="7" t="s">
        <v>3681</v>
      </c>
      <c r="B24" s="2" t="s">
        <v>1484</v>
      </c>
      <c r="C24" s="4">
        <v>1</v>
      </c>
      <c r="D24" s="5">
        <v>15</v>
      </c>
      <c r="E24" s="5">
        <v>39.99</v>
      </c>
      <c r="F24" s="4" t="s">
        <v>1485</v>
      </c>
      <c r="G24" s="2" t="s">
        <v>752</v>
      </c>
      <c r="H24" s="7" t="s">
        <v>91</v>
      </c>
      <c r="I24" s="2" t="s">
        <v>92</v>
      </c>
      <c r="J24" s="2" t="s">
        <v>239</v>
      </c>
      <c r="K24" s="2" t="s">
        <v>304</v>
      </c>
      <c r="L24" s="2" t="s">
        <v>125</v>
      </c>
      <c r="M24" s="8" t="str">
        <f>HYPERLINK("http://slimages.macys.com/is/image/MCY/14886756 ")</f>
        <v xml:space="preserve">http://slimages.macys.com/is/image/MCY/14886756 </v>
      </c>
    </row>
    <row r="25" spans="1:13" ht="60" x14ac:dyDescent="0.25">
      <c r="A25" s="7" t="s">
        <v>2979</v>
      </c>
      <c r="B25" s="2" t="s">
        <v>1481</v>
      </c>
      <c r="C25" s="4">
        <v>1</v>
      </c>
      <c r="D25" s="5">
        <v>15</v>
      </c>
      <c r="E25" s="5">
        <v>39.99</v>
      </c>
      <c r="F25" s="4" t="s">
        <v>1482</v>
      </c>
      <c r="G25" s="2" t="s">
        <v>103</v>
      </c>
      <c r="H25" s="7" t="s">
        <v>42</v>
      </c>
      <c r="I25" s="2" t="s">
        <v>92</v>
      </c>
      <c r="J25" s="2" t="s">
        <v>239</v>
      </c>
      <c r="K25" s="2" t="s">
        <v>304</v>
      </c>
      <c r="L25" s="2" t="s">
        <v>125</v>
      </c>
      <c r="M25" s="8" t="str">
        <f>HYPERLINK("http://slimages.macys.com/is/image/MCY/15071393 ")</f>
        <v xml:space="preserve">http://slimages.macys.com/is/image/MCY/15071393 </v>
      </c>
    </row>
    <row r="26" spans="1:13" ht="72" x14ac:dyDescent="0.25">
      <c r="A26" s="7" t="s">
        <v>5181</v>
      </c>
      <c r="B26" s="2" t="s">
        <v>735</v>
      </c>
      <c r="C26" s="4">
        <v>1</v>
      </c>
      <c r="D26" s="5">
        <v>15</v>
      </c>
      <c r="E26" s="5">
        <v>39.99</v>
      </c>
      <c r="F26" s="4" t="s">
        <v>736</v>
      </c>
      <c r="G26" s="2" t="s">
        <v>595</v>
      </c>
      <c r="H26" s="7" t="s">
        <v>590</v>
      </c>
      <c r="I26" s="2" t="s">
        <v>92</v>
      </c>
      <c r="J26" s="2" t="s">
        <v>239</v>
      </c>
      <c r="K26" s="2" t="s">
        <v>304</v>
      </c>
      <c r="L26" s="2" t="s">
        <v>737</v>
      </c>
      <c r="M26" s="8" t="str">
        <f>HYPERLINK("http://slimages.macys.com/is/image/MCY/14989275 ")</f>
        <v xml:space="preserve">http://slimages.macys.com/is/image/MCY/14989275 </v>
      </c>
    </row>
    <row r="27" spans="1:13" ht="96" x14ac:dyDescent="0.25">
      <c r="A27" s="7" t="s">
        <v>13230</v>
      </c>
      <c r="B27" s="2" t="s">
        <v>13231</v>
      </c>
      <c r="C27" s="4">
        <v>6</v>
      </c>
      <c r="D27" s="5">
        <v>14</v>
      </c>
      <c r="E27" s="5">
        <v>34.99</v>
      </c>
      <c r="F27" s="4" t="s">
        <v>13232</v>
      </c>
      <c r="G27" s="2" t="s">
        <v>582</v>
      </c>
      <c r="H27" s="7" t="s">
        <v>442</v>
      </c>
      <c r="I27" s="2" t="s">
        <v>135</v>
      </c>
      <c r="J27" s="2" t="s">
        <v>136</v>
      </c>
      <c r="K27" s="2" t="s">
        <v>304</v>
      </c>
      <c r="L27" s="2" t="s">
        <v>137</v>
      </c>
      <c r="M27" s="8" t="str">
        <f>HYPERLINK("http://slimages.macys.com/is/image/MCY/15364743 ")</f>
        <v xml:space="preserve">http://slimages.macys.com/is/image/MCY/15364743 </v>
      </c>
    </row>
    <row r="28" spans="1:13" ht="96" x14ac:dyDescent="0.25">
      <c r="A28" s="7" t="s">
        <v>2490</v>
      </c>
      <c r="B28" s="2" t="s">
        <v>2488</v>
      </c>
      <c r="C28" s="4">
        <v>2</v>
      </c>
      <c r="D28" s="5">
        <v>14</v>
      </c>
      <c r="E28" s="5">
        <v>34.99</v>
      </c>
      <c r="F28" s="4" t="s">
        <v>2489</v>
      </c>
      <c r="G28" s="2" t="s">
        <v>388</v>
      </c>
      <c r="H28" s="7" t="s">
        <v>42</v>
      </c>
      <c r="I28" s="2" t="s">
        <v>135</v>
      </c>
      <c r="J28" s="2" t="s">
        <v>136</v>
      </c>
      <c r="K28" s="2" t="s">
        <v>304</v>
      </c>
      <c r="L28" s="2" t="s">
        <v>137</v>
      </c>
      <c r="M28" s="8" t="str">
        <f>HYPERLINK("http://slimages.macys.com/is/image/MCY/15363783 ")</f>
        <v xml:space="preserve">http://slimages.macys.com/is/image/MCY/15363783 </v>
      </c>
    </row>
    <row r="29" spans="1:13" ht="96" x14ac:dyDescent="0.25">
      <c r="A29" s="7" t="s">
        <v>13547</v>
      </c>
      <c r="B29" s="2" t="s">
        <v>13231</v>
      </c>
      <c r="C29" s="4">
        <v>2</v>
      </c>
      <c r="D29" s="5">
        <v>14</v>
      </c>
      <c r="E29" s="5">
        <v>34.99</v>
      </c>
      <c r="F29" s="4" t="s">
        <v>13232</v>
      </c>
      <c r="G29" s="2" t="s">
        <v>582</v>
      </c>
      <c r="H29" s="7" t="s">
        <v>42</v>
      </c>
      <c r="I29" s="2" t="s">
        <v>135</v>
      </c>
      <c r="J29" s="2" t="s">
        <v>136</v>
      </c>
      <c r="K29" s="2" t="s">
        <v>304</v>
      </c>
      <c r="L29" s="2" t="s">
        <v>137</v>
      </c>
      <c r="M29" s="8" t="str">
        <f>HYPERLINK("http://slimages.macys.com/is/image/MCY/15364743 ")</f>
        <v xml:space="preserve">http://slimages.macys.com/is/image/MCY/15364743 </v>
      </c>
    </row>
    <row r="30" spans="1:13" ht="96" x14ac:dyDescent="0.25">
      <c r="A30" s="7" t="s">
        <v>3011</v>
      </c>
      <c r="B30" s="2" t="s">
        <v>132</v>
      </c>
      <c r="C30" s="4">
        <v>6</v>
      </c>
      <c r="D30" s="5">
        <v>14</v>
      </c>
      <c r="E30" s="5">
        <v>34.99</v>
      </c>
      <c r="F30" s="4" t="s">
        <v>133</v>
      </c>
      <c r="G30" s="2" t="s">
        <v>134</v>
      </c>
      <c r="H30" s="7" t="s">
        <v>442</v>
      </c>
      <c r="I30" s="2" t="s">
        <v>135</v>
      </c>
      <c r="J30" s="2" t="s">
        <v>136</v>
      </c>
      <c r="K30" s="2" t="s">
        <v>304</v>
      </c>
      <c r="L30" s="2" t="s">
        <v>137</v>
      </c>
      <c r="M30" s="8" t="str">
        <f>HYPERLINK("http://slimages.macys.com/is/image/MCY/15365447 ")</f>
        <v xml:space="preserve">http://slimages.macys.com/is/image/MCY/15365447 </v>
      </c>
    </row>
    <row r="31" spans="1:13" ht="96" x14ac:dyDescent="0.25">
      <c r="A31" s="7" t="s">
        <v>13238</v>
      </c>
      <c r="B31" s="2" t="s">
        <v>132</v>
      </c>
      <c r="C31" s="4">
        <v>2</v>
      </c>
      <c r="D31" s="5">
        <v>14</v>
      </c>
      <c r="E31" s="5">
        <v>34.99</v>
      </c>
      <c r="F31" s="4" t="s">
        <v>133</v>
      </c>
      <c r="G31" s="2" t="s">
        <v>134</v>
      </c>
      <c r="H31" s="7" t="s">
        <v>42</v>
      </c>
      <c r="I31" s="2" t="s">
        <v>135</v>
      </c>
      <c r="J31" s="2" t="s">
        <v>136</v>
      </c>
      <c r="K31" s="2" t="s">
        <v>304</v>
      </c>
      <c r="L31" s="2" t="s">
        <v>137</v>
      </c>
      <c r="M31" s="8" t="str">
        <f>HYPERLINK("http://slimages.macys.com/is/image/MCY/15365447 ")</f>
        <v xml:space="preserve">http://slimages.macys.com/is/image/MCY/15365447 </v>
      </c>
    </row>
    <row r="32" spans="1:13" ht="96" x14ac:dyDescent="0.25">
      <c r="A32" s="7" t="s">
        <v>131</v>
      </c>
      <c r="B32" s="2" t="s">
        <v>132</v>
      </c>
      <c r="C32" s="4">
        <v>3</v>
      </c>
      <c r="D32" s="5">
        <v>14</v>
      </c>
      <c r="E32" s="5">
        <v>34.99</v>
      </c>
      <c r="F32" s="4" t="s">
        <v>133</v>
      </c>
      <c r="G32" s="2" t="s">
        <v>134</v>
      </c>
      <c r="H32" s="7" t="s">
        <v>91</v>
      </c>
      <c r="I32" s="2" t="s">
        <v>135</v>
      </c>
      <c r="J32" s="2" t="s">
        <v>136</v>
      </c>
      <c r="K32" s="2" t="s">
        <v>304</v>
      </c>
      <c r="L32" s="2" t="s">
        <v>137</v>
      </c>
      <c r="M32" s="8" t="str">
        <f>HYPERLINK("http://slimages.macys.com/is/image/MCY/15365447 ")</f>
        <v xml:space="preserve">http://slimages.macys.com/is/image/MCY/15365447 </v>
      </c>
    </row>
    <row r="33" spans="1:13" ht="96" x14ac:dyDescent="0.25">
      <c r="A33" s="7" t="s">
        <v>13241</v>
      </c>
      <c r="B33" s="2" t="s">
        <v>13235</v>
      </c>
      <c r="C33" s="4">
        <v>1</v>
      </c>
      <c r="D33" s="5">
        <v>14</v>
      </c>
      <c r="E33" s="5">
        <v>34.99</v>
      </c>
      <c r="F33" s="4" t="s">
        <v>13236</v>
      </c>
      <c r="G33" s="2" t="s">
        <v>752</v>
      </c>
      <c r="H33" s="7" t="s">
        <v>42</v>
      </c>
      <c r="I33" s="2" t="s">
        <v>135</v>
      </c>
      <c r="J33" s="2" t="s">
        <v>136</v>
      </c>
      <c r="K33" s="2" t="s">
        <v>304</v>
      </c>
      <c r="L33" s="2" t="s">
        <v>137</v>
      </c>
      <c r="M33" s="8" t="str">
        <f>HYPERLINK("http://slimages.macys.com/is/image/MCY/15364739 ")</f>
        <v xml:space="preserve">http://slimages.macys.com/is/image/MCY/15364739 </v>
      </c>
    </row>
    <row r="34" spans="1:13" ht="96" x14ac:dyDescent="0.25">
      <c r="A34" s="7" t="s">
        <v>13237</v>
      </c>
      <c r="B34" s="2" t="s">
        <v>13235</v>
      </c>
      <c r="C34" s="4">
        <v>1</v>
      </c>
      <c r="D34" s="5">
        <v>14</v>
      </c>
      <c r="E34" s="5">
        <v>34.99</v>
      </c>
      <c r="F34" s="4" t="s">
        <v>13236</v>
      </c>
      <c r="G34" s="2" t="s">
        <v>752</v>
      </c>
      <c r="H34" s="7" t="s">
        <v>91</v>
      </c>
      <c r="I34" s="2" t="s">
        <v>135</v>
      </c>
      <c r="J34" s="2" t="s">
        <v>136</v>
      </c>
      <c r="K34" s="2" t="s">
        <v>304</v>
      </c>
      <c r="L34" s="2" t="s">
        <v>137</v>
      </c>
      <c r="M34" s="8" t="str">
        <f>HYPERLINK("http://slimages.macys.com/is/image/MCY/15364739 ")</f>
        <v xml:space="preserve">http://slimages.macys.com/is/image/MCY/15364739 </v>
      </c>
    </row>
    <row r="35" spans="1:13" ht="96" x14ac:dyDescent="0.25">
      <c r="A35" s="7" t="s">
        <v>13240</v>
      </c>
      <c r="B35" s="2" t="s">
        <v>2996</v>
      </c>
      <c r="C35" s="4">
        <v>2</v>
      </c>
      <c r="D35" s="5">
        <v>14</v>
      </c>
      <c r="E35" s="5">
        <v>34.99</v>
      </c>
      <c r="F35" s="4" t="s">
        <v>2997</v>
      </c>
      <c r="G35" s="2" t="s">
        <v>752</v>
      </c>
      <c r="H35" s="7" t="s">
        <v>91</v>
      </c>
      <c r="I35" s="2" t="s">
        <v>135</v>
      </c>
      <c r="J35" s="2" t="s">
        <v>136</v>
      </c>
      <c r="K35" s="2" t="s">
        <v>304</v>
      </c>
      <c r="L35" s="2" t="s">
        <v>137</v>
      </c>
      <c r="M35" s="8" t="str">
        <f>HYPERLINK("http://slimages.macys.com/is/image/MCY/15364745 ")</f>
        <v xml:space="preserve">http://slimages.macys.com/is/image/MCY/15364745 </v>
      </c>
    </row>
    <row r="36" spans="1:13" ht="96" x14ac:dyDescent="0.25">
      <c r="A36" s="7" t="s">
        <v>13233</v>
      </c>
      <c r="B36" s="2" t="s">
        <v>3707</v>
      </c>
      <c r="C36" s="4">
        <v>3</v>
      </c>
      <c r="D36" s="5">
        <v>14</v>
      </c>
      <c r="E36" s="5">
        <v>34.99</v>
      </c>
      <c r="F36" s="4" t="s">
        <v>3708</v>
      </c>
      <c r="G36" s="2" t="s">
        <v>62</v>
      </c>
      <c r="H36" s="7" t="s">
        <v>91</v>
      </c>
      <c r="I36" s="2" t="s">
        <v>135</v>
      </c>
      <c r="J36" s="2" t="s">
        <v>136</v>
      </c>
      <c r="K36" s="2" t="s">
        <v>304</v>
      </c>
      <c r="L36" s="2" t="s">
        <v>3709</v>
      </c>
      <c r="M36" s="8" t="str">
        <f>HYPERLINK("http://slimages.macys.com/is/image/MCY/15363769 ")</f>
        <v xml:space="preserve">http://slimages.macys.com/is/image/MCY/15363769 </v>
      </c>
    </row>
    <row r="37" spans="1:13" ht="96" x14ac:dyDescent="0.25">
      <c r="A37" s="7" t="s">
        <v>13234</v>
      </c>
      <c r="B37" s="2" t="s">
        <v>13235</v>
      </c>
      <c r="C37" s="4">
        <v>4</v>
      </c>
      <c r="D37" s="5">
        <v>14</v>
      </c>
      <c r="E37" s="5">
        <v>34.99</v>
      </c>
      <c r="F37" s="4" t="s">
        <v>13236</v>
      </c>
      <c r="G37" s="2" t="s">
        <v>752</v>
      </c>
      <c r="H37" s="7" t="s">
        <v>442</v>
      </c>
      <c r="I37" s="2" t="s">
        <v>135</v>
      </c>
      <c r="J37" s="2" t="s">
        <v>136</v>
      </c>
      <c r="K37" s="2" t="s">
        <v>304</v>
      </c>
      <c r="L37" s="2" t="s">
        <v>137</v>
      </c>
      <c r="M37" s="8" t="str">
        <f>HYPERLINK("http://slimages.macys.com/is/image/MCY/15364739 ")</f>
        <v xml:space="preserve">http://slimages.macys.com/is/image/MCY/15364739 </v>
      </c>
    </row>
    <row r="38" spans="1:13" ht="168" x14ac:dyDescent="0.25">
      <c r="A38" s="7" t="s">
        <v>13248</v>
      </c>
      <c r="B38" s="2" t="s">
        <v>127</v>
      </c>
      <c r="C38" s="4">
        <v>1</v>
      </c>
      <c r="D38" s="5">
        <v>14</v>
      </c>
      <c r="E38" s="5">
        <v>34.99</v>
      </c>
      <c r="F38" s="4" t="s">
        <v>128</v>
      </c>
      <c r="G38" s="2" t="s">
        <v>129</v>
      </c>
      <c r="H38" s="7" t="s">
        <v>442</v>
      </c>
      <c r="I38" s="2" t="s">
        <v>92</v>
      </c>
      <c r="J38" s="2" t="s">
        <v>65</v>
      </c>
      <c r="K38" s="2" t="s">
        <v>304</v>
      </c>
      <c r="L38" s="2" t="s">
        <v>130</v>
      </c>
      <c r="M38" s="8" t="str">
        <f>HYPERLINK("http://slimages.macys.com/is/image/MCY/14885750 ")</f>
        <v xml:space="preserve">http://slimages.macys.com/is/image/MCY/14885750 </v>
      </c>
    </row>
    <row r="39" spans="1:13" ht="96" x14ac:dyDescent="0.25">
      <c r="A39" s="7" t="s">
        <v>2491</v>
      </c>
      <c r="B39" s="2" t="s">
        <v>2488</v>
      </c>
      <c r="C39" s="4">
        <v>1</v>
      </c>
      <c r="D39" s="5">
        <v>14</v>
      </c>
      <c r="E39" s="5">
        <v>34.99</v>
      </c>
      <c r="F39" s="4" t="s">
        <v>2489</v>
      </c>
      <c r="G39" s="2" t="s">
        <v>388</v>
      </c>
      <c r="H39" s="7" t="s">
        <v>91</v>
      </c>
      <c r="I39" s="2" t="s">
        <v>135</v>
      </c>
      <c r="J39" s="2" t="s">
        <v>136</v>
      </c>
      <c r="K39" s="2" t="s">
        <v>304</v>
      </c>
      <c r="L39" s="2" t="s">
        <v>137</v>
      </c>
      <c r="M39" s="8" t="str">
        <f>HYPERLINK("http://slimages.macys.com/is/image/MCY/15363783 ")</f>
        <v xml:space="preserve">http://slimages.macys.com/is/image/MCY/15363783 </v>
      </c>
    </row>
    <row r="40" spans="1:13" ht="180" x14ac:dyDescent="0.25">
      <c r="A40" s="7" t="s">
        <v>13249</v>
      </c>
      <c r="B40" s="2" t="s">
        <v>13245</v>
      </c>
      <c r="C40" s="4">
        <v>1</v>
      </c>
      <c r="D40" s="5">
        <v>14</v>
      </c>
      <c r="E40" s="5">
        <v>34.99</v>
      </c>
      <c r="F40" s="4" t="s">
        <v>13246</v>
      </c>
      <c r="G40" s="2" t="s">
        <v>752</v>
      </c>
      <c r="H40" s="7" t="s">
        <v>590</v>
      </c>
      <c r="I40" s="2" t="s">
        <v>92</v>
      </c>
      <c r="J40" s="2" t="s">
        <v>65</v>
      </c>
      <c r="K40" s="2" t="s">
        <v>304</v>
      </c>
      <c r="L40" s="2" t="s">
        <v>13247</v>
      </c>
      <c r="M40" s="8" t="str">
        <f>HYPERLINK("http://slimages.macys.com/is/image/MCY/14885620 ")</f>
        <v xml:space="preserve">http://slimages.macys.com/is/image/MCY/14885620 </v>
      </c>
    </row>
    <row r="41" spans="1:13" ht="96" x14ac:dyDescent="0.25">
      <c r="A41" s="7" t="s">
        <v>3706</v>
      </c>
      <c r="B41" s="2" t="s">
        <v>3707</v>
      </c>
      <c r="C41" s="4">
        <v>4</v>
      </c>
      <c r="D41" s="5">
        <v>14</v>
      </c>
      <c r="E41" s="5">
        <v>34.99</v>
      </c>
      <c r="F41" s="4" t="s">
        <v>3708</v>
      </c>
      <c r="G41" s="2" t="s">
        <v>62</v>
      </c>
      <c r="H41" s="7" t="s">
        <v>42</v>
      </c>
      <c r="I41" s="2" t="s">
        <v>135</v>
      </c>
      <c r="J41" s="2" t="s">
        <v>136</v>
      </c>
      <c r="K41" s="2" t="s">
        <v>304</v>
      </c>
      <c r="L41" s="2" t="s">
        <v>3709</v>
      </c>
      <c r="M41" s="8" t="str">
        <f>HYPERLINK("http://slimages.macys.com/is/image/MCY/15363769 ")</f>
        <v xml:space="preserve">http://slimages.macys.com/is/image/MCY/15363769 </v>
      </c>
    </row>
    <row r="42" spans="1:13" ht="96" x14ac:dyDescent="0.25">
      <c r="A42" s="7" t="s">
        <v>13243</v>
      </c>
      <c r="B42" s="2" t="s">
        <v>3707</v>
      </c>
      <c r="C42" s="4">
        <v>7</v>
      </c>
      <c r="D42" s="5">
        <v>14</v>
      </c>
      <c r="E42" s="5">
        <v>34.99</v>
      </c>
      <c r="F42" s="4" t="s">
        <v>3708</v>
      </c>
      <c r="G42" s="2" t="s">
        <v>62</v>
      </c>
      <c r="H42" s="7" t="s">
        <v>442</v>
      </c>
      <c r="I42" s="2" t="s">
        <v>135</v>
      </c>
      <c r="J42" s="2" t="s">
        <v>136</v>
      </c>
      <c r="K42" s="2" t="s">
        <v>304</v>
      </c>
      <c r="L42" s="2" t="s">
        <v>3709</v>
      </c>
      <c r="M42" s="8" t="str">
        <f>HYPERLINK("http://slimages.macys.com/is/image/MCY/15363769 ")</f>
        <v xml:space="preserve">http://slimages.macys.com/is/image/MCY/15363769 </v>
      </c>
    </row>
    <row r="43" spans="1:13" ht="96" x14ac:dyDescent="0.25">
      <c r="A43" s="7" t="s">
        <v>13242</v>
      </c>
      <c r="B43" s="2" t="s">
        <v>13231</v>
      </c>
      <c r="C43" s="4">
        <v>2</v>
      </c>
      <c r="D43" s="5">
        <v>14</v>
      </c>
      <c r="E43" s="5">
        <v>34.99</v>
      </c>
      <c r="F43" s="4" t="s">
        <v>13232</v>
      </c>
      <c r="G43" s="2" t="s">
        <v>582</v>
      </c>
      <c r="H43" s="7" t="s">
        <v>91</v>
      </c>
      <c r="I43" s="2" t="s">
        <v>135</v>
      </c>
      <c r="J43" s="2" t="s">
        <v>136</v>
      </c>
      <c r="K43" s="2" t="s">
        <v>304</v>
      </c>
      <c r="L43" s="2" t="s">
        <v>137</v>
      </c>
      <c r="M43" s="8" t="str">
        <f>HYPERLINK("http://slimages.macys.com/is/image/MCY/15364743 ")</f>
        <v xml:space="preserve">http://slimages.macys.com/is/image/MCY/15364743 </v>
      </c>
    </row>
    <row r="44" spans="1:13" ht="216" x14ac:dyDescent="0.25">
      <c r="A44" s="7" t="s">
        <v>3730</v>
      </c>
      <c r="B44" s="2" t="s">
        <v>3731</v>
      </c>
      <c r="C44" s="4">
        <v>1</v>
      </c>
      <c r="D44" s="5">
        <v>13.75</v>
      </c>
      <c r="E44" s="5">
        <v>39.99</v>
      </c>
      <c r="F44" s="4" t="s">
        <v>3732</v>
      </c>
      <c r="G44" s="2" t="s">
        <v>353</v>
      </c>
      <c r="H44" s="7" t="s">
        <v>442</v>
      </c>
      <c r="I44" s="2" t="s">
        <v>92</v>
      </c>
      <c r="J44" s="2" t="s">
        <v>239</v>
      </c>
      <c r="K44" s="2" t="s">
        <v>304</v>
      </c>
      <c r="L44" s="2" t="s">
        <v>3733</v>
      </c>
      <c r="M44" s="8" t="str">
        <f>HYPERLINK("http://slimages.macys.com/is/image/MCY/15213361 ")</f>
        <v xml:space="preserve">http://slimages.macys.com/is/image/MCY/15213361 </v>
      </c>
    </row>
    <row r="45" spans="1:13" ht="96" x14ac:dyDescent="0.25">
      <c r="A45" s="7" t="s">
        <v>3735</v>
      </c>
      <c r="B45" s="2" t="s">
        <v>3727</v>
      </c>
      <c r="C45" s="4">
        <v>1</v>
      </c>
      <c r="D45" s="5">
        <v>13.75</v>
      </c>
      <c r="E45" s="5">
        <v>39.99</v>
      </c>
      <c r="F45" s="4" t="s">
        <v>3728</v>
      </c>
      <c r="G45" s="2" t="s">
        <v>62</v>
      </c>
      <c r="H45" s="7" t="s">
        <v>442</v>
      </c>
      <c r="I45" s="2" t="s">
        <v>92</v>
      </c>
      <c r="J45" s="2" t="s">
        <v>239</v>
      </c>
      <c r="K45" s="2" t="s">
        <v>304</v>
      </c>
      <c r="L45" s="2" t="s">
        <v>1516</v>
      </c>
      <c r="M45" s="8" t="str">
        <f>HYPERLINK("http://slimages.macys.com/is/image/MCY/14989330 ")</f>
        <v xml:space="preserve">http://slimages.macys.com/is/image/MCY/14989330 </v>
      </c>
    </row>
    <row r="46" spans="1:13" ht="264" x14ac:dyDescent="0.25">
      <c r="A46" s="7" t="s">
        <v>13261</v>
      </c>
      <c r="B46" s="2" t="s">
        <v>13258</v>
      </c>
      <c r="C46" s="4">
        <v>1</v>
      </c>
      <c r="D46" s="5">
        <v>13.75</v>
      </c>
      <c r="E46" s="5">
        <v>39.99</v>
      </c>
      <c r="F46" s="4" t="s">
        <v>13259</v>
      </c>
      <c r="G46" s="2" t="s">
        <v>129</v>
      </c>
      <c r="H46" s="7" t="s">
        <v>590</v>
      </c>
      <c r="I46" s="2" t="s">
        <v>92</v>
      </c>
      <c r="J46" s="2" t="s">
        <v>239</v>
      </c>
      <c r="K46" s="2" t="s">
        <v>304</v>
      </c>
      <c r="L46" s="2" t="s">
        <v>13260</v>
      </c>
      <c r="M46" s="8" t="str">
        <f>HYPERLINK("http://slimages.macys.com/is/image/MCY/14988481 ")</f>
        <v xml:space="preserve">http://slimages.macys.com/is/image/MCY/14988481 </v>
      </c>
    </row>
    <row r="47" spans="1:13" ht="264" x14ac:dyDescent="0.25">
      <c r="A47" s="7" t="s">
        <v>13257</v>
      </c>
      <c r="B47" s="2" t="s">
        <v>13258</v>
      </c>
      <c r="C47" s="4">
        <v>1</v>
      </c>
      <c r="D47" s="5">
        <v>13.75</v>
      </c>
      <c r="E47" s="5">
        <v>39.99</v>
      </c>
      <c r="F47" s="4" t="s">
        <v>13259</v>
      </c>
      <c r="G47" s="2" t="s">
        <v>129</v>
      </c>
      <c r="H47" s="7" t="s">
        <v>149</v>
      </c>
      <c r="I47" s="2" t="s">
        <v>92</v>
      </c>
      <c r="J47" s="2" t="s">
        <v>239</v>
      </c>
      <c r="K47" s="2" t="s">
        <v>304</v>
      </c>
      <c r="L47" s="2" t="s">
        <v>13260</v>
      </c>
      <c r="M47" s="8" t="str">
        <f>HYPERLINK("http://slimages.macys.com/is/image/MCY/14988481 ")</f>
        <v xml:space="preserve">http://slimages.macys.com/is/image/MCY/14988481 </v>
      </c>
    </row>
    <row r="48" spans="1:13" ht="144" x14ac:dyDescent="0.25">
      <c r="A48" s="7" t="s">
        <v>13550</v>
      </c>
      <c r="B48" s="2" t="s">
        <v>2493</v>
      </c>
      <c r="C48" s="4">
        <v>1</v>
      </c>
      <c r="D48" s="5">
        <v>13.75</v>
      </c>
      <c r="E48" s="5">
        <v>39.99</v>
      </c>
      <c r="F48" s="4" t="s">
        <v>2494</v>
      </c>
      <c r="G48" s="2" t="s">
        <v>752</v>
      </c>
      <c r="H48" s="7" t="s">
        <v>91</v>
      </c>
      <c r="I48" s="2" t="s">
        <v>92</v>
      </c>
      <c r="J48" s="2" t="s">
        <v>239</v>
      </c>
      <c r="K48" s="2" t="s">
        <v>304</v>
      </c>
      <c r="L48" s="2" t="s">
        <v>2495</v>
      </c>
      <c r="M48" s="8" t="str">
        <f>HYPERLINK("http://slimages.macys.com/is/image/MCY/14886820 ")</f>
        <v xml:space="preserve">http://slimages.macys.com/is/image/MCY/14886820 </v>
      </c>
    </row>
    <row r="49" spans="1:13" ht="168" x14ac:dyDescent="0.25">
      <c r="A49" s="7" t="s">
        <v>1521</v>
      </c>
      <c r="B49" s="2" t="s">
        <v>1522</v>
      </c>
      <c r="C49" s="4">
        <v>1</v>
      </c>
      <c r="D49" s="5">
        <v>13.75</v>
      </c>
      <c r="E49" s="5">
        <v>39.99</v>
      </c>
      <c r="F49" s="4" t="s">
        <v>1523</v>
      </c>
      <c r="G49" s="2" t="s">
        <v>62</v>
      </c>
      <c r="H49" s="7" t="s">
        <v>442</v>
      </c>
      <c r="I49" s="2" t="s">
        <v>92</v>
      </c>
      <c r="J49" s="2" t="s">
        <v>239</v>
      </c>
      <c r="K49" s="2" t="s">
        <v>304</v>
      </c>
      <c r="L49" s="2" t="s">
        <v>1524</v>
      </c>
      <c r="M49" s="8" t="str">
        <f>HYPERLINK("http://slimages.macys.com/is/image/MCY/14886823 ")</f>
        <v xml:space="preserve">http://slimages.macys.com/is/image/MCY/14886823 </v>
      </c>
    </row>
    <row r="50" spans="1:13" ht="264" x14ac:dyDescent="0.25">
      <c r="A50" s="7" t="s">
        <v>14060</v>
      </c>
      <c r="B50" s="2" t="s">
        <v>13258</v>
      </c>
      <c r="C50" s="4">
        <v>1</v>
      </c>
      <c r="D50" s="5">
        <v>13.75</v>
      </c>
      <c r="E50" s="5">
        <v>39.99</v>
      </c>
      <c r="F50" s="4" t="s">
        <v>13259</v>
      </c>
      <c r="G50" s="2" t="s">
        <v>129</v>
      </c>
      <c r="H50" s="7" t="s">
        <v>91</v>
      </c>
      <c r="I50" s="2" t="s">
        <v>92</v>
      </c>
      <c r="J50" s="2" t="s">
        <v>239</v>
      </c>
      <c r="K50" s="2" t="s">
        <v>304</v>
      </c>
      <c r="L50" s="2" t="s">
        <v>13260</v>
      </c>
      <c r="M50" s="8" t="str">
        <f>HYPERLINK("http://slimages.macys.com/is/image/MCY/14988481 ")</f>
        <v xml:space="preserve">http://slimages.macys.com/is/image/MCY/14988481 </v>
      </c>
    </row>
    <row r="51" spans="1:13" ht="180" x14ac:dyDescent="0.25">
      <c r="A51" s="7" t="s">
        <v>3729</v>
      </c>
      <c r="B51" s="2" t="s">
        <v>2497</v>
      </c>
      <c r="C51" s="4">
        <v>1</v>
      </c>
      <c r="D51" s="5">
        <v>13.75</v>
      </c>
      <c r="E51" s="5">
        <v>39.99</v>
      </c>
      <c r="F51" s="4" t="s">
        <v>2498</v>
      </c>
      <c r="G51" s="2" t="s">
        <v>28</v>
      </c>
      <c r="H51" s="7" t="s">
        <v>42</v>
      </c>
      <c r="I51" s="2" t="s">
        <v>92</v>
      </c>
      <c r="J51" s="2" t="s">
        <v>239</v>
      </c>
      <c r="K51" s="2" t="s">
        <v>304</v>
      </c>
      <c r="L51" s="2" t="s">
        <v>1452</v>
      </c>
      <c r="M51" s="8" t="str">
        <f>HYPERLINK("http://slimages.macys.com/is/image/MCY/14886762 ")</f>
        <v xml:space="preserve">http://slimages.macys.com/is/image/MCY/14886762 </v>
      </c>
    </row>
    <row r="52" spans="1:13" ht="216" x14ac:dyDescent="0.25">
      <c r="A52" s="7" t="s">
        <v>13268</v>
      </c>
      <c r="B52" s="2" t="s">
        <v>758</v>
      </c>
      <c r="C52" s="4">
        <v>2</v>
      </c>
      <c r="D52" s="5">
        <v>13.5</v>
      </c>
      <c r="E52" s="5">
        <v>34.99</v>
      </c>
      <c r="F52" s="4" t="s">
        <v>759</v>
      </c>
      <c r="G52" s="2" t="s">
        <v>752</v>
      </c>
      <c r="H52" s="7" t="s">
        <v>590</v>
      </c>
      <c r="I52" s="2" t="s">
        <v>92</v>
      </c>
      <c r="J52" s="2" t="s">
        <v>65</v>
      </c>
      <c r="K52" s="2" t="s">
        <v>304</v>
      </c>
      <c r="L52" s="2" t="s">
        <v>760</v>
      </c>
      <c r="M52" s="8" t="str">
        <f>HYPERLINK("http://slimages.macys.com/is/image/MCY/14815593 ")</f>
        <v xml:space="preserve">http://slimages.macys.com/is/image/MCY/14815593 </v>
      </c>
    </row>
    <row r="53" spans="1:13" ht="60" x14ac:dyDescent="0.25">
      <c r="A53" s="7" t="s">
        <v>13559</v>
      </c>
      <c r="B53" s="2" t="s">
        <v>13275</v>
      </c>
      <c r="C53" s="4">
        <v>1</v>
      </c>
      <c r="D53" s="5">
        <v>13.13</v>
      </c>
      <c r="E53" s="5">
        <v>30</v>
      </c>
      <c r="F53" s="4" t="s">
        <v>13276</v>
      </c>
      <c r="G53" s="2" t="s">
        <v>41</v>
      </c>
      <c r="H53" s="7" t="s">
        <v>442</v>
      </c>
      <c r="I53" s="2" t="s">
        <v>92</v>
      </c>
      <c r="J53" s="2" t="s">
        <v>187</v>
      </c>
      <c r="K53" s="2" t="s">
        <v>304</v>
      </c>
      <c r="L53" s="2" t="s">
        <v>38</v>
      </c>
      <c r="M53" s="8" t="str">
        <f>HYPERLINK("http://slimages.macys.com/is/image/MCY/15240489 ")</f>
        <v xml:space="preserve">http://slimages.macys.com/is/image/MCY/15240489 </v>
      </c>
    </row>
    <row r="54" spans="1:13" ht="60" x14ac:dyDescent="0.25">
      <c r="A54" s="7" t="s">
        <v>13274</v>
      </c>
      <c r="B54" s="2" t="s">
        <v>13275</v>
      </c>
      <c r="C54" s="4">
        <v>1</v>
      </c>
      <c r="D54" s="5">
        <v>13.13</v>
      </c>
      <c r="E54" s="5">
        <v>30</v>
      </c>
      <c r="F54" s="4" t="s">
        <v>13276</v>
      </c>
      <c r="G54" s="2" t="s">
        <v>41</v>
      </c>
      <c r="H54" s="7" t="s">
        <v>42</v>
      </c>
      <c r="I54" s="2" t="s">
        <v>92</v>
      </c>
      <c r="J54" s="2" t="s">
        <v>187</v>
      </c>
      <c r="K54" s="2" t="s">
        <v>304</v>
      </c>
      <c r="L54" s="2" t="s">
        <v>38</v>
      </c>
      <c r="M54" s="8" t="str">
        <f>HYPERLINK("http://slimages.macys.com/is/image/MCY/15240489 ")</f>
        <v xml:space="preserve">http://slimages.macys.com/is/image/MCY/15240489 </v>
      </c>
    </row>
    <row r="55" spans="1:13" ht="168" x14ac:dyDescent="0.25">
      <c r="A55" s="7" t="s">
        <v>2510</v>
      </c>
      <c r="B55" s="2" t="s">
        <v>189</v>
      </c>
      <c r="C55" s="4">
        <v>1</v>
      </c>
      <c r="D55" s="5">
        <v>12.5</v>
      </c>
      <c r="E55" s="5">
        <v>34.99</v>
      </c>
      <c r="F55" s="4" t="s">
        <v>190</v>
      </c>
      <c r="G55" s="2" t="s">
        <v>129</v>
      </c>
      <c r="H55" s="7" t="s">
        <v>42</v>
      </c>
      <c r="I55" s="2" t="s">
        <v>92</v>
      </c>
      <c r="J55" s="2" t="s">
        <v>65</v>
      </c>
      <c r="K55" s="2" t="s">
        <v>304</v>
      </c>
      <c r="L55" s="2" t="s">
        <v>191</v>
      </c>
      <c r="M55" s="8" t="str">
        <f>HYPERLINK("http://slimages.macys.com/is/image/MCY/14815686 ")</f>
        <v xml:space="preserve">http://slimages.macys.com/is/image/MCY/14815686 </v>
      </c>
    </row>
    <row r="56" spans="1:13" ht="156" x14ac:dyDescent="0.25">
      <c r="A56" s="7" t="s">
        <v>14344</v>
      </c>
      <c r="B56" s="2" t="s">
        <v>3771</v>
      </c>
      <c r="C56" s="4">
        <v>1</v>
      </c>
      <c r="D56" s="5">
        <v>12.5</v>
      </c>
      <c r="E56" s="5">
        <v>34.99</v>
      </c>
      <c r="F56" s="4" t="s">
        <v>3772</v>
      </c>
      <c r="G56" s="2" t="s">
        <v>129</v>
      </c>
      <c r="H56" s="7" t="s">
        <v>149</v>
      </c>
      <c r="I56" s="2" t="s">
        <v>92</v>
      </c>
      <c r="J56" s="2" t="s">
        <v>65</v>
      </c>
      <c r="K56" s="2" t="s">
        <v>304</v>
      </c>
      <c r="L56" s="2" t="s">
        <v>3773</v>
      </c>
      <c r="M56" s="8" t="str">
        <f>HYPERLINK("http://slimages.macys.com/is/image/MCY/14815615 ")</f>
        <v xml:space="preserve">http://slimages.macys.com/is/image/MCY/14815615 </v>
      </c>
    </row>
    <row r="57" spans="1:13" ht="180" x14ac:dyDescent="0.25">
      <c r="A57" s="7" t="s">
        <v>5231</v>
      </c>
      <c r="B57" s="2" t="s">
        <v>3057</v>
      </c>
      <c r="C57" s="4">
        <v>2</v>
      </c>
      <c r="D57" s="5">
        <v>12.5</v>
      </c>
      <c r="E57" s="5">
        <v>34.99</v>
      </c>
      <c r="F57" s="4" t="s">
        <v>3058</v>
      </c>
      <c r="G57" s="2" t="s">
        <v>41</v>
      </c>
      <c r="H57" s="7" t="s">
        <v>149</v>
      </c>
      <c r="I57" s="2" t="s">
        <v>92</v>
      </c>
      <c r="J57" s="2" t="s">
        <v>65</v>
      </c>
      <c r="K57" s="2" t="s">
        <v>304</v>
      </c>
      <c r="L57" s="2" t="s">
        <v>3059</v>
      </c>
      <c r="M57" s="8" t="str">
        <f>HYPERLINK("http://slimages.macys.com/is/image/MCY/14815481 ")</f>
        <v xml:space="preserve">http://slimages.macys.com/is/image/MCY/14815481 </v>
      </c>
    </row>
    <row r="58" spans="1:13" ht="180" x14ac:dyDescent="0.25">
      <c r="A58" s="7" t="s">
        <v>3056</v>
      </c>
      <c r="B58" s="2" t="s">
        <v>3057</v>
      </c>
      <c r="C58" s="4">
        <v>2</v>
      </c>
      <c r="D58" s="5">
        <v>12.5</v>
      </c>
      <c r="E58" s="5">
        <v>34.99</v>
      </c>
      <c r="F58" s="4" t="s">
        <v>3058</v>
      </c>
      <c r="G58" s="2" t="s">
        <v>41</v>
      </c>
      <c r="H58" s="7" t="s">
        <v>590</v>
      </c>
      <c r="I58" s="2" t="s">
        <v>92</v>
      </c>
      <c r="J58" s="2" t="s">
        <v>65</v>
      </c>
      <c r="K58" s="2" t="s">
        <v>304</v>
      </c>
      <c r="L58" s="2" t="s">
        <v>3059</v>
      </c>
      <c r="M58" s="8" t="str">
        <f>HYPERLINK("http://slimages.macys.com/is/image/MCY/14815481 ")</f>
        <v xml:space="preserve">http://slimages.macys.com/is/image/MCY/14815481 </v>
      </c>
    </row>
    <row r="59" spans="1:13" ht="204" x14ac:dyDescent="0.25">
      <c r="A59" s="7" t="s">
        <v>13576</v>
      </c>
      <c r="B59" s="2" t="s">
        <v>1558</v>
      </c>
      <c r="C59" s="4">
        <v>1</v>
      </c>
      <c r="D59" s="5">
        <v>12.5</v>
      </c>
      <c r="E59" s="5">
        <v>34.99</v>
      </c>
      <c r="F59" s="4" t="s">
        <v>1559</v>
      </c>
      <c r="G59" s="2" t="s">
        <v>129</v>
      </c>
      <c r="H59" s="7" t="s">
        <v>42</v>
      </c>
      <c r="I59" s="2" t="s">
        <v>92</v>
      </c>
      <c r="J59" s="2" t="s">
        <v>65</v>
      </c>
      <c r="K59" s="2" t="s">
        <v>304</v>
      </c>
      <c r="L59" s="2" t="s">
        <v>1560</v>
      </c>
      <c r="M59" s="8" t="str">
        <f>HYPERLINK("http://slimages.macys.com/is/image/MCY/14815688 ")</f>
        <v xml:space="preserve">http://slimages.macys.com/is/image/MCY/14815688 </v>
      </c>
    </row>
    <row r="60" spans="1:13" ht="168" x14ac:dyDescent="0.25">
      <c r="A60" s="7" t="s">
        <v>188</v>
      </c>
      <c r="B60" s="2" t="s">
        <v>189</v>
      </c>
      <c r="C60" s="4">
        <v>1</v>
      </c>
      <c r="D60" s="5">
        <v>12.5</v>
      </c>
      <c r="E60" s="5">
        <v>34.99</v>
      </c>
      <c r="F60" s="4" t="s">
        <v>190</v>
      </c>
      <c r="G60" s="2" t="s">
        <v>129</v>
      </c>
      <c r="H60" s="7" t="s">
        <v>149</v>
      </c>
      <c r="I60" s="2" t="s">
        <v>92</v>
      </c>
      <c r="J60" s="2" t="s">
        <v>65</v>
      </c>
      <c r="K60" s="2" t="s">
        <v>304</v>
      </c>
      <c r="L60" s="2" t="s">
        <v>191</v>
      </c>
      <c r="M60" s="8" t="str">
        <f>HYPERLINK("http://slimages.macys.com/is/image/MCY/14815686 ")</f>
        <v xml:space="preserve">http://slimages.macys.com/is/image/MCY/14815686 </v>
      </c>
    </row>
    <row r="61" spans="1:13" ht="60" x14ac:dyDescent="0.25">
      <c r="A61" s="7" t="s">
        <v>197</v>
      </c>
      <c r="B61" s="2" t="s">
        <v>198</v>
      </c>
      <c r="C61" s="4">
        <v>79</v>
      </c>
      <c r="D61" s="5">
        <v>12.39</v>
      </c>
      <c r="E61" s="5">
        <v>29.5</v>
      </c>
      <c r="F61" s="4" t="s">
        <v>199</v>
      </c>
      <c r="G61" s="2" t="s">
        <v>200</v>
      </c>
      <c r="H61" s="7" t="s">
        <v>91</v>
      </c>
      <c r="I61" s="2" t="s">
        <v>135</v>
      </c>
      <c r="J61" s="2" t="s">
        <v>201</v>
      </c>
      <c r="K61" s="2" t="s">
        <v>304</v>
      </c>
      <c r="L61" s="2" t="s">
        <v>87</v>
      </c>
      <c r="M61" s="8" t="str">
        <f>HYPERLINK("http://slimages.macys.com/is/image/MCY/1477012 ")</f>
        <v xml:space="preserve">http://slimages.macys.com/is/image/MCY/1477012 </v>
      </c>
    </row>
    <row r="62" spans="1:13" ht="60" x14ac:dyDescent="0.25">
      <c r="A62" s="7" t="s">
        <v>2511</v>
      </c>
      <c r="B62" s="2" t="s">
        <v>198</v>
      </c>
      <c r="C62" s="4">
        <v>89</v>
      </c>
      <c r="D62" s="5">
        <v>12.39</v>
      </c>
      <c r="E62" s="5">
        <v>29.5</v>
      </c>
      <c r="F62" s="4" t="s">
        <v>199</v>
      </c>
      <c r="G62" s="2" t="s">
        <v>200</v>
      </c>
      <c r="H62" s="7" t="s">
        <v>42</v>
      </c>
      <c r="I62" s="2" t="s">
        <v>135</v>
      </c>
      <c r="J62" s="2" t="s">
        <v>201</v>
      </c>
      <c r="K62" s="2" t="s">
        <v>304</v>
      </c>
      <c r="L62" s="2" t="s">
        <v>87</v>
      </c>
      <c r="M62" s="8" t="str">
        <f>HYPERLINK("http://slimages.macys.com/is/image/MCY/1477012 ")</f>
        <v xml:space="preserve">http://slimages.macys.com/is/image/MCY/1477012 </v>
      </c>
    </row>
    <row r="63" spans="1:13" ht="60" x14ac:dyDescent="0.25">
      <c r="A63" s="7" t="s">
        <v>779</v>
      </c>
      <c r="B63" s="2" t="s">
        <v>198</v>
      </c>
      <c r="C63" s="4">
        <v>72</v>
      </c>
      <c r="D63" s="5">
        <v>12.39</v>
      </c>
      <c r="E63" s="5">
        <v>29.5</v>
      </c>
      <c r="F63" s="4" t="s">
        <v>199</v>
      </c>
      <c r="G63" s="2" t="s">
        <v>200</v>
      </c>
      <c r="H63" s="7" t="s">
        <v>442</v>
      </c>
      <c r="I63" s="2" t="s">
        <v>135</v>
      </c>
      <c r="J63" s="2" t="s">
        <v>201</v>
      </c>
      <c r="K63" s="2" t="s">
        <v>304</v>
      </c>
      <c r="L63" s="2" t="s">
        <v>87</v>
      </c>
      <c r="M63" s="8" t="str">
        <f>HYPERLINK("http://slimages.macys.com/is/image/MCY/1477012 ")</f>
        <v xml:space="preserve">http://slimages.macys.com/is/image/MCY/1477012 </v>
      </c>
    </row>
    <row r="64" spans="1:13" ht="60" x14ac:dyDescent="0.25">
      <c r="A64" s="7" t="s">
        <v>3803</v>
      </c>
      <c r="B64" s="2" t="s">
        <v>1491</v>
      </c>
      <c r="C64" s="4">
        <v>2</v>
      </c>
      <c r="D64" s="5">
        <v>11.7</v>
      </c>
      <c r="E64" s="5">
        <v>32.5</v>
      </c>
      <c r="F64" s="4" t="s">
        <v>3802</v>
      </c>
      <c r="G64" s="2" t="s">
        <v>800</v>
      </c>
      <c r="H64" s="7" t="s">
        <v>442</v>
      </c>
      <c r="I64" s="2" t="s">
        <v>92</v>
      </c>
      <c r="J64" s="2" t="s">
        <v>3633</v>
      </c>
      <c r="K64" s="2" t="s">
        <v>304</v>
      </c>
      <c r="L64" s="2" t="s">
        <v>119</v>
      </c>
      <c r="M64" s="8" t="str">
        <f>HYPERLINK("http://slimages.macys.com/is/image/MCY/13859676 ")</f>
        <v xml:space="preserve">http://slimages.macys.com/is/image/MCY/13859676 </v>
      </c>
    </row>
    <row r="65" spans="1:13" ht="60" x14ac:dyDescent="0.25">
      <c r="A65" s="7" t="s">
        <v>3801</v>
      </c>
      <c r="B65" s="2" t="s">
        <v>1491</v>
      </c>
      <c r="C65" s="4">
        <v>1</v>
      </c>
      <c r="D65" s="5">
        <v>11.7</v>
      </c>
      <c r="E65" s="5">
        <v>32.5</v>
      </c>
      <c r="F65" s="4" t="s">
        <v>3802</v>
      </c>
      <c r="G65" s="2" t="s">
        <v>800</v>
      </c>
      <c r="H65" s="7" t="s">
        <v>91</v>
      </c>
      <c r="I65" s="2" t="s">
        <v>92</v>
      </c>
      <c r="J65" s="2" t="s">
        <v>3633</v>
      </c>
      <c r="K65" s="2" t="s">
        <v>304</v>
      </c>
      <c r="L65" s="2" t="s">
        <v>119</v>
      </c>
      <c r="M65" s="8" t="str">
        <f>HYPERLINK("http://slimages.macys.com/is/image/MCY/13859676 ")</f>
        <v xml:space="preserve">http://slimages.macys.com/is/image/MCY/13859676 </v>
      </c>
    </row>
    <row r="66" spans="1:13" ht="60" x14ac:dyDescent="0.25">
      <c r="A66" s="7" t="s">
        <v>13287</v>
      </c>
      <c r="B66" s="2" t="s">
        <v>13288</v>
      </c>
      <c r="C66" s="4">
        <v>1</v>
      </c>
      <c r="D66" s="5">
        <v>11.13</v>
      </c>
      <c r="E66" s="5">
        <v>23.75</v>
      </c>
      <c r="F66" s="4" t="s">
        <v>13289</v>
      </c>
      <c r="G66" s="2" t="s">
        <v>165</v>
      </c>
      <c r="H66" s="7" t="s">
        <v>196</v>
      </c>
      <c r="I66" s="2" t="s">
        <v>73</v>
      </c>
      <c r="J66" s="2" t="s">
        <v>160</v>
      </c>
      <c r="K66" s="2" t="s">
        <v>304</v>
      </c>
      <c r="L66" s="2" t="s">
        <v>206</v>
      </c>
      <c r="M66" s="8" t="str">
        <f>HYPERLINK("http://slimages.macys.com/is/image/MCY/13839694 ")</f>
        <v xml:space="preserve">http://slimages.macys.com/is/image/MCY/13839694 </v>
      </c>
    </row>
    <row r="67" spans="1:13" ht="144" x14ac:dyDescent="0.25">
      <c r="A67" s="7" t="s">
        <v>232</v>
      </c>
      <c r="B67" s="2" t="s">
        <v>152</v>
      </c>
      <c r="C67" s="4">
        <v>1</v>
      </c>
      <c r="D67" s="5">
        <v>11.1</v>
      </c>
      <c r="E67" s="5">
        <v>25.24</v>
      </c>
      <c r="F67" s="4">
        <v>19318310</v>
      </c>
      <c r="G67" s="2"/>
      <c r="H67" s="7" t="s">
        <v>233</v>
      </c>
      <c r="I67" s="2" t="s">
        <v>153</v>
      </c>
      <c r="J67" s="2" t="s">
        <v>154</v>
      </c>
      <c r="K67" s="2" t="s">
        <v>304</v>
      </c>
      <c r="L67" s="2" t="s">
        <v>234</v>
      </c>
      <c r="M67" s="8" t="str">
        <f>HYPERLINK("http://slimages.macys.com/is/image/MCY/14608343 ")</f>
        <v xml:space="preserve">http://slimages.macys.com/is/image/MCY/14608343 </v>
      </c>
    </row>
    <row r="68" spans="1:13" ht="144" x14ac:dyDescent="0.25">
      <c r="A68" s="7" t="s">
        <v>5252</v>
      </c>
      <c r="B68" s="2" t="s">
        <v>152</v>
      </c>
      <c r="C68" s="4">
        <v>2</v>
      </c>
      <c r="D68" s="5">
        <v>11.1</v>
      </c>
      <c r="E68" s="5">
        <v>25.24</v>
      </c>
      <c r="F68" s="4">
        <v>19318310</v>
      </c>
      <c r="G68" s="2"/>
      <c r="H68" s="7" t="s">
        <v>438</v>
      </c>
      <c r="I68" s="2" t="s">
        <v>153</v>
      </c>
      <c r="J68" s="2" t="s">
        <v>154</v>
      </c>
      <c r="K68" s="2" t="s">
        <v>304</v>
      </c>
      <c r="L68" s="2" t="s">
        <v>234</v>
      </c>
      <c r="M68" s="8" t="str">
        <f>HYPERLINK("http://slimages.macys.com/is/image/MCY/14608343 ")</f>
        <v xml:space="preserve">http://slimages.macys.com/is/image/MCY/14608343 </v>
      </c>
    </row>
    <row r="69" spans="1:13" ht="144" x14ac:dyDescent="0.25">
      <c r="A69" s="7" t="s">
        <v>3811</v>
      </c>
      <c r="B69" s="2" t="s">
        <v>152</v>
      </c>
      <c r="C69" s="4">
        <v>1</v>
      </c>
      <c r="D69" s="5">
        <v>11.1</v>
      </c>
      <c r="E69" s="5">
        <v>25.24</v>
      </c>
      <c r="F69" s="4">
        <v>19318310</v>
      </c>
      <c r="G69" s="2"/>
      <c r="H69" s="7" t="s">
        <v>42</v>
      </c>
      <c r="I69" s="2" t="s">
        <v>153</v>
      </c>
      <c r="J69" s="2" t="s">
        <v>154</v>
      </c>
      <c r="K69" s="2" t="s">
        <v>304</v>
      </c>
      <c r="L69" s="2" t="s">
        <v>234</v>
      </c>
      <c r="M69" s="8" t="str">
        <f>HYPERLINK("http://slimages.macys.com/is/image/MCY/14608343 ")</f>
        <v xml:space="preserve">http://slimages.macys.com/is/image/MCY/14608343 </v>
      </c>
    </row>
    <row r="70" spans="1:13" ht="60" x14ac:dyDescent="0.25">
      <c r="A70" s="7" t="s">
        <v>14345</v>
      </c>
      <c r="B70" s="2" t="s">
        <v>13299</v>
      </c>
      <c r="C70" s="4">
        <v>1</v>
      </c>
      <c r="D70" s="5">
        <v>11</v>
      </c>
      <c r="E70" s="5">
        <v>29.99</v>
      </c>
      <c r="F70" s="4" t="s">
        <v>13300</v>
      </c>
      <c r="G70" s="2" t="s">
        <v>455</v>
      </c>
      <c r="H70" s="7" t="s">
        <v>149</v>
      </c>
      <c r="I70" s="2" t="s">
        <v>92</v>
      </c>
      <c r="J70" s="2" t="s">
        <v>239</v>
      </c>
      <c r="K70" s="2" t="s">
        <v>304</v>
      </c>
      <c r="L70" s="2" t="s">
        <v>596</v>
      </c>
      <c r="M70" s="8" t="str">
        <f>HYPERLINK("http://slimages.macys.com/is/image/MCY/13933695 ")</f>
        <v xml:space="preserve">http://slimages.macys.com/is/image/MCY/13933695 </v>
      </c>
    </row>
    <row r="71" spans="1:13" ht="216" x14ac:dyDescent="0.25">
      <c r="A71" s="7" t="s">
        <v>13492</v>
      </c>
      <c r="B71" s="2" t="s">
        <v>242</v>
      </c>
      <c r="C71" s="4">
        <v>1</v>
      </c>
      <c r="D71" s="5">
        <v>11</v>
      </c>
      <c r="E71" s="5">
        <v>32.99</v>
      </c>
      <c r="F71" s="4" t="s">
        <v>243</v>
      </c>
      <c r="G71" s="2" t="s">
        <v>195</v>
      </c>
      <c r="H71" s="7" t="s">
        <v>590</v>
      </c>
      <c r="I71" s="2" t="s">
        <v>92</v>
      </c>
      <c r="J71" s="2" t="s">
        <v>239</v>
      </c>
      <c r="K71" s="2" t="s">
        <v>304</v>
      </c>
      <c r="L71" s="2" t="s">
        <v>244</v>
      </c>
      <c r="M71" s="8" t="str">
        <f>HYPERLINK("http://slimages.macys.com/is/image/MCY/14542923 ")</f>
        <v xml:space="preserve">http://slimages.macys.com/is/image/MCY/14542923 </v>
      </c>
    </row>
    <row r="72" spans="1:13" ht="60" x14ac:dyDescent="0.25">
      <c r="A72" s="7" t="s">
        <v>13607</v>
      </c>
      <c r="B72" s="2" t="s">
        <v>3836</v>
      </c>
      <c r="C72" s="4">
        <v>2</v>
      </c>
      <c r="D72" s="5">
        <v>10.5</v>
      </c>
      <c r="E72" s="5">
        <v>23.88</v>
      </c>
      <c r="F72" s="4">
        <v>19317510</v>
      </c>
      <c r="G72" s="2" t="s">
        <v>892</v>
      </c>
      <c r="H72" s="7" t="s">
        <v>233</v>
      </c>
      <c r="I72" s="2" t="s">
        <v>153</v>
      </c>
      <c r="J72" s="2" t="s">
        <v>154</v>
      </c>
      <c r="K72" s="2" t="s">
        <v>304</v>
      </c>
      <c r="L72" s="2" t="s">
        <v>206</v>
      </c>
      <c r="M72" s="8" t="str">
        <f>HYPERLINK("http://slimages.macys.com/is/image/MCY/14661880 ")</f>
        <v xml:space="preserve">http://slimages.macys.com/is/image/MCY/14661880 </v>
      </c>
    </row>
    <row r="73" spans="1:13" ht="84" x14ac:dyDescent="0.25">
      <c r="A73" s="7" t="s">
        <v>2521</v>
      </c>
      <c r="B73" s="2" t="s">
        <v>809</v>
      </c>
      <c r="C73" s="4">
        <v>1</v>
      </c>
      <c r="D73" s="5">
        <v>10.5</v>
      </c>
      <c r="E73" s="5">
        <v>25.25</v>
      </c>
      <c r="F73" s="4">
        <v>19318710</v>
      </c>
      <c r="G73" s="2"/>
      <c r="H73" s="7" t="s">
        <v>438</v>
      </c>
      <c r="I73" s="2" t="s">
        <v>153</v>
      </c>
      <c r="J73" s="2" t="s">
        <v>154</v>
      </c>
      <c r="K73" s="2" t="s">
        <v>304</v>
      </c>
      <c r="L73" s="2" t="s">
        <v>810</v>
      </c>
      <c r="M73" s="8" t="str">
        <f>HYPERLINK("http://slimages.macys.com/is/image/MCY/14662007 ")</f>
        <v xml:space="preserve">http://slimages.macys.com/is/image/MCY/14662007 </v>
      </c>
    </row>
    <row r="74" spans="1:13" ht="84" x14ac:dyDescent="0.25">
      <c r="A74" s="7" t="s">
        <v>5275</v>
      </c>
      <c r="B74" s="2" t="s">
        <v>809</v>
      </c>
      <c r="C74" s="4">
        <v>1</v>
      </c>
      <c r="D74" s="5">
        <v>10.5</v>
      </c>
      <c r="E74" s="5">
        <v>25.25</v>
      </c>
      <c r="F74" s="4">
        <v>19318710</v>
      </c>
      <c r="G74" s="2"/>
      <c r="H74" s="7" t="s">
        <v>675</v>
      </c>
      <c r="I74" s="2" t="s">
        <v>153</v>
      </c>
      <c r="J74" s="2" t="s">
        <v>154</v>
      </c>
      <c r="K74" s="2" t="s">
        <v>304</v>
      </c>
      <c r="L74" s="2" t="s">
        <v>810</v>
      </c>
      <c r="M74" s="8" t="str">
        <f>HYPERLINK("http://slimages.macys.com/is/image/MCY/14662007 ")</f>
        <v xml:space="preserve">http://slimages.macys.com/is/image/MCY/14662007 </v>
      </c>
    </row>
    <row r="75" spans="1:13" ht="60" x14ac:dyDescent="0.25">
      <c r="A75" s="7" t="s">
        <v>14346</v>
      </c>
      <c r="B75" s="2" t="s">
        <v>268</v>
      </c>
      <c r="C75" s="4">
        <v>3</v>
      </c>
      <c r="D75" s="5">
        <v>10.5</v>
      </c>
      <c r="E75" s="5">
        <v>25.25</v>
      </c>
      <c r="F75" s="4">
        <v>19317710</v>
      </c>
      <c r="G75" s="2" t="s">
        <v>36</v>
      </c>
      <c r="H75" s="7" t="s">
        <v>42</v>
      </c>
      <c r="I75" s="2" t="s">
        <v>153</v>
      </c>
      <c r="J75" s="2" t="s">
        <v>154</v>
      </c>
      <c r="K75" s="2" t="s">
        <v>304</v>
      </c>
      <c r="L75" s="2" t="s">
        <v>3634</v>
      </c>
      <c r="M75" s="8" t="str">
        <f>HYPERLINK("http://slimages.macys.com/is/image/MCY/14662070 ")</f>
        <v xml:space="preserve">http://slimages.macys.com/is/image/MCY/14662070 </v>
      </c>
    </row>
    <row r="76" spans="1:13" ht="84" x14ac:dyDescent="0.25">
      <c r="A76" s="7" t="s">
        <v>808</v>
      </c>
      <c r="B76" s="2" t="s">
        <v>809</v>
      </c>
      <c r="C76" s="4">
        <v>2</v>
      </c>
      <c r="D76" s="5">
        <v>10.5</v>
      </c>
      <c r="E76" s="5">
        <v>25.25</v>
      </c>
      <c r="F76" s="4">
        <v>19318710</v>
      </c>
      <c r="G76" s="2"/>
      <c r="H76" s="7" t="s">
        <v>91</v>
      </c>
      <c r="I76" s="2" t="s">
        <v>153</v>
      </c>
      <c r="J76" s="2" t="s">
        <v>154</v>
      </c>
      <c r="K76" s="2" t="s">
        <v>304</v>
      </c>
      <c r="L76" s="2" t="s">
        <v>810</v>
      </c>
      <c r="M76" s="8" t="str">
        <f>HYPERLINK("http://slimages.macys.com/is/image/MCY/14662007 ")</f>
        <v xml:space="preserve">http://slimages.macys.com/is/image/MCY/14662007 </v>
      </c>
    </row>
    <row r="77" spans="1:13" ht="84" x14ac:dyDescent="0.25">
      <c r="A77" s="7" t="s">
        <v>5269</v>
      </c>
      <c r="B77" s="2" t="s">
        <v>809</v>
      </c>
      <c r="C77" s="4">
        <v>1</v>
      </c>
      <c r="D77" s="5">
        <v>10.5</v>
      </c>
      <c r="E77" s="5">
        <v>25.25</v>
      </c>
      <c r="F77" s="4">
        <v>19318710</v>
      </c>
      <c r="G77" s="2"/>
      <c r="H77" s="7" t="s">
        <v>482</v>
      </c>
      <c r="I77" s="2" t="s">
        <v>153</v>
      </c>
      <c r="J77" s="2" t="s">
        <v>154</v>
      </c>
      <c r="K77" s="2" t="s">
        <v>304</v>
      </c>
      <c r="L77" s="2" t="s">
        <v>810</v>
      </c>
      <c r="M77" s="8" t="str">
        <f>HYPERLINK("http://slimages.macys.com/is/image/MCY/14662007 ")</f>
        <v xml:space="preserve">http://slimages.macys.com/is/image/MCY/14662007 </v>
      </c>
    </row>
    <row r="78" spans="1:13" ht="60" x14ac:dyDescent="0.25">
      <c r="A78" s="7" t="s">
        <v>14347</v>
      </c>
      <c r="B78" s="2" t="s">
        <v>3836</v>
      </c>
      <c r="C78" s="4">
        <v>1</v>
      </c>
      <c r="D78" s="5">
        <v>10.5</v>
      </c>
      <c r="E78" s="5">
        <v>23.88</v>
      </c>
      <c r="F78" s="4">
        <v>19317510</v>
      </c>
      <c r="G78" s="2" t="s">
        <v>892</v>
      </c>
      <c r="H78" s="7" t="s">
        <v>482</v>
      </c>
      <c r="I78" s="2" t="s">
        <v>153</v>
      </c>
      <c r="J78" s="2" t="s">
        <v>154</v>
      </c>
      <c r="K78" s="2" t="s">
        <v>304</v>
      </c>
      <c r="L78" s="2" t="s">
        <v>206</v>
      </c>
      <c r="M78" s="8" t="str">
        <f>HYPERLINK("http://slimages.macys.com/is/image/MCY/14661880 ")</f>
        <v xml:space="preserve">http://slimages.macys.com/is/image/MCY/14661880 </v>
      </c>
    </row>
    <row r="79" spans="1:13" ht="60" x14ac:dyDescent="0.25">
      <c r="A79" s="7" t="s">
        <v>1608</v>
      </c>
      <c r="B79" s="2" t="s">
        <v>1605</v>
      </c>
      <c r="C79" s="4">
        <v>1</v>
      </c>
      <c r="D79" s="5">
        <v>10.35</v>
      </c>
      <c r="E79" s="5">
        <v>24.99</v>
      </c>
      <c r="F79" s="4" t="s">
        <v>1606</v>
      </c>
      <c r="G79" s="2" t="s">
        <v>28</v>
      </c>
      <c r="H79" s="7" t="s">
        <v>228</v>
      </c>
      <c r="I79" s="2" t="s">
        <v>389</v>
      </c>
      <c r="J79" s="2" t="s">
        <v>354</v>
      </c>
      <c r="K79" s="2" t="s">
        <v>304</v>
      </c>
      <c r="L79" s="2" t="s">
        <v>1607</v>
      </c>
      <c r="M79" s="8" t="str">
        <f>HYPERLINK("http://slimages.macys.com/is/image/MCY/12000846 ")</f>
        <v xml:space="preserve">http://slimages.macys.com/is/image/MCY/12000846 </v>
      </c>
    </row>
    <row r="80" spans="1:13" ht="108" x14ac:dyDescent="0.25">
      <c r="A80" s="7" t="s">
        <v>14348</v>
      </c>
      <c r="B80" s="2" t="s">
        <v>14349</v>
      </c>
      <c r="C80" s="4">
        <v>1</v>
      </c>
      <c r="D80" s="5">
        <v>10</v>
      </c>
      <c r="E80" s="5">
        <v>24.99</v>
      </c>
      <c r="F80" s="4" t="s">
        <v>14350</v>
      </c>
      <c r="G80" s="2" t="s">
        <v>129</v>
      </c>
      <c r="H80" s="7" t="s">
        <v>442</v>
      </c>
      <c r="I80" s="2" t="s">
        <v>92</v>
      </c>
      <c r="J80" s="2" t="s">
        <v>187</v>
      </c>
      <c r="K80" s="2" t="s">
        <v>304</v>
      </c>
      <c r="L80" s="2" t="s">
        <v>14351</v>
      </c>
      <c r="M80" s="8" t="str">
        <f>HYPERLINK("http://slimages.macys.com/is/image/MCY/15240481 ")</f>
        <v xml:space="preserve">http://slimages.macys.com/is/image/MCY/15240481 </v>
      </c>
    </row>
    <row r="81" spans="1:13" ht="60" x14ac:dyDescent="0.25">
      <c r="A81" s="7" t="s">
        <v>14352</v>
      </c>
      <c r="B81" s="2" t="s">
        <v>7399</v>
      </c>
      <c r="C81" s="4">
        <v>1</v>
      </c>
      <c r="D81" s="5">
        <v>9.75</v>
      </c>
      <c r="E81" s="5">
        <v>22.41</v>
      </c>
      <c r="F81" s="4">
        <v>16484310</v>
      </c>
      <c r="G81" s="2"/>
      <c r="H81" s="7" t="s">
        <v>438</v>
      </c>
      <c r="I81" s="2" t="s">
        <v>153</v>
      </c>
      <c r="J81" s="2" t="s">
        <v>3580</v>
      </c>
      <c r="K81" s="2" t="s">
        <v>304</v>
      </c>
      <c r="L81" s="2" t="s">
        <v>38</v>
      </c>
      <c r="M81" s="8" t="str">
        <f>HYPERLINK("http://slimages.macys.com/is/image/MCY/11386988 ")</f>
        <v xml:space="preserve">http://slimages.macys.com/is/image/MCY/11386988 </v>
      </c>
    </row>
    <row r="82" spans="1:13" ht="60" x14ac:dyDescent="0.25">
      <c r="A82" s="7" t="s">
        <v>368</v>
      </c>
      <c r="B82" s="2" t="s">
        <v>365</v>
      </c>
      <c r="C82" s="4">
        <v>1</v>
      </c>
      <c r="D82" s="5">
        <v>8.75</v>
      </c>
      <c r="E82" s="5">
        <v>18.989999999999998</v>
      </c>
      <c r="F82" s="4" t="s">
        <v>366</v>
      </c>
      <c r="G82" s="2" t="s">
        <v>134</v>
      </c>
      <c r="H82" s="7" t="s">
        <v>248</v>
      </c>
      <c r="I82" s="2" t="s">
        <v>73</v>
      </c>
      <c r="J82" s="2" t="s">
        <v>249</v>
      </c>
      <c r="K82" s="2" t="s">
        <v>304</v>
      </c>
      <c r="L82" s="2" t="s">
        <v>367</v>
      </c>
      <c r="M82" s="8" t="str">
        <f>HYPERLINK("http://slimages.macys.com/is/image/MCY/14601680 ")</f>
        <v xml:space="preserve">http://slimages.macys.com/is/image/MCY/14601680 </v>
      </c>
    </row>
    <row r="83" spans="1:13" ht="180" x14ac:dyDescent="0.25">
      <c r="A83" s="7" t="s">
        <v>14353</v>
      </c>
      <c r="B83" s="2" t="s">
        <v>14354</v>
      </c>
      <c r="C83" s="4">
        <v>2</v>
      </c>
      <c r="D83" s="5">
        <v>8.65</v>
      </c>
      <c r="E83" s="5">
        <v>17.3</v>
      </c>
      <c r="F83" s="4">
        <v>28374410</v>
      </c>
      <c r="G83" s="2" t="s">
        <v>62</v>
      </c>
      <c r="H83" s="7" t="s">
        <v>209</v>
      </c>
      <c r="I83" s="2" t="s">
        <v>487</v>
      </c>
      <c r="J83" s="2" t="s">
        <v>488</v>
      </c>
      <c r="K83" s="2" t="s">
        <v>304</v>
      </c>
      <c r="L83" s="2" t="s">
        <v>14355</v>
      </c>
      <c r="M83" s="8" t="str">
        <f>HYPERLINK("http://slimages.macys.com/is/image/MCY/13743136 ")</f>
        <v xml:space="preserve">http://slimages.macys.com/is/image/MCY/13743136 </v>
      </c>
    </row>
    <row r="84" spans="1:13" ht="84" x14ac:dyDescent="0.25">
      <c r="A84" s="7" t="s">
        <v>13497</v>
      </c>
      <c r="B84" s="2" t="s">
        <v>377</v>
      </c>
      <c r="C84" s="4">
        <v>1</v>
      </c>
      <c r="D84" s="5">
        <v>8.5</v>
      </c>
      <c r="E84" s="5">
        <v>20</v>
      </c>
      <c r="F84" s="4" t="s">
        <v>378</v>
      </c>
      <c r="G84" s="2" t="s">
        <v>62</v>
      </c>
      <c r="H84" s="7" t="s">
        <v>317</v>
      </c>
      <c r="I84" s="2" t="s">
        <v>380</v>
      </c>
      <c r="J84" s="2" t="s">
        <v>381</v>
      </c>
      <c r="K84" s="2" t="s">
        <v>304</v>
      </c>
      <c r="L84" s="2" t="s">
        <v>382</v>
      </c>
      <c r="M84" s="8" t="str">
        <f>HYPERLINK("http://slimages.macys.com/is/image/MCY/12550109 ")</f>
        <v xml:space="preserve">http://slimages.macys.com/is/image/MCY/12550109 </v>
      </c>
    </row>
    <row r="85" spans="1:13" ht="60" x14ac:dyDescent="0.25">
      <c r="A85" s="7" t="s">
        <v>14356</v>
      </c>
      <c r="B85" s="2" t="s">
        <v>10986</v>
      </c>
      <c r="C85" s="4">
        <v>1</v>
      </c>
      <c r="D85" s="5">
        <v>8.01</v>
      </c>
      <c r="E85" s="5">
        <v>17.989999999999998</v>
      </c>
      <c r="F85" s="4" t="s">
        <v>10987</v>
      </c>
      <c r="G85" s="2" t="s">
        <v>41</v>
      </c>
      <c r="H85" s="7" t="s">
        <v>228</v>
      </c>
      <c r="I85" s="2" t="s">
        <v>73</v>
      </c>
      <c r="J85" s="2" t="s">
        <v>160</v>
      </c>
      <c r="K85" s="2" t="s">
        <v>304</v>
      </c>
      <c r="L85" s="2" t="s">
        <v>38</v>
      </c>
      <c r="M85" s="8" t="str">
        <f>HYPERLINK("http://slimages.macys.com/is/image/MCY/12875288 ")</f>
        <v xml:space="preserve">http://slimages.macys.com/is/image/MCY/12875288 </v>
      </c>
    </row>
    <row r="86" spans="1:13" ht="60" x14ac:dyDescent="0.25">
      <c r="A86" s="7" t="s">
        <v>14357</v>
      </c>
      <c r="B86" s="2" t="s">
        <v>10986</v>
      </c>
      <c r="C86" s="4">
        <v>1</v>
      </c>
      <c r="D86" s="5">
        <v>8.01</v>
      </c>
      <c r="E86" s="5">
        <v>17.989999999999998</v>
      </c>
      <c r="F86" s="4" t="s">
        <v>10987</v>
      </c>
      <c r="G86" s="2" t="s">
        <v>41</v>
      </c>
      <c r="H86" s="7" t="s">
        <v>196</v>
      </c>
      <c r="I86" s="2" t="s">
        <v>73</v>
      </c>
      <c r="J86" s="2" t="s">
        <v>160</v>
      </c>
      <c r="K86" s="2" t="s">
        <v>304</v>
      </c>
      <c r="L86" s="2" t="s">
        <v>38</v>
      </c>
      <c r="M86" s="8" t="str">
        <f>HYPERLINK("http://slimages.macys.com/is/image/MCY/12875288 ")</f>
        <v xml:space="preserve">http://slimages.macys.com/is/image/MCY/12875288 </v>
      </c>
    </row>
    <row r="87" spans="1:13" ht="60" x14ac:dyDescent="0.25">
      <c r="A87" s="7" t="s">
        <v>404</v>
      </c>
      <c r="B87" s="2" t="s">
        <v>405</v>
      </c>
      <c r="C87" s="4">
        <v>1</v>
      </c>
      <c r="D87" s="5">
        <v>8.01</v>
      </c>
      <c r="E87" s="5">
        <v>17.989999999999998</v>
      </c>
      <c r="F87" s="4" t="s">
        <v>406</v>
      </c>
      <c r="G87" s="2" t="s">
        <v>103</v>
      </c>
      <c r="H87" s="7" t="s">
        <v>228</v>
      </c>
      <c r="I87" s="2" t="s">
        <v>80</v>
      </c>
      <c r="J87" s="2" t="s">
        <v>160</v>
      </c>
      <c r="K87" s="2" t="s">
        <v>304</v>
      </c>
      <c r="L87" s="2" t="s">
        <v>206</v>
      </c>
      <c r="M87" s="8" t="str">
        <f>HYPERLINK("http://slimages.macys.com/is/image/MCY/13758788 ")</f>
        <v xml:space="preserve">http://slimages.macys.com/is/image/MCY/13758788 </v>
      </c>
    </row>
    <row r="88" spans="1:13" ht="60" x14ac:dyDescent="0.25">
      <c r="A88" s="7" t="s">
        <v>14358</v>
      </c>
      <c r="B88" s="2" t="s">
        <v>14359</v>
      </c>
      <c r="C88" s="4">
        <v>2</v>
      </c>
      <c r="D88" s="5">
        <v>8.01</v>
      </c>
      <c r="E88" s="5">
        <v>17.989999999999998</v>
      </c>
      <c r="F88" s="4" t="s">
        <v>14360</v>
      </c>
      <c r="G88" s="2" t="s">
        <v>41</v>
      </c>
      <c r="H88" s="7" t="s">
        <v>284</v>
      </c>
      <c r="I88" s="2" t="s">
        <v>80</v>
      </c>
      <c r="J88" s="2" t="s">
        <v>160</v>
      </c>
      <c r="K88" s="2" t="s">
        <v>304</v>
      </c>
      <c r="L88" s="2" t="s">
        <v>87</v>
      </c>
      <c r="M88" s="8" t="str">
        <f>HYPERLINK("http://slimages.macys.com/is/image/MCY/13387256 ")</f>
        <v xml:space="preserve">http://slimages.macys.com/is/image/MCY/13387256 </v>
      </c>
    </row>
    <row r="89" spans="1:13" ht="60" x14ac:dyDescent="0.25">
      <c r="A89" s="7" t="s">
        <v>401</v>
      </c>
      <c r="B89" s="2" t="s">
        <v>402</v>
      </c>
      <c r="C89" s="4">
        <v>1</v>
      </c>
      <c r="D89" s="5">
        <v>8.01</v>
      </c>
      <c r="E89" s="5">
        <v>17.989999999999998</v>
      </c>
      <c r="F89" s="4" t="s">
        <v>403</v>
      </c>
      <c r="G89" s="2" t="s">
        <v>41</v>
      </c>
      <c r="H89" s="7" t="s">
        <v>228</v>
      </c>
      <c r="I89" s="2" t="s">
        <v>80</v>
      </c>
      <c r="J89" s="2" t="s">
        <v>160</v>
      </c>
      <c r="K89" s="2" t="s">
        <v>304</v>
      </c>
      <c r="L89" s="2" t="s">
        <v>206</v>
      </c>
      <c r="M89" s="8" t="str">
        <f>HYPERLINK("http://slimages.macys.com/is/image/MCY/14716448 ")</f>
        <v xml:space="preserve">http://slimages.macys.com/is/image/MCY/14716448 </v>
      </c>
    </row>
    <row r="90" spans="1:13" ht="60" x14ac:dyDescent="0.25">
      <c r="A90" s="7" t="s">
        <v>13847</v>
      </c>
      <c r="B90" s="2" t="s">
        <v>887</v>
      </c>
      <c r="C90" s="4">
        <v>1</v>
      </c>
      <c r="D90" s="5">
        <v>8.01</v>
      </c>
      <c r="E90" s="5">
        <v>17.989999999999998</v>
      </c>
      <c r="F90" s="4" t="s">
        <v>888</v>
      </c>
      <c r="G90" s="2" t="s">
        <v>103</v>
      </c>
      <c r="H90" s="7" t="s">
        <v>284</v>
      </c>
      <c r="I90" s="2" t="s">
        <v>80</v>
      </c>
      <c r="J90" s="2" t="s">
        <v>160</v>
      </c>
      <c r="K90" s="2" t="s">
        <v>304</v>
      </c>
      <c r="L90" s="2" t="s">
        <v>206</v>
      </c>
      <c r="M90" s="8" t="str">
        <f>HYPERLINK("http://slimages.macys.com/is/image/MCY/13758779 ")</f>
        <v xml:space="preserve">http://slimages.macys.com/is/image/MCY/13758779 </v>
      </c>
    </row>
    <row r="91" spans="1:13" ht="60" x14ac:dyDescent="0.25">
      <c r="A91" s="7" t="s">
        <v>14361</v>
      </c>
      <c r="B91" s="2" t="s">
        <v>14359</v>
      </c>
      <c r="C91" s="4">
        <v>1</v>
      </c>
      <c r="D91" s="5">
        <v>8.01</v>
      </c>
      <c r="E91" s="5">
        <v>17.989999999999998</v>
      </c>
      <c r="F91" s="4" t="s">
        <v>14360</v>
      </c>
      <c r="G91" s="2" t="s">
        <v>41</v>
      </c>
      <c r="H91" s="7" t="s">
        <v>159</v>
      </c>
      <c r="I91" s="2" t="s">
        <v>80</v>
      </c>
      <c r="J91" s="2" t="s">
        <v>160</v>
      </c>
      <c r="K91" s="2" t="s">
        <v>304</v>
      </c>
      <c r="L91" s="2" t="s">
        <v>87</v>
      </c>
      <c r="M91" s="8" t="str">
        <f>HYPERLINK("http://slimages.macys.com/is/image/MCY/13387256 ")</f>
        <v xml:space="preserve">http://slimages.macys.com/is/image/MCY/13387256 </v>
      </c>
    </row>
    <row r="92" spans="1:13" ht="60" x14ac:dyDescent="0.25">
      <c r="A92" s="7" t="s">
        <v>14362</v>
      </c>
      <c r="B92" s="2" t="s">
        <v>14363</v>
      </c>
      <c r="C92" s="4">
        <v>1</v>
      </c>
      <c r="D92" s="5">
        <v>8</v>
      </c>
      <c r="E92" s="5">
        <v>17.989999999999998</v>
      </c>
      <c r="F92" s="4" t="s">
        <v>14364</v>
      </c>
      <c r="G92" s="2" t="s">
        <v>752</v>
      </c>
      <c r="H92" s="7" t="s">
        <v>217</v>
      </c>
      <c r="I92" s="2" t="s">
        <v>80</v>
      </c>
      <c r="J92" s="2" t="s">
        <v>2967</v>
      </c>
      <c r="K92" s="2" t="s">
        <v>304</v>
      </c>
      <c r="L92" s="2" t="s">
        <v>206</v>
      </c>
      <c r="M92" s="8" t="str">
        <f>HYPERLINK("http://slimages.macys.com/is/image/MCY/12336725 ")</f>
        <v xml:space="preserve">http://slimages.macys.com/is/image/MCY/12336725 </v>
      </c>
    </row>
    <row r="93" spans="1:13" ht="120" x14ac:dyDescent="0.25">
      <c r="A93" s="7" t="s">
        <v>6253</v>
      </c>
      <c r="B93" s="2" t="s">
        <v>6254</v>
      </c>
      <c r="C93" s="4">
        <v>1</v>
      </c>
      <c r="D93" s="5">
        <v>7.6</v>
      </c>
      <c r="E93" s="5">
        <v>17.28</v>
      </c>
      <c r="F93" s="4">
        <v>18374010</v>
      </c>
      <c r="G93" s="2"/>
      <c r="H93" s="7" t="s">
        <v>675</v>
      </c>
      <c r="I93" s="2" t="s">
        <v>153</v>
      </c>
      <c r="J93" s="2" t="s">
        <v>154</v>
      </c>
      <c r="K93" s="2" t="s">
        <v>304</v>
      </c>
      <c r="L93" s="2" t="s">
        <v>6255</v>
      </c>
      <c r="M93" s="8" t="str">
        <f>HYPERLINK("http://slimages.macys.com/is/image/MCY/14608284 ")</f>
        <v xml:space="preserve">http://slimages.macys.com/is/image/MCY/14608284 </v>
      </c>
    </row>
    <row r="94" spans="1:13" ht="60" x14ac:dyDescent="0.25">
      <c r="A94" s="7" t="s">
        <v>14365</v>
      </c>
      <c r="B94" s="2" t="s">
        <v>14366</v>
      </c>
      <c r="C94" s="4">
        <v>1</v>
      </c>
      <c r="D94" s="5">
        <v>7.5</v>
      </c>
      <c r="E94" s="5">
        <v>18.989999999999998</v>
      </c>
      <c r="F94" s="4" t="s">
        <v>14367</v>
      </c>
      <c r="G94" s="2" t="s">
        <v>28</v>
      </c>
      <c r="H94" s="7"/>
      <c r="I94" s="2" t="s">
        <v>312</v>
      </c>
      <c r="J94" s="2" t="s">
        <v>4111</v>
      </c>
      <c r="K94" s="2" t="s">
        <v>304</v>
      </c>
      <c r="L94" s="2" t="s">
        <v>125</v>
      </c>
      <c r="M94" s="8" t="str">
        <f>HYPERLINK("http://slimages.macys.com/is/image/MCY/11489073 ")</f>
        <v xml:space="preserve">http://slimages.macys.com/is/image/MCY/11489073 </v>
      </c>
    </row>
    <row r="95" spans="1:13" ht="60" x14ac:dyDescent="0.25">
      <c r="A95" s="7" t="s">
        <v>5408</v>
      </c>
      <c r="B95" s="2" t="s">
        <v>1762</v>
      </c>
      <c r="C95" s="4">
        <v>2</v>
      </c>
      <c r="D95" s="5">
        <v>6.85</v>
      </c>
      <c r="E95" s="5">
        <v>18</v>
      </c>
      <c r="F95" s="4" t="s">
        <v>1763</v>
      </c>
      <c r="G95" s="2" t="s">
        <v>1160</v>
      </c>
      <c r="H95" s="7" t="s">
        <v>159</v>
      </c>
      <c r="I95" s="2" t="s">
        <v>468</v>
      </c>
      <c r="J95" s="2" t="s">
        <v>469</v>
      </c>
      <c r="K95" s="2" t="s">
        <v>304</v>
      </c>
      <c r="L95" s="2" t="s">
        <v>119</v>
      </c>
      <c r="M95" s="8" t="str">
        <f>HYPERLINK("http://slimages.macys.com/is/image/MCY/11387122 ")</f>
        <v xml:space="preserve">http://slimages.macys.com/is/image/MCY/11387122 </v>
      </c>
    </row>
    <row r="96" spans="1:13" ht="60" x14ac:dyDescent="0.25">
      <c r="A96" s="7" t="s">
        <v>5928</v>
      </c>
      <c r="B96" s="2" t="s">
        <v>1762</v>
      </c>
      <c r="C96" s="4">
        <v>2</v>
      </c>
      <c r="D96" s="5">
        <v>6.85</v>
      </c>
      <c r="E96" s="5">
        <v>18</v>
      </c>
      <c r="F96" s="4" t="s">
        <v>1763</v>
      </c>
      <c r="G96" s="2" t="s">
        <v>1160</v>
      </c>
      <c r="H96" s="7" t="s">
        <v>217</v>
      </c>
      <c r="I96" s="2" t="s">
        <v>468</v>
      </c>
      <c r="J96" s="2" t="s">
        <v>469</v>
      </c>
      <c r="K96" s="2" t="s">
        <v>304</v>
      </c>
      <c r="L96" s="2" t="s">
        <v>119</v>
      </c>
      <c r="M96" s="8" t="str">
        <f>HYPERLINK("http://slimages.macys.com/is/image/MCY/11387122 ")</f>
        <v xml:space="preserve">http://slimages.macys.com/is/image/MCY/11387122 </v>
      </c>
    </row>
    <row r="97" spans="1:13" ht="60" x14ac:dyDescent="0.25">
      <c r="A97" s="7" t="s">
        <v>1761</v>
      </c>
      <c r="B97" s="2" t="s">
        <v>1762</v>
      </c>
      <c r="C97" s="4">
        <v>2</v>
      </c>
      <c r="D97" s="5">
        <v>6.85</v>
      </c>
      <c r="E97" s="5">
        <v>18</v>
      </c>
      <c r="F97" s="4" t="s">
        <v>1763</v>
      </c>
      <c r="G97" s="2" t="s">
        <v>1160</v>
      </c>
      <c r="H97" s="7" t="s">
        <v>228</v>
      </c>
      <c r="I97" s="2" t="s">
        <v>468</v>
      </c>
      <c r="J97" s="2" t="s">
        <v>469</v>
      </c>
      <c r="K97" s="2" t="s">
        <v>304</v>
      </c>
      <c r="L97" s="2" t="s">
        <v>119</v>
      </c>
      <c r="M97" s="8" t="str">
        <f>HYPERLINK("http://slimages.macys.com/is/image/MCY/11387122 ")</f>
        <v xml:space="preserve">http://slimages.macys.com/is/image/MCY/11387122 </v>
      </c>
    </row>
    <row r="98" spans="1:13" ht="60" x14ac:dyDescent="0.25">
      <c r="A98" s="7" t="s">
        <v>5414</v>
      </c>
      <c r="B98" s="2" t="s">
        <v>1762</v>
      </c>
      <c r="C98" s="4">
        <v>1</v>
      </c>
      <c r="D98" s="5">
        <v>6.85</v>
      </c>
      <c r="E98" s="5">
        <v>18</v>
      </c>
      <c r="F98" s="4" t="s">
        <v>1763</v>
      </c>
      <c r="G98" s="2" t="s">
        <v>1160</v>
      </c>
      <c r="H98" s="7" t="s">
        <v>284</v>
      </c>
      <c r="I98" s="2" t="s">
        <v>468</v>
      </c>
      <c r="J98" s="2" t="s">
        <v>469</v>
      </c>
      <c r="K98" s="2" t="s">
        <v>304</v>
      </c>
      <c r="L98" s="2" t="s">
        <v>119</v>
      </c>
      <c r="M98" s="8" t="str">
        <f>HYPERLINK("http://slimages.macys.com/is/image/MCY/11387122 ")</f>
        <v xml:space="preserve">http://slimages.macys.com/is/image/MCY/11387122 </v>
      </c>
    </row>
    <row r="99" spans="1:13" ht="72" x14ac:dyDescent="0.25">
      <c r="A99" s="7" t="s">
        <v>4080</v>
      </c>
      <c r="B99" s="2" t="s">
        <v>4075</v>
      </c>
      <c r="C99" s="4">
        <v>1</v>
      </c>
      <c r="D99" s="5">
        <v>6.76</v>
      </c>
      <c r="E99" s="5">
        <v>14.99</v>
      </c>
      <c r="F99" s="4" t="s">
        <v>4076</v>
      </c>
      <c r="G99" s="2" t="s">
        <v>195</v>
      </c>
      <c r="H99" s="7" t="s">
        <v>442</v>
      </c>
      <c r="I99" s="2" t="s">
        <v>483</v>
      </c>
      <c r="J99" s="2" t="s">
        <v>536</v>
      </c>
      <c r="K99" s="2" t="s">
        <v>304</v>
      </c>
      <c r="L99" s="2" t="s">
        <v>4077</v>
      </c>
      <c r="M99" s="8" t="str">
        <f>HYPERLINK("http://slimages.macys.com/is/image/MCY/14634816 ")</f>
        <v xml:space="preserve">http://slimages.macys.com/is/image/MCY/14634816 </v>
      </c>
    </row>
    <row r="100" spans="1:13" ht="60" x14ac:dyDescent="0.25">
      <c r="A100" s="7" t="s">
        <v>2591</v>
      </c>
      <c r="B100" s="2" t="s">
        <v>2592</v>
      </c>
      <c r="C100" s="4">
        <v>2</v>
      </c>
      <c r="D100" s="5">
        <v>6.75</v>
      </c>
      <c r="E100" s="5">
        <v>16.989999999999998</v>
      </c>
      <c r="F100" s="4" t="s">
        <v>2593</v>
      </c>
      <c r="G100" s="2" t="s">
        <v>129</v>
      </c>
      <c r="H100" s="7" t="s">
        <v>68</v>
      </c>
      <c r="I100" s="2" t="s">
        <v>135</v>
      </c>
      <c r="J100" s="2" t="s">
        <v>1076</v>
      </c>
      <c r="K100" s="2" t="s">
        <v>304</v>
      </c>
      <c r="L100" s="2" t="s">
        <v>125</v>
      </c>
      <c r="M100" s="8" t="str">
        <f>HYPERLINK("http://slimages.macys.com/is/image/MCY/15654559 ")</f>
        <v xml:space="preserve">http://slimages.macys.com/is/image/MCY/15654559 </v>
      </c>
    </row>
    <row r="101" spans="1:13" ht="60" x14ac:dyDescent="0.25">
      <c r="A101" s="7" t="s">
        <v>2598</v>
      </c>
      <c r="B101" s="2" t="s">
        <v>2592</v>
      </c>
      <c r="C101" s="4">
        <v>3</v>
      </c>
      <c r="D101" s="5">
        <v>6.75</v>
      </c>
      <c r="E101" s="5">
        <v>16.989999999999998</v>
      </c>
      <c r="F101" s="4" t="s">
        <v>2593</v>
      </c>
      <c r="G101" s="2" t="s">
        <v>129</v>
      </c>
      <c r="H101" s="7" t="s">
        <v>144</v>
      </c>
      <c r="I101" s="2" t="s">
        <v>135</v>
      </c>
      <c r="J101" s="2" t="s">
        <v>1076</v>
      </c>
      <c r="K101" s="2" t="s">
        <v>304</v>
      </c>
      <c r="L101" s="2" t="s">
        <v>125</v>
      </c>
      <c r="M101" s="8" t="str">
        <f>HYPERLINK("http://slimages.macys.com/is/image/MCY/15654559 ")</f>
        <v xml:space="preserve">http://slimages.macys.com/is/image/MCY/15654559 </v>
      </c>
    </row>
    <row r="102" spans="1:13" ht="60" x14ac:dyDescent="0.25">
      <c r="A102" s="7" t="s">
        <v>14368</v>
      </c>
      <c r="B102" s="2" t="s">
        <v>14369</v>
      </c>
      <c r="C102" s="4">
        <v>1</v>
      </c>
      <c r="D102" s="5">
        <v>6.55</v>
      </c>
      <c r="E102" s="5">
        <v>11.99</v>
      </c>
      <c r="F102" s="4" t="s">
        <v>14370</v>
      </c>
      <c r="G102" s="2" t="s">
        <v>48</v>
      </c>
      <c r="H102" s="7" t="s">
        <v>442</v>
      </c>
      <c r="I102" s="2" t="s">
        <v>153</v>
      </c>
      <c r="J102" s="2" t="s">
        <v>154</v>
      </c>
      <c r="K102" s="2" t="s">
        <v>304</v>
      </c>
      <c r="L102" s="2" t="s">
        <v>206</v>
      </c>
      <c r="M102" s="8" t="str">
        <f>HYPERLINK("http://slimages.macys.com/is/image/MCY/9644678 ")</f>
        <v xml:space="preserve">http://slimages.macys.com/is/image/MCY/9644678 </v>
      </c>
    </row>
    <row r="103" spans="1:13" ht="60" x14ac:dyDescent="0.25">
      <c r="A103" s="7" t="s">
        <v>14371</v>
      </c>
      <c r="B103" s="2" t="s">
        <v>4984</v>
      </c>
      <c r="C103" s="4">
        <v>1</v>
      </c>
      <c r="D103" s="5">
        <v>6</v>
      </c>
      <c r="E103" s="5">
        <v>11.98</v>
      </c>
      <c r="F103" s="4" t="s">
        <v>4985</v>
      </c>
      <c r="G103" s="2" t="s">
        <v>41</v>
      </c>
      <c r="H103" s="7" t="s">
        <v>482</v>
      </c>
      <c r="I103" s="2" t="s">
        <v>43</v>
      </c>
      <c r="J103" s="2" t="s">
        <v>497</v>
      </c>
      <c r="K103" s="2" t="s">
        <v>304</v>
      </c>
      <c r="L103" s="2" t="s">
        <v>87</v>
      </c>
      <c r="M103" s="8" t="str">
        <f>HYPERLINK("http://slimages.macys.com/is/image/MCY/2079603 ")</f>
        <v xml:space="preserve">http://slimages.macys.com/is/image/MCY/2079603 </v>
      </c>
    </row>
    <row r="104" spans="1:13" ht="60" x14ac:dyDescent="0.25">
      <c r="A104" s="7" t="s">
        <v>14372</v>
      </c>
      <c r="B104" s="2" t="s">
        <v>14373</v>
      </c>
      <c r="C104" s="4">
        <v>1</v>
      </c>
      <c r="D104" s="5">
        <v>6</v>
      </c>
      <c r="E104" s="5">
        <v>11.99</v>
      </c>
      <c r="F104" s="4" t="s">
        <v>14374</v>
      </c>
      <c r="G104" s="2" t="s">
        <v>28</v>
      </c>
      <c r="H104" s="7" t="s">
        <v>317</v>
      </c>
      <c r="I104" s="2" t="s">
        <v>173</v>
      </c>
      <c r="J104" s="2" t="s">
        <v>1967</v>
      </c>
      <c r="K104" s="2" t="s">
        <v>304</v>
      </c>
      <c r="L104" s="2" t="s">
        <v>206</v>
      </c>
      <c r="M104" s="8" t="str">
        <f>HYPERLINK("http://slimages.macys.com/is/image/MCY/10479934 ")</f>
        <v xml:space="preserve">http://slimages.macys.com/is/image/MCY/10479934 </v>
      </c>
    </row>
    <row r="105" spans="1:13" ht="96" x14ac:dyDescent="0.25">
      <c r="A105" s="7" t="s">
        <v>1865</v>
      </c>
      <c r="B105" s="2" t="s">
        <v>1862</v>
      </c>
      <c r="C105" s="4">
        <v>1</v>
      </c>
      <c r="D105" s="5">
        <v>6</v>
      </c>
      <c r="E105" s="5">
        <v>14.99</v>
      </c>
      <c r="F105" s="4" t="s">
        <v>1863</v>
      </c>
      <c r="G105" s="2" t="s">
        <v>195</v>
      </c>
      <c r="H105" s="7" t="s">
        <v>68</v>
      </c>
      <c r="I105" s="2" t="s">
        <v>73</v>
      </c>
      <c r="J105" s="2" t="s">
        <v>778</v>
      </c>
      <c r="K105" s="2" t="s">
        <v>304</v>
      </c>
      <c r="L105" s="2" t="s">
        <v>1864</v>
      </c>
      <c r="M105" s="8" t="str">
        <f>HYPERLINK("http://slimages.macys.com/is/image/MCY/15296484 ")</f>
        <v xml:space="preserve">http://slimages.macys.com/is/image/MCY/15296484 </v>
      </c>
    </row>
    <row r="106" spans="1:13" ht="60" x14ac:dyDescent="0.25">
      <c r="A106" s="7" t="s">
        <v>14375</v>
      </c>
      <c r="B106" s="2" t="s">
        <v>14376</v>
      </c>
      <c r="C106" s="4">
        <v>1</v>
      </c>
      <c r="D106" s="5">
        <v>6</v>
      </c>
      <c r="E106" s="5">
        <v>14.99</v>
      </c>
      <c r="F106" s="4" t="s">
        <v>14377</v>
      </c>
      <c r="G106" s="2" t="s">
        <v>297</v>
      </c>
      <c r="H106" s="7" t="s">
        <v>68</v>
      </c>
      <c r="I106" s="2" t="s">
        <v>73</v>
      </c>
      <c r="J106" s="2" t="s">
        <v>778</v>
      </c>
      <c r="K106" s="2" t="s">
        <v>304</v>
      </c>
      <c r="L106" s="2" t="s">
        <v>125</v>
      </c>
      <c r="M106" s="8" t="str">
        <f>HYPERLINK("http://slimages.macys.com/is/image/MCY/11432525 ")</f>
        <v xml:space="preserve">http://slimages.macys.com/is/image/MCY/11432525 </v>
      </c>
    </row>
    <row r="107" spans="1:13" ht="60" x14ac:dyDescent="0.25">
      <c r="A107" s="7" t="s">
        <v>14326</v>
      </c>
      <c r="B107" s="2" t="s">
        <v>2618</v>
      </c>
      <c r="C107" s="4">
        <v>1</v>
      </c>
      <c r="D107" s="5">
        <v>6</v>
      </c>
      <c r="E107" s="5">
        <v>11.98</v>
      </c>
      <c r="F107" s="4" t="s">
        <v>2619</v>
      </c>
      <c r="G107" s="2" t="s">
        <v>171</v>
      </c>
      <c r="H107" s="7" t="s">
        <v>233</v>
      </c>
      <c r="I107" s="2" t="s">
        <v>43</v>
      </c>
      <c r="J107" s="2" t="s">
        <v>497</v>
      </c>
      <c r="K107" s="2" t="s">
        <v>304</v>
      </c>
      <c r="L107" s="2" t="s">
        <v>87</v>
      </c>
      <c r="M107" s="8" t="str">
        <f>HYPERLINK("http://slimages.macys.com/is/image/MCY/2946660 ")</f>
        <v xml:space="preserve">http://slimages.macys.com/is/image/MCY/2946660 </v>
      </c>
    </row>
    <row r="108" spans="1:13" ht="60" x14ac:dyDescent="0.25">
      <c r="A108" s="7" t="s">
        <v>14378</v>
      </c>
      <c r="B108" s="2" t="s">
        <v>14379</v>
      </c>
      <c r="C108" s="4">
        <v>1</v>
      </c>
      <c r="D108" s="5">
        <v>5.85</v>
      </c>
      <c r="E108" s="5">
        <v>16.989999999999998</v>
      </c>
      <c r="F108" s="4" t="s">
        <v>14380</v>
      </c>
      <c r="G108" s="2" t="s">
        <v>86</v>
      </c>
      <c r="H108" s="7" t="s">
        <v>284</v>
      </c>
      <c r="I108" s="2" t="s">
        <v>468</v>
      </c>
      <c r="J108" s="2" t="s">
        <v>469</v>
      </c>
      <c r="K108" s="2" t="s">
        <v>304</v>
      </c>
      <c r="L108" s="2" t="s">
        <v>206</v>
      </c>
      <c r="M108" s="8" t="str">
        <f>HYPERLINK("http://slimages.macys.com/is/image/MCY/11640087 ")</f>
        <v xml:space="preserve">http://slimages.macys.com/is/image/MCY/11640087 </v>
      </c>
    </row>
    <row r="109" spans="1:13" ht="60" x14ac:dyDescent="0.25">
      <c r="A109" s="7" t="s">
        <v>3388</v>
      </c>
      <c r="B109" s="2" t="s">
        <v>3389</v>
      </c>
      <c r="C109" s="4">
        <v>1</v>
      </c>
      <c r="D109" s="5">
        <v>5.8</v>
      </c>
      <c r="E109" s="5">
        <v>13.19</v>
      </c>
      <c r="F109" s="4">
        <v>17892410</v>
      </c>
      <c r="G109" s="2" t="s">
        <v>48</v>
      </c>
      <c r="H109" s="7" t="s">
        <v>42</v>
      </c>
      <c r="I109" s="2" t="s">
        <v>153</v>
      </c>
      <c r="J109" s="2" t="s">
        <v>154</v>
      </c>
      <c r="K109" s="2" t="s">
        <v>304</v>
      </c>
      <c r="L109" s="2" t="s">
        <v>38</v>
      </c>
      <c r="M109" s="8" t="str">
        <f>HYPERLINK("http://slimages.macys.com/is/image/MCY/13341369 ")</f>
        <v xml:space="preserve">http://slimages.macys.com/is/image/MCY/13341369 </v>
      </c>
    </row>
    <row r="110" spans="1:13" ht="60" x14ac:dyDescent="0.25">
      <c r="A110" s="7" t="s">
        <v>14381</v>
      </c>
      <c r="B110" s="2" t="s">
        <v>3404</v>
      </c>
      <c r="C110" s="4">
        <v>1</v>
      </c>
      <c r="D110" s="5">
        <v>5.75</v>
      </c>
      <c r="E110" s="5">
        <v>11.5</v>
      </c>
      <c r="F110" s="4">
        <v>27876010</v>
      </c>
      <c r="G110" s="2"/>
      <c r="H110" s="7" t="s">
        <v>68</v>
      </c>
      <c r="I110" s="2" t="s">
        <v>487</v>
      </c>
      <c r="J110" s="2" t="s">
        <v>488</v>
      </c>
      <c r="K110" s="2" t="s">
        <v>304</v>
      </c>
      <c r="L110" s="2" t="s">
        <v>119</v>
      </c>
      <c r="M110" s="8" t="str">
        <f>HYPERLINK("http://slimages.macys.com/is/image/MCY/13852783 ")</f>
        <v xml:space="preserve">http://slimages.macys.com/is/image/MCY/13852783 </v>
      </c>
    </row>
    <row r="111" spans="1:13" ht="60" x14ac:dyDescent="0.25">
      <c r="A111" s="7" t="s">
        <v>14382</v>
      </c>
      <c r="B111" s="2" t="s">
        <v>1882</v>
      </c>
      <c r="C111" s="4">
        <v>1</v>
      </c>
      <c r="D111" s="5">
        <v>5.75</v>
      </c>
      <c r="E111" s="5">
        <v>17.989999999999998</v>
      </c>
      <c r="F111" s="4" t="s">
        <v>1883</v>
      </c>
      <c r="G111" s="2" t="s">
        <v>28</v>
      </c>
      <c r="H111" s="7" t="s">
        <v>196</v>
      </c>
      <c r="I111" s="2" t="s">
        <v>342</v>
      </c>
      <c r="J111" s="2" t="s">
        <v>1834</v>
      </c>
      <c r="K111" s="2" t="s">
        <v>304</v>
      </c>
      <c r="L111" s="2" t="s">
        <v>335</v>
      </c>
      <c r="M111" s="8" t="str">
        <f>HYPERLINK("http://slimages.macys.com/is/image/MCY/12493438 ")</f>
        <v xml:space="preserve">http://slimages.macys.com/is/image/MCY/12493438 </v>
      </c>
    </row>
    <row r="112" spans="1:13" ht="96" x14ac:dyDescent="0.25">
      <c r="A112" s="7" t="s">
        <v>4151</v>
      </c>
      <c r="B112" s="2" t="s">
        <v>4152</v>
      </c>
      <c r="C112" s="4">
        <v>2</v>
      </c>
      <c r="D112" s="5">
        <v>5.67</v>
      </c>
      <c r="E112" s="5">
        <v>14.99</v>
      </c>
      <c r="F112" s="4" t="s">
        <v>4153</v>
      </c>
      <c r="G112" s="2" t="s">
        <v>41</v>
      </c>
      <c r="H112" s="7" t="s">
        <v>91</v>
      </c>
      <c r="I112" s="2" t="s">
        <v>483</v>
      </c>
      <c r="J112" s="2" t="s">
        <v>536</v>
      </c>
      <c r="K112" s="2" t="s">
        <v>304</v>
      </c>
      <c r="L112" s="2" t="s">
        <v>4154</v>
      </c>
      <c r="M112" s="8" t="str">
        <f>HYPERLINK("http://slimages.macys.com/is/image/MCY/14384813 ")</f>
        <v xml:space="preserve">http://slimages.macys.com/is/image/MCY/14384813 </v>
      </c>
    </row>
    <row r="113" spans="1:13" ht="60" x14ac:dyDescent="0.25">
      <c r="A113" s="7" t="s">
        <v>2641</v>
      </c>
      <c r="B113" s="2" t="s">
        <v>2639</v>
      </c>
      <c r="C113" s="4">
        <v>2</v>
      </c>
      <c r="D113" s="5">
        <v>5.6</v>
      </c>
      <c r="E113" s="5">
        <v>13.99</v>
      </c>
      <c r="F113" s="4" t="s">
        <v>2640</v>
      </c>
      <c r="G113" s="2" t="s">
        <v>874</v>
      </c>
      <c r="H113" s="7" t="s">
        <v>42</v>
      </c>
      <c r="I113" s="2" t="s">
        <v>483</v>
      </c>
      <c r="J113" s="2" t="s">
        <v>536</v>
      </c>
      <c r="K113" s="2" t="s">
        <v>304</v>
      </c>
      <c r="L113" s="2" t="s">
        <v>125</v>
      </c>
      <c r="M113" s="8" t="str">
        <f>HYPERLINK("http://slimages.macys.com/is/image/MCY/14446785 ")</f>
        <v xml:space="preserve">http://slimages.macys.com/is/image/MCY/14446785 </v>
      </c>
    </row>
    <row r="114" spans="1:13" ht="60" x14ac:dyDescent="0.25">
      <c r="A114" s="7" t="s">
        <v>14383</v>
      </c>
      <c r="B114" s="2" t="s">
        <v>14311</v>
      </c>
      <c r="C114" s="4">
        <v>1</v>
      </c>
      <c r="D114" s="5">
        <v>5.55</v>
      </c>
      <c r="E114" s="5">
        <v>11.1</v>
      </c>
      <c r="F114" s="4">
        <v>28345417</v>
      </c>
      <c r="G114" s="2"/>
      <c r="H114" s="7" t="s">
        <v>209</v>
      </c>
      <c r="I114" s="2" t="s">
        <v>487</v>
      </c>
      <c r="J114" s="2" t="s">
        <v>2424</v>
      </c>
      <c r="K114" s="2" t="s">
        <v>304</v>
      </c>
      <c r="L114" s="2" t="s">
        <v>38</v>
      </c>
      <c r="M114" s="8" t="str">
        <f>HYPERLINK("http://slimages.macys.com/is/image/MCY/14661855 ")</f>
        <v xml:space="preserve">http://slimages.macys.com/is/image/MCY/14661855 </v>
      </c>
    </row>
    <row r="115" spans="1:13" ht="60" x14ac:dyDescent="0.25">
      <c r="A115" s="7" t="s">
        <v>5493</v>
      </c>
      <c r="B115" s="2" t="s">
        <v>3410</v>
      </c>
      <c r="C115" s="4">
        <v>5</v>
      </c>
      <c r="D115" s="5">
        <v>5.52</v>
      </c>
      <c r="E115" s="5">
        <v>13.99</v>
      </c>
      <c r="F115" s="4" t="s">
        <v>3411</v>
      </c>
      <c r="G115" s="2" t="s">
        <v>62</v>
      </c>
      <c r="H115" s="7" t="s">
        <v>91</v>
      </c>
      <c r="I115" s="2" t="s">
        <v>483</v>
      </c>
      <c r="J115" s="2" t="s">
        <v>536</v>
      </c>
      <c r="K115" s="2" t="s">
        <v>304</v>
      </c>
      <c r="L115" s="2" t="s">
        <v>596</v>
      </c>
      <c r="M115" s="8" t="str">
        <f>HYPERLINK("http://slimages.macys.com/is/image/MCY/14630640 ")</f>
        <v xml:space="preserve">http://slimages.macys.com/is/image/MCY/14630640 </v>
      </c>
    </row>
    <row r="116" spans="1:13" ht="60" x14ac:dyDescent="0.25">
      <c r="A116" s="7" t="s">
        <v>4164</v>
      </c>
      <c r="B116" s="2" t="s">
        <v>3410</v>
      </c>
      <c r="C116" s="4">
        <v>2</v>
      </c>
      <c r="D116" s="5">
        <v>5.52</v>
      </c>
      <c r="E116" s="5">
        <v>13.99</v>
      </c>
      <c r="F116" s="4" t="s">
        <v>3411</v>
      </c>
      <c r="G116" s="2" t="s">
        <v>62</v>
      </c>
      <c r="H116" s="7" t="s">
        <v>42</v>
      </c>
      <c r="I116" s="2" t="s">
        <v>483</v>
      </c>
      <c r="J116" s="2" t="s">
        <v>536</v>
      </c>
      <c r="K116" s="2" t="s">
        <v>304</v>
      </c>
      <c r="L116" s="2" t="s">
        <v>596</v>
      </c>
      <c r="M116" s="8" t="str">
        <f>HYPERLINK("http://slimages.macys.com/is/image/MCY/14630640 ")</f>
        <v xml:space="preserve">http://slimages.macys.com/is/image/MCY/14630640 </v>
      </c>
    </row>
    <row r="117" spans="1:13" ht="60" x14ac:dyDescent="0.25">
      <c r="A117" s="7" t="s">
        <v>3409</v>
      </c>
      <c r="B117" s="2" t="s">
        <v>3410</v>
      </c>
      <c r="C117" s="4">
        <v>4</v>
      </c>
      <c r="D117" s="5">
        <v>5.52</v>
      </c>
      <c r="E117" s="5">
        <v>13.99</v>
      </c>
      <c r="F117" s="4" t="s">
        <v>3411</v>
      </c>
      <c r="G117" s="2" t="s">
        <v>62</v>
      </c>
      <c r="H117" s="7" t="s">
        <v>149</v>
      </c>
      <c r="I117" s="2" t="s">
        <v>483</v>
      </c>
      <c r="J117" s="2" t="s">
        <v>536</v>
      </c>
      <c r="K117" s="2" t="s">
        <v>304</v>
      </c>
      <c r="L117" s="2" t="s">
        <v>596</v>
      </c>
      <c r="M117" s="8" t="str">
        <f>HYPERLINK("http://slimages.macys.com/is/image/MCY/14630640 ")</f>
        <v xml:space="preserve">http://slimages.macys.com/is/image/MCY/14630640 </v>
      </c>
    </row>
    <row r="118" spans="1:13" ht="60" x14ac:dyDescent="0.25">
      <c r="A118" s="7" t="s">
        <v>4165</v>
      </c>
      <c r="B118" s="2" t="s">
        <v>3410</v>
      </c>
      <c r="C118" s="4">
        <v>9</v>
      </c>
      <c r="D118" s="5">
        <v>5.52</v>
      </c>
      <c r="E118" s="5">
        <v>13.99</v>
      </c>
      <c r="F118" s="4" t="s">
        <v>3411</v>
      </c>
      <c r="G118" s="2" t="s">
        <v>62</v>
      </c>
      <c r="H118" s="7" t="s">
        <v>590</v>
      </c>
      <c r="I118" s="2" t="s">
        <v>483</v>
      </c>
      <c r="J118" s="2" t="s">
        <v>536</v>
      </c>
      <c r="K118" s="2" t="s">
        <v>304</v>
      </c>
      <c r="L118" s="2" t="s">
        <v>596</v>
      </c>
      <c r="M118" s="8" t="str">
        <f>HYPERLINK("http://slimages.macys.com/is/image/MCY/14630640 ")</f>
        <v xml:space="preserve">http://slimages.macys.com/is/image/MCY/14630640 </v>
      </c>
    </row>
    <row r="119" spans="1:13" ht="60" x14ac:dyDescent="0.25">
      <c r="A119" s="7" t="s">
        <v>13699</v>
      </c>
      <c r="B119" s="2" t="s">
        <v>3410</v>
      </c>
      <c r="C119" s="4">
        <v>6</v>
      </c>
      <c r="D119" s="5">
        <v>5.52</v>
      </c>
      <c r="E119" s="5">
        <v>13.99</v>
      </c>
      <c r="F119" s="4" t="s">
        <v>3411</v>
      </c>
      <c r="G119" s="2" t="s">
        <v>62</v>
      </c>
      <c r="H119" s="7" t="s">
        <v>442</v>
      </c>
      <c r="I119" s="2" t="s">
        <v>483</v>
      </c>
      <c r="J119" s="2" t="s">
        <v>536</v>
      </c>
      <c r="K119" s="2" t="s">
        <v>304</v>
      </c>
      <c r="L119" s="2" t="s">
        <v>596</v>
      </c>
      <c r="M119" s="8" t="str">
        <f>HYPERLINK("http://slimages.macys.com/is/image/MCY/14630640 ")</f>
        <v xml:space="preserve">http://slimages.macys.com/is/image/MCY/14630640 </v>
      </c>
    </row>
    <row r="120" spans="1:13" ht="192" x14ac:dyDescent="0.25">
      <c r="A120" s="7" t="s">
        <v>4169</v>
      </c>
      <c r="B120" s="2" t="s">
        <v>2645</v>
      </c>
      <c r="C120" s="4">
        <v>1</v>
      </c>
      <c r="D120" s="5">
        <v>5.5</v>
      </c>
      <c r="E120" s="5">
        <v>12.99</v>
      </c>
      <c r="F120" s="4" t="s">
        <v>2646</v>
      </c>
      <c r="G120" s="2" t="s">
        <v>41</v>
      </c>
      <c r="H120" s="7" t="s">
        <v>42</v>
      </c>
      <c r="I120" s="2" t="s">
        <v>135</v>
      </c>
      <c r="J120" s="2" t="s">
        <v>1076</v>
      </c>
      <c r="K120" s="2" t="s">
        <v>304</v>
      </c>
      <c r="L120" s="2" t="s">
        <v>2647</v>
      </c>
      <c r="M120" s="8" t="str">
        <f>HYPERLINK("http://slimages.macys.com/is/image/MCY/15654567 ")</f>
        <v xml:space="preserve">http://slimages.macys.com/is/image/MCY/15654567 </v>
      </c>
    </row>
    <row r="121" spans="1:13" ht="84" x14ac:dyDescent="0.25">
      <c r="A121" s="7" t="s">
        <v>4180</v>
      </c>
      <c r="B121" s="2" t="s">
        <v>4174</v>
      </c>
      <c r="C121" s="4">
        <v>1</v>
      </c>
      <c r="D121" s="5">
        <v>5.44</v>
      </c>
      <c r="E121" s="5">
        <v>14.99</v>
      </c>
      <c r="F121" s="4" t="s">
        <v>4175</v>
      </c>
      <c r="G121" s="2" t="s">
        <v>195</v>
      </c>
      <c r="H121" s="7" t="s">
        <v>91</v>
      </c>
      <c r="I121" s="2" t="s">
        <v>483</v>
      </c>
      <c r="J121" s="2" t="s">
        <v>4176</v>
      </c>
      <c r="K121" s="2" t="s">
        <v>304</v>
      </c>
      <c r="L121" s="2" t="s">
        <v>4177</v>
      </c>
      <c r="M121" s="8" t="str">
        <f>HYPERLINK("http://slimages.macys.com/is/image/MCY/14601081 ")</f>
        <v xml:space="preserve">http://slimages.macys.com/is/image/MCY/14601081 </v>
      </c>
    </row>
    <row r="122" spans="1:13" ht="84" x14ac:dyDescent="0.25">
      <c r="A122" s="7" t="s">
        <v>14330</v>
      </c>
      <c r="B122" s="2" t="s">
        <v>4174</v>
      </c>
      <c r="C122" s="4">
        <v>2</v>
      </c>
      <c r="D122" s="5">
        <v>5.44</v>
      </c>
      <c r="E122" s="5">
        <v>14.99</v>
      </c>
      <c r="F122" s="4" t="s">
        <v>4175</v>
      </c>
      <c r="G122" s="2" t="s">
        <v>195</v>
      </c>
      <c r="H122" s="7" t="s">
        <v>42</v>
      </c>
      <c r="I122" s="2" t="s">
        <v>483</v>
      </c>
      <c r="J122" s="2" t="s">
        <v>4176</v>
      </c>
      <c r="K122" s="2" t="s">
        <v>304</v>
      </c>
      <c r="L122" s="2" t="s">
        <v>4177</v>
      </c>
      <c r="M122" s="8" t="str">
        <f>HYPERLINK("http://slimages.macys.com/is/image/MCY/14601081 ")</f>
        <v xml:space="preserve">http://slimages.macys.com/is/image/MCY/14601081 </v>
      </c>
    </row>
    <row r="123" spans="1:13" ht="96" x14ac:dyDescent="0.25">
      <c r="A123" s="7" t="s">
        <v>13385</v>
      </c>
      <c r="B123" s="2" t="s">
        <v>13381</v>
      </c>
      <c r="C123" s="4">
        <v>1</v>
      </c>
      <c r="D123" s="5">
        <v>5.25</v>
      </c>
      <c r="E123" s="5">
        <v>14.99</v>
      </c>
      <c r="F123" s="4" t="s">
        <v>13382</v>
      </c>
      <c r="G123" s="2" t="s">
        <v>129</v>
      </c>
      <c r="H123" s="7" t="s">
        <v>91</v>
      </c>
      <c r="I123" s="2" t="s">
        <v>135</v>
      </c>
      <c r="J123" s="2" t="s">
        <v>1076</v>
      </c>
      <c r="K123" s="2" t="s">
        <v>304</v>
      </c>
      <c r="L123" s="2" t="s">
        <v>1948</v>
      </c>
      <c r="M123" s="8" t="str">
        <f>HYPERLINK("http://slimages.macys.com/is/image/MCY/15654539 ")</f>
        <v xml:space="preserve">http://slimages.macys.com/is/image/MCY/15654539 </v>
      </c>
    </row>
    <row r="124" spans="1:13" ht="96" x14ac:dyDescent="0.25">
      <c r="A124" s="7" t="s">
        <v>14384</v>
      </c>
      <c r="B124" s="2" t="s">
        <v>4186</v>
      </c>
      <c r="C124" s="4">
        <v>1</v>
      </c>
      <c r="D124" s="5">
        <v>5.25</v>
      </c>
      <c r="E124" s="5">
        <v>14.99</v>
      </c>
      <c r="F124" s="4" t="s">
        <v>4187</v>
      </c>
      <c r="G124" s="2" t="s">
        <v>28</v>
      </c>
      <c r="H124" s="7" t="s">
        <v>68</v>
      </c>
      <c r="I124" s="2" t="s">
        <v>135</v>
      </c>
      <c r="J124" s="2" t="s">
        <v>1076</v>
      </c>
      <c r="K124" s="2" t="s">
        <v>304</v>
      </c>
      <c r="L124" s="2" t="s">
        <v>1948</v>
      </c>
      <c r="M124" s="8" t="str">
        <f>HYPERLINK("http://slimages.macys.com/is/image/MCY/15654516 ")</f>
        <v xml:space="preserve">http://slimages.macys.com/is/image/MCY/15654516 </v>
      </c>
    </row>
    <row r="125" spans="1:13" ht="60" x14ac:dyDescent="0.25">
      <c r="A125" s="7" t="s">
        <v>1088</v>
      </c>
      <c r="B125" s="2" t="s">
        <v>1089</v>
      </c>
      <c r="C125" s="4">
        <v>9</v>
      </c>
      <c r="D125" s="5">
        <v>5.13</v>
      </c>
      <c r="E125" s="5">
        <v>14.98</v>
      </c>
      <c r="F125" s="4" t="s">
        <v>1090</v>
      </c>
      <c r="G125" s="2" t="s">
        <v>1091</v>
      </c>
      <c r="H125" s="7" t="s">
        <v>531</v>
      </c>
      <c r="I125" s="2" t="s">
        <v>483</v>
      </c>
      <c r="J125" s="2" t="s">
        <v>536</v>
      </c>
      <c r="K125" s="2" t="s">
        <v>304</v>
      </c>
      <c r="L125" s="2" t="s">
        <v>125</v>
      </c>
      <c r="M125" s="8" t="str">
        <f>HYPERLINK("http://slimages.macys.com/is/image/MCY/12646584 ")</f>
        <v xml:space="preserve">http://slimages.macys.com/is/image/MCY/12646584 </v>
      </c>
    </row>
    <row r="126" spans="1:13" ht="60" x14ac:dyDescent="0.25">
      <c r="A126" s="7" t="s">
        <v>4189</v>
      </c>
      <c r="B126" s="2" t="s">
        <v>534</v>
      </c>
      <c r="C126" s="4">
        <v>1</v>
      </c>
      <c r="D126" s="5">
        <v>5.0999999999999996</v>
      </c>
      <c r="E126" s="5">
        <v>13.5</v>
      </c>
      <c r="F126" s="4" t="s">
        <v>535</v>
      </c>
      <c r="G126" s="2" t="s">
        <v>86</v>
      </c>
      <c r="H126" s="7" t="s">
        <v>149</v>
      </c>
      <c r="I126" s="2" t="s">
        <v>483</v>
      </c>
      <c r="J126" s="2" t="s">
        <v>536</v>
      </c>
      <c r="K126" s="2" t="s">
        <v>304</v>
      </c>
      <c r="L126" s="2" t="s">
        <v>537</v>
      </c>
      <c r="M126" s="8" t="str">
        <f t="shared" ref="M126:M133" si="0">HYPERLINK("http://slimages.macys.com/is/image/MCY/9157948 ")</f>
        <v xml:space="preserve">http://slimages.macys.com/is/image/MCY/9157948 </v>
      </c>
    </row>
    <row r="127" spans="1:13" ht="60" x14ac:dyDescent="0.25">
      <c r="A127" s="7" t="s">
        <v>533</v>
      </c>
      <c r="B127" s="2" t="s">
        <v>534</v>
      </c>
      <c r="C127" s="4">
        <v>2</v>
      </c>
      <c r="D127" s="5">
        <v>5.0999999999999996</v>
      </c>
      <c r="E127" s="5">
        <v>13.5</v>
      </c>
      <c r="F127" s="4" t="s">
        <v>535</v>
      </c>
      <c r="G127" s="2" t="s">
        <v>86</v>
      </c>
      <c r="H127" s="7"/>
      <c r="I127" s="2" t="s">
        <v>483</v>
      </c>
      <c r="J127" s="2" t="s">
        <v>536</v>
      </c>
      <c r="K127" s="2" t="s">
        <v>304</v>
      </c>
      <c r="L127" s="2" t="s">
        <v>537</v>
      </c>
      <c r="M127" s="8" t="str">
        <f t="shared" si="0"/>
        <v xml:space="preserve">http://slimages.macys.com/is/image/MCY/9157948 </v>
      </c>
    </row>
    <row r="128" spans="1:13" ht="60" x14ac:dyDescent="0.25">
      <c r="A128" s="7" t="s">
        <v>4188</v>
      </c>
      <c r="B128" s="2" t="s">
        <v>534</v>
      </c>
      <c r="C128" s="4">
        <v>1</v>
      </c>
      <c r="D128" s="5">
        <v>5.0999999999999996</v>
      </c>
      <c r="E128" s="5">
        <v>13.5</v>
      </c>
      <c r="F128" s="4">
        <v>100006338</v>
      </c>
      <c r="G128" s="2" t="s">
        <v>86</v>
      </c>
      <c r="H128" s="7"/>
      <c r="I128" s="2" t="s">
        <v>483</v>
      </c>
      <c r="J128" s="2" t="s">
        <v>536</v>
      </c>
      <c r="K128" s="2" t="s">
        <v>304</v>
      </c>
      <c r="L128" s="2" t="s">
        <v>537</v>
      </c>
      <c r="M128" s="8" t="str">
        <f t="shared" si="0"/>
        <v xml:space="preserve">http://slimages.macys.com/is/image/MCY/9157948 </v>
      </c>
    </row>
    <row r="129" spans="1:13" ht="60" x14ac:dyDescent="0.25">
      <c r="A129" s="7" t="s">
        <v>3423</v>
      </c>
      <c r="B129" s="2" t="s">
        <v>534</v>
      </c>
      <c r="C129" s="4">
        <v>2</v>
      </c>
      <c r="D129" s="5">
        <v>5.0999999999999996</v>
      </c>
      <c r="E129" s="5">
        <v>13.5</v>
      </c>
      <c r="F129" s="4" t="s">
        <v>535</v>
      </c>
      <c r="G129" s="2" t="s">
        <v>86</v>
      </c>
      <c r="H129" s="7" t="s">
        <v>590</v>
      </c>
      <c r="I129" s="2" t="s">
        <v>483</v>
      </c>
      <c r="J129" s="2" t="s">
        <v>536</v>
      </c>
      <c r="K129" s="2" t="s">
        <v>304</v>
      </c>
      <c r="L129" s="2" t="s">
        <v>537</v>
      </c>
      <c r="M129" s="8" t="str">
        <f t="shared" si="0"/>
        <v xml:space="preserve">http://slimages.macys.com/is/image/MCY/9157948 </v>
      </c>
    </row>
    <row r="130" spans="1:13" ht="60" x14ac:dyDescent="0.25">
      <c r="A130" s="7" t="s">
        <v>3415</v>
      </c>
      <c r="B130" s="2" t="s">
        <v>534</v>
      </c>
      <c r="C130" s="4">
        <v>2</v>
      </c>
      <c r="D130" s="5">
        <v>5.0999999999999996</v>
      </c>
      <c r="E130" s="5">
        <v>13.5</v>
      </c>
      <c r="F130" s="4" t="s">
        <v>535</v>
      </c>
      <c r="G130" s="2" t="s">
        <v>86</v>
      </c>
      <c r="H130" s="7" t="s">
        <v>91</v>
      </c>
      <c r="I130" s="2" t="s">
        <v>483</v>
      </c>
      <c r="J130" s="2" t="s">
        <v>536</v>
      </c>
      <c r="K130" s="2" t="s">
        <v>304</v>
      </c>
      <c r="L130" s="2" t="s">
        <v>537</v>
      </c>
      <c r="M130" s="8" t="str">
        <f t="shared" si="0"/>
        <v xml:space="preserve">http://slimages.macys.com/is/image/MCY/9157948 </v>
      </c>
    </row>
    <row r="131" spans="1:13" ht="60" x14ac:dyDescent="0.25">
      <c r="A131" s="7" t="s">
        <v>1957</v>
      </c>
      <c r="B131" s="2" t="s">
        <v>534</v>
      </c>
      <c r="C131" s="4">
        <v>1</v>
      </c>
      <c r="D131" s="5">
        <v>5.0999999999999996</v>
      </c>
      <c r="E131" s="5">
        <v>13.5</v>
      </c>
      <c r="F131" s="4">
        <v>100006338</v>
      </c>
      <c r="G131" s="2" t="s">
        <v>86</v>
      </c>
      <c r="H131" s="7" t="s">
        <v>149</v>
      </c>
      <c r="I131" s="2" t="s">
        <v>483</v>
      </c>
      <c r="J131" s="2" t="s">
        <v>536</v>
      </c>
      <c r="K131" s="2" t="s">
        <v>304</v>
      </c>
      <c r="L131" s="2" t="s">
        <v>537</v>
      </c>
      <c r="M131" s="8" t="str">
        <f t="shared" si="0"/>
        <v xml:space="preserve">http://slimages.macys.com/is/image/MCY/9157948 </v>
      </c>
    </row>
    <row r="132" spans="1:13" ht="60" x14ac:dyDescent="0.25">
      <c r="A132" s="7" t="s">
        <v>2656</v>
      </c>
      <c r="B132" s="2" t="s">
        <v>534</v>
      </c>
      <c r="C132" s="4">
        <v>2</v>
      </c>
      <c r="D132" s="5">
        <v>5.0999999999999996</v>
      </c>
      <c r="E132" s="5">
        <v>13.5</v>
      </c>
      <c r="F132" s="4" t="s">
        <v>535</v>
      </c>
      <c r="G132" s="2" t="s">
        <v>86</v>
      </c>
      <c r="H132" s="7" t="s">
        <v>442</v>
      </c>
      <c r="I132" s="2" t="s">
        <v>483</v>
      </c>
      <c r="J132" s="2" t="s">
        <v>536</v>
      </c>
      <c r="K132" s="2" t="s">
        <v>304</v>
      </c>
      <c r="L132" s="2" t="s">
        <v>537</v>
      </c>
      <c r="M132" s="8" t="str">
        <f t="shared" si="0"/>
        <v xml:space="preserve">http://slimages.macys.com/is/image/MCY/9157948 </v>
      </c>
    </row>
    <row r="133" spans="1:13" ht="60" x14ac:dyDescent="0.25">
      <c r="A133" s="7" t="s">
        <v>14170</v>
      </c>
      <c r="B133" s="2" t="s">
        <v>534</v>
      </c>
      <c r="C133" s="4">
        <v>1</v>
      </c>
      <c r="D133" s="5">
        <v>5.0999999999999996</v>
      </c>
      <c r="E133" s="5">
        <v>13.5</v>
      </c>
      <c r="F133" s="4" t="s">
        <v>535</v>
      </c>
      <c r="G133" s="2" t="s">
        <v>86</v>
      </c>
      <c r="H133" s="7" t="s">
        <v>42</v>
      </c>
      <c r="I133" s="2" t="s">
        <v>483</v>
      </c>
      <c r="J133" s="2" t="s">
        <v>536</v>
      </c>
      <c r="K133" s="2" t="s">
        <v>304</v>
      </c>
      <c r="L133" s="2" t="s">
        <v>537</v>
      </c>
      <c r="M133" s="8" t="str">
        <f t="shared" si="0"/>
        <v xml:space="preserve">http://slimages.macys.com/is/image/MCY/9157948 </v>
      </c>
    </row>
    <row r="134" spans="1:13" ht="60" x14ac:dyDescent="0.25">
      <c r="A134" s="7" t="s">
        <v>1092</v>
      </c>
      <c r="B134" s="2" t="s">
        <v>1093</v>
      </c>
      <c r="C134" s="4">
        <v>1</v>
      </c>
      <c r="D134" s="5">
        <v>5.09</v>
      </c>
      <c r="E134" s="5">
        <v>14.98</v>
      </c>
      <c r="F134" s="4" t="s">
        <v>1094</v>
      </c>
      <c r="G134" s="2" t="s">
        <v>297</v>
      </c>
      <c r="H134" s="7" t="s">
        <v>531</v>
      </c>
      <c r="I134" s="2" t="s">
        <v>483</v>
      </c>
      <c r="J134" s="2" t="s">
        <v>536</v>
      </c>
      <c r="K134" s="2" t="s">
        <v>304</v>
      </c>
      <c r="L134" s="2" t="s">
        <v>125</v>
      </c>
      <c r="M134" s="8" t="str">
        <f>HYPERLINK("http://slimages.macys.com/is/image/MCY/12646583 ")</f>
        <v xml:space="preserve">http://slimages.macys.com/is/image/MCY/12646583 </v>
      </c>
    </row>
    <row r="135" spans="1:13" ht="60" x14ac:dyDescent="0.25">
      <c r="A135" s="7" t="s">
        <v>13943</v>
      </c>
      <c r="B135" s="2" t="s">
        <v>1983</v>
      </c>
      <c r="C135" s="4">
        <v>1</v>
      </c>
      <c r="D135" s="5">
        <v>4.82</v>
      </c>
      <c r="E135" s="5">
        <v>12.99</v>
      </c>
      <c r="F135" s="4" t="s">
        <v>1984</v>
      </c>
      <c r="G135" s="2" t="s">
        <v>297</v>
      </c>
      <c r="H135" s="7" t="s">
        <v>149</v>
      </c>
      <c r="I135" s="2" t="s">
        <v>483</v>
      </c>
      <c r="J135" s="2" t="s">
        <v>536</v>
      </c>
      <c r="K135" s="2" t="s">
        <v>304</v>
      </c>
      <c r="L135" s="2" t="s">
        <v>38</v>
      </c>
      <c r="M135" s="8" t="str">
        <f>HYPERLINK("http://slimages.macys.com/is/image/MCY/14384811 ")</f>
        <v xml:space="preserve">http://slimages.macys.com/is/image/MCY/14384811 </v>
      </c>
    </row>
    <row r="136" spans="1:13" ht="60" x14ac:dyDescent="0.25">
      <c r="A136" s="7" t="s">
        <v>14385</v>
      </c>
      <c r="B136" s="2" t="s">
        <v>539</v>
      </c>
      <c r="C136" s="4">
        <v>1</v>
      </c>
      <c r="D136" s="5">
        <v>4.76</v>
      </c>
      <c r="E136" s="5">
        <v>12.99</v>
      </c>
      <c r="F136" s="4" t="s">
        <v>540</v>
      </c>
      <c r="G136" s="2" t="s">
        <v>62</v>
      </c>
      <c r="H136" s="7" t="s">
        <v>149</v>
      </c>
      <c r="I136" s="2" t="s">
        <v>483</v>
      </c>
      <c r="J136" s="2" t="s">
        <v>536</v>
      </c>
      <c r="K136" s="2" t="s">
        <v>304</v>
      </c>
      <c r="L136" s="2" t="s">
        <v>38</v>
      </c>
      <c r="M136" s="8" t="str">
        <f>HYPERLINK("http://slimages.macys.com/is/image/MCY/14385161 ")</f>
        <v xml:space="preserve">http://slimages.macys.com/is/image/MCY/14385161 </v>
      </c>
    </row>
    <row r="137" spans="1:13" ht="60" x14ac:dyDescent="0.25">
      <c r="A137" s="7" t="s">
        <v>14386</v>
      </c>
      <c r="B137" s="2" t="s">
        <v>6003</v>
      </c>
      <c r="C137" s="4">
        <v>1</v>
      </c>
      <c r="D137" s="5">
        <v>4.25</v>
      </c>
      <c r="E137" s="5">
        <v>9.99</v>
      </c>
      <c r="F137" s="4" t="s">
        <v>6004</v>
      </c>
      <c r="G137" s="2" t="s">
        <v>41</v>
      </c>
      <c r="H137" s="7" t="s">
        <v>1661</v>
      </c>
      <c r="I137" s="2" t="s">
        <v>92</v>
      </c>
      <c r="J137" s="2" t="s">
        <v>778</v>
      </c>
      <c r="K137" s="2" t="s">
        <v>304</v>
      </c>
      <c r="L137" s="2" t="s">
        <v>119</v>
      </c>
      <c r="M137" s="8" t="str">
        <f>HYPERLINK("http://slimages.macys.com/is/image/MCY/12340312 ")</f>
        <v xml:space="preserve">http://slimages.macys.com/is/image/MCY/12340312 </v>
      </c>
    </row>
    <row r="138" spans="1:13" ht="60" x14ac:dyDescent="0.25">
      <c r="A138" s="7" t="s">
        <v>6005</v>
      </c>
      <c r="B138" s="2" t="s">
        <v>6006</v>
      </c>
      <c r="C138" s="4">
        <v>1</v>
      </c>
      <c r="D138" s="5">
        <v>4.05</v>
      </c>
      <c r="E138" s="5">
        <v>12.99</v>
      </c>
      <c r="F138" s="4" t="s">
        <v>6007</v>
      </c>
      <c r="G138" s="2" t="s">
        <v>437</v>
      </c>
      <c r="H138" s="7" t="s">
        <v>531</v>
      </c>
      <c r="I138" s="2" t="s">
        <v>483</v>
      </c>
      <c r="J138" s="2" t="s">
        <v>536</v>
      </c>
      <c r="K138" s="2" t="s">
        <v>304</v>
      </c>
      <c r="L138" s="2" t="s">
        <v>2711</v>
      </c>
      <c r="M138" s="8" t="str">
        <f>HYPERLINK("http://slimages.macys.com/is/image/MCY/12230704 ")</f>
        <v xml:space="preserve">http://slimages.macys.com/is/image/MCY/12230704 </v>
      </c>
    </row>
    <row r="139" spans="1:13" ht="60" x14ac:dyDescent="0.25">
      <c r="A139" s="7" t="s">
        <v>2681</v>
      </c>
      <c r="B139" s="2" t="s">
        <v>2113</v>
      </c>
      <c r="C139" s="4">
        <v>1</v>
      </c>
      <c r="D139" s="5">
        <v>3.58</v>
      </c>
      <c r="E139" s="5">
        <v>8.99</v>
      </c>
      <c r="F139" s="4" t="s">
        <v>2114</v>
      </c>
      <c r="G139" s="2" t="s">
        <v>297</v>
      </c>
      <c r="H139" s="7" t="s">
        <v>590</v>
      </c>
      <c r="I139" s="2" t="s">
        <v>483</v>
      </c>
      <c r="J139" s="2" t="s">
        <v>536</v>
      </c>
      <c r="K139" s="2" t="s">
        <v>304</v>
      </c>
      <c r="L139" s="2" t="s">
        <v>119</v>
      </c>
      <c r="M139" s="8" t="str">
        <f>HYPERLINK("http://slimages.macys.com/is/image/MCY/13987501 ")</f>
        <v xml:space="preserve">http://slimages.macys.com/is/image/MCY/13987501 </v>
      </c>
    </row>
    <row r="140" spans="1:13" ht="60" x14ac:dyDescent="0.25">
      <c r="A140" s="7" t="s">
        <v>2115</v>
      </c>
      <c r="B140" s="2" t="s">
        <v>2113</v>
      </c>
      <c r="C140" s="4">
        <v>1</v>
      </c>
      <c r="D140" s="5">
        <v>3.58</v>
      </c>
      <c r="E140" s="5">
        <v>8.99</v>
      </c>
      <c r="F140" s="4" t="s">
        <v>2114</v>
      </c>
      <c r="G140" s="2" t="s">
        <v>297</v>
      </c>
      <c r="H140" s="7" t="s">
        <v>149</v>
      </c>
      <c r="I140" s="2" t="s">
        <v>483</v>
      </c>
      <c r="J140" s="2" t="s">
        <v>536</v>
      </c>
      <c r="K140" s="2" t="s">
        <v>304</v>
      </c>
      <c r="L140" s="2" t="s">
        <v>119</v>
      </c>
      <c r="M140" s="8" t="str">
        <f>HYPERLINK("http://slimages.macys.com/is/image/MCY/13987501 ")</f>
        <v xml:space="preserve">http://slimages.macys.com/is/image/MCY/13987501 </v>
      </c>
    </row>
    <row r="141" spans="1:13" ht="60" x14ac:dyDescent="0.25">
      <c r="A141" s="7" t="s">
        <v>14387</v>
      </c>
      <c r="B141" s="2" t="s">
        <v>14388</v>
      </c>
      <c r="C141" s="4">
        <v>1</v>
      </c>
      <c r="D141" s="5">
        <v>3.5</v>
      </c>
      <c r="E141" s="5">
        <v>7.99</v>
      </c>
      <c r="F141" s="4">
        <v>18196210</v>
      </c>
      <c r="G141" s="2" t="s">
        <v>41</v>
      </c>
      <c r="H141" s="7" t="s">
        <v>482</v>
      </c>
      <c r="I141" s="2" t="s">
        <v>153</v>
      </c>
      <c r="J141" s="2" t="s">
        <v>154</v>
      </c>
      <c r="K141" s="2" t="s">
        <v>304</v>
      </c>
      <c r="L141" s="2" t="s">
        <v>206</v>
      </c>
      <c r="M141" s="8" t="str">
        <f>HYPERLINK("http://slimages.macys.com/is/image/MCY/14662004 ")</f>
        <v xml:space="preserve">http://slimages.macys.com/is/image/MCY/14662004 </v>
      </c>
    </row>
    <row r="142" spans="1:13" ht="60" x14ac:dyDescent="0.25">
      <c r="A142" s="7" t="s">
        <v>562</v>
      </c>
      <c r="B142" s="2" t="s">
        <v>563</v>
      </c>
      <c r="C142" s="4">
        <v>8</v>
      </c>
      <c r="D142" s="5">
        <v>3.46</v>
      </c>
      <c r="E142" s="5">
        <v>8.99</v>
      </c>
      <c r="F142" s="4">
        <v>100007426</v>
      </c>
      <c r="G142" s="2" t="s">
        <v>41</v>
      </c>
      <c r="H142" s="7" t="s">
        <v>531</v>
      </c>
      <c r="I142" s="2" t="s">
        <v>483</v>
      </c>
      <c r="J142" s="2" t="s">
        <v>484</v>
      </c>
      <c r="K142" s="2" t="s">
        <v>304</v>
      </c>
      <c r="L142" s="2" t="s">
        <v>119</v>
      </c>
      <c r="M142" s="8" t="str">
        <f>HYPERLINK("http://slimages.macys.com/is/image/MCY/9157888 ")</f>
        <v xml:space="preserve">http://slimages.macys.com/is/image/MCY/9157888 </v>
      </c>
    </row>
    <row r="143" spans="1:13" ht="60" x14ac:dyDescent="0.25">
      <c r="A143" s="7" t="s">
        <v>2690</v>
      </c>
      <c r="B143" s="2" t="s">
        <v>2687</v>
      </c>
      <c r="C143" s="4">
        <v>1</v>
      </c>
      <c r="D143" s="5">
        <v>3.44</v>
      </c>
      <c r="E143" s="5">
        <v>7.99</v>
      </c>
      <c r="F143" s="4" t="s">
        <v>2688</v>
      </c>
      <c r="G143" s="2" t="s">
        <v>86</v>
      </c>
      <c r="H143" s="7" t="s">
        <v>311</v>
      </c>
      <c r="I143" s="2" t="s">
        <v>1689</v>
      </c>
      <c r="J143" s="2" t="s">
        <v>354</v>
      </c>
      <c r="K143" s="2" t="s">
        <v>304</v>
      </c>
      <c r="L143" s="2" t="s">
        <v>596</v>
      </c>
      <c r="M143" s="8" t="str">
        <f>HYPERLINK("http://slimages.macys.com/is/image/MCY/12507432 ")</f>
        <v xml:space="preserve">http://slimages.macys.com/is/image/MCY/12507432 </v>
      </c>
    </row>
    <row r="144" spans="1:13" ht="96" x14ac:dyDescent="0.25">
      <c r="A144" s="7" t="s">
        <v>7210</v>
      </c>
      <c r="B144" s="2" t="s">
        <v>2318</v>
      </c>
      <c r="C144" s="4">
        <v>1</v>
      </c>
      <c r="D144" s="5">
        <v>2.4700000000000002</v>
      </c>
      <c r="E144" s="5">
        <v>6.99</v>
      </c>
      <c r="F144" s="4">
        <v>10006315800</v>
      </c>
      <c r="G144" s="2" t="s">
        <v>527</v>
      </c>
      <c r="H144" s="7"/>
      <c r="I144" s="2" t="s">
        <v>483</v>
      </c>
      <c r="J144" s="2" t="s">
        <v>536</v>
      </c>
      <c r="K144" s="2" t="s">
        <v>304</v>
      </c>
      <c r="L144" s="2" t="s">
        <v>2319</v>
      </c>
      <c r="M144" s="8" t="str">
        <f>HYPERLINK("http://slimages.macys.com/is/image/MCY/13987454 ")</f>
        <v xml:space="preserve">http://slimages.macys.com/is/image/MCY/13987454 </v>
      </c>
    </row>
    <row r="145" spans="1:13" ht="72" x14ac:dyDescent="0.25">
      <c r="A145" s="7" t="s">
        <v>4610</v>
      </c>
      <c r="B145" s="2" t="s">
        <v>4607</v>
      </c>
      <c r="C145" s="4">
        <v>1</v>
      </c>
      <c r="D145" s="5">
        <v>2.21</v>
      </c>
      <c r="E145" s="5">
        <v>6.99</v>
      </c>
      <c r="F145" s="4" t="s">
        <v>4608</v>
      </c>
      <c r="G145" s="2" t="s">
        <v>41</v>
      </c>
      <c r="H145" s="7" t="s">
        <v>586</v>
      </c>
      <c r="I145" s="2" t="s">
        <v>483</v>
      </c>
      <c r="J145" s="2" t="s">
        <v>536</v>
      </c>
      <c r="K145" s="2" t="s">
        <v>304</v>
      </c>
      <c r="L145" s="2" t="s">
        <v>4609</v>
      </c>
      <c r="M145" s="8" t="str">
        <f>HYPERLINK("http://slimages.macys.com/is/image/MCY/13987511 ")</f>
        <v xml:space="preserve">http://slimages.macys.com/is/image/MCY/13987511 </v>
      </c>
    </row>
    <row r="146" spans="1:13" ht="60" x14ac:dyDescent="0.25">
      <c r="A146" s="7" t="s">
        <v>14389</v>
      </c>
      <c r="B146" s="2" t="s">
        <v>14390</v>
      </c>
      <c r="C146" s="4">
        <v>1</v>
      </c>
      <c r="D146" s="5">
        <v>2.16</v>
      </c>
      <c r="E146" s="5">
        <v>5.99</v>
      </c>
      <c r="F146" s="4" t="s">
        <v>14391</v>
      </c>
      <c r="G146" s="2" t="s">
        <v>41</v>
      </c>
      <c r="H146" s="7" t="s">
        <v>91</v>
      </c>
      <c r="I146" s="2" t="s">
        <v>483</v>
      </c>
      <c r="J146" s="2" t="s">
        <v>536</v>
      </c>
      <c r="K146" s="2" t="s">
        <v>304</v>
      </c>
      <c r="L146" s="2" t="s">
        <v>87</v>
      </c>
      <c r="M146" s="8" t="str">
        <f>HYPERLINK("http://slimages.macys.com/is/image/MCY/11856978 ")</f>
        <v xml:space="preserve">http://slimages.macys.com/is/image/MCY/11856978 </v>
      </c>
    </row>
    <row r="147" spans="1:13" ht="36" x14ac:dyDescent="0.25">
      <c r="A147" s="7" t="s">
        <v>14392</v>
      </c>
      <c r="B147" s="2" t="s">
        <v>3575</v>
      </c>
      <c r="C147" s="4">
        <v>1</v>
      </c>
      <c r="D147" s="5">
        <v>10.5</v>
      </c>
      <c r="E147" s="5">
        <v>34</v>
      </c>
      <c r="F147" s="4" t="s">
        <v>3575</v>
      </c>
      <c r="G147" s="2" t="s">
        <v>437</v>
      </c>
      <c r="H147" s="7" t="s">
        <v>166</v>
      </c>
      <c r="I147" s="2" t="s">
        <v>50</v>
      </c>
      <c r="J147" s="2" t="s">
        <v>650</v>
      </c>
      <c r="K147" s="2"/>
      <c r="L147" s="2"/>
      <c r="M147" s="8"/>
    </row>
    <row r="148" spans="1:13" ht="36" x14ac:dyDescent="0.25">
      <c r="A148" s="7" t="s">
        <v>14393</v>
      </c>
      <c r="B148" s="2" t="s">
        <v>3575</v>
      </c>
      <c r="C148" s="4">
        <v>1</v>
      </c>
      <c r="D148" s="5">
        <v>10.5</v>
      </c>
      <c r="E148" s="5">
        <v>34</v>
      </c>
      <c r="F148" s="4" t="s">
        <v>3575</v>
      </c>
      <c r="G148" s="2" t="s">
        <v>437</v>
      </c>
      <c r="H148" s="7" t="s">
        <v>177</v>
      </c>
      <c r="I148" s="2" t="s">
        <v>50</v>
      </c>
      <c r="J148" s="2" t="s">
        <v>650</v>
      </c>
      <c r="K148" s="2"/>
      <c r="L148" s="2"/>
      <c r="M148" s="8"/>
    </row>
    <row r="149" spans="1:13" ht="36" x14ac:dyDescent="0.25">
      <c r="A149" s="7" t="s">
        <v>14394</v>
      </c>
      <c r="B149" s="2" t="s">
        <v>3575</v>
      </c>
      <c r="C149" s="4">
        <v>1</v>
      </c>
      <c r="D149" s="5">
        <v>10.5</v>
      </c>
      <c r="E149" s="5">
        <v>34</v>
      </c>
      <c r="F149" s="4" t="s">
        <v>3575</v>
      </c>
      <c r="G149" s="2" t="s">
        <v>437</v>
      </c>
      <c r="H149" s="7" t="s">
        <v>2872</v>
      </c>
      <c r="I149" s="2" t="s">
        <v>50</v>
      </c>
      <c r="J149" s="2" t="s">
        <v>650</v>
      </c>
      <c r="K149" s="2"/>
      <c r="L149" s="2"/>
      <c r="M149" s="8"/>
    </row>
    <row r="150" spans="1:13" ht="48" x14ac:dyDescent="0.25">
      <c r="A150" s="7" t="s">
        <v>4618</v>
      </c>
      <c r="B150" s="2" t="s">
        <v>4619</v>
      </c>
      <c r="C150" s="4">
        <v>2</v>
      </c>
      <c r="D150" s="5">
        <v>9.65</v>
      </c>
      <c r="E150" s="5">
        <v>19.3</v>
      </c>
      <c r="F150" s="4">
        <v>37865410</v>
      </c>
      <c r="G150" s="2"/>
      <c r="H150" s="7" t="s">
        <v>166</v>
      </c>
      <c r="I150" s="2" t="s">
        <v>487</v>
      </c>
      <c r="J150" s="2" t="s">
        <v>488</v>
      </c>
      <c r="K150" s="2"/>
      <c r="L150" s="2"/>
      <c r="M150" s="8"/>
    </row>
    <row r="151" spans="1:13" ht="36" x14ac:dyDescent="0.25">
      <c r="A151" s="7" t="s">
        <v>3592</v>
      </c>
      <c r="B151" s="2" t="s">
        <v>652</v>
      </c>
      <c r="C151" s="4">
        <v>1</v>
      </c>
      <c r="D151" s="5">
        <v>9</v>
      </c>
      <c r="E151" s="5">
        <v>34</v>
      </c>
      <c r="F151" s="4" t="s">
        <v>652</v>
      </c>
      <c r="G151" s="2" t="s">
        <v>653</v>
      </c>
      <c r="H151" s="7" t="s">
        <v>2872</v>
      </c>
      <c r="I151" s="2" t="s">
        <v>50</v>
      </c>
      <c r="J151" s="2" t="s">
        <v>650</v>
      </c>
      <c r="K151" s="2"/>
      <c r="L151" s="2"/>
      <c r="M151" s="8"/>
    </row>
    <row r="152" spans="1:13" ht="36" x14ac:dyDescent="0.25">
      <c r="A152" s="7" t="s">
        <v>8509</v>
      </c>
      <c r="B152" s="2" t="s">
        <v>652</v>
      </c>
      <c r="C152" s="4">
        <v>1</v>
      </c>
      <c r="D152" s="5">
        <v>9</v>
      </c>
      <c r="E152" s="5">
        <v>34</v>
      </c>
      <c r="F152" s="4" t="s">
        <v>652</v>
      </c>
      <c r="G152" s="2" t="s">
        <v>653</v>
      </c>
      <c r="H152" s="7" t="s">
        <v>961</v>
      </c>
      <c r="I152" s="2" t="s">
        <v>50</v>
      </c>
      <c r="J152" s="2" t="s">
        <v>650</v>
      </c>
      <c r="K152" s="2"/>
      <c r="L152" s="2"/>
      <c r="M152" s="8"/>
    </row>
    <row r="153" spans="1:13" ht="24" x14ac:dyDescent="0.25">
      <c r="A153" s="7" t="s">
        <v>14395</v>
      </c>
      <c r="B153" s="2" t="s">
        <v>14396</v>
      </c>
      <c r="C153" s="4">
        <v>1</v>
      </c>
      <c r="D153" s="5">
        <v>8.01</v>
      </c>
      <c r="E153" s="5">
        <v>17.989999999999998</v>
      </c>
      <c r="F153" s="4" t="s">
        <v>14397</v>
      </c>
      <c r="G153" s="2" t="s">
        <v>2107</v>
      </c>
      <c r="H153" s="7" t="s">
        <v>196</v>
      </c>
      <c r="I153" s="2" t="s">
        <v>73</v>
      </c>
      <c r="J153" s="2" t="s">
        <v>160</v>
      </c>
      <c r="K153" s="2"/>
      <c r="L153" s="2"/>
      <c r="M153" s="8"/>
    </row>
  </sheetData>
  <pageMargins left="0.5" right="0.5" top="0.25" bottom="0.25" header="0.3" footer="0.3"/>
  <pageSetup scale="65" orientation="landscape" horizontalDpi="0" verticalDpi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833"/>
  <sheetViews>
    <sheetView workbookViewId="0">
      <selection activeCell="L2" sqref="K1:L2"/>
    </sheetView>
  </sheetViews>
  <sheetFormatPr defaultRowHeight="15" x14ac:dyDescent="0.25"/>
  <cols>
    <col min="1" max="1" width="14.28515625" customWidth="1"/>
    <col min="2" max="2" width="40.28515625" customWidth="1"/>
    <col min="3" max="3" width="15" customWidth="1"/>
    <col min="4" max="4" width="10.85546875" customWidth="1"/>
    <col min="5" max="6" width="15" customWidth="1"/>
    <col min="7" max="7" width="9.7109375" customWidth="1"/>
    <col min="8" max="8" width="13.7109375" customWidth="1"/>
    <col min="9" max="9" width="11.42578125" customWidth="1"/>
    <col min="10" max="10" width="10.85546875" customWidth="1"/>
    <col min="11" max="11" width="11.42578125" customWidth="1"/>
    <col min="12" max="12" width="8" customWidth="1"/>
    <col min="13" max="13" width="10.85546875" customWidth="1"/>
    <col min="14" max="14" width="12.140625" customWidth="1"/>
    <col min="15" max="15" width="36.5703125" bestFit="1" customWidth="1"/>
    <col min="16" max="17" width="20.7109375" customWidth="1"/>
    <col min="18" max="18" width="64.28515625" customWidth="1"/>
  </cols>
  <sheetData>
    <row r="1" spans="1:13" ht="36" x14ac:dyDescent="0.25">
      <c r="A1" s="27" t="s">
        <v>0</v>
      </c>
      <c r="B1" s="27" t="s">
        <v>1</v>
      </c>
      <c r="C1" s="27" t="s">
        <v>2</v>
      </c>
      <c r="D1" s="27" t="s">
        <v>3</v>
      </c>
      <c r="E1" s="27" t="s">
        <v>4</v>
      </c>
      <c r="F1" s="27" t="s">
        <v>5</v>
      </c>
      <c r="G1" s="27" t="s">
        <v>6</v>
      </c>
      <c r="H1" s="27" t="s">
        <v>7</v>
      </c>
      <c r="I1" s="27" t="s">
        <v>8</v>
      </c>
      <c r="J1" s="27" t="s">
        <v>9</v>
      </c>
    </row>
    <row r="2" spans="1:13" ht="36" x14ac:dyDescent="0.25">
      <c r="A2" s="2" t="s">
        <v>10</v>
      </c>
      <c r="B2" s="3">
        <v>12410915</v>
      </c>
      <c r="C2" s="2" t="s">
        <v>11</v>
      </c>
      <c r="D2" s="2" t="s">
        <v>12</v>
      </c>
      <c r="E2" s="4">
        <v>1</v>
      </c>
      <c r="F2" s="4">
        <v>28</v>
      </c>
      <c r="G2" s="2">
        <v>440</v>
      </c>
      <c r="H2" s="5">
        <v>8078.76</v>
      </c>
      <c r="I2" s="5">
        <v>19819.27</v>
      </c>
      <c r="J2" s="2">
        <v>1411</v>
      </c>
    </row>
    <row r="4" spans="1:13" s="6" customFormat="1" x14ac:dyDescent="0.25"/>
    <row r="7" spans="1:13" s="6" customFormat="1" x14ac:dyDescent="0.25"/>
    <row r="8" spans="1:13" ht="36" x14ac:dyDescent="0.25">
      <c r="A8" s="27" t="s">
        <v>13</v>
      </c>
      <c r="B8" s="27" t="s">
        <v>14</v>
      </c>
      <c r="C8" s="27" t="s">
        <v>15</v>
      </c>
      <c r="D8" s="27" t="s">
        <v>16</v>
      </c>
      <c r="E8" s="27" t="s">
        <v>17</v>
      </c>
      <c r="F8" s="27" t="s">
        <v>18</v>
      </c>
      <c r="G8" s="27" t="s">
        <v>19</v>
      </c>
      <c r="H8" s="27" t="s">
        <v>20</v>
      </c>
      <c r="I8" s="27" t="s">
        <v>21</v>
      </c>
      <c r="J8" s="27" t="s">
        <v>22</v>
      </c>
      <c r="K8" s="27" t="s">
        <v>2737</v>
      </c>
      <c r="L8" s="27" t="s">
        <v>23</v>
      </c>
      <c r="M8" s="27" t="s">
        <v>24</v>
      </c>
    </row>
    <row r="9" spans="1:13" ht="60" x14ac:dyDescent="0.25">
      <c r="A9" s="7" t="s">
        <v>1410</v>
      </c>
      <c r="B9" s="2" t="s">
        <v>1407</v>
      </c>
      <c r="C9" s="4">
        <v>1</v>
      </c>
      <c r="D9" s="5">
        <v>38</v>
      </c>
      <c r="E9" s="5">
        <v>71.989999999999995</v>
      </c>
      <c r="F9" s="4" t="s">
        <v>1408</v>
      </c>
      <c r="G9" s="2" t="s">
        <v>814</v>
      </c>
      <c r="H9" s="7" t="s">
        <v>1411</v>
      </c>
      <c r="I9" s="2" t="s">
        <v>30</v>
      </c>
      <c r="J9" s="2" t="s">
        <v>1409</v>
      </c>
      <c r="K9" s="2" t="s">
        <v>304</v>
      </c>
      <c r="L9" s="2" t="s">
        <v>206</v>
      </c>
      <c r="M9" s="8" t="str">
        <f>HYPERLINK("http://slimages.macys.com/is/image/MCY/11603207 ")</f>
        <v xml:space="preserve">http://slimages.macys.com/is/image/MCY/11603207 </v>
      </c>
    </row>
    <row r="10" spans="1:13" ht="60" x14ac:dyDescent="0.25">
      <c r="A10" s="7" t="s">
        <v>11235</v>
      </c>
      <c r="B10" s="2" t="s">
        <v>11236</v>
      </c>
      <c r="C10" s="4">
        <v>1</v>
      </c>
      <c r="D10" s="5">
        <v>38</v>
      </c>
      <c r="E10" s="5">
        <v>76.989999999999995</v>
      </c>
      <c r="F10" s="4" t="s">
        <v>11237</v>
      </c>
      <c r="G10" s="2" t="s">
        <v>1302</v>
      </c>
      <c r="H10" s="7" t="s">
        <v>56</v>
      </c>
      <c r="I10" s="2" t="s">
        <v>30</v>
      </c>
      <c r="J10" s="2" t="s">
        <v>2986</v>
      </c>
      <c r="K10" s="2" t="s">
        <v>304</v>
      </c>
      <c r="L10" s="2" t="s">
        <v>11238</v>
      </c>
      <c r="M10" s="8" t="str">
        <f>HYPERLINK("http://slimages.macys.com/is/image/MCY/12239134 ")</f>
        <v xml:space="preserve">http://slimages.macys.com/is/image/MCY/12239134 </v>
      </c>
    </row>
    <row r="11" spans="1:13" ht="60" x14ac:dyDescent="0.25">
      <c r="A11" s="7" t="s">
        <v>11239</v>
      </c>
      <c r="B11" s="2" t="s">
        <v>11240</v>
      </c>
      <c r="C11" s="4">
        <v>1</v>
      </c>
      <c r="D11" s="5">
        <v>33.75</v>
      </c>
      <c r="E11" s="5">
        <v>75</v>
      </c>
      <c r="F11" s="4">
        <v>323712076001</v>
      </c>
      <c r="G11" s="2" t="s">
        <v>657</v>
      </c>
      <c r="H11" s="7" t="s">
        <v>284</v>
      </c>
      <c r="I11" s="2" t="s">
        <v>204</v>
      </c>
      <c r="J11" s="2" t="s">
        <v>205</v>
      </c>
      <c r="K11" s="2" t="s">
        <v>304</v>
      </c>
      <c r="L11" s="2" t="s">
        <v>206</v>
      </c>
      <c r="M11" s="8" t="str">
        <f>HYPERLINK("http://slimages.macys.com/is/image/MCY/10923159 ")</f>
        <v xml:space="preserve">http://slimages.macys.com/is/image/MCY/10923159 </v>
      </c>
    </row>
    <row r="12" spans="1:13" ht="60" x14ac:dyDescent="0.25">
      <c r="A12" s="7" t="s">
        <v>11241</v>
      </c>
      <c r="B12" s="2" t="s">
        <v>11242</v>
      </c>
      <c r="C12" s="4">
        <v>1</v>
      </c>
      <c r="D12" s="5">
        <v>26.78</v>
      </c>
      <c r="E12" s="5">
        <v>59.5</v>
      </c>
      <c r="F12" s="4">
        <v>320702727001</v>
      </c>
      <c r="G12" s="2" t="s">
        <v>129</v>
      </c>
      <c r="H12" s="7" t="s">
        <v>233</v>
      </c>
      <c r="I12" s="2" t="s">
        <v>676</v>
      </c>
      <c r="J12" s="2" t="s">
        <v>677</v>
      </c>
      <c r="K12" s="2" t="s">
        <v>304</v>
      </c>
      <c r="L12" s="2" t="s">
        <v>11243</v>
      </c>
      <c r="M12" s="8" t="str">
        <f>HYPERLINK("http://slimages.macys.com/is/image/MCY/10451607 ")</f>
        <v xml:space="preserve">http://slimages.macys.com/is/image/MCY/10451607 </v>
      </c>
    </row>
    <row r="13" spans="1:13" ht="60" x14ac:dyDescent="0.25">
      <c r="A13" s="7" t="s">
        <v>11244</v>
      </c>
      <c r="B13" s="2" t="s">
        <v>40</v>
      </c>
      <c r="C13" s="4">
        <v>1</v>
      </c>
      <c r="D13" s="5">
        <v>26.75</v>
      </c>
      <c r="E13" s="5">
        <v>70</v>
      </c>
      <c r="F13" s="4">
        <v>1455</v>
      </c>
      <c r="G13" s="2" t="s">
        <v>41</v>
      </c>
      <c r="H13" s="7"/>
      <c r="I13" s="2" t="s">
        <v>43</v>
      </c>
      <c r="J13" s="2" t="s">
        <v>44</v>
      </c>
      <c r="K13" s="2" t="s">
        <v>2746</v>
      </c>
      <c r="L13" s="2" t="s">
        <v>125</v>
      </c>
      <c r="M13" s="8" t="str">
        <f>HYPERLINK("http://slimages.macys.com/is/image/MCY/928601 ")</f>
        <v xml:space="preserve">http://slimages.macys.com/is/image/MCY/928601 </v>
      </c>
    </row>
    <row r="14" spans="1:13" ht="84" x14ac:dyDescent="0.25">
      <c r="A14" s="7" t="s">
        <v>11245</v>
      </c>
      <c r="B14" s="2" t="s">
        <v>11246</v>
      </c>
      <c r="C14" s="4">
        <v>3</v>
      </c>
      <c r="D14" s="5">
        <v>24.75</v>
      </c>
      <c r="E14" s="5">
        <v>49.5</v>
      </c>
      <c r="F14" s="4">
        <v>312737911003</v>
      </c>
      <c r="G14" s="2" t="s">
        <v>36</v>
      </c>
      <c r="H14" s="7" t="s">
        <v>311</v>
      </c>
      <c r="I14" s="2" t="s">
        <v>3028</v>
      </c>
      <c r="J14" s="2" t="s">
        <v>205</v>
      </c>
      <c r="K14" s="2" t="s">
        <v>304</v>
      </c>
      <c r="L14" s="2" t="s">
        <v>11247</v>
      </c>
      <c r="M14" s="8" t="str">
        <f>HYPERLINK("http://slimages.macys.com/is/image/MCY/11432419 ")</f>
        <v xml:space="preserve">http://slimages.macys.com/is/image/MCY/11432419 </v>
      </c>
    </row>
    <row r="15" spans="1:13" ht="84" x14ac:dyDescent="0.25">
      <c r="A15" s="7" t="s">
        <v>11248</v>
      </c>
      <c r="B15" s="2" t="s">
        <v>11246</v>
      </c>
      <c r="C15" s="4">
        <v>2</v>
      </c>
      <c r="D15" s="5">
        <v>24.75</v>
      </c>
      <c r="E15" s="5">
        <v>49.5</v>
      </c>
      <c r="F15" s="4">
        <v>312737911003</v>
      </c>
      <c r="G15" s="2" t="s">
        <v>36</v>
      </c>
      <c r="H15" s="7" t="s">
        <v>123</v>
      </c>
      <c r="I15" s="2" t="s">
        <v>3028</v>
      </c>
      <c r="J15" s="2" t="s">
        <v>205</v>
      </c>
      <c r="K15" s="2" t="s">
        <v>304</v>
      </c>
      <c r="L15" s="2" t="s">
        <v>11247</v>
      </c>
      <c r="M15" s="8" t="str">
        <f>HYPERLINK("http://slimages.macys.com/is/image/MCY/11432419 ")</f>
        <v xml:space="preserve">http://slimages.macys.com/is/image/MCY/11432419 </v>
      </c>
    </row>
    <row r="16" spans="1:13" ht="84" x14ac:dyDescent="0.25">
      <c r="A16" s="7" t="s">
        <v>11249</v>
      </c>
      <c r="B16" s="2" t="s">
        <v>11246</v>
      </c>
      <c r="C16" s="4">
        <v>2</v>
      </c>
      <c r="D16" s="5">
        <v>24.75</v>
      </c>
      <c r="E16" s="5">
        <v>49.5</v>
      </c>
      <c r="F16" s="4">
        <v>312737911003</v>
      </c>
      <c r="G16" s="2" t="s">
        <v>36</v>
      </c>
      <c r="H16" s="7" t="s">
        <v>63</v>
      </c>
      <c r="I16" s="2" t="s">
        <v>3028</v>
      </c>
      <c r="J16" s="2" t="s">
        <v>205</v>
      </c>
      <c r="K16" s="2" t="s">
        <v>304</v>
      </c>
      <c r="L16" s="2" t="s">
        <v>11247</v>
      </c>
      <c r="M16" s="8" t="str">
        <f>HYPERLINK("http://slimages.macys.com/is/image/MCY/11432419 ")</f>
        <v xml:space="preserve">http://slimages.macys.com/is/image/MCY/11432419 </v>
      </c>
    </row>
    <row r="17" spans="1:13" ht="60" x14ac:dyDescent="0.25">
      <c r="A17" s="7" t="s">
        <v>11250</v>
      </c>
      <c r="B17" s="2" t="s">
        <v>10769</v>
      </c>
      <c r="C17" s="4">
        <v>1</v>
      </c>
      <c r="D17" s="5">
        <v>22.28</v>
      </c>
      <c r="E17" s="5">
        <v>49.5</v>
      </c>
      <c r="F17" s="4">
        <v>321750032001</v>
      </c>
      <c r="G17" s="2" t="s">
        <v>28</v>
      </c>
      <c r="H17" s="7" t="s">
        <v>144</v>
      </c>
      <c r="I17" s="2" t="s">
        <v>204</v>
      </c>
      <c r="J17" s="2" t="s">
        <v>205</v>
      </c>
      <c r="K17" s="2" t="s">
        <v>304</v>
      </c>
      <c r="L17" s="2" t="s">
        <v>38</v>
      </c>
      <c r="M17" s="8" t="str">
        <f>HYPERLINK("http://slimages.macys.com/is/image/MCY/14413102 ")</f>
        <v xml:space="preserve">http://slimages.macys.com/is/image/MCY/14413102 </v>
      </c>
    </row>
    <row r="18" spans="1:13" ht="60" x14ac:dyDescent="0.25">
      <c r="A18" s="7" t="s">
        <v>2842</v>
      </c>
      <c r="B18" s="2" t="s">
        <v>2448</v>
      </c>
      <c r="C18" s="4">
        <v>1</v>
      </c>
      <c r="D18" s="5">
        <v>22.28</v>
      </c>
      <c r="E18" s="5">
        <v>49.5</v>
      </c>
      <c r="F18" s="4">
        <v>323767529001</v>
      </c>
      <c r="G18" s="2" t="s">
        <v>657</v>
      </c>
      <c r="H18" s="7" t="s">
        <v>159</v>
      </c>
      <c r="I18" s="2" t="s">
        <v>204</v>
      </c>
      <c r="J18" s="2" t="s">
        <v>205</v>
      </c>
      <c r="K18" s="2" t="s">
        <v>304</v>
      </c>
      <c r="L18" s="2" t="s">
        <v>119</v>
      </c>
      <c r="M18" s="8" t="str">
        <f>HYPERLINK("http://slimages.macys.com/is/image/MCY/13745321 ")</f>
        <v xml:space="preserve">http://slimages.macys.com/is/image/MCY/13745321 </v>
      </c>
    </row>
    <row r="19" spans="1:13" ht="60" x14ac:dyDescent="0.25">
      <c r="A19" s="7" t="s">
        <v>11251</v>
      </c>
      <c r="B19" s="2" t="s">
        <v>11252</v>
      </c>
      <c r="C19" s="4">
        <v>1</v>
      </c>
      <c r="D19" s="5">
        <v>20.25</v>
      </c>
      <c r="E19" s="5">
        <v>45</v>
      </c>
      <c r="F19" s="4">
        <v>321712747003</v>
      </c>
      <c r="G19" s="2" t="s">
        <v>129</v>
      </c>
      <c r="H19" s="7" t="s">
        <v>144</v>
      </c>
      <c r="I19" s="2" t="s">
        <v>204</v>
      </c>
      <c r="J19" s="2" t="s">
        <v>205</v>
      </c>
      <c r="K19" s="2" t="s">
        <v>304</v>
      </c>
      <c r="L19" s="2" t="s">
        <v>206</v>
      </c>
      <c r="M19" s="8" t="str">
        <f>HYPERLINK("http://slimages.macys.com/is/image/MCY/10537572 ")</f>
        <v xml:space="preserve">http://slimages.macys.com/is/image/MCY/10537572 </v>
      </c>
    </row>
    <row r="20" spans="1:13" ht="60" x14ac:dyDescent="0.25">
      <c r="A20" s="7" t="s">
        <v>11253</v>
      </c>
      <c r="B20" s="2" t="s">
        <v>5828</v>
      </c>
      <c r="C20" s="4">
        <v>1</v>
      </c>
      <c r="D20" s="5">
        <v>20.25</v>
      </c>
      <c r="E20" s="5">
        <v>45</v>
      </c>
      <c r="F20" s="4">
        <v>323750003001</v>
      </c>
      <c r="G20" s="2" t="s">
        <v>28</v>
      </c>
      <c r="H20" s="7" t="s">
        <v>228</v>
      </c>
      <c r="I20" s="2" t="s">
        <v>204</v>
      </c>
      <c r="J20" s="2" t="s">
        <v>205</v>
      </c>
      <c r="K20" s="2" t="s">
        <v>304</v>
      </c>
      <c r="L20" s="2" t="s">
        <v>38</v>
      </c>
      <c r="M20" s="8" t="str">
        <f>HYPERLINK("http://slimages.macys.com/is/image/MCY/13290571 ")</f>
        <v xml:space="preserve">http://slimages.macys.com/is/image/MCY/13290571 </v>
      </c>
    </row>
    <row r="21" spans="1:13" ht="60" x14ac:dyDescent="0.25">
      <c r="A21" s="7" t="s">
        <v>9805</v>
      </c>
      <c r="B21" s="2" t="s">
        <v>9806</v>
      </c>
      <c r="C21" s="4">
        <v>3</v>
      </c>
      <c r="D21" s="5">
        <v>20.23</v>
      </c>
      <c r="E21" s="5">
        <v>59.5</v>
      </c>
      <c r="F21" s="4" t="s">
        <v>9807</v>
      </c>
      <c r="G21" s="2" t="s">
        <v>86</v>
      </c>
      <c r="H21" s="7"/>
      <c r="I21" s="2" t="s">
        <v>57</v>
      </c>
      <c r="J21" s="2" t="s">
        <v>58</v>
      </c>
      <c r="K21" s="2" t="s">
        <v>304</v>
      </c>
      <c r="L21" s="2" t="s">
        <v>125</v>
      </c>
      <c r="M21" s="8" t="str">
        <f>HYPERLINK("http://slimages.macys.com/is/image/MCY/14746484 ")</f>
        <v xml:space="preserve">http://slimages.macys.com/is/image/MCY/14746484 </v>
      </c>
    </row>
    <row r="22" spans="1:13" ht="60" x14ac:dyDescent="0.25">
      <c r="A22" s="7" t="s">
        <v>11254</v>
      </c>
      <c r="B22" s="2" t="s">
        <v>9806</v>
      </c>
      <c r="C22" s="4">
        <v>1</v>
      </c>
      <c r="D22" s="5">
        <v>20.23</v>
      </c>
      <c r="E22" s="5">
        <v>59.5</v>
      </c>
      <c r="F22" s="4" t="s">
        <v>9807</v>
      </c>
      <c r="G22" s="2" t="s">
        <v>86</v>
      </c>
      <c r="H22" s="7"/>
      <c r="I22" s="2" t="s">
        <v>57</v>
      </c>
      <c r="J22" s="2" t="s">
        <v>58</v>
      </c>
      <c r="K22" s="2" t="s">
        <v>304</v>
      </c>
      <c r="L22" s="2" t="s">
        <v>125</v>
      </c>
      <c r="M22" s="8" t="str">
        <f>HYPERLINK("http://slimages.macys.com/is/image/MCY/14746484 ")</f>
        <v xml:space="preserve">http://slimages.macys.com/is/image/MCY/14746484 </v>
      </c>
    </row>
    <row r="23" spans="1:13" ht="60" x14ac:dyDescent="0.25">
      <c r="A23" s="7" t="s">
        <v>11255</v>
      </c>
      <c r="B23" s="2" t="s">
        <v>9806</v>
      </c>
      <c r="C23" s="4">
        <v>2</v>
      </c>
      <c r="D23" s="5">
        <v>20.23</v>
      </c>
      <c r="E23" s="5">
        <v>59.5</v>
      </c>
      <c r="F23" s="4" t="s">
        <v>9807</v>
      </c>
      <c r="G23" s="2" t="s">
        <v>86</v>
      </c>
      <c r="H23" s="7"/>
      <c r="I23" s="2" t="s">
        <v>57</v>
      </c>
      <c r="J23" s="2" t="s">
        <v>58</v>
      </c>
      <c r="K23" s="2" t="s">
        <v>304</v>
      </c>
      <c r="L23" s="2" t="s">
        <v>125</v>
      </c>
      <c r="M23" s="8" t="str">
        <f>HYPERLINK("http://slimages.macys.com/is/image/MCY/14746484 ")</f>
        <v xml:space="preserve">http://slimages.macys.com/is/image/MCY/14746484 </v>
      </c>
    </row>
    <row r="24" spans="1:13" ht="72" x14ac:dyDescent="0.25">
      <c r="A24" s="7" t="s">
        <v>11256</v>
      </c>
      <c r="B24" s="2" t="s">
        <v>11257</v>
      </c>
      <c r="C24" s="4">
        <v>1</v>
      </c>
      <c r="D24" s="5">
        <v>20</v>
      </c>
      <c r="E24" s="5">
        <v>54.99</v>
      </c>
      <c r="F24" s="4" t="s">
        <v>11258</v>
      </c>
      <c r="G24" s="2" t="s">
        <v>28</v>
      </c>
      <c r="H24" s="7" t="s">
        <v>97</v>
      </c>
      <c r="I24" s="2" t="s">
        <v>668</v>
      </c>
      <c r="J24" s="2" t="s">
        <v>239</v>
      </c>
      <c r="K24" s="2" t="s">
        <v>304</v>
      </c>
      <c r="L24" s="2" t="s">
        <v>11259</v>
      </c>
      <c r="M24" s="8" t="str">
        <f>HYPERLINK("http://slimages.macys.com/is/image/MCY/11267194 ")</f>
        <v xml:space="preserve">http://slimages.macys.com/is/image/MCY/11267194 </v>
      </c>
    </row>
    <row r="25" spans="1:13" ht="96" x14ac:dyDescent="0.25">
      <c r="A25" s="7" t="s">
        <v>11260</v>
      </c>
      <c r="B25" s="2" t="s">
        <v>11261</v>
      </c>
      <c r="C25" s="4">
        <v>1</v>
      </c>
      <c r="D25" s="5">
        <v>20</v>
      </c>
      <c r="E25" s="5">
        <v>54.99</v>
      </c>
      <c r="F25" s="4" t="s">
        <v>11262</v>
      </c>
      <c r="G25" s="2" t="s">
        <v>103</v>
      </c>
      <c r="H25" s="7" t="s">
        <v>97</v>
      </c>
      <c r="I25" s="2" t="s">
        <v>668</v>
      </c>
      <c r="J25" s="2" t="s">
        <v>239</v>
      </c>
      <c r="K25" s="2" t="s">
        <v>304</v>
      </c>
      <c r="L25" s="2" t="s">
        <v>11263</v>
      </c>
      <c r="M25" s="8" t="str">
        <f>HYPERLINK("http://slimages.macys.com/is/image/MCY/12381411 ")</f>
        <v xml:space="preserve">http://slimages.macys.com/is/image/MCY/12381411 </v>
      </c>
    </row>
    <row r="26" spans="1:13" ht="60" x14ac:dyDescent="0.25">
      <c r="A26" s="7" t="s">
        <v>3618</v>
      </c>
      <c r="B26" s="2" t="s">
        <v>3619</v>
      </c>
      <c r="C26" s="4">
        <v>4</v>
      </c>
      <c r="D26" s="5">
        <v>19.8</v>
      </c>
      <c r="E26" s="5">
        <v>45</v>
      </c>
      <c r="F26" s="4">
        <v>1342652</v>
      </c>
      <c r="G26" s="2" t="s">
        <v>1265</v>
      </c>
      <c r="H26" s="7" t="s">
        <v>1720</v>
      </c>
      <c r="I26" s="2" t="s">
        <v>815</v>
      </c>
      <c r="J26" s="2" t="s">
        <v>280</v>
      </c>
      <c r="K26" s="2" t="s">
        <v>304</v>
      </c>
      <c r="L26" s="2" t="s">
        <v>3212</v>
      </c>
      <c r="M26" s="8" t="str">
        <f>HYPERLINK("http://slimages.macys.com/is/image/MCY/13341024 ")</f>
        <v xml:space="preserve">http://slimages.macys.com/is/image/MCY/13341024 </v>
      </c>
    </row>
    <row r="27" spans="1:13" ht="60" x14ac:dyDescent="0.25">
      <c r="A27" s="7" t="s">
        <v>11264</v>
      </c>
      <c r="B27" s="2" t="s">
        <v>3619</v>
      </c>
      <c r="C27" s="4">
        <v>2</v>
      </c>
      <c r="D27" s="5">
        <v>19.8</v>
      </c>
      <c r="E27" s="5">
        <v>45</v>
      </c>
      <c r="F27" s="4">
        <v>1342652</v>
      </c>
      <c r="G27" s="2" t="s">
        <v>165</v>
      </c>
      <c r="H27" s="7" t="s">
        <v>1720</v>
      </c>
      <c r="I27" s="2" t="s">
        <v>815</v>
      </c>
      <c r="J27" s="2" t="s">
        <v>280</v>
      </c>
      <c r="K27" s="2" t="s">
        <v>304</v>
      </c>
      <c r="L27" s="2" t="s">
        <v>3212</v>
      </c>
      <c r="M27" s="8" t="str">
        <f>HYPERLINK("http://slimages.macys.com/is/image/MCY/13341057 ")</f>
        <v xml:space="preserve">http://slimages.macys.com/is/image/MCY/13341057 </v>
      </c>
    </row>
    <row r="28" spans="1:13" ht="60" x14ac:dyDescent="0.25">
      <c r="A28" s="7" t="s">
        <v>11265</v>
      </c>
      <c r="B28" s="2" t="s">
        <v>11266</v>
      </c>
      <c r="C28" s="4">
        <v>1</v>
      </c>
      <c r="D28" s="5">
        <v>19.8</v>
      </c>
      <c r="E28" s="5">
        <v>49.5</v>
      </c>
      <c r="F28" s="4" t="s">
        <v>11267</v>
      </c>
      <c r="G28" s="2" t="s">
        <v>79</v>
      </c>
      <c r="H28" s="7" t="s">
        <v>172</v>
      </c>
      <c r="I28" s="2" t="s">
        <v>57</v>
      </c>
      <c r="J28" s="2" t="s">
        <v>58</v>
      </c>
      <c r="K28" s="2" t="s">
        <v>304</v>
      </c>
      <c r="L28" s="2" t="s">
        <v>596</v>
      </c>
      <c r="M28" s="8" t="str">
        <f>HYPERLINK("http://slimages.macys.com/is/image/MCY/13787104 ")</f>
        <v xml:space="preserve">http://slimages.macys.com/is/image/MCY/13787104 </v>
      </c>
    </row>
    <row r="29" spans="1:13" ht="60" x14ac:dyDescent="0.25">
      <c r="A29" s="7" t="s">
        <v>11268</v>
      </c>
      <c r="B29" s="2" t="s">
        <v>11266</v>
      </c>
      <c r="C29" s="4">
        <v>1</v>
      </c>
      <c r="D29" s="5">
        <v>19.8</v>
      </c>
      <c r="E29" s="5">
        <v>49.5</v>
      </c>
      <c r="F29" s="4" t="s">
        <v>11267</v>
      </c>
      <c r="G29" s="2" t="s">
        <v>79</v>
      </c>
      <c r="H29" s="7" t="s">
        <v>56</v>
      </c>
      <c r="I29" s="2" t="s">
        <v>57</v>
      </c>
      <c r="J29" s="2" t="s">
        <v>58</v>
      </c>
      <c r="K29" s="2" t="s">
        <v>304</v>
      </c>
      <c r="L29" s="2" t="s">
        <v>596</v>
      </c>
      <c r="M29" s="8" t="str">
        <f>HYPERLINK("http://slimages.macys.com/is/image/MCY/13787104 ")</f>
        <v xml:space="preserve">http://slimages.macys.com/is/image/MCY/13787104 </v>
      </c>
    </row>
    <row r="30" spans="1:13" ht="60" x14ac:dyDescent="0.25">
      <c r="A30" s="7" t="s">
        <v>11269</v>
      </c>
      <c r="B30" s="2" t="s">
        <v>11266</v>
      </c>
      <c r="C30" s="4">
        <v>1</v>
      </c>
      <c r="D30" s="5">
        <v>19.8</v>
      </c>
      <c r="E30" s="5">
        <v>49.5</v>
      </c>
      <c r="F30" s="4" t="s">
        <v>11267</v>
      </c>
      <c r="G30" s="2" t="s">
        <v>79</v>
      </c>
      <c r="H30" s="7" t="s">
        <v>1411</v>
      </c>
      <c r="I30" s="2" t="s">
        <v>57</v>
      </c>
      <c r="J30" s="2" t="s">
        <v>58</v>
      </c>
      <c r="K30" s="2" t="s">
        <v>304</v>
      </c>
      <c r="L30" s="2" t="s">
        <v>596</v>
      </c>
      <c r="M30" s="8" t="str">
        <f>HYPERLINK("http://slimages.macys.com/is/image/MCY/13787104 ")</f>
        <v xml:space="preserve">http://slimages.macys.com/is/image/MCY/13787104 </v>
      </c>
    </row>
    <row r="31" spans="1:13" ht="84" x14ac:dyDescent="0.25">
      <c r="A31" s="7" t="s">
        <v>11270</v>
      </c>
      <c r="B31" s="2" t="s">
        <v>10789</v>
      </c>
      <c r="C31" s="4">
        <v>1</v>
      </c>
      <c r="D31" s="5">
        <v>19.5</v>
      </c>
      <c r="E31" s="5">
        <v>39</v>
      </c>
      <c r="F31" s="4">
        <v>252494</v>
      </c>
      <c r="G31" s="2" t="s">
        <v>814</v>
      </c>
      <c r="H31" s="7" t="s">
        <v>4804</v>
      </c>
      <c r="I31" s="2" t="s">
        <v>50</v>
      </c>
      <c r="J31" s="2" t="s">
        <v>51</v>
      </c>
      <c r="K31" s="2" t="s">
        <v>304</v>
      </c>
      <c r="L31" s="2" t="s">
        <v>10791</v>
      </c>
      <c r="M31" s="8" t="str">
        <f>HYPERLINK("http://slimages.macys.com/is/image/MCY/8930974 ")</f>
        <v xml:space="preserve">http://slimages.macys.com/is/image/MCY/8930974 </v>
      </c>
    </row>
    <row r="32" spans="1:13" ht="60" x14ac:dyDescent="0.25">
      <c r="A32" s="7" t="s">
        <v>11271</v>
      </c>
      <c r="B32" s="2" t="s">
        <v>8570</v>
      </c>
      <c r="C32" s="4">
        <v>1</v>
      </c>
      <c r="D32" s="5">
        <v>17.8</v>
      </c>
      <c r="E32" s="5">
        <v>44.5</v>
      </c>
      <c r="F32" s="4" t="s">
        <v>8571</v>
      </c>
      <c r="G32" s="2" t="s">
        <v>86</v>
      </c>
      <c r="H32" s="7" t="s">
        <v>144</v>
      </c>
      <c r="I32" s="2" t="s">
        <v>690</v>
      </c>
      <c r="J32" s="2" t="s">
        <v>58</v>
      </c>
      <c r="K32" s="2" t="s">
        <v>304</v>
      </c>
      <c r="L32" s="2" t="s">
        <v>206</v>
      </c>
      <c r="M32" s="8" t="str">
        <f>HYPERLINK("http://slimages.macys.com/is/image/MCY/13049221 ")</f>
        <v xml:space="preserve">http://slimages.macys.com/is/image/MCY/13049221 </v>
      </c>
    </row>
    <row r="33" spans="1:13" ht="60" x14ac:dyDescent="0.25">
      <c r="A33" s="7" t="s">
        <v>11272</v>
      </c>
      <c r="B33" s="2" t="s">
        <v>11273</v>
      </c>
      <c r="C33" s="4">
        <v>1</v>
      </c>
      <c r="D33" s="5">
        <v>17.8</v>
      </c>
      <c r="E33" s="5">
        <v>44.5</v>
      </c>
      <c r="F33" s="4" t="s">
        <v>11274</v>
      </c>
      <c r="G33" s="2" t="s">
        <v>1160</v>
      </c>
      <c r="H33" s="7"/>
      <c r="I33" s="2" t="s">
        <v>57</v>
      </c>
      <c r="J33" s="2" t="s">
        <v>58</v>
      </c>
      <c r="K33" s="2" t="s">
        <v>304</v>
      </c>
      <c r="L33" s="2" t="s">
        <v>100</v>
      </c>
      <c r="M33" s="8" t="str">
        <f>HYPERLINK("http://slimages.macys.com/is/image/MCY/13939040 ")</f>
        <v xml:space="preserve">http://slimages.macys.com/is/image/MCY/13939040 </v>
      </c>
    </row>
    <row r="34" spans="1:13" ht="60" x14ac:dyDescent="0.25">
      <c r="A34" s="7" t="s">
        <v>11275</v>
      </c>
      <c r="B34" s="2" t="s">
        <v>11273</v>
      </c>
      <c r="C34" s="4">
        <v>1</v>
      </c>
      <c r="D34" s="5">
        <v>17.8</v>
      </c>
      <c r="E34" s="5">
        <v>44.5</v>
      </c>
      <c r="F34" s="4" t="s">
        <v>11274</v>
      </c>
      <c r="G34" s="2" t="s">
        <v>1160</v>
      </c>
      <c r="H34" s="7"/>
      <c r="I34" s="2" t="s">
        <v>57</v>
      </c>
      <c r="J34" s="2" t="s">
        <v>58</v>
      </c>
      <c r="K34" s="2" t="s">
        <v>304</v>
      </c>
      <c r="L34" s="2" t="s">
        <v>100</v>
      </c>
      <c r="M34" s="8" t="str">
        <f>HYPERLINK("http://slimages.macys.com/is/image/MCY/13939040 ")</f>
        <v xml:space="preserve">http://slimages.macys.com/is/image/MCY/13939040 </v>
      </c>
    </row>
    <row r="35" spans="1:13" ht="60" x14ac:dyDescent="0.25">
      <c r="A35" s="7" t="s">
        <v>11276</v>
      </c>
      <c r="B35" s="2" t="s">
        <v>5828</v>
      </c>
      <c r="C35" s="4">
        <v>1</v>
      </c>
      <c r="D35" s="5">
        <v>17.78</v>
      </c>
      <c r="E35" s="5">
        <v>39.5</v>
      </c>
      <c r="F35" s="4">
        <v>322750004001</v>
      </c>
      <c r="G35" s="2" t="s">
        <v>41</v>
      </c>
      <c r="H35" s="7" t="s">
        <v>123</v>
      </c>
      <c r="I35" s="2" t="s">
        <v>204</v>
      </c>
      <c r="J35" s="2" t="s">
        <v>205</v>
      </c>
      <c r="K35" s="2" t="s">
        <v>304</v>
      </c>
      <c r="L35" s="2" t="s">
        <v>38</v>
      </c>
      <c r="M35" s="8" t="str">
        <f>HYPERLINK("http://slimages.macys.com/is/image/MCY/13285177 ")</f>
        <v xml:space="preserve">http://slimages.macys.com/is/image/MCY/13285177 </v>
      </c>
    </row>
    <row r="36" spans="1:13" ht="60" x14ac:dyDescent="0.25">
      <c r="A36" s="7" t="s">
        <v>11277</v>
      </c>
      <c r="B36" s="2" t="s">
        <v>5828</v>
      </c>
      <c r="C36" s="4">
        <v>1</v>
      </c>
      <c r="D36" s="5">
        <v>17.78</v>
      </c>
      <c r="E36" s="5">
        <v>39.5</v>
      </c>
      <c r="F36" s="4">
        <v>321750004001</v>
      </c>
      <c r="G36" s="2" t="s">
        <v>41</v>
      </c>
      <c r="H36" s="7" t="s">
        <v>144</v>
      </c>
      <c r="I36" s="2" t="s">
        <v>204</v>
      </c>
      <c r="J36" s="2" t="s">
        <v>205</v>
      </c>
      <c r="K36" s="2" t="s">
        <v>304</v>
      </c>
      <c r="L36" s="2" t="s">
        <v>206</v>
      </c>
      <c r="M36" s="8" t="str">
        <f>HYPERLINK("http://slimages.macys.com/is/image/MCY/13285177 ")</f>
        <v xml:space="preserve">http://slimages.macys.com/is/image/MCY/13285177 </v>
      </c>
    </row>
    <row r="37" spans="1:13" ht="60" x14ac:dyDescent="0.25">
      <c r="A37" s="7" t="s">
        <v>11278</v>
      </c>
      <c r="B37" s="2" t="s">
        <v>84</v>
      </c>
      <c r="C37" s="4">
        <v>1</v>
      </c>
      <c r="D37" s="5">
        <v>17</v>
      </c>
      <c r="E37" s="5">
        <v>42.5</v>
      </c>
      <c r="F37" s="4" t="s">
        <v>5168</v>
      </c>
      <c r="G37" s="2" t="s">
        <v>86</v>
      </c>
      <c r="H37" s="7" t="s">
        <v>311</v>
      </c>
      <c r="I37" s="2" t="s">
        <v>690</v>
      </c>
      <c r="J37" s="2" t="s">
        <v>58</v>
      </c>
      <c r="K37" s="2" t="s">
        <v>304</v>
      </c>
      <c r="L37" s="2" t="s">
        <v>87</v>
      </c>
      <c r="M37" s="8" t="str">
        <f>HYPERLINK("http://slimages.macys.com/is/image/MCY/13043471 ")</f>
        <v xml:space="preserve">http://slimages.macys.com/is/image/MCY/13043471 </v>
      </c>
    </row>
    <row r="38" spans="1:13" ht="60" x14ac:dyDescent="0.25">
      <c r="A38" s="7" t="s">
        <v>11279</v>
      </c>
      <c r="B38" s="2" t="s">
        <v>11280</v>
      </c>
      <c r="C38" s="4">
        <v>1</v>
      </c>
      <c r="D38" s="5">
        <v>16.5</v>
      </c>
      <c r="E38" s="5">
        <v>29.99</v>
      </c>
      <c r="F38" s="4">
        <v>307157</v>
      </c>
      <c r="G38" s="2"/>
      <c r="H38" s="7" t="s">
        <v>394</v>
      </c>
      <c r="I38" s="2" t="s">
        <v>43</v>
      </c>
      <c r="J38" s="2" t="s">
        <v>3537</v>
      </c>
      <c r="K38" s="2" t="s">
        <v>304</v>
      </c>
      <c r="L38" s="2" t="s">
        <v>11281</v>
      </c>
      <c r="M38" s="8" t="str">
        <f>HYPERLINK("http://slimages.macys.com/is/image/MCY/9098017 ")</f>
        <v xml:space="preserve">http://slimages.macys.com/is/image/MCY/9098017 </v>
      </c>
    </row>
    <row r="39" spans="1:13" ht="60" x14ac:dyDescent="0.25">
      <c r="A39" s="7" t="s">
        <v>11282</v>
      </c>
      <c r="B39" s="2" t="s">
        <v>11283</v>
      </c>
      <c r="C39" s="4">
        <v>1</v>
      </c>
      <c r="D39" s="5">
        <v>16</v>
      </c>
      <c r="E39" s="5">
        <v>49.99</v>
      </c>
      <c r="F39" s="4" t="s">
        <v>11284</v>
      </c>
      <c r="G39" s="2" t="s">
        <v>28</v>
      </c>
      <c r="H39" s="7" t="s">
        <v>228</v>
      </c>
      <c r="I39" s="2" t="s">
        <v>668</v>
      </c>
      <c r="J39" s="2" t="s">
        <v>11285</v>
      </c>
      <c r="K39" s="2" t="s">
        <v>304</v>
      </c>
      <c r="L39" s="2" t="s">
        <v>1614</v>
      </c>
      <c r="M39" s="8" t="str">
        <f>HYPERLINK("http://slimages.macys.com/is/image/MCY/11071406 ")</f>
        <v xml:space="preserve">http://slimages.macys.com/is/image/MCY/11071406 </v>
      </c>
    </row>
    <row r="40" spans="1:13" ht="60" x14ac:dyDescent="0.25">
      <c r="A40" s="7" t="s">
        <v>10808</v>
      </c>
      <c r="B40" s="2" t="s">
        <v>1467</v>
      </c>
      <c r="C40" s="4">
        <v>1</v>
      </c>
      <c r="D40" s="5">
        <v>15.8</v>
      </c>
      <c r="E40" s="5">
        <v>39.5</v>
      </c>
      <c r="F40" s="4" t="s">
        <v>1468</v>
      </c>
      <c r="G40" s="2" t="s">
        <v>437</v>
      </c>
      <c r="H40" s="7"/>
      <c r="I40" s="2" t="s">
        <v>57</v>
      </c>
      <c r="J40" s="2" t="s">
        <v>58</v>
      </c>
      <c r="K40" s="2" t="s">
        <v>304</v>
      </c>
      <c r="L40" s="2" t="s">
        <v>100</v>
      </c>
      <c r="M40" s="8" t="str">
        <f>HYPERLINK("http://slimages.macys.com/is/image/MCY/13043447 ")</f>
        <v xml:space="preserve">http://slimages.macys.com/is/image/MCY/13043447 </v>
      </c>
    </row>
    <row r="41" spans="1:13" ht="60" x14ac:dyDescent="0.25">
      <c r="A41" s="7" t="s">
        <v>11286</v>
      </c>
      <c r="B41" s="2" t="s">
        <v>11273</v>
      </c>
      <c r="C41" s="4">
        <v>1</v>
      </c>
      <c r="D41" s="5">
        <v>15.8</v>
      </c>
      <c r="E41" s="5">
        <v>39.5</v>
      </c>
      <c r="F41" s="4" t="s">
        <v>11287</v>
      </c>
      <c r="G41" s="2" t="s">
        <v>1160</v>
      </c>
      <c r="H41" s="7" t="s">
        <v>123</v>
      </c>
      <c r="I41" s="2" t="s">
        <v>690</v>
      </c>
      <c r="J41" s="2" t="s">
        <v>58</v>
      </c>
      <c r="K41" s="2" t="s">
        <v>304</v>
      </c>
      <c r="L41" s="2" t="s">
        <v>100</v>
      </c>
      <c r="M41" s="8" t="str">
        <f>HYPERLINK("http://slimages.macys.com/is/image/MCY/13787042 ")</f>
        <v xml:space="preserve">http://slimages.macys.com/is/image/MCY/13787042 </v>
      </c>
    </row>
    <row r="42" spans="1:13" ht="60" x14ac:dyDescent="0.25">
      <c r="A42" s="7" t="s">
        <v>11288</v>
      </c>
      <c r="B42" s="2" t="s">
        <v>2965</v>
      </c>
      <c r="C42" s="4">
        <v>2</v>
      </c>
      <c r="D42" s="5">
        <v>15.75</v>
      </c>
      <c r="E42" s="5">
        <v>36.99</v>
      </c>
      <c r="F42" s="4" t="s">
        <v>2966</v>
      </c>
      <c r="G42" s="2" t="s">
        <v>698</v>
      </c>
      <c r="H42" s="7" t="s">
        <v>217</v>
      </c>
      <c r="I42" s="2" t="s">
        <v>80</v>
      </c>
      <c r="J42" s="2" t="s">
        <v>2967</v>
      </c>
      <c r="K42" s="2" t="s">
        <v>304</v>
      </c>
      <c r="L42" s="2" t="s">
        <v>125</v>
      </c>
      <c r="M42" s="8" t="str">
        <f>HYPERLINK("http://slimages.macys.com/is/image/MCY/13759711 ")</f>
        <v xml:space="preserve">http://slimages.macys.com/is/image/MCY/13759711 </v>
      </c>
    </row>
    <row r="43" spans="1:13" ht="60" x14ac:dyDescent="0.25">
      <c r="A43" s="7" t="s">
        <v>11289</v>
      </c>
      <c r="B43" s="2" t="s">
        <v>9820</v>
      </c>
      <c r="C43" s="4">
        <v>1</v>
      </c>
      <c r="D43" s="5">
        <v>15.57</v>
      </c>
      <c r="E43" s="5">
        <v>31.99</v>
      </c>
      <c r="F43" s="4" t="s">
        <v>9821</v>
      </c>
      <c r="G43" s="2" t="s">
        <v>657</v>
      </c>
      <c r="H43" s="7" t="s">
        <v>228</v>
      </c>
      <c r="I43" s="2" t="s">
        <v>80</v>
      </c>
      <c r="J43" s="2" t="s">
        <v>160</v>
      </c>
      <c r="K43" s="2" t="s">
        <v>304</v>
      </c>
      <c r="L43" s="2" t="s">
        <v>206</v>
      </c>
      <c r="M43" s="8" t="str">
        <f>HYPERLINK("http://slimages.macys.com/is/image/MCY/10132272 ")</f>
        <v xml:space="preserve">http://slimages.macys.com/is/image/MCY/10132272 </v>
      </c>
    </row>
    <row r="44" spans="1:13" ht="60" x14ac:dyDescent="0.25">
      <c r="A44" s="7" t="s">
        <v>11290</v>
      </c>
      <c r="B44" s="2" t="s">
        <v>11291</v>
      </c>
      <c r="C44" s="4">
        <v>1</v>
      </c>
      <c r="D44" s="5">
        <v>15</v>
      </c>
      <c r="E44" s="5">
        <v>37.5</v>
      </c>
      <c r="F44" s="4" t="s">
        <v>11292</v>
      </c>
      <c r="G44" s="2" t="s">
        <v>262</v>
      </c>
      <c r="H44" s="7"/>
      <c r="I44" s="2" t="s">
        <v>57</v>
      </c>
      <c r="J44" s="2" t="s">
        <v>58</v>
      </c>
      <c r="K44" s="2" t="s">
        <v>304</v>
      </c>
      <c r="L44" s="2" t="s">
        <v>206</v>
      </c>
      <c r="M44" s="8" t="str">
        <f>HYPERLINK("http://slimages.macys.com/is/image/MCY/12355285 ")</f>
        <v xml:space="preserve">http://slimages.macys.com/is/image/MCY/12355285 </v>
      </c>
    </row>
    <row r="45" spans="1:13" ht="60" x14ac:dyDescent="0.25">
      <c r="A45" s="7" t="s">
        <v>11293</v>
      </c>
      <c r="B45" s="2" t="s">
        <v>11294</v>
      </c>
      <c r="C45" s="4">
        <v>1</v>
      </c>
      <c r="D45" s="5">
        <v>14.75</v>
      </c>
      <c r="E45" s="5">
        <v>29.99</v>
      </c>
      <c r="F45" s="4">
        <v>7134</v>
      </c>
      <c r="G45" s="2"/>
      <c r="H45" s="7" t="s">
        <v>284</v>
      </c>
      <c r="I45" s="2" t="s">
        <v>523</v>
      </c>
      <c r="J45" s="2" t="s">
        <v>969</v>
      </c>
      <c r="K45" s="2" t="s">
        <v>304</v>
      </c>
      <c r="L45" s="2" t="s">
        <v>970</v>
      </c>
      <c r="M45" s="8" t="str">
        <f>HYPERLINK("http://slimages.macys.com/is/image/MCY/13040599 ")</f>
        <v xml:space="preserve">http://slimages.macys.com/is/image/MCY/13040599 </v>
      </c>
    </row>
    <row r="46" spans="1:13" ht="60" x14ac:dyDescent="0.25">
      <c r="A46" s="7" t="s">
        <v>11295</v>
      </c>
      <c r="B46" s="2" t="s">
        <v>11296</v>
      </c>
      <c r="C46" s="4">
        <v>1</v>
      </c>
      <c r="D46" s="5">
        <v>14.75</v>
      </c>
      <c r="E46" s="5">
        <v>29.99</v>
      </c>
      <c r="F46" s="4">
        <v>5136</v>
      </c>
      <c r="G46" s="2"/>
      <c r="H46" s="7"/>
      <c r="I46" s="2" t="s">
        <v>523</v>
      </c>
      <c r="J46" s="2" t="s">
        <v>5463</v>
      </c>
      <c r="K46" s="2" t="s">
        <v>304</v>
      </c>
      <c r="L46" s="2" t="s">
        <v>100</v>
      </c>
      <c r="M46" s="8" t="str">
        <f>HYPERLINK("http://slimages.macys.com/is/image/MCY/13040279 ")</f>
        <v xml:space="preserve">http://slimages.macys.com/is/image/MCY/13040279 </v>
      </c>
    </row>
    <row r="47" spans="1:13" ht="60" x14ac:dyDescent="0.25">
      <c r="A47" s="7" t="s">
        <v>5188</v>
      </c>
      <c r="B47" s="2" t="s">
        <v>1488</v>
      </c>
      <c r="C47" s="4">
        <v>1</v>
      </c>
      <c r="D47" s="5">
        <v>14.62</v>
      </c>
      <c r="E47" s="5">
        <v>39.5</v>
      </c>
      <c r="F47" s="4" t="s">
        <v>1489</v>
      </c>
      <c r="G47" s="2" t="s">
        <v>28</v>
      </c>
      <c r="H47" s="7" t="s">
        <v>248</v>
      </c>
      <c r="I47" s="2" t="s">
        <v>880</v>
      </c>
      <c r="J47" s="2" t="s">
        <v>881</v>
      </c>
      <c r="K47" s="2" t="s">
        <v>304</v>
      </c>
      <c r="L47" s="2" t="s">
        <v>119</v>
      </c>
      <c r="M47" s="8" t="str">
        <f>HYPERLINK("http://slimages.macys.com/is/image/MCY/12051814 ")</f>
        <v xml:space="preserve">http://slimages.macys.com/is/image/MCY/12051814 </v>
      </c>
    </row>
    <row r="48" spans="1:13" ht="60" x14ac:dyDescent="0.25">
      <c r="A48" s="7" t="s">
        <v>11297</v>
      </c>
      <c r="B48" s="2" t="s">
        <v>116</v>
      </c>
      <c r="C48" s="4">
        <v>1</v>
      </c>
      <c r="D48" s="5">
        <v>14.5</v>
      </c>
      <c r="E48" s="5">
        <v>27.99</v>
      </c>
      <c r="F48" s="4" t="s">
        <v>117</v>
      </c>
      <c r="G48" s="2" t="s">
        <v>41</v>
      </c>
      <c r="H48" s="7" t="s">
        <v>2791</v>
      </c>
      <c r="I48" s="2" t="s">
        <v>30</v>
      </c>
      <c r="J48" s="2" t="s">
        <v>31</v>
      </c>
      <c r="K48" s="2" t="s">
        <v>304</v>
      </c>
      <c r="L48" s="2" t="s">
        <v>119</v>
      </c>
      <c r="M48" s="8" t="str">
        <f>HYPERLINK("http://slimages.macys.com/is/image/MCY/2940923 ")</f>
        <v xml:space="preserve">http://slimages.macys.com/is/image/MCY/2940923 </v>
      </c>
    </row>
    <row r="49" spans="1:13" ht="60" x14ac:dyDescent="0.25">
      <c r="A49" s="7" t="s">
        <v>11298</v>
      </c>
      <c r="B49" s="2" t="s">
        <v>6139</v>
      </c>
      <c r="C49" s="4">
        <v>2</v>
      </c>
      <c r="D49" s="5">
        <v>14.24</v>
      </c>
      <c r="E49" s="5">
        <v>28.99</v>
      </c>
      <c r="F49" s="4" t="s">
        <v>6140</v>
      </c>
      <c r="G49" s="2" t="s">
        <v>814</v>
      </c>
      <c r="H49" s="7" t="s">
        <v>284</v>
      </c>
      <c r="I49" s="2" t="s">
        <v>80</v>
      </c>
      <c r="J49" s="2" t="s">
        <v>160</v>
      </c>
      <c r="K49" s="2" t="s">
        <v>304</v>
      </c>
      <c r="L49" s="2" t="s">
        <v>125</v>
      </c>
      <c r="M49" s="8" t="str">
        <f>HYPERLINK("http://slimages.macys.com/is/image/MCY/11231024 ")</f>
        <v xml:space="preserve">http://slimages.macys.com/is/image/MCY/11231024 </v>
      </c>
    </row>
    <row r="50" spans="1:13" ht="132" x14ac:dyDescent="0.25">
      <c r="A50" s="7" t="s">
        <v>11299</v>
      </c>
      <c r="B50" s="2" t="s">
        <v>11300</v>
      </c>
      <c r="C50" s="4">
        <v>3</v>
      </c>
      <c r="D50" s="5">
        <v>14</v>
      </c>
      <c r="E50" s="5">
        <v>34.99</v>
      </c>
      <c r="F50" s="4" t="s">
        <v>11301</v>
      </c>
      <c r="G50" s="2" t="s">
        <v>200</v>
      </c>
      <c r="H50" s="7" t="s">
        <v>442</v>
      </c>
      <c r="I50" s="2" t="s">
        <v>135</v>
      </c>
      <c r="J50" s="2" t="s">
        <v>136</v>
      </c>
      <c r="K50" s="2" t="s">
        <v>304</v>
      </c>
      <c r="L50" s="2" t="s">
        <v>11302</v>
      </c>
      <c r="M50" s="8" t="str">
        <f>HYPERLINK("http://slimages.macys.com/is/image/MCY/8308841 ")</f>
        <v xml:space="preserve">http://slimages.macys.com/is/image/MCY/8308841 </v>
      </c>
    </row>
    <row r="51" spans="1:13" ht="84" x14ac:dyDescent="0.25">
      <c r="A51" s="7" t="s">
        <v>11303</v>
      </c>
      <c r="B51" s="2" t="s">
        <v>1498</v>
      </c>
      <c r="C51" s="4">
        <v>1</v>
      </c>
      <c r="D51" s="5">
        <v>14</v>
      </c>
      <c r="E51" s="5">
        <v>39.99</v>
      </c>
      <c r="F51" s="4" t="s">
        <v>1499</v>
      </c>
      <c r="G51" s="2" t="s">
        <v>657</v>
      </c>
      <c r="H51" s="7" t="s">
        <v>177</v>
      </c>
      <c r="I51" s="2" t="s">
        <v>668</v>
      </c>
      <c r="J51" s="2" t="s">
        <v>1500</v>
      </c>
      <c r="K51" s="2" t="s">
        <v>304</v>
      </c>
      <c r="L51" s="2" t="s">
        <v>1501</v>
      </c>
      <c r="M51" s="8" t="str">
        <f>HYPERLINK("http://slimages.macys.com/is/image/MCY/13326767 ")</f>
        <v xml:space="preserve">http://slimages.macys.com/is/image/MCY/13326767 </v>
      </c>
    </row>
    <row r="52" spans="1:13" ht="144" x14ac:dyDescent="0.25">
      <c r="A52" s="7" t="s">
        <v>11304</v>
      </c>
      <c r="B52" s="2" t="s">
        <v>11305</v>
      </c>
      <c r="C52" s="4">
        <v>1</v>
      </c>
      <c r="D52" s="5">
        <v>14</v>
      </c>
      <c r="E52" s="5">
        <v>39.99</v>
      </c>
      <c r="F52" s="4" t="s">
        <v>11306</v>
      </c>
      <c r="G52" s="2" t="s">
        <v>476</v>
      </c>
      <c r="H52" s="7" t="s">
        <v>209</v>
      </c>
      <c r="I52" s="2" t="s">
        <v>64</v>
      </c>
      <c r="J52" s="2" t="s">
        <v>1506</v>
      </c>
      <c r="K52" s="2" t="s">
        <v>304</v>
      </c>
      <c r="L52" s="2" t="s">
        <v>11307</v>
      </c>
      <c r="M52" s="8" t="str">
        <f>HYPERLINK("http://slimages.macys.com/is/image/MCY/11704027 ")</f>
        <v xml:space="preserve">http://slimages.macys.com/is/image/MCY/11704027 </v>
      </c>
    </row>
    <row r="53" spans="1:13" ht="84" x14ac:dyDescent="0.25">
      <c r="A53" s="7" t="s">
        <v>6146</v>
      </c>
      <c r="B53" s="2" t="s">
        <v>4793</v>
      </c>
      <c r="C53" s="4">
        <v>1</v>
      </c>
      <c r="D53" s="5">
        <v>13.6</v>
      </c>
      <c r="E53" s="5">
        <v>34</v>
      </c>
      <c r="F53" s="4">
        <v>333564</v>
      </c>
      <c r="G53" s="2" t="s">
        <v>1463</v>
      </c>
      <c r="H53" s="7" t="s">
        <v>49</v>
      </c>
      <c r="I53" s="2" t="s">
        <v>50</v>
      </c>
      <c r="J53" s="2" t="s">
        <v>51</v>
      </c>
      <c r="K53" s="2" t="s">
        <v>304</v>
      </c>
      <c r="L53" s="2" t="s">
        <v>4794</v>
      </c>
      <c r="M53" s="8" t="str">
        <f>HYPERLINK("http://slimages.macys.com/is/image/MCY/12341767 ")</f>
        <v xml:space="preserve">http://slimages.macys.com/is/image/MCY/12341767 </v>
      </c>
    </row>
    <row r="54" spans="1:13" ht="60" x14ac:dyDescent="0.25">
      <c r="A54" s="7" t="s">
        <v>11308</v>
      </c>
      <c r="B54" s="2" t="s">
        <v>1530</v>
      </c>
      <c r="C54" s="4">
        <v>1</v>
      </c>
      <c r="D54" s="5">
        <v>13.44</v>
      </c>
      <c r="E54" s="5">
        <v>32</v>
      </c>
      <c r="F54" s="4" t="s">
        <v>1531</v>
      </c>
      <c r="G54" s="2" t="s">
        <v>62</v>
      </c>
      <c r="H54" s="7" t="s">
        <v>789</v>
      </c>
      <c r="I54" s="2" t="s">
        <v>73</v>
      </c>
      <c r="J54" s="2" t="s">
        <v>74</v>
      </c>
      <c r="K54" s="2" t="s">
        <v>304</v>
      </c>
      <c r="L54" s="2" t="s">
        <v>100</v>
      </c>
      <c r="M54" s="8" t="str">
        <f>HYPERLINK("http://slimages.macys.com/is/image/MCY/11433086 ")</f>
        <v xml:space="preserve">http://slimages.macys.com/is/image/MCY/11433086 </v>
      </c>
    </row>
    <row r="55" spans="1:13" ht="60" x14ac:dyDescent="0.25">
      <c r="A55" s="7" t="s">
        <v>11309</v>
      </c>
      <c r="B55" s="2" t="s">
        <v>11310</v>
      </c>
      <c r="C55" s="4">
        <v>1</v>
      </c>
      <c r="D55" s="5">
        <v>13.35</v>
      </c>
      <c r="E55" s="5">
        <v>26.99</v>
      </c>
      <c r="F55" s="4" t="s">
        <v>11311</v>
      </c>
      <c r="G55" s="2" t="s">
        <v>41</v>
      </c>
      <c r="H55" s="7" t="s">
        <v>228</v>
      </c>
      <c r="I55" s="2" t="s">
        <v>80</v>
      </c>
      <c r="J55" s="2" t="s">
        <v>160</v>
      </c>
      <c r="K55" s="2" t="s">
        <v>304</v>
      </c>
      <c r="L55" s="2" t="s">
        <v>119</v>
      </c>
      <c r="M55" s="8" t="str">
        <f>HYPERLINK("http://slimages.macys.com/is/image/MCY/9831997 ")</f>
        <v xml:space="preserve">http://slimages.macys.com/is/image/MCY/9831997 </v>
      </c>
    </row>
    <row r="56" spans="1:13" ht="168" x14ac:dyDescent="0.25">
      <c r="A56" s="7" t="s">
        <v>11312</v>
      </c>
      <c r="B56" s="2" t="s">
        <v>11313</v>
      </c>
      <c r="C56" s="4">
        <v>1</v>
      </c>
      <c r="D56" s="5">
        <v>13.35</v>
      </c>
      <c r="E56" s="5">
        <v>31.05</v>
      </c>
      <c r="F56" s="4">
        <v>19266310</v>
      </c>
      <c r="G56" s="2" t="s">
        <v>41</v>
      </c>
      <c r="H56" s="7" t="s">
        <v>442</v>
      </c>
      <c r="I56" s="2" t="s">
        <v>153</v>
      </c>
      <c r="J56" s="2" t="s">
        <v>154</v>
      </c>
      <c r="K56" s="2" t="s">
        <v>304</v>
      </c>
      <c r="L56" s="2" t="s">
        <v>1538</v>
      </c>
      <c r="M56" s="8" t="str">
        <f>HYPERLINK("http://slimages.macys.com/is/image/MCY/14662000 ")</f>
        <v xml:space="preserve">http://slimages.macys.com/is/image/MCY/14662000 </v>
      </c>
    </row>
    <row r="57" spans="1:13" ht="60" x14ac:dyDescent="0.25">
      <c r="A57" s="7" t="s">
        <v>3751</v>
      </c>
      <c r="B57" s="2" t="s">
        <v>3752</v>
      </c>
      <c r="C57" s="4">
        <v>1</v>
      </c>
      <c r="D57" s="5">
        <v>13.35</v>
      </c>
      <c r="E57" s="5">
        <v>26.99</v>
      </c>
      <c r="F57" s="4" t="s">
        <v>3753</v>
      </c>
      <c r="G57" s="2" t="s">
        <v>165</v>
      </c>
      <c r="H57" s="7" t="s">
        <v>228</v>
      </c>
      <c r="I57" s="2" t="s">
        <v>73</v>
      </c>
      <c r="J57" s="2" t="s">
        <v>160</v>
      </c>
      <c r="K57" s="2" t="s">
        <v>304</v>
      </c>
      <c r="L57" s="2" t="s">
        <v>3754</v>
      </c>
      <c r="M57" s="8" t="str">
        <f>HYPERLINK("http://slimages.macys.com/is/image/MCY/12337166 ")</f>
        <v xml:space="preserve">http://slimages.macys.com/is/image/MCY/12337166 </v>
      </c>
    </row>
    <row r="58" spans="1:13" ht="60" x14ac:dyDescent="0.25">
      <c r="A58" s="7" t="s">
        <v>10838</v>
      </c>
      <c r="B58" s="2" t="s">
        <v>5217</v>
      </c>
      <c r="C58" s="4">
        <v>1</v>
      </c>
      <c r="D58" s="5">
        <v>13.35</v>
      </c>
      <c r="E58" s="5">
        <v>26.99</v>
      </c>
      <c r="F58" s="4" t="s">
        <v>5218</v>
      </c>
      <c r="G58" s="2" t="s">
        <v>698</v>
      </c>
      <c r="H58" s="7" t="s">
        <v>228</v>
      </c>
      <c r="I58" s="2" t="s">
        <v>80</v>
      </c>
      <c r="J58" s="2" t="s">
        <v>160</v>
      </c>
      <c r="K58" s="2" t="s">
        <v>304</v>
      </c>
      <c r="L58" s="2" t="s">
        <v>38</v>
      </c>
      <c r="M58" s="8" t="str">
        <f>HYPERLINK("http://slimages.macys.com/is/image/MCY/11485815 ")</f>
        <v xml:space="preserve">http://slimages.macys.com/is/image/MCY/11485815 </v>
      </c>
    </row>
    <row r="59" spans="1:13" ht="60" x14ac:dyDescent="0.25">
      <c r="A59" s="7" t="s">
        <v>11314</v>
      </c>
      <c r="B59" s="2" t="s">
        <v>11315</v>
      </c>
      <c r="C59" s="4">
        <v>3</v>
      </c>
      <c r="D59" s="5">
        <v>13.28</v>
      </c>
      <c r="E59" s="5">
        <v>29.5</v>
      </c>
      <c r="F59" s="4">
        <v>321750954004</v>
      </c>
      <c r="G59" s="2" t="s">
        <v>353</v>
      </c>
      <c r="H59" s="7" t="s">
        <v>144</v>
      </c>
      <c r="I59" s="2" t="s">
        <v>204</v>
      </c>
      <c r="J59" s="2" t="s">
        <v>205</v>
      </c>
      <c r="K59" s="2" t="s">
        <v>304</v>
      </c>
      <c r="L59" s="2" t="s">
        <v>206</v>
      </c>
      <c r="M59" s="8" t="str">
        <f>HYPERLINK("http://slimages.macys.com/is/image/MCY/14361774 ")</f>
        <v xml:space="preserve">http://slimages.macys.com/is/image/MCY/14361774 </v>
      </c>
    </row>
    <row r="60" spans="1:13" ht="60" x14ac:dyDescent="0.25">
      <c r="A60" s="7" t="s">
        <v>11316</v>
      </c>
      <c r="B60" s="2" t="s">
        <v>11315</v>
      </c>
      <c r="C60" s="4">
        <v>2</v>
      </c>
      <c r="D60" s="5">
        <v>13.28</v>
      </c>
      <c r="E60" s="5">
        <v>29.5</v>
      </c>
      <c r="F60" s="4">
        <v>321750954004</v>
      </c>
      <c r="G60" s="2" t="s">
        <v>353</v>
      </c>
      <c r="H60" s="7" t="s">
        <v>68</v>
      </c>
      <c r="I60" s="2" t="s">
        <v>204</v>
      </c>
      <c r="J60" s="2" t="s">
        <v>205</v>
      </c>
      <c r="K60" s="2" t="s">
        <v>304</v>
      </c>
      <c r="L60" s="2" t="s">
        <v>206</v>
      </c>
      <c r="M60" s="8" t="str">
        <f>HYPERLINK("http://slimages.macys.com/is/image/MCY/14361774 ")</f>
        <v xml:space="preserve">http://slimages.macys.com/is/image/MCY/14361774 </v>
      </c>
    </row>
    <row r="61" spans="1:13" ht="60" x14ac:dyDescent="0.25">
      <c r="A61" s="7" t="s">
        <v>11317</v>
      </c>
      <c r="B61" s="2" t="s">
        <v>11318</v>
      </c>
      <c r="C61" s="4">
        <v>1</v>
      </c>
      <c r="D61" s="5">
        <v>13.25</v>
      </c>
      <c r="E61" s="5">
        <v>26.99</v>
      </c>
      <c r="F61" s="4" t="s">
        <v>11319</v>
      </c>
      <c r="G61" s="2" t="s">
        <v>353</v>
      </c>
      <c r="H61" s="7" t="s">
        <v>68</v>
      </c>
      <c r="I61" s="2" t="s">
        <v>380</v>
      </c>
      <c r="J61" s="2" t="s">
        <v>258</v>
      </c>
      <c r="K61" s="2"/>
      <c r="L61" s="2"/>
      <c r="M61" s="8" t="str">
        <f>HYPERLINK("http://slimages.macys.com/is/image/MCY/2903508 ")</f>
        <v xml:space="preserve">http://slimages.macys.com/is/image/MCY/2903508 </v>
      </c>
    </row>
    <row r="62" spans="1:13" ht="60" x14ac:dyDescent="0.25">
      <c r="A62" s="7" t="s">
        <v>11320</v>
      </c>
      <c r="B62" s="2" t="s">
        <v>11321</v>
      </c>
      <c r="C62" s="4">
        <v>1</v>
      </c>
      <c r="D62" s="5">
        <v>13</v>
      </c>
      <c r="E62" s="5">
        <v>24.99</v>
      </c>
      <c r="F62" s="4" t="s">
        <v>6158</v>
      </c>
      <c r="G62" s="2" t="s">
        <v>28</v>
      </c>
      <c r="H62" s="7" t="s">
        <v>6159</v>
      </c>
      <c r="I62" s="2" t="s">
        <v>257</v>
      </c>
      <c r="J62" s="2" t="s">
        <v>258</v>
      </c>
      <c r="K62" s="2" t="s">
        <v>304</v>
      </c>
      <c r="L62" s="2" t="s">
        <v>87</v>
      </c>
      <c r="M62" s="8" t="str">
        <f>HYPERLINK("http://slimages.macys.com/is/image/MCY/1653082 ")</f>
        <v xml:space="preserve">http://slimages.macys.com/is/image/MCY/1653082 </v>
      </c>
    </row>
    <row r="63" spans="1:13" ht="60" x14ac:dyDescent="0.25">
      <c r="A63" s="7" t="s">
        <v>11322</v>
      </c>
      <c r="B63" s="2" t="s">
        <v>9857</v>
      </c>
      <c r="C63" s="4">
        <v>1</v>
      </c>
      <c r="D63" s="5">
        <v>13</v>
      </c>
      <c r="E63" s="5">
        <v>24.99</v>
      </c>
      <c r="F63" s="4" t="s">
        <v>3035</v>
      </c>
      <c r="G63" s="2" t="s">
        <v>79</v>
      </c>
      <c r="H63" s="7" t="s">
        <v>5242</v>
      </c>
      <c r="I63" s="2" t="s">
        <v>257</v>
      </c>
      <c r="J63" s="2" t="s">
        <v>258</v>
      </c>
      <c r="K63" s="2" t="s">
        <v>304</v>
      </c>
      <c r="L63" s="2" t="s">
        <v>87</v>
      </c>
      <c r="M63" s="8" t="str">
        <f>HYPERLINK("http://slimages.macys.com/is/image/MCY/2964863 ")</f>
        <v xml:space="preserve">http://slimages.macys.com/is/image/MCY/2964863 </v>
      </c>
    </row>
    <row r="64" spans="1:13" ht="60" x14ac:dyDescent="0.25">
      <c r="A64" s="7" t="s">
        <v>9856</v>
      </c>
      <c r="B64" s="2" t="s">
        <v>9857</v>
      </c>
      <c r="C64" s="4">
        <v>1</v>
      </c>
      <c r="D64" s="5">
        <v>13</v>
      </c>
      <c r="E64" s="5">
        <v>24.99</v>
      </c>
      <c r="F64" s="4" t="s">
        <v>3035</v>
      </c>
      <c r="G64" s="2" t="s">
        <v>79</v>
      </c>
      <c r="H64" s="7" t="s">
        <v>3036</v>
      </c>
      <c r="I64" s="2" t="s">
        <v>257</v>
      </c>
      <c r="J64" s="2" t="s">
        <v>258</v>
      </c>
      <c r="K64" s="2" t="s">
        <v>304</v>
      </c>
      <c r="L64" s="2" t="s">
        <v>87</v>
      </c>
      <c r="M64" s="8" t="str">
        <f>HYPERLINK("http://slimages.macys.com/is/image/MCY/2964863 ")</f>
        <v xml:space="preserve">http://slimages.macys.com/is/image/MCY/2964863 </v>
      </c>
    </row>
    <row r="65" spans="1:13" ht="60" x14ac:dyDescent="0.25">
      <c r="A65" s="7" t="s">
        <v>3759</v>
      </c>
      <c r="B65" s="2" t="s">
        <v>3760</v>
      </c>
      <c r="C65" s="4">
        <v>3</v>
      </c>
      <c r="D65" s="5">
        <v>12.92</v>
      </c>
      <c r="E65" s="5">
        <v>34.99</v>
      </c>
      <c r="F65" s="4" t="s">
        <v>3761</v>
      </c>
      <c r="G65" s="2" t="s">
        <v>62</v>
      </c>
      <c r="H65" s="7" t="s">
        <v>228</v>
      </c>
      <c r="I65" s="2" t="s">
        <v>218</v>
      </c>
      <c r="J65" s="2" t="s">
        <v>1740</v>
      </c>
      <c r="K65" s="2" t="s">
        <v>304</v>
      </c>
      <c r="L65" s="2" t="s">
        <v>3452</v>
      </c>
      <c r="M65" s="8" t="str">
        <f>HYPERLINK("http://slimages.macys.com/is/image/MCY/11946901 ")</f>
        <v xml:space="preserve">http://slimages.macys.com/is/image/MCY/11946901 </v>
      </c>
    </row>
    <row r="66" spans="1:13" ht="60" x14ac:dyDescent="0.25">
      <c r="A66" s="7" t="s">
        <v>11323</v>
      </c>
      <c r="B66" s="2" t="s">
        <v>11324</v>
      </c>
      <c r="C66" s="4">
        <v>1</v>
      </c>
      <c r="D66" s="5">
        <v>12.78</v>
      </c>
      <c r="E66" s="5">
        <v>27.99</v>
      </c>
      <c r="F66" s="4" t="s">
        <v>11325</v>
      </c>
      <c r="G66" s="2" t="s">
        <v>297</v>
      </c>
      <c r="H66" s="7" t="s">
        <v>266</v>
      </c>
      <c r="I66" s="2" t="s">
        <v>73</v>
      </c>
      <c r="J66" s="2" t="s">
        <v>249</v>
      </c>
      <c r="K66" s="2" t="s">
        <v>304</v>
      </c>
      <c r="L66" s="2" t="s">
        <v>119</v>
      </c>
      <c r="M66" s="8" t="str">
        <f>HYPERLINK("http://slimages.macys.com/is/image/MCY/11641058 ")</f>
        <v xml:space="preserve">http://slimages.macys.com/is/image/MCY/11641058 </v>
      </c>
    </row>
    <row r="67" spans="1:13" ht="60" x14ac:dyDescent="0.25">
      <c r="A67" s="7" t="s">
        <v>11326</v>
      </c>
      <c r="B67" s="2" t="s">
        <v>11327</v>
      </c>
      <c r="C67" s="4">
        <v>1</v>
      </c>
      <c r="D67" s="5">
        <v>12.6</v>
      </c>
      <c r="E67" s="5">
        <v>30</v>
      </c>
      <c r="F67" s="4" t="s">
        <v>11328</v>
      </c>
      <c r="G67" s="2" t="s">
        <v>28</v>
      </c>
      <c r="H67" s="7"/>
      <c r="I67" s="2" t="s">
        <v>80</v>
      </c>
      <c r="J67" s="2" t="s">
        <v>74</v>
      </c>
      <c r="K67" s="2" t="s">
        <v>304</v>
      </c>
      <c r="L67" s="2" t="s">
        <v>206</v>
      </c>
      <c r="M67" s="8" t="str">
        <f>HYPERLINK("http://slimages.macys.com/is/image/MCY/11949804 ")</f>
        <v xml:space="preserve">http://slimages.macys.com/is/image/MCY/11949804 </v>
      </c>
    </row>
    <row r="68" spans="1:13" ht="132" x14ac:dyDescent="0.25">
      <c r="A68" s="7" t="s">
        <v>11329</v>
      </c>
      <c r="B68" s="2" t="s">
        <v>8687</v>
      </c>
      <c r="C68" s="4">
        <v>1</v>
      </c>
      <c r="D68" s="5">
        <v>12.5</v>
      </c>
      <c r="E68" s="5">
        <v>29.99</v>
      </c>
      <c r="F68" s="4" t="s">
        <v>8688</v>
      </c>
      <c r="G68" s="2" t="s">
        <v>41</v>
      </c>
      <c r="H68" s="7" t="s">
        <v>233</v>
      </c>
      <c r="I68" s="2" t="s">
        <v>135</v>
      </c>
      <c r="J68" s="2" t="s">
        <v>258</v>
      </c>
      <c r="K68" s="2" t="s">
        <v>304</v>
      </c>
      <c r="L68" s="2" t="s">
        <v>8689</v>
      </c>
      <c r="M68" s="8" t="str">
        <f>HYPERLINK("http://slimages.macys.com/is/image/MCY/11859050 ")</f>
        <v xml:space="preserve">http://slimages.macys.com/is/image/MCY/11859050 </v>
      </c>
    </row>
    <row r="69" spans="1:13" ht="60" x14ac:dyDescent="0.25">
      <c r="A69" s="7" t="s">
        <v>1566</v>
      </c>
      <c r="B69" s="2" t="s">
        <v>1567</v>
      </c>
      <c r="C69" s="4">
        <v>1</v>
      </c>
      <c r="D69" s="5">
        <v>12.32</v>
      </c>
      <c r="E69" s="5">
        <v>30.99</v>
      </c>
      <c r="F69" s="4" t="s">
        <v>1568</v>
      </c>
      <c r="G69" s="2" t="s">
        <v>388</v>
      </c>
      <c r="H69" s="7" t="s">
        <v>228</v>
      </c>
      <c r="I69" s="2" t="s">
        <v>389</v>
      </c>
      <c r="J69" s="2" t="s">
        <v>354</v>
      </c>
      <c r="K69" s="2" t="s">
        <v>304</v>
      </c>
      <c r="L69" s="2" t="s">
        <v>1569</v>
      </c>
      <c r="M69" s="8" t="str">
        <f>HYPERLINK("http://slimages.macys.com/is/image/MCY/13079500 ")</f>
        <v xml:space="preserve">http://slimages.macys.com/is/image/MCY/13079500 </v>
      </c>
    </row>
    <row r="70" spans="1:13" ht="60" x14ac:dyDescent="0.25">
      <c r="A70" s="7" t="s">
        <v>11330</v>
      </c>
      <c r="B70" s="2" t="s">
        <v>3787</v>
      </c>
      <c r="C70" s="4">
        <v>1</v>
      </c>
      <c r="D70" s="5">
        <v>12.15</v>
      </c>
      <c r="E70" s="5">
        <v>28.99</v>
      </c>
      <c r="F70" s="4" t="s">
        <v>3788</v>
      </c>
      <c r="G70" s="2" t="s">
        <v>353</v>
      </c>
      <c r="H70" s="7"/>
      <c r="I70" s="2" t="s">
        <v>312</v>
      </c>
      <c r="J70" s="2" t="s">
        <v>1545</v>
      </c>
      <c r="K70" s="2" t="s">
        <v>304</v>
      </c>
      <c r="L70" s="2" t="s">
        <v>125</v>
      </c>
      <c r="M70" s="8" t="str">
        <f>HYPERLINK("http://slimages.macys.com/is/image/MCY/11647063 ")</f>
        <v xml:space="preserve">http://slimages.macys.com/is/image/MCY/11647063 </v>
      </c>
    </row>
    <row r="71" spans="1:13" ht="60" x14ac:dyDescent="0.25">
      <c r="A71" s="7" t="s">
        <v>11331</v>
      </c>
      <c r="B71" s="2" t="s">
        <v>11332</v>
      </c>
      <c r="C71" s="4">
        <v>1</v>
      </c>
      <c r="D71" s="5">
        <v>12</v>
      </c>
      <c r="E71" s="5">
        <v>26.99</v>
      </c>
      <c r="F71" s="4" t="s">
        <v>11333</v>
      </c>
      <c r="G71" s="2" t="s">
        <v>86</v>
      </c>
      <c r="H71" s="7" t="s">
        <v>11334</v>
      </c>
      <c r="I71" s="2" t="s">
        <v>257</v>
      </c>
      <c r="J71" s="2" t="s">
        <v>258</v>
      </c>
      <c r="K71" s="2" t="s">
        <v>304</v>
      </c>
      <c r="L71" s="2" t="s">
        <v>87</v>
      </c>
      <c r="M71" s="8" t="str">
        <f>HYPERLINK("http://slimages.macys.com/is/image/MCY/2267372 ")</f>
        <v xml:space="preserve">http://slimages.macys.com/is/image/MCY/2267372 </v>
      </c>
    </row>
    <row r="72" spans="1:13" ht="72" x14ac:dyDescent="0.25">
      <c r="A72" s="7" t="s">
        <v>11335</v>
      </c>
      <c r="B72" s="2" t="s">
        <v>6745</v>
      </c>
      <c r="C72" s="4">
        <v>1</v>
      </c>
      <c r="D72" s="5">
        <v>12</v>
      </c>
      <c r="E72" s="5">
        <v>27.5</v>
      </c>
      <c r="F72" s="4" t="s">
        <v>7365</v>
      </c>
      <c r="G72" s="2" t="s">
        <v>310</v>
      </c>
      <c r="H72" s="7" t="s">
        <v>209</v>
      </c>
      <c r="I72" s="2" t="s">
        <v>380</v>
      </c>
      <c r="J72" s="2" t="s">
        <v>99</v>
      </c>
      <c r="K72" s="2" t="s">
        <v>304</v>
      </c>
      <c r="L72" s="2" t="s">
        <v>6829</v>
      </c>
      <c r="M72" s="8" t="str">
        <f>HYPERLINK("http://slimages.macys.com/is/image/MCY/12227665 ")</f>
        <v xml:space="preserve">http://slimages.macys.com/is/image/MCY/12227665 </v>
      </c>
    </row>
    <row r="73" spans="1:13" ht="72" x14ac:dyDescent="0.25">
      <c r="A73" s="7" t="s">
        <v>11336</v>
      </c>
      <c r="B73" s="2" t="s">
        <v>6164</v>
      </c>
      <c r="C73" s="4">
        <v>1</v>
      </c>
      <c r="D73" s="5">
        <v>11.88</v>
      </c>
      <c r="E73" s="5">
        <v>30.99</v>
      </c>
      <c r="F73" s="4" t="s">
        <v>6165</v>
      </c>
      <c r="G73" s="2" t="s">
        <v>755</v>
      </c>
      <c r="H73" s="7" t="s">
        <v>159</v>
      </c>
      <c r="I73" s="2" t="s">
        <v>389</v>
      </c>
      <c r="J73" s="2" t="s">
        <v>354</v>
      </c>
      <c r="K73" s="2" t="s">
        <v>304</v>
      </c>
      <c r="L73" s="2" t="s">
        <v>6118</v>
      </c>
      <c r="M73" s="8" t="str">
        <f>HYPERLINK("http://slimages.macys.com/is/image/MCY/12938532 ")</f>
        <v xml:space="preserve">http://slimages.macys.com/is/image/MCY/12938532 </v>
      </c>
    </row>
    <row r="74" spans="1:13" ht="60" x14ac:dyDescent="0.25">
      <c r="A74" s="7" t="s">
        <v>11337</v>
      </c>
      <c r="B74" s="2" t="s">
        <v>11338</v>
      </c>
      <c r="C74" s="4">
        <v>2</v>
      </c>
      <c r="D74" s="5">
        <v>11.8</v>
      </c>
      <c r="E74" s="5">
        <v>29.5</v>
      </c>
      <c r="F74" s="4">
        <v>322536703004</v>
      </c>
      <c r="G74" s="2" t="s">
        <v>657</v>
      </c>
      <c r="H74" s="7" t="s">
        <v>123</v>
      </c>
      <c r="I74" s="2" t="s">
        <v>8148</v>
      </c>
      <c r="J74" s="2" t="s">
        <v>205</v>
      </c>
      <c r="K74" s="2" t="s">
        <v>304</v>
      </c>
      <c r="L74" s="2" t="s">
        <v>119</v>
      </c>
      <c r="M74" s="8" t="str">
        <f>HYPERLINK("http://slimages.macys.com/is/image/MCY/10117440 ")</f>
        <v xml:space="preserve">http://slimages.macys.com/is/image/MCY/10117440 </v>
      </c>
    </row>
    <row r="75" spans="1:13" ht="60" x14ac:dyDescent="0.25">
      <c r="A75" s="7" t="s">
        <v>11339</v>
      </c>
      <c r="B75" s="2" t="s">
        <v>11340</v>
      </c>
      <c r="C75" s="4">
        <v>1</v>
      </c>
      <c r="D75" s="5">
        <v>11.8</v>
      </c>
      <c r="E75" s="5">
        <v>29.5</v>
      </c>
      <c r="F75" s="4">
        <v>322536703003</v>
      </c>
      <c r="G75" s="2" t="s">
        <v>62</v>
      </c>
      <c r="H75" s="7" t="s">
        <v>311</v>
      </c>
      <c r="I75" s="2" t="s">
        <v>8148</v>
      </c>
      <c r="J75" s="2" t="s">
        <v>205</v>
      </c>
      <c r="K75" s="2" t="s">
        <v>304</v>
      </c>
      <c r="L75" s="2" t="s">
        <v>119</v>
      </c>
      <c r="M75" s="8" t="str">
        <f>HYPERLINK("http://slimages.macys.com/is/image/MCY/10117440 ")</f>
        <v xml:space="preserve">http://slimages.macys.com/is/image/MCY/10117440 </v>
      </c>
    </row>
    <row r="76" spans="1:13" ht="108" x14ac:dyDescent="0.25">
      <c r="A76" s="7" t="s">
        <v>11341</v>
      </c>
      <c r="B76" s="2" t="s">
        <v>11342</v>
      </c>
      <c r="C76" s="4">
        <v>1</v>
      </c>
      <c r="D76" s="5">
        <v>11.75</v>
      </c>
      <c r="E76" s="5">
        <v>28.99</v>
      </c>
      <c r="F76" s="4" t="s">
        <v>11343</v>
      </c>
      <c r="G76" s="2" t="s">
        <v>310</v>
      </c>
      <c r="H76" s="7" t="s">
        <v>123</v>
      </c>
      <c r="I76" s="2" t="s">
        <v>966</v>
      </c>
      <c r="J76" s="2" t="s">
        <v>99</v>
      </c>
      <c r="K76" s="2" t="s">
        <v>304</v>
      </c>
      <c r="L76" s="2" t="s">
        <v>11344</v>
      </c>
      <c r="M76" s="8" t="str">
        <f>HYPERLINK("http://slimages.macys.com/is/image/MCY/12049259 ")</f>
        <v xml:space="preserve">http://slimages.macys.com/is/image/MCY/12049259 </v>
      </c>
    </row>
    <row r="77" spans="1:13" ht="60" x14ac:dyDescent="0.25">
      <c r="A77" s="7" t="s">
        <v>8696</v>
      </c>
      <c r="B77" s="2" t="s">
        <v>6752</v>
      </c>
      <c r="C77" s="4">
        <v>1</v>
      </c>
      <c r="D77" s="5">
        <v>11.72</v>
      </c>
      <c r="E77" s="5">
        <v>29.99</v>
      </c>
      <c r="F77" s="4" t="s">
        <v>6753</v>
      </c>
      <c r="G77" s="2" t="s">
        <v>41</v>
      </c>
      <c r="H77" s="7" t="s">
        <v>196</v>
      </c>
      <c r="I77" s="2" t="s">
        <v>389</v>
      </c>
      <c r="J77" s="2" t="s">
        <v>354</v>
      </c>
      <c r="K77" s="2" t="s">
        <v>304</v>
      </c>
      <c r="L77" s="2" t="s">
        <v>206</v>
      </c>
      <c r="M77" s="8" t="str">
        <f>HYPERLINK("http://slimages.macys.com/is/image/MCY/11374761 ")</f>
        <v xml:space="preserve">http://slimages.macys.com/is/image/MCY/11374761 </v>
      </c>
    </row>
    <row r="78" spans="1:13" ht="96" x14ac:dyDescent="0.25">
      <c r="A78" s="7" t="s">
        <v>11345</v>
      </c>
      <c r="B78" s="2" t="s">
        <v>11346</v>
      </c>
      <c r="C78" s="4">
        <v>1</v>
      </c>
      <c r="D78" s="5">
        <v>11.66</v>
      </c>
      <c r="E78" s="5">
        <v>28.99</v>
      </c>
      <c r="F78" s="4" t="s">
        <v>11347</v>
      </c>
      <c r="G78" s="2" t="s">
        <v>657</v>
      </c>
      <c r="H78" s="7" t="s">
        <v>159</v>
      </c>
      <c r="I78" s="2" t="s">
        <v>389</v>
      </c>
      <c r="J78" s="2" t="s">
        <v>354</v>
      </c>
      <c r="K78" s="2" t="s">
        <v>304</v>
      </c>
      <c r="L78" s="2" t="s">
        <v>11348</v>
      </c>
      <c r="M78" s="8" t="str">
        <f>HYPERLINK("http://slimages.macys.com/is/image/MCY/12000819 ")</f>
        <v xml:space="preserve">http://slimages.macys.com/is/image/MCY/12000819 </v>
      </c>
    </row>
    <row r="79" spans="1:13" ht="60" x14ac:dyDescent="0.25">
      <c r="A79" s="7" t="s">
        <v>11349</v>
      </c>
      <c r="B79" s="2" t="s">
        <v>11350</v>
      </c>
      <c r="C79" s="4">
        <v>1</v>
      </c>
      <c r="D79" s="5">
        <v>11.5</v>
      </c>
      <c r="E79" s="5">
        <v>27.99</v>
      </c>
      <c r="F79" s="4">
        <v>511955990</v>
      </c>
      <c r="G79" s="2" t="s">
        <v>62</v>
      </c>
      <c r="H79" s="7" t="s">
        <v>144</v>
      </c>
      <c r="I79" s="2" t="s">
        <v>73</v>
      </c>
      <c r="J79" s="2" t="s">
        <v>6819</v>
      </c>
      <c r="K79" s="2" t="s">
        <v>304</v>
      </c>
      <c r="L79" s="2" t="s">
        <v>125</v>
      </c>
      <c r="M79" s="8" t="str">
        <f>HYPERLINK("http://slimages.macys.com/is/image/MCY/13726892 ")</f>
        <v xml:space="preserve">http://slimages.macys.com/is/image/MCY/13726892 </v>
      </c>
    </row>
    <row r="80" spans="1:13" ht="60" x14ac:dyDescent="0.25">
      <c r="A80" s="7" t="s">
        <v>6757</v>
      </c>
      <c r="B80" s="2" t="s">
        <v>6755</v>
      </c>
      <c r="C80" s="4">
        <v>1</v>
      </c>
      <c r="D80" s="5">
        <v>11.5</v>
      </c>
      <c r="E80" s="5">
        <v>32.99</v>
      </c>
      <c r="F80" s="4" t="s">
        <v>6756</v>
      </c>
      <c r="G80" s="2" t="s">
        <v>62</v>
      </c>
      <c r="H80" s="7" t="s">
        <v>217</v>
      </c>
      <c r="I80" s="2" t="s">
        <v>218</v>
      </c>
      <c r="J80" s="2" t="s">
        <v>1740</v>
      </c>
      <c r="K80" s="2" t="s">
        <v>304</v>
      </c>
      <c r="L80" s="2" t="s">
        <v>2469</v>
      </c>
      <c r="M80" s="8" t="str">
        <f>HYPERLINK("http://slimages.macys.com/is/image/MCY/11946903 ")</f>
        <v xml:space="preserve">http://slimages.macys.com/is/image/MCY/11946903 </v>
      </c>
    </row>
    <row r="81" spans="1:13" ht="60" x14ac:dyDescent="0.25">
      <c r="A81" s="7" t="s">
        <v>8179</v>
      </c>
      <c r="B81" s="2" t="s">
        <v>6755</v>
      </c>
      <c r="C81" s="4">
        <v>1</v>
      </c>
      <c r="D81" s="5">
        <v>11.5</v>
      </c>
      <c r="E81" s="5">
        <v>32.99</v>
      </c>
      <c r="F81" s="4" t="s">
        <v>6756</v>
      </c>
      <c r="G81" s="2" t="s">
        <v>62</v>
      </c>
      <c r="H81" s="7" t="s">
        <v>228</v>
      </c>
      <c r="I81" s="2" t="s">
        <v>218</v>
      </c>
      <c r="J81" s="2" t="s">
        <v>1740</v>
      </c>
      <c r="K81" s="2" t="s">
        <v>304</v>
      </c>
      <c r="L81" s="2" t="s">
        <v>2469</v>
      </c>
      <c r="M81" s="8" t="str">
        <f>HYPERLINK("http://slimages.macys.com/is/image/MCY/11946903 ")</f>
        <v xml:space="preserve">http://slimages.macys.com/is/image/MCY/11946903 </v>
      </c>
    </row>
    <row r="82" spans="1:13" ht="60" x14ac:dyDescent="0.25">
      <c r="A82" s="7" t="s">
        <v>11351</v>
      </c>
      <c r="B82" s="2" t="s">
        <v>3805</v>
      </c>
      <c r="C82" s="4">
        <v>1</v>
      </c>
      <c r="D82" s="5">
        <v>11.5</v>
      </c>
      <c r="E82" s="5">
        <v>25.99</v>
      </c>
      <c r="F82" s="4" t="s">
        <v>3806</v>
      </c>
      <c r="G82" s="2" t="s">
        <v>793</v>
      </c>
      <c r="H82" s="7" t="s">
        <v>284</v>
      </c>
      <c r="I82" s="2" t="s">
        <v>80</v>
      </c>
      <c r="J82" s="2" t="s">
        <v>694</v>
      </c>
      <c r="K82" s="2" t="s">
        <v>304</v>
      </c>
      <c r="L82" s="2" t="s">
        <v>125</v>
      </c>
      <c r="M82" s="8" t="str">
        <f>HYPERLINK("http://slimages.macys.com/is/image/MCY/9278402 ")</f>
        <v xml:space="preserve">http://slimages.macys.com/is/image/MCY/9278402 </v>
      </c>
    </row>
    <row r="83" spans="1:13" ht="60" x14ac:dyDescent="0.25">
      <c r="A83" s="7" t="s">
        <v>11352</v>
      </c>
      <c r="B83" s="2" t="s">
        <v>9885</v>
      </c>
      <c r="C83" s="4">
        <v>1</v>
      </c>
      <c r="D83" s="5">
        <v>11.5</v>
      </c>
      <c r="E83" s="5">
        <v>25.99</v>
      </c>
      <c r="F83" s="4" t="s">
        <v>9886</v>
      </c>
      <c r="G83" s="2" t="s">
        <v>79</v>
      </c>
      <c r="H83" s="7" t="s">
        <v>284</v>
      </c>
      <c r="I83" s="2" t="s">
        <v>80</v>
      </c>
      <c r="J83" s="2" t="s">
        <v>694</v>
      </c>
      <c r="K83" s="2" t="s">
        <v>304</v>
      </c>
      <c r="L83" s="2" t="s">
        <v>125</v>
      </c>
      <c r="M83" s="8" t="str">
        <f>HYPERLINK("http://slimages.macys.com/is/image/MCY/12226818 ")</f>
        <v xml:space="preserve">http://slimages.macys.com/is/image/MCY/12226818 </v>
      </c>
    </row>
    <row r="84" spans="1:13" ht="60" x14ac:dyDescent="0.25">
      <c r="A84" s="7" t="s">
        <v>11353</v>
      </c>
      <c r="B84" s="2" t="s">
        <v>11354</v>
      </c>
      <c r="C84" s="4">
        <v>1</v>
      </c>
      <c r="D84" s="5">
        <v>11.4</v>
      </c>
      <c r="E84" s="5">
        <v>27.99</v>
      </c>
      <c r="F84" s="4" t="s">
        <v>11355</v>
      </c>
      <c r="G84" s="2" t="s">
        <v>62</v>
      </c>
      <c r="H84" s="7" t="s">
        <v>144</v>
      </c>
      <c r="I84" s="2" t="s">
        <v>80</v>
      </c>
      <c r="J84" s="2" t="s">
        <v>167</v>
      </c>
      <c r="K84" s="2" t="s">
        <v>304</v>
      </c>
      <c r="L84" s="2" t="s">
        <v>125</v>
      </c>
      <c r="M84" s="8" t="str">
        <f>HYPERLINK("http://slimages.macys.com/is/image/MCY/10210327 ")</f>
        <v xml:space="preserve">http://slimages.macys.com/is/image/MCY/10210327 </v>
      </c>
    </row>
    <row r="85" spans="1:13" ht="60" x14ac:dyDescent="0.25">
      <c r="A85" s="7" t="s">
        <v>5862</v>
      </c>
      <c r="B85" s="2" t="s">
        <v>203</v>
      </c>
      <c r="C85" s="4">
        <v>1</v>
      </c>
      <c r="D85" s="5">
        <v>11.25</v>
      </c>
      <c r="E85" s="5">
        <v>25</v>
      </c>
      <c r="F85" s="4">
        <v>321767900002</v>
      </c>
      <c r="G85" s="2" t="s">
        <v>41</v>
      </c>
      <c r="H85" s="7" t="s">
        <v>144</v>
      </c>
      <c r="I85" s="2" t="s">
        <v>204</v>
      </c>
      <c r="J85" s="2" t="s">
        <v>205</v>
      </c>
      <c r="K85" s="2" t="s">
        <v>304</v>
      </c>
      <c r="L85" s="2" t="s">
        <v>206</v>
      </c>
      <c r="M85" s="8" t="str">
        <f>HYPERLINK("http://slimages.macys.com/is/image/MCY/13936000 ")</f>
        <v xml:space="preserve">http://slimages.macys.com/is/image/MCY/13936000 </v>
      </c>
    </row>
    <row r="86" spans="1:13" ht="60" x14ac:dyDescent="0.25">
      <c r="A86" s="7" t="s">
        <v>11356</v>
      </c>
      <c r="B86" s="2" t="s">
        <v>3116</v>
      </c>
      <c r="C86" s="4">
        <v>1</v>
      </c>
      <c r="D86" s="5">
        <v>11.25</v>
      </c>
      <c r="E86" s="5">
        <v>25</v>
      </c>
      <c r="F86" s="4">
        <v>1354020</v>
      </c>
      <c r="G86" s="2" t="s">
        <v>62</v>
      </c>
      <c r="H86" s="7" t="s">
        <v>228</v>
      </c>
      <c r="I86" s="2" t="s">
        <v>73</v>
      </c>
      <c r="J86" s="2" t="s">
        <v>280</v>
      </c>
      <c r="K86" s="2" t="s">
        <v>304</v>
      </c>
      <c r="L86" s="2" t="s">
        <v>119</v>
      </c>
      <c r="M86" s="8" t="str">
        <f>HYPERLINK("http://slimages.macys.com/is/image/MCY/12282731 ")</f>
        <v xml:space="preserve">http://slimages.macys.com/is/image/MCY/12282731 </v>
      </c>
    </row>
    <row r="87" spans="1:13" ht="60" x14ac:dyDescent="0.25">
      <c r="A87" s="7" t="s">
        <v>11357</v>
      </c>
      <c r="B87" s="2" t="s">
        <v>203</v>
      </c>
      <c r="C87" s="4">
        <v>1</v>
      </c>
      <c r="D87" s="5">
        <v>11.25</v>
      </c>
      <c r="E87" s="5">
        <v>25</v>
      </c>
      <c r="F87" s="4">
        <v>321767900004</v>
      </c>
      <c r="G87" s="2" t="s">
        <v>129</v>
      </c>
      <c r="H87" s="7" t="s">
        <v>144</v>
      </c>
      <c r="I87" s="2" t="s">
        <v>204</v>
      </c>
      <c r="J87" s="2" t="s">
        <v>205</v>
      </c>
      <c r="K87" s="2" t="s">
        <v>304</v>
      </c>
      <c r="L87" s="2" t="s">
        <v>206</v>
      </c>
      <c r="M87" s="8" t="str">
        <f>HYPERLINK("http://slimages.macys.com/is/image/MCY/13936000 ")</f>
        <v xml:space="preserve">http://slimages.macys.com/is/image/MCY/13936000 </v>
      </c>
    </row>
    <row r="88" spans="1:13" ht="60" x14ac:dyDescent="0.25">
      <c r="A88" s="7" t="s">
        <v>11358</v>
      </c>
      <c r="B88" s="2" t="s">
        <v>11359</v>
      </c>
      <c r="C88" s="4">
        <v>1</v>
      </c>
      <c r="D88" s="5">
        <v>11.13</v>
      </c>
      <c r="E88" s="5">
        <v>22.99</v>
      </c>
      <c r="F88" s="4" t="s">
        <v>11360</v>
      </c>
      <c r="G88" s="2" t="s">
        <v>353</v>
      </c>
      <c r="H88" s="7" t="s">
        <v>159</v>
      </c>
      <c r="I88" s="2" t="s">
        <v>80</v>
      </c>
      <c r="J88" s="2" t="s">
        <v>160</v>
      </c>
      <c r="K88" s="2" t="s">
        <v>304</v>
      </c>
      <c r="L88" s="2" t="s">
        <v>125</v>
      </c>
      <c r="M88" s="8" t="str">
        <f>HYPERLINK("http://slimages.macys.com/is/image/MCY/12460623 ")</f>
        <v xml:space="preserve">http://slimages.macys.com/is/image/MCY/12460623 </v>
      </c>
    </row>
    <row r="89" spans="1:13" ht="72" x14ac:dyDescent="0.25">
      <c r="A89" s="7" t="s">
        <v>11361</v>
      </c>
      <c r="B89" s="2" t="s">
        <v>11362</v>
      </c>
      <c r="C89" s="4">
        <v>1</v>
      </c>
      <c r="D89" s="5">
        <v>11</v>
      </c>
      <c r="E89" s="5">
        <v>21.99</v>
      </c>
      <c r="F89" s="4" t="s">
        <v>11363</v>
      </c>
      <c r="G89" s="2" t="s">
        <v>653</v>
      </c>
      <c r="H89" s="7" t="s">
        <v>590</v>
      </c>
      <c r="I89" s="2" t="s">
        <v>135</v>
      </c>
      <c r="J89" s="2" t="s">
        <v>258</v>
      </c>
      <c r="K89" s="2" t="s">
        <v>304</v>
      </c>
      <c r="L89" s="2" t="s">
        <v>11364</v>
      </c>
      <c r="M89" s="8" t="str">
        <f>HYPERLINK("http://slimages.macys.com/is/image/MCY/9884213 ")</f>
        <v xml:space="preserve">http://slimages.macys.com/is/image/MCY/9884213 </v>
      </c>
    </row>
    <row r="90" spans="1:13" ht="60" x14ac:dyDescent="0.25">
      <c r="A90" s="7" t="s">
        <v>11365</v>
      </c>
      <c r="B90" s="2" t="s">
        <v>3116</v>
      </c>
      <c r="C90" s="4">
        <v>1</v>
      </c>
      <c r="D90" s="5">
        <v>11</v>
      </c>
      <c r="E90" s="5">
        <v>25</v>
      </c>
      <c r="F90" s="4">
        <v>1354558</v>
      </c>
      <c r="G90" s="2" t="s">
        <v>134</v>
      </c>
      <c r="H90" s="7" t="s">
        <v>159</v>
      </c>
      <c r="I90" s="2" t="s">
        <v>80</v>
      </c>
      <c r="J90" s="2" t="s">
        <v>280</v>
      </c>
      <c r="K90" s="2" t="s">
        <v>304</v>
      </c>
      <c r="L90" s="2" t="s">
        <v>119</v>
      </c>
      <c r="M90" s="8" t="str">
        <f>HYPERLINK("http://slimages.macys.com/is/image/MCY/12282722 ")</f>
        <v xml:space="preserve">http://slimages.macys.com/is/image/MCY/12282722 </v>
      </c>
    </row>
    <row r="91" spans="1:13" ht="60" x14ac:dyDescent="0.25">
      <c r="A91" s="7" t="s">
        <v>9906</v>
      </c>
      <c r="B91" s="2" t="s">
        <v>843</v>
      </c>
      <c r="C91" s="4">
        <v>1</v>
      </c>
      <c r="D91" s="5">
        <v>10.57</v>
      </c>
      <c r="E91" s="5">
        <v>24.99</v>
      </c>
      <c r="F91" s="4" t="s">
        <v>5265</v>
      </c>
      <c r="G91" s="2" t="s">
        <v>36</v>
      </c>
      <c r="H91" s="7" t="s">
        <v>159</v>
      </c>
      <c r="I91" s="2" t="s">
        <v>515</v>
      </c>
      <c r="J91" s="2" t="s">
        <v>827</v>
      </c>
      <c r="K91" s="2" t="s">
        <v>304</v>
      </c>
      <c r="L91" s="2" t="s">
        <v>358</v>
      </c>
      <c r="M91" s="8" t="str">
        <f>HYPERLINK("http://slimages.macys.com/is/image/MCY/12687309 ")</f>
        <v xml:space="preserve">http://slimages.macys.com/is/image/MCY/12687309 </v>
      </c>
    </row>
    <row r="92" spans="1:13" ht="60" x14ac:dyDescent="0.25">
      <c r="A92" s="7" t="s">
        <v>11366</v>
      </c>
      <c r="B92" s="2" t="s">
        <v>11367</v>
      </c>
      <c r="C92" s="4">
        <v>1</v>
      </c>
      <c r="D92" s="5">
        <v>10.5</v>
      </c>
      <c r="E92" s="5">
        <v>21.99</v>
      </c>
      <c r="F92" s="4" t="s">
        <v>11368</v>
      </c>
      <c r="G92" s="2" t="s">
        <v>643</v>
      </c>
      <c r="H92" s="7" t="s">
        <v>68</v>
      </c>
      <c r="I92" s="2" t="s">
        <v>173</v>
      </c>
      <c r="J92" s="2" t="s">
        <v>1967</v>
      </c>
      <c r="K92" s="2" t="s">
        <v>304</v>
      </c>
      <c r="L92" s="2" t="s">
        <v>100</v>
      </c>
      <c r="M92" s="8" t="str">
        <f>HYPERLINK("http://slimages.macys.com/is/image/MCY/8479677 ")</f>
        <v xml:space="preserve">http://slimages.macys.com/is/image/MCY/8479677 </v>
      </c>
    </row>
    <row r="93" spans="1:13" ht="60" x14ac:dyDescent="0.25">
      <c r="A93" s="7" t="s">
        <v>11369</v>
      </c>
      <c r="B93" s="2" t="s">
        <v>5876</v>
      </c>
      <c r="C93" s="4">
        <v>1</v>
      </c>
      <c r="D93" s="5">
        <v>10.5</v>
      </c>
      <c r="E93" s="5">
        <v>22.99</v>
      </c>
      <c r="F93" s="4" t="s">
        <v>3135</v>
      </c>
      <c r="G93" s="2" t="s">
        <v>79</v>
      </c>
      <c r="H93" s="7" t="s">
        <v>63</v>
      </c>
      <c r="I93" s="2" t="s">
        <v>173</v>
      </c>
      <c r="J93" s="2" t="s">
        <v>1967</v>
      </c>
      <c r="K93" s="2" t="s">
        <v>304</v>
      </c>
      <c r="L93" s="2" t="s">
        <v>100</v>
      </c>
      <c r="M93" s="8" t="str">
        <f>HYPERLINK("http://slimages.macys.com/is/image/MCY/1632702 ")</f>
        <v xml:space="preserve">http://slimages.macys.com/is/image/MCY/1632702 </v>
      </c>
    </row>
    <row r="94" spans="1:13" ht="60" x14ac:dyDescent="0.25">
      <c r="A94" s="7" t="s">
        <v>11370</v>
      </c>
      <c r="B94" s="2" t="s">
        <v>5876</v>
      </c>
      <c r="C94" s="4">
        <v>2</v>
      </c>
      <c r="D94" s="5">
        <v>10.5</v>
      </c>
      <c r="E94" s="5">
        <v>22.99</v>
      </c>
      <c r="F94" s="4" t="s">
        <v>3135</v>
      </c>
      <c r="G94" s="2" t="s">
        <v>79</v>
      </c>
      <c r="H94" s="7" t="s">
        <v>311</v>
      </c>
      <c r="I94" s="2" t="s">
        <v>173</v>
      </c>
      <c r="J94" s="2" t="s">
        <v>1967</v>
      </c>
      <c r="K94" s="2" t="s">
        <v>304</v>
      </c>
      <c r="L94" s="2" t="s">
        <v>100</v>
      </c>
      <c r="M94" s="8" t="str">
        <f>HYPERLINK("http://slimages.macys.com/is/image/MCY/1632702 ")</f>
        <v xml:space="preserve">http://slimages.macys.com/is/image/MCY/1632702 </v>
      </c>
    </row>
    <row r="95" spans="1:13" ht="60" x14ac:dyDescent="0.25">
      <c r="A95" s="7" t="s">
        <v>5874</v>
      </c>
      <c r="B95" s="2" t="s">
        <v>255</v>
      </c>
      <c r="C95" s="4">
        <v>1</v>
      </c>
      <c r="D95" s="5">
        <v>10.5</v>
      </c>
      <c r="E95" s="5">
        <v>24.99</v>
      </c>
      <c r="F95" s="4" t="s">
        <v>256</v>
      </c>
      <c r="G95" s="2" t="s">
        <v>262</v>
      </c>
      <c r="H95" s="7" t="s">
        <v>172</v>
      </c>
      <c r="I95" s="2" t="s">
        <v>257</v>
      </c>
      <c r="J95" s="2" t="s">
        <v>258</v>
      </c>
      <c r="K95" s="2" t="s">
        <v>304</v>
      </c>
      <c r="L95" s="2" t="s">
        <v>206</v>
      </c>
      <c r="M95" s="8" t="str">
        <f>HYPERLINK("http://slimages.macys.com/is/image/MCY/11722983 ")</f>
        <v xml:space="preserve">http://slimages.macys.com/is/image/MCY/11722983 </v>
      </c>
    </row>
    <row r="96" spans="1:13" ht="60" x14ac:dyDescent="0.25">
      <c r="A96" s="7" t="s">
        <v>6776</v>
      </c>
      <c r="B96" s="2" t="s">
        <v>255</v>
      </c>
      <c r="C96" s="4">
        <v>1</v>
      </c>
      <c r="D96" s="5">
        <v>10.5</v>
      </c>
      <c r="E96" s="5">
        <v>24.99</v>
      </c>
      <c r="F96" s="4" t="s">
        <v>256</v>
      </c>
      <c r="G96" s="2" t="s">
        <v>262</v>
      </c>
      <c r="H96" s="7" t="s">
        <v>97</v>
      </c>
      <c r="I96" s="2" t="s">
        <v>257</v>
      </c>
      <c r="J96" s="2" t="s">
        <v>258</v>
      </c>
      <c r="K96" s="2" t="s">
        <v>304</v>
      </c>
      <c r="L96" s="2" t="s">
        <v>206</v>
      </c>
      <c r="M96" s="8" t="str">
        <f>HYPERLINK("http://slimages.macys.com/is/image/MCY/11722983 ")</f>
        <v xml:space="preserve">http://slimages.macys.com/is/image/MCY/11722983 </v>
      </c>
    </row>
    <row r="97" spans="1:13" ht="72" x14ac:dyDescent="0.25">
      <c r="A97" s="7" t="s">
        <v>8718</v>
      </c>
      <c r="B97" s="2" t="s">
        <v>8719</v>
      </c>
      <c r="C97" s="4">
        <v>1</v>
      </c>
      <c r="D97" s="5">
        <v>10.5</v>
      </c>
      <c r="E97" s="5">
        <v>19.989999999999998</v>
      </c>
      <c r="F97" s="4" t="s">
        <v>8720</v>
      </c>
      <c r="G97" s="2" t="s">
        <v>667</v>
      </c>
      <c r="H97" s="7" t="s">
        <v>442</v>
      </c>
      <c r="I97" s="2" t="s">
        <v>92</v>
      </c>
      <c r="J97" s="2" t="s">
        <v>778</v>
      </c>
      <c r="K97" s="2" t="s">
        <v>304</v>
      </c>
      <c r="L97" s="2" t="s">
        <v>8721</v>
      </c>
      <c r="M97" s="8" t="str">
        <f>HYPERLINK("http://slimages.macys.com/is/image/MCY/12953521 ")</f>
        <v xml:space="preserve">http://slimages.macys.com/is/image/MCY/12953521 </v>
      </c>
    </row>
    <row r="98" spans="1:13" ht="72" x14ac:dyDescent="0.25">
      <c r="A98" s="7" t="s">
        <v>11371</v>
      </c>
      <c r="B98" s="2" t="s">
        <v>11372</v>
      </c>
      <c r="C98" s="4">
        <v>1</v>
      </c>
      <c r="D98" s="5">
        <v>10.4</v>
      </c>
      <c r="E98" s="5">
        <v>24.99</v>
      </c>
      <c r="F98" s="4" t="s">
        <v>11373</v>
      </c>
      <c r="G98" s="2" t="s">
        <v>103</v>
      </c>
      <c r="H98" s="7" t="s">
        <v>514</v>
      </c>
      <c r="I98" s="2" t="s">
        <v>1689</v>
      </c>
      <c r="J98" s="2" t="s">
        <v>354</v>
      </c>
      <c r="K98" s="2" t="s">
        <v>304</v>
      </c>
      <c r="L98" s="2" t="s">
        <v>6118</v>
      </c>
      <c r="M98" s="8" t="str">
        <f>HYPERLINK("http://slimages.macys.com/is/image/MCY/12938573 ")</f>
        <v xml:space="preserve">http://slimages.macys.com/is/image/MCY/12938573 </v>
      </c>
    </row>
    <row r="99" spans="1:13" ht="60" x14ac:dyDescent="0.25">
      <c r="A99" s="7" t="s">
        <v>11374</v>
      </c>
      <c r="B99" s="2" t="s">
        <v>11375</v>
      </c>
      <c r="C99" s="4">
        <v>1</v>
      </c>
      <c r="D99" s="5">
        <v>10.3</v>
      </c>
      <c r="E99" s="5">
        <v>25.05</v>
      </c>
      <c r="F99" s="4">
        <v>18010111</v>
      </c>
      <c r="G99" s="2"/>
      <c r="H99" s="7" t="s">
        <v>438</v>
      </c>
      <c r="I99" s="2" t="s">
        <v>153</v>
      </c>
      <c r="J99" s="2" t="s">
        <v>3580</v>
      </c>
      <c r="K99" s="2" t="s">
        <v>304</v>
      </c>
      <c r="L99" s="2" t="s">
        <v>38</v>
      </c>
      <c r="M99" s="8" t="str">
        <f>HYPERLINK("http://slimages.macys.com/is/image/MCY/13852850 ")</f>
        <v xml:space="preserve">http://slimages.macys.com/is/image/MCY/13852850 </v>
      </c>
    </row>
    <row r="100" spans="1:13" ht="60" x14ac:dyDescent="0.25">
      <c r="A100" s="7" t="s">
        <v>11376</v>
      </c>
      <c r="B100" s="2" t="s">
        <v>3852</v>
      </c>
      <c r="C100" s="4">
        <v>1</v>
      </c>
      <c r="D100" s="5">
        <v>10.3</v>
      </c>
      <c r="E100" s="5">
        <v>25.05</v>
      </c>
      <c r="F100" s="4">
        <v>17986411</v>
      </c>
      <c r="G100" s="2"/>
      <c r="H100" s="7" t="s">
        <v>42</v>
      </c>
      <c r="I100" s="2" t="s">
        <v>153</v>
      </c>
      <c r="J100" s="2" t="s">
        <v>3580</v>
      </c>
      <c r="K100" s="2" t="s">
        <v>304</v>
      </c>
      <c r="L100" s="2" t="s">
        <v>206</v>
      </c>
      <c r="M100" s="8" t="str">
        <f>HYPERLINK("http://slimages.macys.com/is/image/MCY/13852926 ")</f>
        <v xml:space="preserve">http://slimages.macys.com/is/image/MCY/13852926 </v>
      </c>
    </row>
    <row r="101" spans="1:13" ht="60" x14ac:dyDescent="0.25">
      <c r="A101" s="7" t="s">
        <v>8734</v>
      </c>
      <c r="B101" s="2" t="s">
        <v>8735</v>
      </c>
      <c r="C101" s="4">
        <v>1</v>
      </c>
      <c r="D101" s="5">
        <v>10.25</v>
      </c>
      <c r="E101" s="5">
        <v>28.99</v>
      </c>
      <c r="F101" s="4" t="s">
        <v>8736</v>
      </c>
      <c r="G101" s="2" t="s">
        <v>310</v>
      </c>
      <c r="H101" s="7" t="s">
        <v>618</v>
      </c>
      <c r="I101" s="2" t="s">
        <v>312</v>
      </c>
      <c r="J101" s="2" t="s">
        <v>313</v>
      </c>
      <c r="K101" s="2" t="s">
        <v>304</v>
      </c>
      <c r="L101" s="2" t="s">
        <v>38</v>
      </c>
      <c r="M101" s="8" t="str">
        <f>HYPERLINK("http://slimages.macys.com/is/image/MCY/12291177 ")</f>
        <v xml:space="preserve">http://slimages.macys.com/is/image/MCY/12291177 </v>
      </c>
    </row>
    <row r="102" spans="1:13" ht="108" x14ac:dyDescent="0.25">
      <c r="A102" s="7" t="s">
        <v>11377</v>
      </c>
      <c r="B102" s="2" t="s">
        <v>11378</v>
      </c>
      <c r="C102" s="4">
        <v>1</v>
      </c>
      <c r="D102" s="5">
        <v>10.199999999999999</v>
      </c>
      <c r="E102" s="5">
        <v>21.99</v>
      </c>
      <c r="F102" s="4" t="s">
        <v>11379</v>
      </c>
      <c r="G102" s="2" t="s">
        <v>283</v>
      </c>
      <c r="H102" s="7" t="s">
        <v>91</v>
      </c>
      <c r="I102" s="2" t="s">
        <v>92</v>
      </c>
      <c r="J102" s="2" t="s">
        <v>778</v>
      </c>
      <c r="K102" s="2" t="s">
        <v>304</v>
      </c>
      <c r="L102" s="2" t="s">
        <v>2532</v>
      </c>
      <c r="M102" s="8" t="str">
        <f>HYPERLINK("http://slimages.macys.com/is/image/MCY/12735229 ")</f>
        <v xml:space="preserve">http://slimages.macys.com/is/image/MCY/12735229 </v>
      </c>
    </row>
    <row r="103" spans="1:13" ht="120" x14ac:dyDescent="0.25">
      <c r="A103" s="7" t="s">
        <v>11380</v>
      </c>
      <c r="B103" s="2" t="s">
        <v>11381</v>
      </c>
      <c r="C103" s="4">
        <v>1</v>
      </c>
      <c r="D103" s="5">
        <v>10.199999999999999</v>
      </c>
      <c r="E103" s="5">
        <v>21.99</v>
      </c>
      <c r="F103" s="4" t="s">
        <v>11382</v>
      </c>
      <c r="G103" s="2" t="s">
        <v>165</v>
      </c>
      <c r="H103" s="7" t="s">
        <v>91</v>
      </c>
      <c r="I103" s="2" t="s">
        <v>92</v>
      </c>
      <c r="J103" s="2" t="s">
        <v>778</v>
      </c>
      <c r="K103" s="2" t="s">
        <v>304</v>
      </c>
      <c r="L103" s="2" t="s">
        <v>11383</v>
      </c>
      <c r="M103" s="8" t="str">
        <f>HYPERLINK("http://slimages.macys.com/is/image/MCY/12672477 ")</f>
        <v xml:space="preserve">http://slimages.macys.com/is/image/MCY/12672477 </v>
      </c>
    </row>
    <row r="104" spans="1:13" ht="60" x14ac:dyDescent="0.25">
      <c r="A104" s="7" t="s">
        <v>11384</v>
      </c>
      <c r="B104" s="2" t="s">
        <v>825</v>
      </c>
      <c r="C104" s="4">
        <v>1</v>
      </c>
      <c r="D104" s="5">
        <v>10.18</v>
      </c>
      <c r="E104" s="5">
        <v>23.99</v>
      </c>
      <c r="F104" s="4" t="s">
        <v>826</v>
      </c>
      <c r="G104" s="2" t="s">
        <v>48</v>
      </c>
      <c r="H104" s="7" t="s">
        <v>284</v>
      </c>
      <c r="I104" s="2" t="s">
        <v>515</v>
      </c>
      <c r="J104" s="2" t="s">
        <v>827</v>
      </c>
      <c r="K104" s="2" t="s">
        <v>304</v>
      </c>
      <c r="L104" s="2" t="s">
        <v>358</v>
      </c>
      <c r="M104" s="8" t="str">
        <f>HYPERLINK("http://slimages.macys.com/is/image/MCY/13121087 ")</f>
        <v xml:space="preserve">http://slimages.macys.com/is/image/MCY/13121087 </v>
      </c>
    </row>
    <row r="105" spans="1:13" ht="60" x14ac:dyDescent="0.25">
      <c r="A105" s="7" t="s">
        <v>4846</v>
      </c>
      <c r="B105" s="2" t="s">
        <v>4847</v>
      </c>
      <c r="C105" s="4">
        <v>1</v>
      </c>
      <c r="D105" s="5">
        <v>10.09</v>
      </c>
      <c r="E105" s="5">
        <v>24.99</v>
      </c>
      <c r="F105" s="4" t="s">
        <v>4848</v>
      </c>
      <c r="G105" s="2" t="s">
        <v>62</v>
      </c>
      <c r="H105" s="7" t="s">
        <v>228</v>
      </c>
      <c r="I105" s="2" t="s">
        <v>218</v>
      </c>
      <c r="J105" s="2" t="s">
        <v>219</v>
      </c>
      <c r="K105" s="2" t="s">
        <v>304</v>
      </c>
      <c r="L105" s="2" t="s">
        <v>119</v>
      </c>
      <c r="M105" s="8" t="str">
        <f>HYPERLINK("http://slimages.macys.com/is/image/MCY/9275149 ")</f>
        <v xml:space="preserve">http://slimages.macys.com/is/image/MCY/9275149 </v>
      </c>
    </row>
    <row r="106" spans="1:13" ht="60" x14ac:dyDescent="0.25">
      <c r="A106" s="7" t="s">
        <v>11385</v>
      </c>
      <c r="B106" s="2" t="s">
        <v>11386</v>
      </c>
      <c r="C106" s="4">
        <v>1</v>
      </c>
      <c r="D106" s="5">
        <v>10.08</v>
      </c>
      <c r="E106" s="5">
        <v>42</v>
      </c>
      <c r="F106" s="4">
        <v>329864</v>
      </c>
      <c r="G106" s="2" t="s">
        <v>297</v>
      </c>
      <c r="H106" s="7" t="s">
        <v>850</v>
      </c>
      <c r="I106" s="2" t="s">
        <v>50</v>
      </c>
      <c r="J106" s="2" t="s">
        <v>5158</v>
      </c>
      <c r="K106" s="2" t="s">
        <v>304</v>
      </c>
      <c r="L106" s="2" t="s">
        <v>328</v>
      </c>
      <c r="M106" s="8" t="str">
        <f>HYPERLINK("http://slimages.macys.com/is/image/MCY/10313248 ")</f>
        <v xml:space="preserve">http://slimages.macys.com/is/image/MCY/10313248 </v>
      </c>
    </row>
    <row r="107" spans="1:13" ht="60" x14ac:dyDescent="0.25">
      <c r="A107" s="7" t="s">
        <v>11387</v>
      </c>
      <c r="B107" s="2" t="s">
        <v>11388</v>
      </c>
      <c r="C107" s="4">
        <v>1</v>
      </c>
      <c r="D107" s="5">
        <v>10</v>
      </c>
      <c r="E107" s="5">
        <v>22.99</v>
      </c>
      <c r="F107" s="4" t="s">
        <v>11389</v>
      </c>
      <c r="G107" s="2" t="s">
        <v>62</v>
      </c>
      <c r="H107" s="7" t="s">
        <v>228</v>
      </c>
      <c r="I107" s="2" t="s">
        <v>80</v>
      </c>
      <c r="J107" s="2" t="s">
        <v>694</v>
      </c>
      <c r="K107" s="2" t="s">
        <v>304</v>
      </c>
      <c r="L107" s="2" t="s">
        <v>125</v>
      </c>
      <c r="M107" s="8" t="str">
        <f>HYPERLINK("http://slimages.macys.com/is/image/MCY/11647406 ")</f>
        <v xml:space="preserve">http://slimages.macys.com/is/image/MCY/11647406 </v>
      </c>
    </row>
    <row r="108" spans="1:13" ht="60" x14ac:dyDescent="0.25">
      <c r="A108" s="7" t="s">
        <v>11390</v>
      </c>
      <c r="B108" s="2" t="s">
        <v>11388</v>
      </c>
      <c r="C108" s="4">
        <v>1</v>
      </c>
      <c r="D108" s="5">
        <v>10</v>
      </c>
      <c r="E108" s="5">
        <v>22.99</v>
      </c>
      <c r="F108" s="4" t="s">
        <v>11389</v>
      </c>
      <c r="G108" s="2" t="s">
        <v>86</v>
      </c>
      <c r="H108" s="7" t="s">
        <v>217</v>
      </c>
      <c r="I108" s="2" t="s">
        <v>80</v>
      </c>
      <c r="J108" s="2" t="s">
        <v>694</v>
      </c>
      <c r="K108" s="2" t="s">
        <v>304</v>
      </c>
      <c r="L108" s="2" t="s">
        <v>125</v>
      </c>
      <c r="M108" s="8" t="str">
        <f>HYPERLINK("http://slimages.macys.com/is/image/MCY/11647406 ")</f>
        <v xml:space="preserve">http://slimages.macys.com/is/image/MCY/11647406 </v>
      </c>
    </row>
    <row r="109" spans="1:13" ht="60" x14ac:dyDescent="0.25">
      <c r="A109" s="7" t="s">
        <v>11391</v>
      </c>
      <c r="B109" s="2" t="s">
        <v>11392</v>
      </c>
      <c r="C109" s="4">
        <v>1</v>
      </c>
      <c r="D109" s="5">
        <v>10</v>
      </c>
      <c r="E109" s="5">
        <v>25</v>
      </c>
      <c r="F109" s="4">
        <v>1331688</v>
      </c>
      <c r="G109" s="2" t="s">
        <v>134</v>
      </c>
      <c r="H109" s="7" t="s">
        <v>217</v>
      </c>
      <c r="I109" s="2" t="s">
        <v>80</v>
      </c>
      <c r="J109" s="2" t="s">
        <v>280</v>
      </c>
      <c r="K109" s="2" t="s">
        <v>304</v>
      </c>
      <c r="L109" s="2" t="s">
        <v>125</v>
      </c>
      <c r="M109" s="8" t="str">
        <f>HYPERLINK("http://slimages.macys.com/is/image/MCY/10029318 ")</f>
        <v xml:space="preserve">http://slimages.macys.com/is/image/MCY/10029318 </v>
      </c>
    </row>
    <row r="110" spans="1:13" ht="60" x14ac:dyDescent="0.25">
      <c r="A110" s="7" t="s">
        <v>11393</v>
      </c>
      <c r="B110" s="2" t="s">
        <v>11394</v>
      </c>
      <c r="C110" s="4">
        <v>1</v>
      </c>
      <c r="D110" s="5">
        <v>9.86</v>
      </c>
      <c r="E110" s="5">
        <v>29.99</v>
      </c>
      <c r="F110" s="4" t="s">
        <v>11395</v>
      </c>
      <c r="G110" s="2" t="s">
        <v>86</v>
      </c>
      <c r="H110" s="7" t="s">
        <v>177</v>
      </c>
      <c r="I110" s="2" t="s">
        <v>389</v>
      </c>
      <c r="J110" s="2" t="s">
        <v>354</v>
      </c>
      <c r="K110" s="2" t="s">
        <v>304</v>
      </c>
      <c r="L110" s="2" t="s">
        <v>596</v>
      </c>
      <c r="M110" s="8" t="str">
        <f>HYPERLINK("http://slimages.macys.com/is/image/MCY/12000835 ")</f>
        <v xml:space="preserve">http://slimages.macys.com/is/image/MCY/12000835 </v>
      </c>
    </row>
    <row r="111" spans="1:13" ht="60" x14ac:dyDescent="0.25">
      <c r="A111" s="7" t="s">
        <v>11396</v>
      </c>
      <c r="B111" s="2" t="s">
        <v>11397</v>
      </c>
      <c r="C111" s="4">
        <v>1</v>
      </c>
      <c r="D111" s="5">
        <v>9.86</v>
      </c>
      <c r="E111" s="5">
        <v>29.99</v>
      </c>
      <c r="F111" s="4" t="s">
        <v>11398</v>
      </c>
      <c r="G111" s="2" t="s">
        <v>582</v>
      </c>
      <c r="H111" s="7" t="s">
        <v>166</v>
      </c>
      <c r="I111" s="2" t="s">
        <v>389</v>
      </c>
      <c r="J111" s="2" t="s">
        <v>354</v>
      </c>
      <c r="K111" s="2" t="s">
        <v>304</v>
      </c>
      <c r="L111" s="2" t="s">
        <v>100</v>
      </c>
      <c r="M111" s="8" t="str">
        <f>HYPERLINK("http://slimages.macys.com/is/image/MCY/12000838 ")</f>
        <v xml:space="preserve">http://slimages.macys.com/is/image/MCY/12000838 </v>
      </c>
    </row>
    <row r="112" spans="1:13" ht="60" x14ac:dyDescent="0.25">
      <c r="A112" s="7" t="s">
        <v>11399</v>
      </c>
      <c r="B112" s="2" t="s">
        <v>11400</v>
      </c>
      <c r="C112" s="4">
        <v>1</v>
      </c>
      <c r="D112" s="5">
        <v>9.75</v>
      </c>
      <c r="E112" s="5">
        <v>22.41</v>
      </c>
      <c r="F112" s="4">
        <v>15944410</v>
      </c>
      <c r="G112" s="2"/>
      <c r="H112" s="7" t="s">
        <v>91</v>
      </c>
      <c r="I112" s="2" t="s">
        <v>153</v>
      </c>
      <c r="J112" s="2" t="s">
        <v>3580</v>
      </c>
      <c r="K112" s="2" t="s">
        <v>304</v>
      </c>
      <c r="L112" s="2" t="s">
        <v>206</v>
      </c>
      <c r="M112" s="8" t="str">
        <f>HYPERLINK("http://slimages.macys.com/is/image/MCY/11387661 ")</f>
        <v xml:space="preserve">http://slimages.macys.com/is/image/MCY/11387661 </v>
      </c>
    </row>
    <row r="113" spans="1:13" ht="72" x14ac:dyDescent="0.25">
      <c r="A113" s="7" t="s">
        <v>11401</v>
      </c>
      <c r="B113" s="2" t="s">
        <v>11402</v>
      </c>
      <c r="C113" s="4">
        <v>2</v>
      </c>
      <c r="D113" s="5">
        <v>9.75</v>
      </c>
      <c r="E113" s="5">
        <v>24.99</v>
      </c>
      <c r="F113" s="4" t="s">
        <v>11403</v>
      </c>
      <c r="G113" s="2" t="s">
        <v>86</v>
      </c>
      <c r="H113" s="7" t="s">
        <v>248</v>
      </c>
      <c r="I113" s="2" t="s">
        <v>321</v>
      </c>
      <c r="J113" s="2" t="s">
        <v>8764</v>
      </c>
      <c r="K113" s="2" t="s">
        <v>304</v>
      </c>
      <c r="L113" s="2" t="s">
        <v>1117</v>
      </c>
      <c r="M113" s="8" t="str">
        <f>HYPERLINK("http://slimages.macys.com/is/image/MCY/11724594 ")</f>
        <v xml:space="preserve">http://slimages.macys.com/is/image/MCY/11724594 </v>
      </c>
    </row>
    <row r="114" spans="1:13" ht="84" x14ac:dyDescent="0.25">
      <c r="A114" s="7" t="s">
        <v>11404</v>
      </c>
      <c r="B114" s="2" t="s">
        <v>8193</v>
      </c>
      <c r="C114" s="4">
        <v>1</v>
      </c>
      <c r="D114" s="5">
        <v>9.75</v>
      </c>
      <c r="E114" s="5">
        <v>24.99</v>
      </c>
      <c r="F114" s="4" t="s">
        <v>8194</v>
      </c>
      <c r="G114" s="2" t="s">
        <v>28</v>
      </c>
      <c r="H114" s="7" t="s">
        <v>166</v>
      </c>
      <c r="I114" s="2" t="s">
        <v>321</v>
      </c>
      <c r="J114" s="2" t="s">
        <v>1631</v>
      </c>
      <c r="K114" s="2" t="s">
        <v>304</v>
      </c>
      <c r="L114" s="2" t="s">
        <v>1516</v>
      </c>
      <c r="M114" s="8" t="str">
        <f>HYPERLINK("http://slimages.macys.com/is/image/MCY/11545033 ")</f>
        <v xml:space="preserve">http://slimages.macys.com/is/image/MCY/11545033 </v>
      </c>
    </row>
    <row r="115" spans="1:13" ht="84" x14ac:dyDescent="0.25">
      <c r="A115" s="7" t="s">
        <v>11405</v>
      </c>
      <c r="B115" s="2" t="s">
        <v>9930</v>
      </c>
      <c r="C115" s="4">
        <v>2</v>
      </c>
      <c r="D115" s="5">
        <v>9.75</v>
      </c>
      <c r="E115" s="5">
        <v>24.99</v>
      </c>
      <c r="F115" s="4" t="s">
        <v>9931</v>
      </c>
      <c r="G115" s="2" t="s">
        <v>814</v>
      </c>
      <c r="H115" s="7" t="s">
        <v>248</v>
      </c>
      <c r="I115" s="2" t="s">
        <v>321</v>
      </c>
      <c r="J115" s="2" t="s">
        <v>1631</v>
      </c>
      <c r="K115" s="2" t="s">
        <v>304</v>
      </c>
      <c r="L115" s="2" t="s">
        <v>9932</v>
      </c>
      <c r="M115" s="8" t="str">
        <f>HYPERLINK("http://slimages.macys.com/is/image/MCY/11545159 ")</f>
        <v xml:space="preserve">http://slimages.macys.com/is/image/MCY/11545159 </v>
      </c>
    </row>
    <row r="116" spans="1:13" ht="84" x14ac:dyDescent="0.25">
      <c r="A116" s="7" t="s">
        <v>9929</v>
      </c>
      <c r="B116" s="2" t="s">
        <v>9930</v>
      </c>
      <c r="C116" s="4">
        <v>1</v>
      </c>
      <c r="D116" s="5">
        <v>9.75</v>
      </c>
      <c r="E116" s="5">
        <v>24.99</v>
      </c>
      <c r="F116" s="4" t="s">
        <v>9931</v>
      </c>
      <c r="G116" s="2" t="s">
        <v>814</v>
      </c>
      <c r="H116" s="7" t="s">
        <v>172</v>
      </c>
      <c r="I116" s="2" t="s">
        <v>321</v>
      </c>
      <c r="J116" s="2" t="s">
        <v>1631</v>
      </c>
      <c r="K116" s="2" t="s">
        <v>304</v>
      </c>
      <c r="L116" s="2" t="s">
        <v>9932</v>
      </c>
      <c r="M116" s="8" t="str">
        <f>HYPERLINK("http://slimages.macys.com/is/image/MCY/11545159 ")</f>
        <v xml:space="preserve">http://slimages.macys.com/is/image/MCY/11545159 </v>
      </c>
    </row>
    <row r="117" spans="1:13" ht="84" x14ac:dyDescent="0.25">
      <c r="A117" s="7" t="s">
        <v>11406</v>
      </c>
      <c r="B117" s="2" t="s">
        <v>9930</v>
      </c>
      <c r="C117" s="4">
        <v>1</v>
      </c>
      <c r="D117" s="5">
        <v>9.75</v>
      </c>
      <c r="E117" s="5">
        <v>24.99</v>
      </c>
      <c r="F117" s="4" t="s">
        <v>9931</v>
      </c>
      <c r="G117" s="2" t="s">
        <v>814</v>
      </c>
      <c r="H117" s="7" t="s">
        <v>166</v>
      </c>
      <c r="I117" s="2" t="s">
        <v>321</v>
      </c>
      <c r="J117" s="2" t="s">
        <v>1631</v>
      </c>
      <c r="K117" s="2" t="s">
        <v>304</v>
      </c>
      <c r="L117" s="2" t="s">
        <v>9932</v>
      </c>
      <c r="M117" s="8" t="str">
        <f>HYPERLINK("http://slimages.macys.com/is/image/MCY/11545159 ")</f>
        <v xml:space="preserve">http://slimages.macys.com/is/image/MCY/11545159 </v>
      </c>
    </row>
    <row r="118" spans="1:13" ht="60" x14ac:dyDescent="0.25">
      <c r="A118" s="7" t="s">
        <v>10922</v>
      </c>
      <c r="B118" s="2" t="s">
        <v>4872</v>
      </c>
      <c r="C118" s="4">
        <v>1</v>
      </c>
      <c r="D118" s="5">
        <v>9.6</v>
      </c>
      <c r="E118" s="5">
        <v>23.99</v>
      </c>
      <c r="F118" s="4" t="s">
        <v>4873</v>
      </c>
      <c r="G118" s="2" t="s">
        <v>86</v>
      </c>
      <c r="H118" s="7"/>
      <c r="I118" s="2" t="s">
        <v>173</v>
      </c>
      <c r="J118" s="2" t="s">
        <v>174</v>
      </c>
      <c r="K118" s="2" t="s">
        <v>304</v>
      </c>
      <c r="L118" s="2" t="s">
        <v>2540</v>
      </c>
      <c r="M118" s="8" t="str">
        <f>HYPERLINK("http://slimages.macys.com/is/image/MCY/12726105 ")</f>
        <v xml:space="preserve">http://slimages.macys.com/is/image/MCY/12726105 </v>
      </c>
    </row>
    <row r="119" spans="1:13" ht="60" x14ac:dyDescent="0.25">
      <c r="A119" s="7" t="s">
        <v>11407</v>
      </c>
      <c r="B119" s="2" t="s">
        <v>7405</v>
      </c>
      <c r="C119" s="4">
        <v>1</v>
      </c>
      <c r="D119" s="5">
        <v>9.6</v>
      </c>
      <c r="E119" s="5">
        <v>23.99</v>
      </c>
      <c r="F119" s="4" t="s">
        <v>7406</v>
      </c>
      <c r="G119" s="2" t="s">
        <v>171</v>
      </c>
      <c r="H119" s="7"/>
      <c r="I119" s="2" t="s">
        <v>173</v>
      </c>
      <c r="J119" s="2" t="s">
        <v>174</v>
      </c>
      <c r="K119" s="2" t="s">
        <v>304</v>
      </c>
      <c r="L119" s="2" t="s">
        <v>3223</v>
      </c>
      <c r="M119" s="8" t="str">
        <f>HYPERLINK("http://slimages.macys.com/is/image/MCY/9357273 ")</f>
        <v xml:space="preserve">http://slimages.macys.com/is/image/MCY/9357273 </v>
      </c>
    </row>
    <row r="120" spans="1:13" ht="60" x14ac:dyDescent="0.25">
      <c r="A120" s="7" t="s">
        <v>11408</v>
      </c>
      <c r="B120" s="2" t="s">
        <v>3219</v>
      </c>
      <c r="C120" s="4">
        <v>1</v>
      </c>
      <c r="D120" s="5">
        <v>9.6</v>
      </c>
      <c r="E120" s="5">
        <v>23.99</v>
      </c>
      <c r="F120" s="4" t="s">
        <v>3874</v>
      </c>
      <c r="G120" s="2" t="s">
        <v>41</v>
      </c>
      <c r="H120" s="7" t="s">
        <v>177</v>
      </c>
      <c r="I120" s="2" t="s">
        <v>173</v>
      </c>
      <c r="J120" s="2" t="s">
        <v>174</v>
      </c>
      <c r="K120" s="2" t="s">
        <v>304</v>
      </c>
      <c r="L120" s="2" t="s">
        <v>2540</v>
      </c>
      <c r="M120" s="8" t="str">
        <f>HYPERLINK("http://slimages.macys.com/is/image/MCY/12726096 ")</f>
        <v xml:space="preserve">http://slimages.macys.com/is/image/MCY/12726096 </v>
      </c>
    </row>
    <row r="121" spans="1:13" ht="60" x14ac:dyDescent="0.25">
      <c r="A121" s="7" t="s">
        <v>1632</v>
      </c>
      <c r="B121" s="2" t="s">
        <v>1633</v>
      </c>
      <c r="C121" s="4">
        <v>2</v>
      </c>
      <c r="D121" s="5">
        <v>9.5299999999999994</v>
      </c>
      <c r="E121" s="5">
        <v>22.99</v>
      </c>
      <c r="F121" s="4" t="s">
        <v>1634</v>
      </c>
      <c r="G121" s="2" t="s">
        <v>28</v>
      </c>
      <c r="H121" s="7" t="s">
        <v>217</v>
      </c>
      <c r="I121" s="2" t="s">
        <v>292</v>
      </c>
      <c r="J121" s="2" t="s">
        <v>293</v>
      </c>
      <c r="K121" s="2" t="s">
        <v>304</v>
      </c>
      <c r="L121" s="2" t="s">
        <v>206</v>
      </c>
      <c r="M121" s="8" t="str">
        <f>HYPERLINK("http://slimages.macys.com/is/image/MCY/11776336 ")</f>
        <v xml:space="preserve">http://slimages.macys.com/is/image/MCY/11776336 </v>
      </c>
    </row>
    <row r="122" spans="1:13" ht="60" x14ac:dyDescent="0.25">
      <c r="A122" s="7" t="s">
        <v>11409</v>
      </c>
      <c r="B122" s="2" t="s">
        <v>11410</v>
      </c>
      <c r="C122" s="4">
        <v>1</v>
      </c>
      <c r="D122" s="5">
        <v>9.5299999999999994</v>
      </c>
      <c r="E122" s="5">
        <v>29.99</v>
      </c>
      <c r="F122" s="4" t="s">
        <v>11411</v>
      </c>
      <c r="G122" s="2" t="s">
        <v>134</v>
      </c>
      <c r="H122" s="7" t="s">
        <v>228</v>
      </c>
      <c r="I122" s="2" t="s">
        <v>218</v>
      </c>
      <c r="J122" s="2" t="s">
        <v>1740</v>
      </c>
      <c r="K122" s="2" t="s">
        <v>304</v>
      </c>
      <c r="L122" s="2" t="s">
        <v>119</v>
      </c>
      <c r="M122" s="8" t="str">
        <f>HYPERLINK("http://slimages.macys.com/is/image/MCY/11952674 ")</f>
        <v xml:space="preserve">http://slimages.macys.com/is/image/MCY/11952674 </v>
      </c>
    </row>
    <row r="123" spans="1:13" ht="60" x14ac:dyDescent="0.25">
      <c r="A123" s="7" t="s">
        <v>11412</v>
      </c>
      <c r="B123" s="2" t="s">
        <v>6799</v>
      </c>
      <c r="C123" s="4">
        <v>1</v>
      </c>
      <c r="D123" s="5">
        <v>9.5</v>
      </c>
      <c r="E123" s="5">
        <v>22.99</v>
      </c>
      <c r="F123" s="4" t="s">
        <v>3190</v>
      </c>
      <c r="G123" s="2" t="s">
        <v>62</v>
      </c>
      <c r="H123" s="7" t="s">
        <v>166</v>
      </c>
      <c r="I123" s="2" t="s">
        <v>80</v>
      </c>
      <c r="J123" s="2" t="s">
        <v>124</v>
      </c>
      <c r="K123" s="2" t="s">
        <v>304</v>
      </c>
      <c r="L123" s="2" t="s">
        <v>125</v>
      </c>
      <c r="M123" s="8" t="str">
        <f>HYPERLINK("http://slimages.macys.com/is/image/MCY/8271019 ")</f>
        <v xml:space="preserve">http://slimages.macys.com/is/image/MCY/8271019 </v>
      </c>
    </row>
    <row r="124" spans="1:13" ht="120" x14ac:dyDescent="0.25">
      <c r="A124" s="7" t="s">
        <v>11413</v>
      </c>
      <c r="B124" s="2" t="s">
        <v>7416</v>
      </c>
      <c r="C124" s="4">
        <v>1</v>
      </c>
      <c r="D124" s="5">
        <v>9.5</v>
      </c>
      <c r="E124" s="5">
        <v>27.99</v>
      </c>
      <c r="F124" s="4" t="s">
        <v>7417</v>
      </c>
      <c r="G124" s="2" t="s">
        <v>1747</v>
      </c>
      <c r="H124" s="7" t="s">
        <v>618</v>
      </c>
      <c r="I124" s="2" t="s">
        <v>380</v>
      </c>
      <c r="J124" s="2" t="s">
        <v>381</v>
      </c>
      <c r="K124" s="2" t="s">
        <v>304</v>
      </c>
      <c r="L124" s="2" t="s">
        <v>4877</v>
      </c>
      <c r="M124" s="8" t="str">
        <f>HYPERLINK("http://slimages.macys.com/is/image/MCY/11644279 ")</f>
        <v xml:space="preserve">http://slimages.macys.com/is/image/MCY/11644279 </v>
      </c>
    </row>
    <row r="125" spans="1:13" ht="60" x14ac:dyDescent="0.25">
      <c r="A125" s="7" t="s">
        <v>11414</v>
      </c>
      <c r="B125" s="2" t="s">
        <v>11415</v>
      </c>
      <c r="C125" s="4">
        <v>1</v>
      </c>
      <c r="D125" s="5">
        <v>9.3000000000000007</v>
      </c>
      <c r="E125" s="5">
        <v>25</v>
      </c>
      <c r="F125" s="4">
        <v>18635410</v>
      </c>
      <c r="G125" s="2" t="s">
        <v>262</v>
      </c>
      <c r="H125" s="7" t="s">
        <v>442</v>
      </c>
      <c r="I125" s="2" t="s">
        <v>153</v>
      </c>
      <c r="J125" s="2" t="s">
        <v>154</v>
      </c>
      <c r="K125" s="2" t="s">
        <v>304</v>
      </c>
      <c r="L125" s="2" t="s">
        <v>206</v>
      </c>
      <c r="M125" s="8" t="str">
        <f>HYPERLINK("http://slimages.macys.com/is/image/MCY/14608271 ")</f>
        <v xml:space="preserve">http://slimages.macys.com/is/image/MCY/14608271 </v>
      </c>
    </row>
    <row r="126" spans="1:13" ht="60" x14ac:dyDescent="0.25">
      <c r="A126" s="7" t="s">
        <v>11416</v>
      </c>
      <c r="B126" s="2" t="s">
        <v>11417</v>
      </c>
      <c r="C126" s="4">
        <v>1</v>
      </c>
      <c r="D126" s="5">
        <v>9.3000000000000007</v>
      </c>
      <c r="E126" s="5">
        <v>15.99</v>
      </c>
      <c r="F126" s="4" t="s">
        <v>11418</v>
      </c>
      <c r="G126" s="2"/>
      <c r="H126" s="7" t="s">
        <v>233</v>
      </c>
      <c r="I126" s="2" t="s">
        <v>153</v>
      </c>
      <c r="J126" s="2" t="s">
        <v>154</v>
      </c>
      <c r="K126" s="2" t="s">
        <v>304</v>
      </c>
      <c r="L126" s="2" t="s">
        <v>206</v>
      </c>
      <c r="M126" s="8" t="str">
        <f>HYPERLINK("http://slimages.macys.com/is/image/MCY/9644607 ")</f>
        <v xml:space="preserve">http://slimages.macys.com/is/image/MCY/9644607 </v>
      </c>
    </row>
    <row r="127" spans="1:13" ht="96" x14ac:dyDescent="0.25">
      <c r="A127" s="7" t="s">
        <v>11419</v>
      </c>
      <c r="B127" s="2" t="s">
        <v>837</v>
      </c>
      <c r="C127" s="4">
        <v>1</v>
      </c>
      <c r="D127" s="5">
        <v>9.25</v>
      </c>
      <c r="E127" s="5">
        <v>18.5</v>
      </c>
      <c r="F127" s="4" t="s">
        <v>11420</v>
      </c>
      <c r="G127" s="2" t="s">
        <v>657</v>
      </c>
      <c r="H127" s="7" t="s">
        <v>144</v>
      </c>
      <c r="I127" s="2" t="s">
        <v>487</v>
      </c>
      <c r="J127" s="2" t="s">
        <v>488</v>
      </c>
      <c r="K127" s="2" t="s">
        <v>304</v>
      </c>
      <c r="L127" s="2" t="s">
        <v>839</v>
      </c>
      <c r="M127" s="8" t="str">
        <f>HYPERLINK("http://slimages.macys.com/is/image/MCY/10321050 ")</f>
        <v xml:space="preserve">http://slimages.macys.com/is/image/MCY/10321050 </v>
      </c>
    </row>
    <row r="128" spans="1:13" ht="72" x14ac:dyDescent="0.25">
      <c r="A128" s="7" t="s">
        <v>9421</v>
      </c>
      <c r="B128" s="2" t="s">
        <v>9416</v>
      </c>
      <c r="C128" s="4">
        <v>1</v>
      </c>
      <c r="D128" s="5">
        <v>9.25</v>
      </c>
      <c r="E128" s="5">
        <v>23.99</v>
      </c>
      <c r="F128" s="4" t="s">
        <v>9417</v>
      </c>
      <c r="G128" s="2" t="s">
        <v>262</v>
      </c>
      <c r="H128" s="7" t="s">
        <v>196</v>
      </c>
      <c r="I128" s="2" t="s">
        <v>342</v>
      </c>
      <c r="J128" s="2" t="s">
        <v>1789</v>
      </c>
      <c r="K128" s="2" t="s">
        <v>304</v>
      </c>
      <c r="L128" s="2" t="s">
        <v>1117</v>
      </c>
      <c r="M128" s="8" t="str">
        <f>HYPERLINK("http://slimages.macys.com/is/image/MCY/12236988 ")</f>
        <v xml:space="preserve">http://slimages.macys.com/is/image/MCY/12236988 </v>
      </c>
    </row>
    <row r="129" spans="1:13" ht="60" x14ac:dyDescent="0.25">
      <c r="A129" s="7" t="s">
        <v>11421</v>
      </c>
      <c r="B129" s="2" t="s">
        <v>11422</v>
      </c>
      <c r="C129" s="4">
        <v>1</v>
      </c>
      <c r="D129" s="5">
        <v>9.1999999999999993</v>
      </c>
      <c r="E129" s="5">
        <v>24.99</v>
      </c>
      <c r="F129" s="4" t="s">
        <v>11423</v>
      </c>
      <c r="G129" s="2" t="s">
        <v>134</v>
      </c>
      <c r="H129" s="7" t="s">
        <v>228</v>
      </c>
      <c r="I129" s="2" t="s">
        <v>218</v>
      </c>
      <c r="J129" s="2" t="s">
        <v>1740</v>
      </c>
      <c r="K129" s="2" t="s">
        <v>304</v>
      </c>
      <c r="L129" s="2" t="s">
        <v>119</v>
      </c>
      <c r="M129" s="8" t="str">
        <f>HYPERLINK("http://slimages.macys.com/is/image/MCY/11526486 ")</f>
        <v xml:space="preserve">http://slimages.macys.com/is/image/MCY/11526486 </v>
      </c>
    </row>
    <row r="130" spans="1:13" ht="60" x14ac:dyDescent="0.25">
      <c r="A130" s="7" t="s">
        <v>11424</v>
      </c>
      <c r="B130" s="2" t="s">
        <v>843</v>
      </c>
      <c r="C130" s="4">
        <v>1</v>
      </c>
      <c r="D130" s="5">
        <v>9.09</v>
      </c>
      <c r="E130" s="5">
        <v>24.99</v>
      </c>
      <c r="F130" s="4" t="s">
        <v>844</v>
      </c>
      <c r="G130" s="2" t="s">
        <v>48</v>
      </c>
      <c r="H130" s="7" t="s">
        <v>514</v>
      </c>
      <c r="I130" s="2" t="s">
        <v>515</v>
      </c>
      <c r="J130" s="2" t="s">
        <v>516</v>
      </c>
      <c r="K130" s="2" t="s">
        <v>304</v>
      </c>
      <c r="L130" s="2" t="s">
        <v>358</v>
      </c>
      <c r="M130" s="8" t="str">
        <f>HYPERLINK("http://slimages.macys.com/is/image/MCY/12953210 ")</f>
        <v xml:space="preserve">http://slimages.macys.com/is/image/MCY/12953210 </v>
      </c>
    </row>
    <row r="131" spans="1:13" ht="60" x14ac:dyDescent="0.25">
      <c r="A131" s="7" t="s">
        <v>7446</v>
      </c>
      <c r="B131" s="2" t="s">
        <v>6205</v>
      </c>
      <c r="C131" s="4">
        <v>1</v>
      </c>
      <c r="D131" s="5">
        <v>9.09</v>
      </c>
      <c r="E131" s="5">
        <v>26.99</v>
      </c>
      <c r="F131" s="4" t="s">
        <v>6206</v>
      </c>
      <c r="G131" s="2" t="s">
        <v>86</v>
      </c>
      <c r="H131" s="7" t="s">
        <v>159</v>
      </c>
      <c r="I131" s="2" t="s">
        <v>389</v>
      </c>
      <c r="J131" s="2" t="s">
        <v>354</v>
      </c>
      <c r="K131" s="2" t="s">
        <v>304</v>
      </c>
      <c r="L131" s="2" t="s">
        <v>6207</v>
      </c>
      <c r="M131" s="8" t="str">
        <f>HYPERLINK("http://slimages.macys.com/is/image/MCY/13079495 ")</f>
        <v xml:space="preserve">http://slimages.macys.com/is/image/MCY/13079495 </v>
      </c>
    </row>
    <row r="132" spans="1:13" ht="60" x14ac:dyDescent="0.25">
      <c r="A132" s="7" t="s">
        <v>5330</v>
      </c>
      <c r="B132" s="2" t="s">
        <v>5331</v>
      </c>
      <c r="C132" s="4">
        <v>1</v>
      </c>
      <c r="D132" s="5">
        <v>9</v>
      </c>
      <c r="E132" s="5">
        <v>17.989999999999998</v>
      </c>
      <c r="F132" s="4" t="s">
        <v>5332</v>
      </c>
      <c r="G132" s="2" t="s">
        <v>653</v>
      </c>
      <c r="H132" s="7"/>
      <c r="I132" s="2" t="s">
        <v>30</v>
      </c>
      <c r="J132" s="2" t="s">
        <v>658</v>
      </c>
      <c r="K132" s="2" t="s">
        <v>304</v>
      </c>
      <c r="L132" s="2" t="s">
        <v>1648</v>
      </c>
      <c r="M132" s="8" t="str">
        <f>HYPERLINK("http://slimages.macys.com/is/image/MCY/11686738 ")</f>
        <v xml:space="preserve">http://slimages.macys.com/is/image/MCY/11686738 </v>
      </c>
    </row>
    <row r="133" spans="1:13" ht="60" x14ac:dyDescent="0.25">
      <c r="A133" s="7" t="s">
        <v>11425</v>
      </c>
      <c r="B133" s="2" t="s">
        <v>11426</v>
      </c>
      <c r="C133" s="4">
        <v>1</v>
      </c>
      <c r="D133" s="5">
        <v>9</v>
      </c>
      <c r="E133" s="5">
        <v>19.989999999999998</v>
      </c>
      <c r="F133" s="4" t="s">
        <v>11427</v>
      </c>
      <c r="G133" s="2" t="s">
        <v>253</v>
      </c>
      <c r="H133" s="7"/>
      <c r="I133" s="2" t="s">
        <v>30</v>
      </c>
      <c r="J133" s="2" t="s">
        <v>658</v>
      </c>
      <c r="K133" s="2" t="s">
        <v>304</v>
      </c>
      <c r="L133" s="2" t="s">
        <v>1648</v>
      </c>
      <c r="M133" s="8" t="str">
        <f>HYPERLINK("http://slimages.macys.com/is/image/MCY/10276081 ")</f>
        <v xml:space="preserve">http://slimages.macys.com/is/image/MCY/10276081 </v>
      </c>
    </row>
    <row r="134" spans="1:13" ht="132" x14ac:dyDescent="0.25">
      <c r="A134" s="7" t="s">
        <v>2541</v>
      </c>
      <c r="B134" s="2" t="s">
        <v>2542</v>
      </c>
      <c r="C134" s="4">
        <v>1</v>
      </c>
      <c r="D134" s="5">
        <v>9</v>
      </c>
      <c r="E134" s="5">
        <v>21.99</v>
      </c>
      <c r="F134" s="4" t="s">
        <v>2543</v>
      </c>
      <c r="G134" s="2" t="s">
        <v>36</v>
      </c>
      <c r="H134" s="7" t="s">
        <v>144</v>
      </c>
      <c r="I134" s="2" t="s">
        <v>342</v>
      </c>
      <c r="J134" s="2" t="s">
        <v>343</v>
      </c>
      <c r="K134" s="2" t="s">
        <v>304</v>
      </c>
      <c r="L134" s="2" t="s">
        <v>2544</v>
      </c>
      <c r="M134" s="8" t="str">
        <f>HYPERLINK("http://slimages.macys.com/is/image/MCY/12237684 ")</f>
        <v xml:space="preserve">http://slimages.macys.com/is/image/MCY/12237684 </v>
      </c>
    </row>
    <row r="135" spans="1:13" ht="60" x14ac:dyDescent="0.25">
      <c r="A135" s="7" t="s">
        <v>11428</v>
      </c>
      <c r="B135" s="2" t="s">
        <v>11429</v>
      </c>
      <c r="C135" s="4">
        <v>1</v>
      </c>
      <c r="D135" s="5">
        <v>9</v>
      </c>
      <c r="E135" s="5">
        <v>19.989999999999998</v>
      </c>
      <c r="F135" s="4" t="s">
        <v>11430</v>
      </c>
      <c r="G135" s="2" t="s">
        <v>62</v>
      </c>
      <c r="H135" s="7" t="s">
        <v>284</v>
      </c>
      <c r="I135" s="2" t="s">
        <v>80</v>
      </c>
      <c r="J135" s="2" t="s">
        <v>694</v>
      </c>
      <c r="K135" s="2" t="s">
        <v>304</v>
      </c>
      <c r="L135" s="2" t="s">
        <v>206</v>
      </c>
      <c r="M135" s="8" t="str">
        <f>HYPERLINK("http://slimages.macys.com/is/image/MCY/12076549 ")</f>
        <v xml:space="preserve">http://slimages.macys.com/is/image/MCY/12076549 </v>
      </c>
    </row>
    <row r="136" spans="1:13" ht="60" x14ac:dyDescent="0.25">
      <c r="A136" s="7" t="s">
        <v>11431</v>
      </c>
      <c r="B136" s="2" t="s">
        <v>11429</v>
      </c>
      <c r="C136" s="4">
        <v>1</v>
      </c>
      <c r="D136" s="5">
        <v>9</v>
      </c>
      <c r="E136" s="5">
        <v>19.989999999999998</v>
      </c>
      <c r="F136" s="4" t="s">
        <v>11430</v>
      </c>
      <c r="G136" s="2" t="s">
        <v>62</v>
      </c>
      <c r="H136" s="7" t="s">
        <v>217</v>
      </c>
      <c r="I136" s="2" t="s">
        <v>80</v>
      </c>
      <c r="J136" s="2" t="s">
        <v>694</v>
      </c>
      <c r="K136" s="2" t="s">
        <v>304</v>
      </c>
      <c r="L136" s="2" t="s">
        <v>206</v>
      </c>
      <c r="M136" s="8" t="str">
        <f>HYPERLINK("http://slimages.macys.com/is/image/MCY/12076549 ")</f>
        <v xml:space="preserve">http://slimages.macys.com/is/image/MCY/12076549 </v>
      </c>
    </row>
    <row r="137" spans="1:13" ht="60" x14ac:dyDescent="0.25">
      <c r="A137" s="7" t="s">
        <v>3218</v>
      </c>
      <c r="B137" s="2" t="s">
        <v>3219</v>
      </c>
      <c r="C137" s="4">
        <v>1</v>
      </c>
      <c r="D137" s="5">
        <v>9</v>
      </c>
      <c r="E137" s="5">
        <v>20.99</v>
      </c>
      <c r="F137" s="4" t="s">
        <v>3220</v>
      </c>
      <c r="G137" s="2" t="s">
        <v>171</v>
      </c>
      <c r="H137" s="7" t="s">
        <v>209</v>
      </c>
      <c r="I137" s="2" t="s">
        <v>173</v>
      </c>
      <c r="J137" s="2" t="s">
        <v>1967</v>
      </c>
      <c r="K137" s="2" t="s">
        <v>304</v>
      </c>
      <c r="L137" s="2" t="s">
        <v>2540</v>
      </c>
      <c r="M137" s="8" t="str">
        <f>HYPERLINK("http://slimages.macys.com/is/image/MCY/12726096 ")</f>
        <v xml:space="preserve">http://slimages.macys.com/is/image/MCY/12726096 </v>
      </c>
    </row>
    <row r="138" spans="1:13" ht="60" x14ac:dyDescent="0.25">
      <c r="A138" s="7" t="s">
        <v>11432</v>
      </c>
      <c r="B138" s="2" t="s">
        <v>11433</v>
      </c>
      <c r="C138" s="4">
        <v>1</v>
      </c>
      <c r="D138" s="5">
        <v>9</v>
      </c>
      <c r="E138" s="5">
        <v>20.99</v>
      </c>
      <c r="F138" s="4" t="s">
        <v>11434</v>
      </c>
      <c r="G138" s="2" t="s">
        <v>171</v>
      </c>
      <c r="H138" s="7" t="s">
        <v>144</v>
      </c>
      <c r="I138" s="2" t="s">
        <v>173</v>
      </c>
      <c r="J138" s="2" t="s">
        <v>1967</v>
      </c>
      <c r="K138" s="2" t="s">
        <v>304</v>
      </c>
      <c r="L138" s="2" t="s">
        <v>206</v>
      </c>
      <c r="M138" s="8" t="str">
        <f>HYPERLINK("http://slimages.macys.com/is/image/MCY/12876679 ")</f>
        <v xml:space="preserve">http://slimages.macys.com/is/image/MCY/12876679 </v>
      </c>
    </row>
    <row r="139" spans="1:13" ht="60" x14ac:dyDescent="0.25">
      <c r="A139" s="7" t="s">
        <v>11435</v>
      </c>
      <c r="B139" s="2" t="s">
        <v>5328</v>
      </c>
      <c r="C139" s="4">
        <v>1</v>
      </c>
      <c r="D139" s="5">
        <v>9</v>
      </c>
      <c r="E139" s="5">
        <v>21.99</v>
      </c>
      <c r="F139" s="4" t="s">
        <v>5329</v>
      </c>
      <c r="G139" s="2" t="s">
        <v>134</v>
      </c>
      <c r="H139" s="7" t="s">
        <v>311</v>
      </c>
      <c r="I139" s="2" t="s">
        <v>342</v>
      </c>
      <c r="J139" s="2" t="s">
        <v>1613</v>
      </c>
      <c r="K139" s="2" t="s">
        <v>304</v>
      </c>
      <c r="L139" s="2" t="s">
        <v>119</v>
      </c>
      <c r="M139" s="8" t="str">
        <f>HYPERLINK("http://slimages.macys.com/is/image/MCY/12237674 ")</f>
        <v xml:space="preserve">http://slimages.macys.com/is/image/MCY/12237674 </v>
      </c>
    </row>
    <row r="140" spans="1:13" ht="180" x14ac:dyDescent="0.25">
      <c r="A140" s="7" t="s">
        <v>11436</v>
      </c>
      <c r="B140" s="2" t="s">
        <v>11437</v>
      </c>
      <c r="C140" s="4">
        <v>2</v>
      </c>
      <c r="D140" s="5">
        <v>9</v>
      </c>
      <c r="E140" s="5">
        <v>22.99</v>
      </c>
      <c r="F140" s="4" t="s">
        <v>11438</v>
      </c>
      <c r="G140" s="2" t="s">
        <v>4019</v>
      </c>
      <c r="H140" s="7" t="s">
        <v>123</v>
      </c>
      <c r="I140" s="2" t="s">
        <v>342</v>
      </c>
      <c r="J140" s="2" t="s">
        <v>1613</v>
      </c>
      <c r="K140" s="2" t="s">
        <v>304</v>
      </c>
      <c r="L140" s="2" t="s">
        <v>11439</v>
      </c>
      <c r="M140" s="8" t="str">
        <f>HYPERLINK("http://slimages.macys.com/is/image/MCY/12832139 ")</f>
        <v xml:space="preserve">http://slimages.macys.com/is/image/MCY/12832139 </v>
      </c>
    </row>
    <row r="141" spans="1:13" ht="60" x14ac:dyDescent="0.25">
      <c r="A141" s="7" t="s">
        <v>11440</v>
      </c>
      <c r="B141" s="2" t="s">
        <v>11441</v>
      </c>
      <c r="C141" s="4">
        <v>1</v>
      </c>
      <c r="D141" s="5">
        <v>9</v>
      </c>
      <c r="E141" s="5">
        <v>19.989999999999998</v>
      </c>
      <c r="F141" s="4" t="s">
        <v>11442</v>
      </c>
      <c r="G141" s="2" t="s">
        <v>62</v>
      </c>
      <c r="H141" s="7" t="s">
        <v>531</v>
      </c>
      <c r="I141" s="2" t="s">
        <v>815</v>
      </c>
      <c r="J141" s="2" t="s">
        <v>3211</v>
      </c>
      <c r="K141" s="2" t="s">
        <v>304</v>
      </c>
      <c r="L141" s="2" t="s">
        <v>125</v>
      </c>
      <c r="M141" s="8" t="str">
        <f>HYPERLINK("http://slimages.macys.com/is/image/MCY/12894851 ")</f>
        <v xml:space="preserve">http://slimages.macys.com/is/image/MCY/12894851 </v>
      </c>
    </row>
    <row r="142" spans="1:13" ht="60" x14ac:dyDescent="0.25">
      <c r="A142" s="7" t="s">
        <v>11443</v>
      </c>
      <c r="B142" s="2" t="s">
        <v>7454</v>
      </c>
      <c r="C142" s="4">
        <v>1</v>
      </c>
      <c r="D142" s="5">
        <v>8.92</v>
      </c>
      <c r="E142" s="5">
        <v>22.99</v>
      </c>
      <c r="F142" s="4" t="s">
        <v>7455</v>
      </c>
      <c r="G142" s="2" t="s">
        <v>582</v>
      </c>
      <c r="H142" s="7" t="s">
        <v>97</v>
      </c>
      <c r="I142" s="2" t="s">
        <v>389</v>
      </c>
      <c r="J142" s="2" t="s">
        <v>354</v>
      </c>
      <c r="K142" s="2" t="s">
        <v>304</v>
      </c>
      <c r="L142" s="2" t="s">
        <v>38</v>
      </c>
      <c r="M142" s="8" t="str">
        <f>HYPERLINK("http://slimages.macys.com/is/image/MCY/11777901 ")</f>
        <v xml:space="preserve">http://slimages.macys.com/is/image/MCY/11777901 </v>
      </c>
    </row>
    <row r="143" spans="1:13" ht="60" x14ac:dyDescent="0.25">
      <c r="A143" s="7" t="s">
        <v>8786</v>
      </c>
      <c r="B143" s="2" t="s">
        <v>6807</v>
      </c>
      <c r="C143" s="4">
        <v>1</v>
      </c>
      <c r="D143" s="5">
        <v>8.92</v>
      </c>
      <c r="E143" s="5">
        <v>22.99</v>
      </c>
      <c r="F143" s="4" t="s">
        <v>6808</v>
      </c>
      <c r="G143" s="2" t="s">
        <v>62</v>
      </c>
      <c r="H143" s="7"/>
      <c r="I143" s="2" t="s">
        <v>389</v>
      </c>
      <c r="J143" s="2" t="s">
        <v>354</v>
      </c>
      <c r="K143" s="2" t="s">
        <v>304</v>
      </c>
      <c r="L143" s="2" t="s">
        <v>38</v>
      </c>
      <c r="M143" s="8" t="str">
        <f>HYPERLINK("http://slimages.macys.com/is/image/MCY/11855480 ")</f>
        <v xml:space="preserve">http://slimages.macys.com/is/image/MCY/11855480 </v>
      </c>
    </row>
    <row r="144" spans="1:13" ht="108" x14ac:dyDescent="0.25">
      <c r="A144" s="7" t="s">
        <v>11444</v>
      </c>
      <c r="B144" s="2" t="s">
        <v>11445</v>
      </c>
      <c r="C144" s="4">
        <v>1</v>
      </c>
      <c r="D144" s="5">
        <v>8.8000000000000007</v>
      </c>
      <c r="E144" s="5">
        <v>15.99</v>
      </c>
      <c r="F144" s="4" t="s">
        <v>11446</v>
      </c>
      <c r="G144" s="2" t="s">
        <v>41</v>
      </c>
      <c r="H144" s="7" t="s">
        <v>482</v>
      </c>
      <c r="I144" s="2" t="s">
        <v>153</v>
      </c>
      <c r="J144" s="2" t="s">
        <v>154</v>
      </c>
      <c r="K144" s="2" t="s">
        <v>304</v>
      </c>
      <c r="L144" s="2" t="s">
        <v>11447</v>
      </c>
      <c r="M144" s="8" t="str">
        <f>HYPERLINK("http://slimages.macys.com/is/image/MCY/9644612 ")</f>
        <v xml:space="preserve">http://slimages.macys.com/is/image/MCY/9644612 </v>
      </c>
    </row>
    <row r="145" spans="1:13" ht="60" x14ac:dyDescent="0.25">
      <c r="A145" s="7" t="s">
        <v>870</v>
      </c>
      <c r="B145" s="2" t="s">
        <v>853</v>
      </c>
      <c r="C145" s="4">
        <v>8</v>
      </c>
      <c r="D145" s="5">
        <v>8.75</v>
      </c>
      <c r="E145" s="5">
        <v>19.989999999999998</v>
      </c>
      <c r="F145" s="4" t="s">
        <v>854</v>
      </c>
      <c r="G145" s="2" t="s">
        <v>858</v>
      </c>
      <c r="H145" s="7"/>
      <c r="I145" s="2" t="s">
        <v>815</v>
      </c>
      <c r="J145" s="2" t="s">
        <v>778</v>
      </c>
      <c r="K145" s="2" t="s">
        <v>304</v>
      </c>
      <c r="L145" s="2" t="s">
        <v>125</v>
      </c>
      <c r="M145" s="8" t="str">
        <f>HYPERLINK("http://slimages.macys.com/is/image/MCY/11724609 ")</f>
        <v xml:space="preserve">http://slimages.macys.com/is/image/MCY/11724609 </v>
      </c>
    </row>
    <row r="146" spans="1:13" ht="60" x14ac:dyDescent="0.25">
      <c r="A146" s="7" t="s">
        <v>865</v>
      </c>
      <c r="B146" s="2" t="s">
        <v>860</v>
      </c>
      <c r="C146" s="4">
        <v>2</v>
      </c>
      <c r="D146" s="5">
        <v>8.75</v>
      </c>
      <c r="E146" s="5">
        <v>19.989999999999998</v>
      </c>
      <c r="F146" s="4" t="s">
        <v>864</v>
      </c>
      <c r="G146" s="2" t="s">
        <v>165</v>
      </c>
      <c r="H146" s="7"/>
      <c r="I146" s="2" t="s">
        <v>815</v>
      </c>
      <c r="J146" s="2" t="s">
        <v>778</v>
      </c>
      <c r="K146" s="2" t="s">
        <v>304</v>
      </c>
      <c r="L146" s="2" t="s">
        <v>125</v>
      </c>
      <c r="M146" s="8" t="str">
        <f>HYPERLINK("http://slimages.macys.com/is/image/MCY/11954929 ")</f>
        <v xml:space="preserve">http://slimages.macys.com/is/image/MCY/11954929 </v>
      </c>
    </row>
    <row r="147" spans="1:13" ht="96" x14ac:dyDescent="0.25">
      <c r="A147" s="7" t="s">
        <v>859</v>
      </c>
      <c r="B147" s="2" t="s">
        <v>860</v>
      </c>
      <c r="C147" s="4">
        <v>1</v>
      </c>
      <c r="D147" s="5">
        <v>8.75</v>
      </c>
      <c r="E147" s="5">
        <v>15.99</v>
      </c>
      <c r="F147" s="4" t="s">
        <v>861</v>
      </c>
      <c r="G147" s="2" t="s">
        <v>28</v>
      </c>
      <c r="H147" s="7"/>
      <c r="I147" s="2" t="s">
        <v>815</v>
      </c>
      <c r="J147" s="2" t="s">
        <v>778</v>
      </c>
      <c r="K147" s="2" t="s">
        <v>304</v>
      </c>
      <c r="L147" s="2" t="s">
        <v>816</v>
      </c>
      <c r="M147" s="8" t="str">
        <f>HYPERLINK("http://slimages.macys.com/is/image/MCY/11234452 ")</f>
        <v xml:space="preserve">http://slimages.macys.com/is/image/MCY/11234452 </v>
      </c>
    </row>
    <row r="148" spans="1:13" ht="60" x14ac:dyDescent="0.25">
      <c r="A148" s="7" t="s">
        <v>862</v>
      </c>
      <c r="B148" s="2" t="s">
        <v>863</v>
      </c>
      <c r="C148" s="4">
        <v>6</v>
      </c>
      <c r="D148" s="5">
        <v>8.75</v>
      </c>
      <c r="E148" s="5">
        <v>19.989999999999998</v>
      </c>
      <c r="F148" s="4" t="s">
        <v>864</v>
      </c>
      <c r="G148" s="2" t="s">
        <v>858</v>
      </c>
      <c r="H148" s="7"/>
      <c r="I148" s="2" t="s">
        <v>815</v>
      </c>
      <c r="J148" s="2" t="s">
        <v>778</v>
      </c>
      <c r="K148" s="2" t="s">
        <v>304</v>
      </c>
      <c r="L148" s="2" t="s">
        <v>125</v>
      </c>
      <c r="M148" s="8" t="str">
        <f>HYPERLINK("http://slimages.macys.com/is/image/MCY/11954929 ")</f>
        <v xml:space="preserve">http://slimages.macys.com/is/image/MCY/11954929 </v>
      </c>
    </row>
    <row r="149" spans="1:13" ht="60" x14ac:dyDescent="0.25">
      <c r="A149" s="7" t="s">
        <v>852</v>
      </c>
      <c r="B149" s="2" t="s">
        <v>853</v>
      </c>
      <c r="C149" s="4">
        <v>3</v>
      </c>
      <c r="D149" s="5">
        <v>8.75</v>
      </c>
      <c r="E149" s="5">
        <v>19.989999999999998</v>
      </c>
      <c r="F149" s="4" t="s">
        <v>854</v>
      </c>
      <c r="G149" s="2" t="s">
        <v>165</v>
      </c>
      <c r="H149" s="7"/>
      <c r="I149" s="2" t="s">
        <v>815</v>
      </c>
      <c r="J149" s="2" t="s">
        <v>778</v>
      </c>
      <c r="K149" s="2" t="s">
        <v>304</v>
      </c>
      <c r="L149" s="2" t="s">
        <v>125</v>
      </c>
      <c r="M149" s="8" t="str">
        <f>HYPERLINK("http://slimages.macys.com/is/image/MCY/11724609 ")</f>
        <v xml:space="preserve">http://slimages.macys.com/is/image/MCY/11724609 </v>
      </c>
    </row>
    <row r="150" spans="1:13" ht="60" x14ac:dyDescent="0.25">
      <c r="A150" s="7" t="s">
        <v>11448</v>
      </c>
      <c r="B150" s="2" t="s">
        <v>11449</v>
      </c>
      <c r="C150" s="4">
        <v>1</v>
      </c>
      <c r="D150" s="5">
        <v>8.7100000000000009</v>
      </c>
      <c r="E150" s="5">
        <v>19.989999999999998</v>
      </c>
      <c r="F150" s="4" t="s">
        <v>11450</v>
      </c>
      <c r="G150" s="2" t="s">
        <v>86</v>
      </c>
      <c r="H150" s="7" t="s">
        <v>172</v>
      </c>
      <c r="I150" s="2" t="s">
        <v>389</v>
      </c>
      <c r="J150" s="2" t="s">
        <v>354</v>
      </c>
      <c r="K150" s="2" t="s">
        <v>304</v>
      </c>
      <c r="L150" s="2" t="s">
        <v>206</v>
      </c>
      <c r="M150" s="8" t="str">
        <f>HYPERLINK("http://slimages.macys.com/is/image/MCY/12650585 ")</f>
        <v xml:space="preserve">http://slimages.macys.com/is/image/MCY/12650585 </v>
      </c>
    </row>
    <row r="151" spans="1:13" ht="60" x14ac:dyDescent="0.25">
      <c r="A151" s="7" t="s">
        <v>11451</v>
      </c>
      <c r="B151" s="2" t="s">
        <v>11452</v>
      </c>
      <c r="C151" s="4">
        <v>1</v>
      </c>
      <c r="D151" s="5">
        <v>8.65</v>
      </c>
      <c r="E151" s="5">
        <v>22.99</v>
      </c>
      <c r="F151" s="4">
        <v>103382</v>
      </c>
      <c r="G151" s="2" t="s">
        <v>892</v>
      </c>
      <c r="H151" s="7" t="s">
        <v>68</v>
      </c>
      <c r="I151" s="2" t="s">
        <v>321</v>
      </c>
      <c r="J151" s="2" t="s">
        <v>322</v>
      </c>
      <c r="K151" s="2" t="s">
        <v>304</v>
      </c>
      <c r="L151" s="2" t="s">
        <v>323</v>
      </c>
      <c r="M151" s="8" t="str">
        <f>HYPERLINK("http://slimages.macys.com/is/image/MCY/10628281 ")</f>
        <v xml:space="preserve">http://slimages.macys.com/is/image/MCY/10628281 </v>
      </c>
    </row>
    <row r="152" spans="1:13" ht="60" x14ac:dyDescent="0.25">
      <c r="A152" s="7" t="s">
        <v>11453</v>
      </c>
      <c r="B152" s="2" t="s">
        <v>11454</v>
      </c>
      <c r="C152" s="4">
        <v>1</v>
      </c>
      <c r="D152" s="5">
        <v>8.65</v>
      </c>
      <c r="E152" s="5">
        <v>21.99</v>
      </c>
      <c r="F152" s="4" t="s">
        <v>11455</v>
      </c>
      <c r="G152" s="2" t="s">
        <v>62</v>
      </c>
      <c r="H152" s="7" t="s">
        <v>196</v>
      </c>
      <c r="I152" s="2" t="s">
        <v>515</v>
      </c>
      <c r="J152" s="2" t="s">
        <v>827</v>
      </c>
      <c r="K152" s="2" t="s">
        <v>304</v>
      </c>
      <c r="L152" s="2" t="s">
        <v>358</v>
      </c>
      <c r="M152" s="8" t="str">
        <f>HYPERLINK("http://slimages.macys.com/is/image/MCY/11530514 ")</f>
        <v xml:space="preserve">http://slimages.macys.com/is/image/MCY/11530514 </v>
      </c>
    </row>
    <row r="153" spans="1:13" ht="60" x14ac:dyDescent="0.25">
      <c r="A153" s="7" t="s">
        <v>11456</v>
      </c>
      <c r="B153" s="2" t="s">
        <v>11457</v>
      </c>
      <c r="C153" s="4">
        <v>1</v>
      </c>
      <c r="D153" s="5">
        <v>8.6</v>
      </c>
      <c r="E153" s="5">
        <v>22.99</v>
      </c>
      <c r="F153" s="4" t="s">
        <v>11458</v>
      </c>
      <c r="G153" s="2" t="s">
        <v>134</v>
      </c>
      <c r="H153" s="7" t="s">
        <v>311</v>
      </c>
      <c r="I153" s="2" t="s">
        <v>380</v>
      </c>
      <c r="J153" s="2" t="s">
        <v>258</v>
      </c>
      <c r="K153" s="2" t="s">
        <v>304</v>
      </c>
      <c r="L153" s="2" t="s">
        <v>87</v>
      </c>
      <c r="M153" s="8" t="str">
        <f>HYPERLINK("http://slimages.macys.com/is/image/MCY/8273753 ")</f>
        <v xml:space="preserve">http://slimages.macys.com/is/image/MCY/8273753 </v>
      </c>
    </row>
    <row r="154" spans="1:13" ht="60" x14ac:dyDescent="0.25">
      <c r="A154" s="7" t="s">
        <v>11459</v>
      </c>
      <c r="B154" s="2" t="s">
        <v>11460</v>
      </c>
      <c r="C154" s="4">
        <v>1</v>
      </c>
      <c r="D154" s="5">
        <v>8.58</v>
      </c>
      <c r="E154" s="5">
        <v>24.5</v>
      </c>
      <c r="F154" s="4" t="s">
        <v>11461</v>
      </c>
      <c r="G154" s="2" t="s">
        <v>48</v>
      </c>
      <c r="H154" s="7" t="s">
        <v>166</v>
      </c>
      <c r="I154" s="2" t="s">
        <v>298</v>
      </c>
      <c r="J154" s="2" t="s">
        <v>99</v>
      </c>
      <c r="K154" s="2" t="s">
        <v>304</v>
      </c>
      <c r="L154" s="2" t="s">
        <v>119</v>
      </c>
      <c r="M154" s="8" t="str">
        <f>HYPERLINK("http://slimages.macys.com/is/image/MCY/13801724 ")</f>
        <v xml:space="preserve">http://slimages.macys.com/is/image/MCY/13801724 </v>
      </c>
    </row>
    <row r="155" spans="1:13" ht="60" x14ac:dyDescent="0.25">
      <c r="A155" s="7" t="s">
        <v>11462</v>
      </c>
      <c r="B155" s="2" t="s">
        <v>11463</v>
      </c>
      <c r="C155" s="4">
        <v>1</v>
      </c>
      <c r="D155" s="5">
        <v>8.5</v>
      </c>
      <c r="E155" s="5">
        <v>18.989999999999998</v>
      </c>
      <c r="F155" s="4" t="s">
        <v>11464</v>
      </c>
      <c r="G155" s="2" t="s">
        <v>62</v>
      </c>
      <c r="H155" s="7" t="s">
        <v>317</v>
      </c>
      <c r="I155" s="2" t="s">
        <v>80</v>
      </c>
      <c r="J155" s="2" t="s">
        <v>124</v>
      </c>
      <c r="K155" s="2" t="s">
        <v>304</v>
      </c>
      <c r="L155" s="2" t="s">
        <v>125</v>
      </c>
      <c r="M155" s="8" t="str">
        <f>HYPERLINK("http://slimages.macys.com/is/image/MCY/12227188 ")</f>
        <v xml:space="preserve">http://slimages.macys.com/is/image/MCY/12227188 </v>
      </c>
    </row>
    <row r="156" spans="1:13" ht="72" x14ac:dyDescent="0.25">
      <c r="A156" s="7" t="s">
        <v>11465</v>
      </c>
      <c r="B156" s="2" t="s">
        <v>3925</v>
      </c>
      <c r="C156" s="4">
        <v>1</v>
      </c>
      <c r="D156" s="5">
        <v>8.5</v>
      </c>
      <c r="E156" s="5">
        <v>20</v>
      </c>
      <c r="F156" s="4" t="s">
        <v>3926</v>
      </c>
      <c r="G156" s="2" t="s">
        <v>171</v>
      </c>
      <c r="H156" s="7" t="s">
        <v>317</v>
      </c>
      <c r="I156" s="2" t="s">
        <v>380</v>
      </c>
      <c r="J156" s="2" t="s">
        <v>381</v>
      </c>
      <c r="K156" s="2" t="s">
        <v>304</v>
      </c>
      <c r="L156" s="2" t="s">
        <v>382</v>
      </c>
      <c r="M156" s="8" t="str">
        <f>HYPERLINK("http://slimages.macys.com/is/image/MCY/12550115 ")</f>
        <v xml:space="preserve">http://slimages.macys.com/is/image/MCY/12550115 </v>
      </c>
    </row>
    <row r="157" spans="1:13" ht="84" x14ac:dyDescent="0.25">
      <c r="A157" s="7" t="s">
        <v>11466</v>
      </c>
      <c r="B157" s="2" t="s">
        <v>11467</v>
      </c>
      <c r="C157" s="4">
        <v>1</v>
      </c>
      <c r="D157" s="5">
        <v>8.5</v>
      </c>
      <c r="E157" s="5">
        <v>20.99</v>
      </c>
      <c r="F157" s="4" t="s">
        <v>11468</v>
      </c>
      <c r="G157" s="2" t="s">
        <v>62</v>
      </c>
      <c r="H157" s="7" t="s">
        <v>91</v>
      </c>
      <c r="I157" s="2" t="s">
        <v>92</v>
      </c>
      <c r="J157" s="2" t="s">
        <v>239</v>
      </c>
      <c r="K157" s="2" t="s">
        <v>304</v>
      </c>
      <c r="L157" s="2" t="s">
        <v>11469</v>
      </c>
      <c r="M157" s="8" t="str">
        <f>HYPERLINK("http://slimages.macys.com/is/image/MCY/12674050 ")</f>
        <v xml:space="preserve">http://slimages.macys.com/is/image/MCY/12674050 </v>
      </c>
    </row>
    <row r="158" spans="1:13" ht="108" x14ac:dyDescent="0.25">
      <c r="A158" s="7" t="s">
        <v>11470</v>
      </c>
      <c r="B158" s="2" t="s">
        <v>11471</v>
      </c>
      <c r="C158" s="4">
        <v>1</v>
      </c>
      <c r="D158" s="5">
        <v>8.5</v>
      </c>
      <c r="E158" s="5">
        <v>21.99</v>
      </c>
      <c r="F158" s="4" t="s">
        <v>11472</v>
      </c>
      <c r="G158" s="2" t="s">
        <v>297</v>
      </c>
      <c r="H158" s="7" t="s">
        <v>311</v>
      </c>
      <c r="I158" s="2" t="s">
        <v>342</v>
      </c>
      <c r="J158" s="2" t="s">
        <v>1613</v>
      </c>
      <c r="K158" s="2" t="s">
        <v>304</v>
      </c>
      <c r="L158" s="2" t="s">
        <v>11473</v>
      </c>
      <c r="M158" s="8" t="str">
        <f>HYPERLINK("http://slimages.macys.com/is/image/MCY/9377994 ")</f>
        <v xml:space="preserve">http://slimages.macys.com/is/image/MCY/9377994 </v>
      </c>
    </row>
    <row r="159" spans="1:13" ht="60" x14ac:dyDescent="0.25">
      <c r="A159" s="7" t="s">
        <v>11474</v>
      </c>
      <c r="B159" s="2" t="s">
        <v>11463</v>
      </c>
      <c r="C159" s="4">
        <v>1</v>
      </c>
      <c r="D159" s="5">
        <v>8.5</v>
      </c>
      <c r="E159" s="5">
        <v>18.989999999999998</v>
      </c>
      <c r="F159" s="4" t="s">
        <v>11464</v>
      </c>
      <c r="G159" s="2" t="s">
        <v>62</v>
      </c>
      <c r="H159" s="7" t="s">
        <v>144</v>
      </c>
      <c r="I159" s="2" t="s">
        <v>80</v>
      </c>
      <c r="J159" s="2" t="s">
        <v>124</v>
      </c>
      <c r="K159" s="2" t="s">
        <v>304</v>
      </c>
      <c r="L159" s="2" t="s">
        <v>125</v>
      </c>
      <c r="M159" s="8" t="str">
        <f>HYPERLINK("http://slimages.macys.com/is/image/MCY/11707486 ")</f>
        <v xml:space="preserve">http://slimages.macys.com/is/image/MCY/11707486 </v>
      </c>
    </row>
    <row r="160" spans="1:13" ht="60" x14ac:dyDescent="0.25">
      <c r="A160" s="7" t="s">
        <v>6222</v>
      </c>
      <c r="B160" s="2" t="s">
        <v>1673</v>
      </c>
      <c r="C160" s="4">
        <v>1</v>
      </c>
      <c r="D160" s="5">
        <v>8.4499999999999993</v>
      </c>
      <c r="E160" s="5">
        <v>16.989999999999998</v>
      </c>
      <c r="F160" s="4" t="s">
        <v>1674</v>
      </c>
      <c r="G160" s="2" t="s">
        <v>48</v>
      </c>
      <c r="H160" s="7" t="s">
        <v>228</v>
      </c>
      <c r="I160" s="2" t="s">
        <v>515</v>
      </c>
      <c r="J160" s="2" t="s">
        <v>827</v>
      </c>
      <c r="K160" s="2" t="s">
        <v>304</v>
      </c>
      <c r="L160" s="2" t="s">
        <v>358</v>
      </c>
      <c r="M160" s="8" t="str">
        <f>HYPERLINK("http://slimages.macys.com/is/image/MCY/12688126 ")</f>
        <v xml:space="preserve">http://slimages.macys.com/is/image/MCY/12688126 </v>
      </c>
    </row>
    <row r="161" spans="1:13" ht="60" x14ac:dyDescent="0.25">
      <c r="A161" s="7" t="s">
        <v>9453</v>
      </c>
      <c r="B161" s="2" t="s">
        <v>8812</v>
      </c>
      <c r="C161" s="4">
        <v>1</v>
      </c>
      <c r="D161" s="5">
        <v>8.3800000000000008</v>
      </c>
      <c r="E161" s="5">
        <v>19.989999999999998</v>
      </c>
      <c r="F161" s="4" t="s">
        <v>8813</v>
      </c>
      <c r="G161" s="2" t="s">
        <v>582</v>
      </c>
      <c r="H161" s="7" t="s">
        <v>63</v>
      </c>
      <c r="I161" s="2" t="s">
        <v>1689</v>
      </c>
      <c r="J161" s="2" t="s">
        <v>354</v>
      </c>
      <c r="K161" s="2" t="s">
        <v>304</v>
      </c>
      <c r="L161" s="2" t="s">
        <v>38</v>
      </c>
      <c r="M161" s="8" t="str">
        <f>HYPERLINK("http://slimages.macys.com/is/image/MCY/12507127 ")</f>
        <v xml:space="preserve">http://slimages.macys.com/is/image/MCY/12507127 </v>
      </c>
    </row>
    <row r="162" spans="1:13" ht="60" x14ac:dyDescent="0.25">
      <c r="A162" s="7" t="s">
        <v>8820</v>
      </c>
      <c r="B162" s="2" t="s">
        <v>3940</v>
      </c>
      <c r="C162" s="4">
        <v>2</v>
      </c>
      <c r="D162" s="5">
        <v>8.2100000000000009</v>
      </c>
      <c r="E162" s="5">
        <v>19.989999999999998</v>
      </c>
      <c r="F162" s="4" t="s">
        <v>3941</v>
      </c>
      <c r="G162" s="2" t="s">
        <v>657</v>
      </c>
      <c r="H162" s="7" t="s">
        <v>217</v>
      </c>
      <c r="I162" s="2" t="s">
        <v>292</v>
      </c>
      <c r="J162" s="2" t="s">
        <v>293</v>
      </c>
      <c r="K162" s="2" t="s">
        <v>304</v>
      </c>
      <c r="L162" s="2" t="s">
        <v>119</v>
      </c>
      <c r="M162" s="8" t="str">
        <f>HYPERLINK("http://slimages.macys.com/is/image/MCY/15197620 ")</f>
        <v xml:space="preserve">http://slimages.macys.com/is/image/MCY/15197620 </v>
      </c>
    </row>
    <row r="163" spans="1:13" ht="60" x14ac:dyDescent="0.25">
      <c r="A163" s="7" t="s">
        <v>11475</v>
      </c>
      <c r="B163" s="2" t="s">
        <v>3940</v>
      </c>
      <c r="C163" s="4">
        <v>2</v>
      </c>
      <c r="D163" s="5">
        <v>8.2100000000000009</v>
      </c>
      <c r="E163" s="5">
        <v>19.989999999999998</v>
      </c>
      <c r="F163" s="4" t="s">
        <v>3941</v>
      </c>
      <c r="G163" s="2" t="s">
        <v>657</v>
      </c>
      <c r="H163" s="7" t="s">
        <v>284</v>
      </c>
      <c r="I163" s="2" t="s">
        <v>292</v>
      </c>
      <c r="J163" s="2" t="s">
        <v>293</v>
      </c>
      <c r="K163" s="2" t="s">
        <v>304</v>
      </c>
      <c r="L163" s="2" t="s">
        <v>119</v>
      </c>
      <c r="M163" s="8" t="str">
        <f>HYPERLINK("http://slimages.macys.com/is/image/MCY/15197620 ")</f>
        <v xml:space="preserve">http://slimages.macys.com/is/image/MCY/15197620 </v>
      </c>
    </row>
    <row r="164" spans="1:13" ht="60" x14ac:dyDescent="0.25">
      <c r="A164" s="7" t="s">
        <v>3939</v>
      </c>
      <c r="B164" s="2" t="s">
        <v>3940</v>
      </c>
      <c r="C164" s="4">
        <v>3</v>
      </c>
      <c r="D164" s="5">
        <v>8.2100000000000009</v>
      </c>
      <c r="E164" s="5">
        <v>19.989999999999998</v>
      </c>
      <c r="F164" s="4" t="s">
        <v>3941</v>
      </c>
      <c r="G164" s="2" t="s">
        <v>657</v>
      </c>
      <c r="H164" s="7" t="s">
        <v>159</v>
      </c>
      <c r="I164" s="2" t="s">
        <v>292</v>
      </c>
      <c r="J164" s="2" t="s">
        <v>293</v>
      </c>
      <c r="K164" s="2" t="s">
        <v>304</v>
      </c>
      <c r="L164" s="2" t="s">
        <v>119</v>
      </c>
      <c r="M164" s="8" t="str">
        <f>HYPERLINK("http://slimages.macys.com/is/image/MCY/15197620 ")</f>
        <v xml:space="preserve">http://slimages.macys.com/is/image/MCY/15197620 </v>
      </c>
    </row>
    <row r="165" spans="1:13" ht="60" x14ac:dyDescent="0.25">
      <c r="A165" s="7" t="s">
        <v>11476</v>
      </c>
      <c r="B165" s="2" t="s">
        <v>3940</v>
      </c>
      <c r="C165" s="4">
        <v>4</v>
      </c>
      <c r="D165" s="5">
        <v>8.2100000000000009</v>
      </c>
      <c r="E165" s="5">
        <v>19.989999999999998</v>
      </c>
      <c r="F165" s="4" t="s">
        <v>3941</v>
      </c>
      <c r="G165" s="2" t="s">
        <v>657</v>
      </c>
      <c r="H165" s="7" t="s">
        <v>228</v>
      </c>
      <c r="I165" s="2" t="s">
        <v>292</v>
      </c>
      <c r="J165" s="2" t="s">
        <v>293</v>
      </c>
      <c r="K165" s="2" t="s">
        <v>304</v>
      </c>
      <c r="L165" s="2" t="s">
        <v>119</v>
      </c>
      <c r="M165" s="8" t="str">
        <f>HYPERLINK("http://slimages.macys.com/is/image/MCY/15197620 ")</f>
        <v xml:space="preserve">http://slimages.macys.com/is/image/MCY/15197620 </v>
      </c>
    </row>
    <row r="166" spans="1:13" ht="60" x14ac:dyDescent="0.25">
      <c r="A166" s="7" t="s">
        <v>9466</v>
      </c>
      <c r="B166" s="2" t="s">
        <v>9464</v>
      </c>
      <c r="C166" s="4">
        <v>2</v>
      </c>
      <c r="D166" s="5">
        <v>8.18</v>
      </c>
      <c r="E166" s="5">
        <v>17.989999999999998</v>
      </c>
      <c r="F166" s="4" t="s">
        <v>9465</v>
      </c>
      <c r="G166" s="2" t="s">
        <v>1265</v>
      </c>
      <c r="H166" s="7" t="s">
        <v>196</v>
      </c>
      <c r="I166" s="2" t="s">
        <v>515</v>
      </c>
      <c r="J166" s="2" t="s">
        <v>827</v>
      </c>
      <c r="K166" s="2" t="s">
        <v>304</v>
      </c>
      <c r="L166" s="2" t="s">
        <v>358</v>
      </c>
      <c r="M166" s="8" t="str">
        <f>HYPERLINK("http://slimages.macys.com/is/image/MCY/10410457 ")</f>
        <v xml:space="preserve">http://slimages.macys.com/is/image/MCY/10410457 </v>
      </c>
    </row>
    <row r="167" spans="1:13" ht="60" x14ac:dyDescent="0.25">
      <c r="A167" s="7" t="s">
        <v>8213</v>
      </c>
      <c r="B167" s="2" t="s">
        <v>6232</v>
      </c>
      <c r="C167" s="4">
        <v>1</v>
      </c>
      <c r="D167" s="5">
        <v>8.16</v>
      </c>
      <c r="E167" s="5">
        <v>16.989999999999998</v>
      </c>
      <c r="F167" s="4" t="s">
        <v>6233</v>
      </c>
      <c r="G167" s="2" t="s">
        <v>62</v>
      </c>
      <c r="H167" s="7" t="s">
        <v>228</v>
      </c>
      <c r="I167" s="2" t="s">
        <v>515</v>
      </c>
      <c r="J167" s="2" t="s">
        <v>827</v>
      </c>
      <c r="K167" s="2" t="s">
        <v>304</v>
      </c>
      <c r="L167" s="2" t="s">
        <v>358</v>
      </c>
      <c r="M167" s="8" t="str">
        <f>HYPERLINK("http://slimages.macys.com/is/image/MCY/12507579 ")</f>
        <v xml:space="preserve">http://slimages.macys.com/is/image/MCY/12507579 </v>
      </c>
    </row>
    <row r="168" spans="1:13" ht="60" x14ac:dyDescent="0.25">
      <c r="A168" s="7" t="s">
        <v>11477</v>
      </c>
      <c r="B168" s="2" t="s">
        <v>3954</v>
      </c>
      <c r="C168" s="4">
        <v>1</v>
      </c>
      <c r="D168" s="5">
        <v>8.1</v>
      </c>
      <c r="E168" s="5">
        <v>18</v>
      </c>
      <c r="F168" s="4">
        <v>321703638010</v>
      </c>
      <c r="G168" s="2" t="s">
        <v>262</v>
      </c>
      <c r="H168" s="7" t="s">
        <v>144</v>
      </c>
      <c r="I168" s="2" t="s">
        <v>204</v>
      </c>
      <c r="J168" s="2" t="s">
        <v>205</v>
      </c>
      <c r="K168" s="2" t="s">
        <v>304</v>
      </c>
      <c r="L168" s="2" t="s">
        <v>206</v>
      </c>
      <c r="M168" s="8" t="str">
        <f>HYPERLINK("http://slimages.macys.com/is/image/MCY/11421027 ")</f>
        <v xml:space="preserve">http://slimages.macys.com/is/image/MCY/11421027 </v>
      </c>
    </row>
    <row r="169" spans="1:13" ht="72" x14ac:dyDescent="0.25">
      <c r="A169" s="7" t="s">
        <v>11478</v>
      </c>
      <c r="B169" s="2" t="s">
        <v>4032</v>
      </c>
      <c r="C169" s="4">
        <v>1</v>
      </c>
      <c r="D169" s="5">
        <v>8.1</v>
      </c>
      <c r="E169" s="5">
        <v>16.2</v>
      </c>
      <c r="F169" s="4" t="s">
        <v>11479</v>
      </c>
      <c r="G169" s="2"/>
      <c r="H169" s="7" t="s">
        <v>209</v>
      </c>
      <c r="I169" s="2" t="s">
        <v>487</v>
      </c>
      <c r="J169" s="2" t="s">
        <v>488</v>
      </c>
      <c r="K169" s="2" t="s">
        <v>304</v>
      </c>
      <c r="L169" s="2" t="s">
        <v>11480</v>
      </c>
      <c r="M169" s="8" t="str">
        <f>HYPERLINK("http://slimages.macys.com/is/image/MCY/11867649 ")</f>
        <v xml:space="preserve">http://slimages.macys.com/is/image/MCY/11867649 </v>
      </c>
    </row>
    <row r="170" spans="1:13" ht="60" x14ac:dyDescent="0.25">
      <c r="A170" s="7" t="s">
        <v>11481</v>
      </c>
      <c r="B170" s="2" t="s">
        <v>3232</v>
      </c>
      <c r="C170" s="4">
        <v>1</v>
      </c>
      <c r="D170" s="5">
        <v>8.1</v>
      </c>
      <c r="E170" s="5">
        <v>18</v>
      </c>
      <c r="F170" s="4">
        <v>322703644008</v>
      </c>
      <c r="G170" s="2" t="s">
        <v>28</v>
      </c>
      <c r="H170" s="7" t="s">
        <v>123</v>
      </c>
      <c r="I170" s="2" t="s">
        <v>204</v>
      </c>
      <c r="J170" s="2" t="s">
        <v>205</v>
      </c>
      <c r="K170" s="2" t="s">
        <v>304</v>
      </c>
      <c r="L170" s="2" t="s">
        <v>38</v>
      </c>
      <c r="M170" s="8" t="str">
        <f>HYPERLINK("http://slimages.macys.com/is/image/MCY/13746499 ")</f>
        <v xml:space="preserve">http://slimages.macys.com/is/image/MCY/13746499 </v>
      </c>
    </row>
    <row r="171" spans="1:13" ht="60" x14ac:dyDescent="0.25">
      <c r="A171" s="7" t="s">
        <v>11482</v>
      </c>
      <c r="B171" s="2" t="s">
        <v>3954</v>
      </c>
      <c r="C171" s="4">
        <v>1</v>
      </c>
      <c r="D171" s="5">
        <v>8.1</v>
      </c>
      <c r="E171" s="5">
        <v>18</v>
      </c>
      <c r="F171" s="4">
        <v>321703638038</v>
      </c>
      <c r="G171" s="2" t="s">
        <v>107</v>
      </c>
      <c r="H171" s="7" t="s">
        <v>144</v>
      </c>
      <c r="I171" s="2" t="s">
        <v>204</v>
      </c>
      <c r="J171" s="2" t="s">
        <v>205</v>
      </c>
      <c r="K171" s="2" t="s">
        <v>304</v>
      </c>
      <c r="L171" s="2" t="s">
        <v>38</v>
      </c>
      <c r="M171" s="8" t="str">
        <f>HYPERLINK("http://slimages.macys.com/is/image/MCY/13746054 ")</f>
        <v xml:space="preserve">http://slimages.macys.com/is/image/MCY/13746054 </v>
      </c>
    </row>
    <row r="172" spans="1:13" ht="72" x14ac:dyDescent="0.25">
      <c r="A172" s="7" t="s">
        <v>11483</v>
      </c>
      <c r="B172" s="2" t="s">
        <v>11484</v>
      </c>
      <c r="C172" s="4">
        <v>1</v>
      </c>
      <c r="D172" s="5">
        <v>8.1</v>
      </c>
      <c r="E172" s="5">
        <v>16.2</v>
      </c>
      <c r="F172" s="4" t="s">
        <v>11485</v>
      </c>
      <c r="G172" s="2" t="s">
        <v>36</v>
      </c>
      <c r="H172" s="7" t="s">
        <v>209</v>
      </c>
      <c r="I172" s="2" t="s">
        <v>487</v>
      </c>
      <c r="J172" s="2" t="s">
        <v>488</v>
      </c>
      <c r="K172" s="2" t="s">
        <v>304</v>
      </c>
      <c r="L172" s="2" t="s">
        <v>6747</v>
      </c>
      <c r="M172" s="8" t="str">
        <f>HYPERLINK("http://slimages.macys.com/is/image/MCY/11644758 ")</f>
        <v xml:space="preserve">http://slimages.macys.com/is/image/MCY/11644758 </v>
      </c>
    </row>
    <row r="173" spans="1:13" ht="60" x14ac:dyDescent="0.25">
      <c r="A173" s="7" t="s">
        <v>3964</v>
      </c>
      <c r="B173" s="2" t="s">
        <v>3965</v>
      </c>
      <c r="C173" s="4">
        <v>1</v>
      </c>
      <c r="D173" s="5">
        <v>8</v>
      </c>
      <c r="E173" s="5">
        <v>14.99</v>
      </c>
      <c r="F173" s="4" t="s">
        <v>3966</v>
      </c>
      <c r="G173" s="2" t="s">
        <v>28</v>
      </c>
      <c r="H173" s="7"/>
      <c r="I173" s="2" t="s">
        <v>30</v>
      </c>
      <c r="J173" s="2" t="s">
        <v>31</v>
      </c>
      <c r="K173" s="2" t="s">
        <v>304</v>
      </c>
      <c r="L173" s="2" t="s">
        <v>416</v>
      </c>
      <c r="M173" s="8" t="str">
        <f>HYPERLINK("http://slimages.macys.com/is/image/MCY/11938060 ")</f>
        <v xml:space="preserve">http://slimages.macys.com/is/image/MCY/11938060 </v>
      </c>
    </row>
    <row r="174" spans="1:13" ht="60" x14ac:dyDescent="0.25">
      <c r="A174" s="7" t="s">
        <v>413</v>
      </c>
      <c r="B174" s="2" t="s">
        <v>414</v>
      </c>
      <c r="C174" s="4">
        <v>1</v>
      </c>
      <c r="D174" s="5">
        <v>8</v>
      </c>
      <c r="E174" s="5">
        <v>14.99</v>
      </c>
      <c r="F174" s="4" t="s">
        <v>415</v>
      </c>
      <c r="G174" s="2" t="s">
        <v>36</v>
      </c>
      <c r="H174" s="7"/>
      <c r="I174" s="2" t="s">
        <v>30</v>
      </c>
      <c r="J174" s="2" t="s">
        <v>31</v>
      </c>
      <c r="K174" s="2" t="s">
        <v>304</v>
      </c>
      <c r="L174" s="2" t="s">
        <v>416</v>
      </c>
      <c r="M174" s="8" t="str">
        <f>HYPERLINK("http://slimages.macys.com/is/image/MCY/11938062 ")</f>
        <v xml:space="preserve">http://slimages.macys.com/is/image/MCY/11938062 </v>
      </c>
    </row>
    <row r="175" spans="1:13" ht="60" x14ac:dyDescent="0.25">
      <c r="A175" s="7" t="s">
        <v>11486</v>
      </c>
      <c r="B175" s="2" t="s">
        <v>11487</v>
      </c>
      <c r="C175" s="4">
        <v>1</v>
      </c>
      <c r="D175" s="5">
        <v>8</v>
      </c>
      <c r="E175" s="5">
        <v>19.989999999999998</v>
      </c>
      <c r="F175" s="4" t="s">
        <v>11488</v>
      </c>
      <c r="G175" s="2" t="s">
        <v>310</v>
      </c>
      <c r="H175" s="7"/>
      <c r="I175" s="2" t="s">
        <v>312</v>
      </c>
      <c r="J175" s="2" t="s">
        <v>313</v>
      </c>
      <c r="K175" s="2" t="s">
        <v>304</v>
      </c>
      <c r="L175" s="2" t="s">
        <v>125</v>
      </c>
      <c r="M175" s="8" t="str">
        <f>HYPERLINK("http://slimages.macys.com/is/image/MCY/11488716 ")</f>
        <v xml:space="preserve">http://slimages.macys.com/is/image/MCY/11488716 </v>
      </c>
    </row>
    <row r="176" spans="1:13" ht="60" x14ac:dyDescent="0.25">
      <c r="A176" s="7" t="s">
        <v>11489</v>
      </c>
      <c r="B176" s="2" t="s">
        <v>11490</v>
      </c>
      <c r="C176" s="4">
        <v>1</v>
      </c>
      <c r="D176" s="5">
        <v>7.94</v>
      </c>
      <c r="E176" s="5">
        <v>17.989999999999998</v>
      </c>
      <c r="F176" s="4" t="s">
        <v>11491</v>
      </c>
      <c r="G176" s="2" t="s">
        <v>1265</v>
      </c>
      <c r="H176" s="7" t="s">
        <v>482</v>
      </c>
      <c r="I176" s="2" t="s">
        <v>483</v>
      </c>
      <c r="J176" s="2" t="s">
        <v>484</v>
      </c>
      <c r="K176" s="2" t="s">
        <v>304</v>
      </c>
      <c r="L176" s="2" t="s">
        <v>3282</v>
      </c>
      <c r="M176" s="8" t="str">
        <f>HYPERLINK("http://slimages.macys.com/is/image/MCY/12818388 ")</f>
        <v xml:space="preserve">http://slimages.macys.com/is/image/MCY/12818388 </v>
      </c>
    </row>
    <row r="177" spans="1:13" ht="120" x14ac:dyDescent="0.25">
      <c r="A177" s="7" t="s">
        <v>11492</v>
      </c>
      <c r="B177" s="2" t="s">
        <v>11493</v>
      </c>
      <c r="C177" s="4">
        <v>1</v>
      </c>
      <c r="D177" s="5">
        <v>7.94</v>
      </c>
      <c r="E177" s="5">
        <v>16.989999999999998</v>
      </c>
      <c r="F177" s="4" t="s">
        <v>11494</v>
      </c>
      <c r="G177" s="2" t="s">
        <v>262</v>
      </c>
      <c r="H177" s="7" t="s">
        <v>228</v>
      </c>
      <c r="I177" s="2" t="s">
        <v>515</v>
      </c>
      <c r="J177" s="2" t="s">
        <v>827</v>
      </c>
      <c r="K177" s="2" t="s">
        <v>304</v>
      </c>
      <c r="L177" s="2" t="s">
        <v>11495</v>
      </c>
      <c r="M177" s="8" t="str">
        <f>HYPERLINK("http://slimages.macys.com/is/image/MCY/12687182 ")</f>
        <v xml:space="preserve">http://slimages.macys.com/is/image/MCY/12687182 </v>
      </c>
    </row>
    <row r="178" spans="1:13" ht="120" x14ac:dyDescent="0.25">
      <c r="A178" s="7" t="s">
        <v>11496</v>
      </c>
      <c r="B178" s="2" t="s">
        <v>11493</v>
      </c>
      <c r="C178" s="4">
        <v>3</v>
      </c>
      <c r="D178" s="5">
        <v>7.94</v>
      </c>
      <c r="E178" s="5">
        <v>16.989999999999998</v>
      </c>
      <c r="F178" s="4" t="s">
        <v>11494</v>
      </c>
      <c r="G178" s="2" t="s">
        <v>262</v>
      </c>
      <c r="H178" s="7" t="s">
        <v>284</v>
      </c>
      <c r="I178" s="2" t="s">
        <v>515</v>
      </c>
      <c r="J178" s="2" t="s">
        <v>827</v>
      </c>
      <c r="K178" s="2" t="s">
        <v>304</v>
      </c>
      <c r="L178" s="2" t="s">
        <v>11495</v>
      </c>
      <c r="M178" s="8" t="str">
        <f>HYPERLINK("http://slimages.macys.com/is/image/MCY/12687182 ")</f>
        <v xml:space="preserve">http://slimages.macys.com/is/image/MCY/12687182 </v>
      </c>
    </row>
    <row r="179" spans="1:13" ht="60" x14ac:dyDescent="0.25">
      <c r="A179" s="7" t="s">
        <v>7502</v>
      </c>
      <c r="B179" s="2" t="s">
        <v>7500</v>
      </c>
      <c r="C179" s="4">
        <v>1</v>
      </c>
      <c r="D179" s="5">
        <v>7.83</v>
      </c>
      <c r="E179" s="5">
        <v>19.989999999999998</v>
      </c>
      <c r="F179" s="4" t="s">
        <v>7501</v>
      </c>
      <c r="G179" s="2" t="s">
        <v>86</v>
      </c>
      <c r="H179" s="7" t="s">
        <v>177</v>
      </c>
      <c r="I179" s="2" t="s">
        <v>389</v>
      </c>
      <c r="J179" s="2" t="s">
        <v>354</v>
      </c>
      <c r="K179" s="2" t="s">
        <v>304</v>
      </c>
      <c r="L179" s="2" t="s">
        <v>3142</v>
      </c>
      <c r="M179" s="8" t="str">
        <f>HYPERLINK("http://slimages.macys.com/is/image/MCY/11777191 ")</f>
        <v xml:space="preserve">http://slimages.macys.com/is/image/MCY/11777191 </v>
      </c>
    </row>
    <row r="180" spans="1:13" ht="60" x14ac:dyDescent="0.25">
      <c r="A180" s="7" t="s">
        <v>11497</v>
      </c>
      <c r="B180" s="2" t="s">
        <v>4914</v>
      </c>
      <c r="C180" s="4">
        <v>1</v>
      </c>
      <c r="D180" s="5">
        <v>7.77</v>
      </c>
      <c r="E180" s="5">
        <v>19.989999999999998</v>
      </c>
      <c r="F180" s="4" t="s">
        <v>4915</v>
      </c>
      <c r="G180" s="2" t="s">
        <v>86</v>
      </c>
      <c r="H180" s="7" t="s">
        <v>177</v>
      </c>
      <c r="I180" s="2" t="s">
        <v>389</v>
      </c>
      <c r="J180" s="2" t="s">
        <v>354</v>
      </c>
      <c r="K180" s="2" t="s">
        <v>304</v>
      </c>
      <c r="L180" s="2" t="s">
        <v>3142</v>
      </c>
      <c r="M180" s="8" t="str">
        <f>HYPERLINK("http://slimages.macys.com/is/image/MCY/12650595 ")</f>
        <v xml:space="preserve">http://slimages.macys.com/is/image/MCY/12650595 </v>
      </c>
    </row>
    <row r="181" spans="1:13" ht="60" x14ac:dyDescent="0.25">
      <c r="A181" s="7" t="s">
        <v>11498</v>
      </c>
      <c r="B181" s="2" t="s">
        <v>4914</v>
      </c>
      <c r="C181" s="4">
        <v>1</v>
      </c>
      <c r="D181" s="5">
        <v>7.77</v>
      </c>
      <c r="E181" s="5">
        <v>19.989999999999998</v>
      </c>
      <c r="F181" s="4" t="s">
        <v>4915</v>
      </c>
      <c r="G181" s="2" t="s">
        <v>86</v>
      </c>
      <c r="H181" s="7"/>
      <c r="I181" s="2" t="s">
        <v>389</v>
      </c>
      <c r="J181" s="2" t="s">
        <v>354</v>
      </c>
      <c r="K181" s="2" t="s">
        <v>304</v>
      </c>
      <c r="L181" s="2" t="s">
        <v>3142</v>
      </c>
      <c r="M181" s="8" t="str">
        <f>HYPERLINK("http://slimages.macys.com/is/image/MCY/12650595 ")</f>
        <v xml:space="preserve">http://slimages.macys.com/is/image/MCY/12650595 </v>
      </c>
    </row>
    <row r="182" spans="1:13" ht="60" x14ac:dyDescent="0.25">
      <c r="A182" s="7" t="s">
        <v>8856</v>
      </c>
      <c r="B182" s="2" t="s">
        <v>920</v>
      </c>
      <c r="C182" s="4">
        <v>1</v>
      </c>
      <c r="D182" s="5">
        <v>7.65</v>
      </c>
      <c r="E182" s="5">
        <v>14.99</v>
      </c>
      <c r="F182" s="4">
        <v>4489</v>
      </c>
      <c r="G182" s="2" t="s">
        <v>28</v>
      </c>
      <c r="H182" s="7" t="s">
        <v>228</v>
      </c>
      <c r="I182" s="2" t="s">
        <v>523</v>
      </c>
      <c r="J182" s="2" t="s">
        <v>921</v>
      </c>
      <c r="K182" s="2" t="s">
        <v>304</v>
      </c>
      <c r="L182" s="2" t="s">
        <v>100</v>
      </c>
      <c r="M182" s="8" t="str">
        <f>HYPERLINK("http://slimages.macys.com/is/image/MCY/13050175 ")</f>
        <v xml:space="preserve">http://slimages.macys.com/is/image/MCY/13050175 </v>
      </c>
    </row>
    <row r="183" spans="1:13" ht="108" x14ac:dyDescent="0.25">
      <c r="A183" s="7" t="s">
        <v>11499</v>
      </c>
      <c r="B183" s="2" t="s">
        <v>5920</v>
      </c>
      <c r="C183" s="4">
        <v>1</v>
      </c>
      <c r="D183" s="5">
        <v>7.6</v>
      </c>
      <c r="E183" s="5">
        <v>17.28</v>
      </c>
      <c r="F183" s="4">
        <v>18821210</v>
      </c>
      <c r="G183" s="2" t="s">
        <v>353</v>
      </c>
      <c r="H183" s="7" t="s">
        <v>442</v>
      </c>
      <c r="I183" s="2" t="s">
        <v>153</v>
      </c>
      <c r="J183" s="2" t="s">
        <v>154</v>
      </c>
      <c r="K183" s="2" t="s">
        <v>304</v>
      </c>
      <c r="L183" s="2" t="s">
        <v>5921</v>
      </c>
      <c r="M183" s="8" t="str">
        <f>HYPERLINK("http://slimages.macys.com/is/image/MCY/13382581 ")</f>
        <v xml:space="preserve">http://slimages.macys.com/is/image/MCY/13382581 </v>
      </c>
    </row>
    <row r="184" spans="1:13" ht="60" x14ac:dyDescent="0.25">
      <c r="A184" s="7" t="s">
        <v>11500</v>
      </c>
      <c r="B184" s="2" t="s">
        <v>3994</v>
      </c>
      <c r="C184" s="4">
        <v>1</v>
      </c>
      <c r="D184" s="5">
        <v>7.6</v>
      </c>
      <c r="E184" s="5">
        <v>15.99</v>
      </c>
      <c r="F184" s="4" t="s">
        <v>3995</v>
      </c>
      <c r="G184" s="2"/>
      <c r="H184" s="7" t="s">
        <v>233</v>
      </c>
      <c r="I184" s="2" t="s">
        <v>153</v>
      </c>
      <c r="J184" s="2" t="s">
        <v>154</v>
      </c>
      <c r="K184" s="2" t="s">
        <v>304</v>
      </c>
      <c r="L184" s="2" t="s">
        <v>38</v>
      </c>
      <c r="M184" s="8" t="str">
        <f>HYPERLINK("http://slimages.macys.com/is/image/MCY/11671958 ")</f>
        <v xml:space="preserve">http://slimages.macys.com/is/image/MCY/11671958 </v>
      </c>
    </row>
    <row r="185" spans="1:13" ht="60" x14ac:dyDescent="0.25">
      <c r="A185" s="7" t="s">
        <v>11008</v>
      </c>
      <c r="B185" s="2" t="s">
        <v>8863</v>
      </c>
      <c r="C185" s="4">
        <v>1</v>
      </c>
      <c r="D185" s="5">
        <v>7.6</v>
      </c>
      <c r="E185" s="5">
        <v>19</v>
      </c>
      <c r="F185" s="4" t="s">
        <v>11009</v>
      </c>
      <c r="G185" s="2" t="s">
        <v>62</v>
      </c>
      <c r="H185" s="7" t="s">
        <v>3990</v>
      </c>
      <c r="I185" s="2" t="s">
        <v>523</v>
      </c>
      <c r="J185" s="2" t="s">
        <v>3991</v>
      </c>
      <c r="K185" s="2" t="s">
        <v>304</v>
      </c>
      <c r="L185" s="2" t="s">
        <v>596</v>
      </c>
      <c r="M185" s="8" t="str">
        <f>HYPERLINK("http://slimages.macys.com/is/image/MCY/10944093 ")</f>
        <v xml:space="preserve">http://slimages.macys.com/is/image/MCY/10944093 </v>
      </c>
    </row>
    <row r="186" spans="1:13" ht="60" x14ac:dyDescent="0.25">
      <c r="A186" s="7" t="s">
        <v>11501</v>
      </c>
      <c r="B186" s="2" t="s">
        <v>441</v>
      </c>
      <c r="C186" s="4">
        <v>1</v>
      </c>
      <c r="D186" s="5">
        <v>7.6</v>
      </c>
      <c r="E186" s="5">
        <v>17.28</v>
      </c>
      <c r="F186" s="4">
        <v>18386310</v>
      </c>
      <c r="G186" s="2"/>
      <c r="H186" s="7" t="s">
        <v>91</v>
      </c>
      <c r="I186" s="2" t="s">
        <v>153</v>
      </c>
      <c r="J186" s="2" t="s">
        <v>154</v>
      </c>
      <c r="K186" s="2" t="s">
        <v>304</v>
      </c>
      <c r="L186" s="2" t="s">
        <v>38</v>
      </c>
      <c r="M186" s="8" t="str">
        <f>HYPERLINK("http://slimages.macys.com/is/image/MCY/13743112 ")</f>
        <v xml:space="preserve">http://slimages.macys.com/is/image/MCY/13743112 </v>
      </c>
    </row>
    <row r="187" spans="1:13" ht="60" x14ac:dyDescent="0.25">
      <c r="A187" s="7" t="s">
        <v>5383</v>
      </c>
      <c r="B187" s="2" t="s">
        <v>1724</v>
      </c>
      <c r="C187" s="4">
        <v>1</v>
      </c>
      <c r="D187" s="5">
        <v>7.6</v>
      </c>
      <c r="E187" s="5">
        <v>17.28</v>
      </c>
      <c r="F187" s="4">
        <v>18385510</v>
      </c>
      <c r="G187" s="2" t="s">
        <v>28</v>
      </c>
      <c r="H187" s="7" t="s">
        <v>442</v>
      </c>
      <c r="I187" s="2" t="s">
        <v>153</v>
      </c>
      <c r="J187" s="2" t="s">
        <v>154</v>
      </c>
      <c r="K187" s="2" t="s">
        <v>304</v>
      </c>
      <c r="L187" s="2" t="s">
        <v>38</v>
      </c>
      <c r="M187" s="8" t="str">
        <f>HYPERLINK("http://slimages.macys.com/is/image/MCY/14608274 ")</f>
        <v xml:space="preserve">http://slimages.macys.com/is/image/MCY/14608274 </v>
      </c>
    </row>
    <row r="188" spans="1:13" ht="96" x14ac:dyDescent="0.25">
      <c r="A188" s="7" t="s">
        <v>11502</v>
      </c>
      <c r="B188" s="2" t="s">
        <v>2569</v>
      </c>
      <c r="C188" s="4">
        <v>1</v>
      </c>
      <c r="D188" s="5">
        <v>7.6</v>
      </c>
      <c r="E188" s="5">
        <v>17.28</v>
      </c>
      <c r="F188" s="4">
        <v>18373610</v>
      </c>
      <c r="G188" s="2" t="s">
        <v>476</v>
      </c>
      <c r="H188" s="7" t="s">
        <v>675</v>
      </c>
      <c r="I188" s="2" t="s">
        <v>153</v>
      </c>
      <c r="J188" s="2" t="s">
        <v>154</v>
      </c>
      <c r="K188" s="2" t="s">
        <v>304</v>
      </c>
      <c r="L188" s="2" t="s">
        <v>439</v>
      </c>
      <c r="M188" s="8" t="str">
        <f>HYPERLINK("http://slimages.macys.com/is/image/MCY/14608259 ")</f>
        <v xml:space="preserve">http://slimages.macys.com/is/image/MCY/14608259 </v>
      </c>
    </row>
    <row r="189" spans="1:13" ht="96" x14ac:dyDescent="0.25">
      <c r="A189" s="7" t="s">
        <v>11503</v>
      </c>
      <c r="B189" s="2" t="s">
        <v>8867</v>
      </c>
      <c r="C189" s="4">
        <v>1</v>
      </c>
      <c r="D189" s="5">
        <v>7.6</v>
      </c>
      <c r="E189" s="5">
        <v>17.28</v>
      </c>
      <c r="F189" s="4">
        <v>18376410</v>
      </c>
      <c r="G189" s="2"/>
      <c r="H189" s="7" t="s">
        <v>42</v>
      </c>
      <c r="I189" s="2" t="s">
        <v>153</v>
      </c>
      <c r="J189" s="2" t="s">
        <v>154</v>
      </c>
      <c r="K189" s="2" t="s">
        <v>304</v>
      </c>
      <c r="L189" s="2" t="s">
        <v>439</v>
      </c>
      <c r="M189" s="8" t="str">
        <f>HYPERLINK("http://slimages.macys.com/is/image/MCY/14608340 ")</f>
        <v xml:space="preserve">http://slimages.macys.com/is/image/MCY/14608340 </v>
      </c>
    </row>
    <row r="190" spans="1:13" ht="132" x14ac:dyDescent="0.25">
      <c r="A190" s="7" t="s">
        <v>11006</v>
      </c>
      <c r="B190" s="2" t="s">
        <v>10028</v>
      </c>
      <c r="C190" s="4">
        <v>1</v>
      </c>
      <c r="D190" s="5">
        <v>7.6</v>
      </c>
      <c r="E190" s="5">
        <v>17.28</v>
      </c>
      <c r="F190" s="4">
        <v>18372410</v>
      </c>
      <c r="G190" s="2"/>
      <c r="H190" s="7" t="s">
        <v>438</v>
      </c>
      <c r="I190" s="2" t="s">
        <v>153</v>
      </c>
      <c r="J190" s="2" t="s">
        <v>154</v>
      </c>
      <c r="K190" s="2" t="s">
        <v>304</v>
      </c>
      <c r="L190" s="2" t="s">
        <v>10029</v>
      </c>
      <c r="M190" s="8" t="str">
        <f>HYPERLINK("http://slimages.macys.com/is/image/MCY/14608272 ")</f>
        <v xml:space="preserve">http://slimages.macys.com/is/image/MCY/14608272 </v>
      </c>
    </row>
    <row r="191" spans="1:13" ht="60" x14ac:dyDescent="0.25">
      <c r="A191" s="7" t="s">
        <v>6839</v>
      </c>
      <c r="B191" s="2" t="s">
        <v>3986</v>
      </c>
      <c r="C191" s="4">
        <v>1</v>
      </c>
      <c r="D191" s="5">
        <v>7.6</v>
      </c>
      <c r="E191" s="5">
        <v>17.28</v>
      </c>
      <c r="F191" s="4">
        <v>18389710</v>
      </c>
      <c r="G191" s="2" t="s">
        <v>48</v>
      </c>
      <c r="H191" s="7" t="s">
        <v>42</v>
      </c>
      <c r="I191" s="2" t="s">
        <v>153</v>
      </c>
      <c r="J191" s="2" t="s">
        <v>154</v>
      </c>
      <c r="K191" s="2" t="s">
        <v>304</v>
      </c>
      <c r="L191" s="2" t="s">
        <v>38</v>
      </c>
      <c r="M191" s="8" t="str">
        <f>HYPERLINK("http://slimages.macys.com/is/image/MCY/14608342 ")</f>
        <v xml:space="preserve">http://slimages.macys.com/is/image/MCY/14608342 </v>
      </c>
    </row>
    <row r="192" spans="1:13" ht="60" x14ac:dyDescent="0.25">
      <c r="A192" s="7" t="s">
        <v>11504</v>
      </c>
      <c r="B192" s="2" t="s">
        <v>6862</v>
      </c>
      <c r="C192" s="4">
        <v>2</v>
      </c>
      <c r="D192" s="5">
        <v>7.6</v>
      </c>
      <c r="E192" s="5">
        <v>17.28</v>
      </c>
      <c r="F192" s="4">
        <v>17879210</v>
      </c>
      <c r="G192" s="2"/>
      <c r="H192" s="7" t="s">
        <v>233</v>
      </c>
      <c r="I192" s="2" t="s">
        <v>153</v>
      </c>
      <c r="J192" s="2" t="s">
        <v>154</v>
      </c>
      <c r="K192" s="2" t="s">
        <v>304</v>
      </c>
      <c r="L192" s="2" t="s">
        <v>206</v>
      </c>
      <c r="M192" s="8" t="str">
        <f>HYPERLINK("http://slimages.macys.com/is/image/MCY/13853145 ")</f>
        <v xml:space="preserve">http://slimages.macys.com/is/image/MCY/13853145 </v>
      </c>
    </row>
    <row r="193" spans="1:13" ht="60" x14ac:dyDescent="0.25">
      <c r="A193" s="7" t="s">
        <v>3985</v>
      </c>
      <c r="B193" s="2" t="s">
        <v>3986</v>
      </c>
      <c r="C193" s="4">
        <v>1</v>
      </c>
      <c r="D193" s="5">
        <v>7.6</v>
      </c>
      <c r="E193" s="5">
        <v>17.28</v>
      </c>
      <c r="F193" s="4">
        <v>18389710</v>
      </c>
      <c r="G193" s="2" t="s">
        <v>48</v>
      </c>
      <c r="H193" s="7" t="s">
        <v>675</v>
      </c>
      <c r="I193" s="2" t="s">
        <v>153</v>
      </c>
      <c r="J193" s="2" t="s">
        <v>154</v>
      </c>
      <c r="K193" s="2" t="s">
        <v>304</v>
      </c>
      <c r="L193" s="2" t="s">
        <v>38</v>
      </c>
      <c r="M193" s="8" t="str">
        <f>HYPERLINK("http://slimages.macys.com/is/image/MCY/14608342 ")</f>
        <v xml:space="preserve">http://slimages.macys.com/is/image/MCY/14608342 </v>
      </c>
    </row>
    <row r="194" spans="1:13" ht="132" x14ac:dyDescent="0.25">
      <c r="A194" s="7" t="s">
        <v>10027</v>
      </c>
      <c r="B194" s="2" t="s">
        <v>10028</v>
      </c>
      <c r="C194" s="4">
        <v>1</v>
      </c>
      <c r="D194" s="5">
        <v>7.6</v>
      </c>
      <c r="E194" s="5">
        <v>17.28</v>
      </c>
      <c r="F194" s="4">
        <v>18372410</v>
      </c>
      <c r="G194" s="2"/>
      <c r="H194" s="7" t="s">
        <v>675</v>
      </c>
      <c r="I194" s="2" t="s">
        <v>153</v>
      </c>
      <c r="J194" s="2" t="s">
        <v>154</v>
      </c>
      <c r="K194" s="2" t="s">
        <v>304</v>
      </c>
      <c r="L194" s="2" t="s">
        <v>10029</v>
      </c>
      <c r="M194" s="8" t="str">
        <f>HYPERLINK("http://slimages.macys.com/is/image/MCY/14608272 ")</f>
        <v xml:space="preserve">http://slimages.macys.com/is/image/MCY/14608272 </v>
      </c>
    </row>
    <row r="195" spans="1:13" ht="60" x14ac:dyDescent="0.25">
      <c r="A195" s="7" t="s">
        <v>7514</v>
      </c>
      <c r="B195" s="2" t="s">
        <v>5923</v>
      </c>
      <c r="C195" s="4">
        <v>1</v>
      </c>
      <c r="D195" s="5">
        <v>7.59</v>
      </c>
      <c r="E195" s="5">
        <v>17.989999999999998</v>
      </c>
      <c r="F195" s="4" t="s">
        <v>5924</v>
      </c>
      <c r="G195" s="2" t="s">
        <v>595</v>
      </c>
      <c r="H195" s="7" t="s">
        <v>1151</v>
      </c>
      <c r="I195" s="2" t="s">
        <v>515</v>
      </c>
      <c r="J195" s="2" t="s">
        <v>875</v>
      </c>
      <c r="K195" s="2" t="s">
        <v>304</v>
      </c>
      <c r="L195" s="2" t="s">
        <v>4196</v>
      </c>
      <c r="M195" s="8" t="str">
        <f>HYPERLINK("http://slimages.macys.com/is/image/MCY/11603707 ")</f>
        <v xml:space="preserve">http://slimages.macys.com/is/image/MCY/11603707 </v>
      </c>
    </row>
    <row r="196" spans="1:13" ht="60" x14ac:dyDescent="0.25">
      <c r="A196" s="7" t="s">
        <v>11505</v>
      </c>
      <c r="B196" s="2" t="s">
        <v>5923</v>
      </c>
      <c r="C196" s="4">
        <v>1</v>
      </c>
      <c r="D196" s="5">
        <v>7.59</v>
      </c>
      <c r="E196" s="5">
        <v>17.989999999999998</v>
      </c>
      <c r="F196" s="4" t="s">
        <v>5924</v>
      </c>
      <c r="G196" s="2" t="s">
        <v>595</v>
      </c>
      <c r="H196" s="7" t="s">
        <v>578</v>
      </c>
      <c r="I196" s="2" t="s">
        <v>515</v>
      </c>
      <c r="J196" s="2" t="s">
        <v>875</v>
      </c>
      <c r="K196" s="2" t="s">
        <v>304</v>
      </c>
      <c r="L196" s="2" t="s">
        <v>4196</v>
      </c>
      <c r="M196" s="8" t="str">
        <f>HYPERLINK("http://slimages.macys.com/is/image/MCY/11603707 ")</f>
        <v xml:space="preserve">http://slimages.macys.com/is/image/MCY/11603707 </v>
      </c>
    </row>
    <row r="197" spans="1:13" ht="96" x14ac:dyDescent="0.25">
      <c r="A197" s="7" t="s">
        <v>1726</v>
      </c>
      <c r="B197" s="2" t="s">
        <v>1727</v>
      </c>
      <c r="C197" s="4">
        <v>1</v>
      </c>
      <c r="D197" s="5">
        <v>7.57</v>
      </c>
      <c r="E197" s="5">
        <v>16.989999999999998</v>
      </c>
      <c r="F197" s="4" t="s">
        <v>1728</v>
      </c>
      <c r="G197" s="2" t="s">
        <v>595</v>
      </c>
      <c r="H197" s="7" t="s">
        <v>196</v>
      </c>
      <c r="I197" s="2" t="s">
        <v>515</v>
      </c>
      <c r="J197" s="2" t="s">
        <v>827</v>
      </c>
      <c r="K197" s="2" t="s">
        <v>304</v>
      </c>
      <c r="L197" s="2" t="s">
        <v>1729</v>
      </c>
      <c r="M197" s="8" t="str">
        <f>HYPERLINK("http://slimages.macys.com/is/image/MCY/12670249 ")</f>
        <v xml:space="preserve">http://slimages.macys.com/is/image/MCY/12670249 </v>
      </c>
    </row>
    <row r="198" spans="1:13" ht="96" x14ac:dyDescent="0.25">
      <c r="A198" s="7" t="s">
        <v>11506</v>
      </c>
      <c r="B198" s="2" t="s">
        <v>1727</v>
      </c>
      <c r="C198" s="4">
        <v>1</v>
      </c>
      <c r="D198" s="5">
        <v>7.57</v>
      </c>
      <c r="E198" s="5">
        <v>16.989999999999998</v>
      </c>
      <c r="F198" s="4" t="s">
        <v>1728</v>
      </c>
      <c r="G198" s="2" t="s">
        <v>595</v>
      </c>
      <c r="H198" s="7" t="s">
        <v>284</v>
      </c>
      <c r="I198" s="2" t="s">
        <v>515</v>
      </c>
      <c r="J198" s="2" t="s">
        <v>827</v>
      </c>
      <c r="K198" s="2" t="s">
        <v>304</v>
      </c>
      <c r="L198" s="2" t="s">
        <v>1729</v>
      </c>
      <c r="M198" s="8" t="str">
        <f>HYPERLINK("http://slimages.macys.com/is/image/MCY/12670249 ")</f>
        <v xml:space="preserve">http://slimages.macys.com/is/image/MCY/12670249 </v>
      </c>
    </row>
    <row r="199" spans="1:13" ht="60" x14ac:dyDescent="0.25">
      <c r="A199" s="7" t="s">
        <v>11507</v>
      </c>
      <c r="B199" s="2" t="s">
        <v>1654</v>
      </c>
      <c r="C199" s="4">
        <v>1</v>
      </c>
      <c r="D199" s="5">
        <v>7.55</v>
      </c>
      <c r="E199" s="5">
        <v>12.99</v>
      </c>
      <c r="F199" s="4" t="s">
        <v>4000</v>
      </c>
      <c r="G199" s="2" t="s">
        <v>48</v>
      </c>
      <c r="H199" s="7" t="s">
        <v>233</v>
      </c>
      <c r="I199" s="2" t="s">
        <v>153</v>
      </c>
      <c r="J199" s="2" t="s">
        <v>154</v>
      </c>
      <c r="K199" s="2" t="s">
        <v>304</v>
      </c>
      <c r="L199" s="2" t="s">
        <v>206</v>
      </c>
      <c r="M199" s="8" t="str">
        <f>HYPERLINK("http://slimages.macys.com/is/image/MCY/9644680 ")</f>
        <v xml:space="preserve">http://slimages.macys.com/is/image/MCY/9644680 </v>
      </c>
    </row>
    <row r="200" spans="1:13" ht="60" x14ac:dyDescent="0.25">
      <c r="A200" s="7" t="s">
        <v>11508</v>
      </c>
      <c r="B200" s="2" t="s">
        <v>4005</v>
      </c>
      <c r="C200" s="4">
        <v>1</v>
      </c>
      <c r="D200" s="5">
        <v>7.55</v>
      </c>
      <c r="E200" s="5">
        <v>12.99</v>
      </c>
      <c r="F200" s="4" t="s">
        <v>4006</v>
      </c>
      <c r="G200" s="2" t="s">
        <v>48</v>
      </c>
      <c r="H200" s="7" t="s">
        <v>482</v>
      </c>
      <c r="I200" s="2" t="s">
        <v>153</v>
      </c>
      <c r="J200" s="2" t="s">
        <v>154</v>
      </c>
      <c r="K200" s="2" t="s">
        <v>304</v>
      </c>
      <c r="L200" s="2" t="s">
        <v>206</v>
      </c>
      <c r="M200" s="8" t="str">
        <f>HYPERLINK("http://slimages.macys.com/is/image/MCY/9644669 ")</f>
        <v xml:space="preserve">http://slimages.macys.com/is/image/MCY/9644669 </v>
      </c>
    </row>
    <row r="201" spans="1:13" ht="60" x14ac:dyDescent="0.25">
      <c r="A201" s="7" t="s">
        <v>11509</v>
      </c>
      <c r="B201" s="2" t="s">
        <v>11510</v>
      </c>
      <c r="C201" s="4">
        <v>1</v>
      </c>
      <c r="D201" s="5">
        <v>7.55</v>
      </c>
      <c r="E201" s="5">
        <v>17.559999999999999</v>
      </c>
      <c r="F201" s="4">
        <v>17850810</v>
      </c>
      <c r="G201" s="2"/>
      <c r="H201" s="7" t="s">
        <v>438</v>
      </c>
      <c r="I201" s="2" t="s">
        <v>153</v>
      </c>
      <c r="J201" s="2" t="s">
        <v>154</v>
      </c>
      <c r="K201" s="2" t="s">
        <v>304</v>
      </c>
      <c r="L201" s="2" t="s">
        <v>119</v>
      </c>
      <c r="M201" s="8" t="str">
        <f>HYPERLINK("http://slimages.macys.com/is/image/MCY/13383307 ")</f>
        <v xml:space="preserve">http://slimages.macys.com/is/image/MCY/13383307 </v>
      </c>
    </row>
    <row r="202" spans="1:13" ht="60" x14ac:dyDescent="0.25">
      <c r="A202" s="7" t="s">
        <v>11511</v>
      </c>
      <c r="B202" s="2" t="s">
        <v>11512</v>
      </c>
      <c r="C202" s="4">
        <v>2</v>
      </c>
      <c r="D202" s="5">
        <v>7.55</v>
      </c>
      <c r="E202" s="5">
        <v>13.98</v>
      </c>
      <c r="F202" s="4">
        <v>16742110</v>
      </c>
      <c r="G202" s="2"/>
      <c r="H202" s="7" t="s">
        <v>482</v>
      </c>
      <c r="I202" s="2" t="s">
        <v>153</v>
      </c>
      <c r="J202" s="2" t="s">
        <v>154</v>
      </c>
      <c r="K202" s="2" t="s">
        <v>304</v>
      </c>
      <c r="L202" s="2" t="s">
        <v>119</v>
      </c>
      <c r="M202" s="8" t="str">
        <f>HYPERLINK("http://slimages.macys.com/is/image/MCY/11386188 ")</f>
        <v xml:space="preserve">http://slimages.macys.com/is/image/MCY/11386188 </v>
      </c>
    </row>
    <row r="203" spans="1:13" ht="60" x14ac:dyDescent="0.25">
      <c r="A203" s="7" t="s">
        <v>457</v>
      </c>
      <c r="B203" s="2" t="s">
        <v>458</v>
      </c>
      <c r="C203" s="4">
        <v>1</v>
      </c>
      <c r="D203" s="5">
        <v>7.5</v>
      </c>
      <c r="E203" s="5">
        <v>16.989999999999998</v>
      </c>
      <c r="F203" s="4" t="s">
        <v>459</v>
      </c>
      <c r="G203" s="2" t="s">
        <v>347</v>
      </c>
      <c r="H203" s="7" t="s">
        <v>159</v>
      </c>
      <c r="I203" s="2" t="s">
        <v>30</v>
      </c>
      <c r="J203" s="2" t="s">
        <v>446</v>
      </c>
      <c r="K203" s="2" t="s">
        <v>304</v>
      </c>
      <c r="L203" s="2" t="s">
        <v>460</v>
      </c>
      <c r="M203" s="8" t="str">
        <f>HYPERLINK("http://slimages.macys.com/is/image/MCY/12071760 ")</f>
        <v xml:space="preserve">http://slimages.macys.com/is/image/MCY/12071760 </v>
      </c>
    </row>
    <row r="204" spans="1:13" ht="60" x14ac:dyDescent="0.25">
      <c r="A204" s="7" t="s">
        <v>11513</v>
      </c>
      <c r="B204" s="2" t="s">
        <v>8245</v>
      </c>
      <c r="C204" s="4">
        <v>1</v>
      </c>
      <c r="D204" s="5">
        <v>7.5</v>
      </c>
      <c r="E204" s="5">
        <v>19.989999999999998</v>
      </c>
      <c r="F204" s="4" t="s">
        <v>8246</v>
      </c>
      <c r="G204" s="2" t="s">
        <v>657</v>
      </c>
      <c r="H204" s="7" t="s">
        <v>4129</v>
      </c>
      <c r="I204" s="2" t="s">
        <v>342</v>
      </c>
      <c r="J204" s="2" t="s">
        <v>1872</v>
      </c>
      <c r="K204" s="2" t="s">
        <v>304</v>
      </c>
      <c r="L204" s="2" t="s">
        <v>8247</v>
      </c>
      <c r="M204" s="8" t="str">
        <f>HYPERLINK("http://slimages.macys.com/is/image/MCY/11636033 ")</f>
        <v xml:space="preserve">http://slimages.macys.com/is/image/MCY/11636033 </v>
      </c>
    </row>
    <row r="205" spans="1:13" ht="120" x14ac:dyDescent="0.25">
      <c r="A205" s="7" t="s">
        <v>11514</v>
      </c>
      <c r="B205" s="2" t="s">
        <v>11515</v>
      </c>
      <c r="C205" s="4">
        <v>1</v>
      </c>
      <c r="D205" s="5">
        <v>7.5</v>
      </c>
      <c r="E205" s="5">
        <v>16.989999999999998</v>
      </c>
      <c r="F205" s="4">
        <v>16506610</v>
      </c>
      <c r="G205" s="2"/>
      <c r="H205" s="7" t="s">
        <v>42</v>
      </c>
      <c r="I205" s="2" t="s">
        <v>153</v>
      </c>
      <c r="J205" s="2" t="s">
        <v>154</v>
      </c>
      <c r="K205" s="2" t="s">
        <v>304</v>
      </c>
      <c r="L205" s="2" t="s">
        <v>11516</v>
      </c>
      <c r="M205" s="8" t="str">
        <f>HYPERLINK("http://slimages.macys.com/is/image/MCY/11720222 ")</f>
        <v xml:space="preserve">http://slimages.macys.com/is/image/MCY/11720222 </v>
      </c>
    </row>
    <row r="206" spans="1:13" ht="72" x14ac:dyDescent="0.25">
      <c r="A206" s="7" t="s">
        <v>11517</v>
      </c>
      <c r="B206" s="2" t="s">
        <v>11518</v>
      </c>
      <c r="C206" s="4">
        <v>1</v>
      </c>
      <c r="D206" s="5">
        <v>7.32</v>
      </c>
      <c r="E206" s="5">
        <v>19.989999999999998</v>
      </c>
      <c r="F206" s="4" t="s">
        <v>11519</v>
      </c>
      <c r="G206" s="2" t="s">
        <v>36</v>
      </c>
      <c r="H206" s="7" t="s">
        <v>394</v>
      </c>
      <c r="I206" s="2" t="s">
        <v>815</v>
      </c>
      <c r="J206" s="2" t="s">
        <v>3973</v>
      </c>
      <c r="K206" s="2" t="s">
        <v>304</v>
      </c>
      <c r="L206" s="2" t="s">
        <v>6985</v>
      </c>
      <c r="M206" s="8" t="str">
        <f>HYPERLINK("http://slimages.macys.com/is/image/MCY/12816458 ")</f>
        <v xml:space="preserve">http://slimages.macys.com/is/image/MCY/12816458 </v>
      </c>
    </row>
    <row r="207" spans="1:13" ht="60" x14ac:dyDescent="0.25">
      <c r="A207" s="7" t="s">
        <v>4016</v>
      </c>
      <c r="B207" s="2" t="s">
        <v>4017</v>
      </c>
      <c r="C207" s="4">
        <v>1</v>
      </c>
      <c r="D207" s="5">
        <v>7.29</v>
      </c>
      <c r="E207" s="5">
        <v>18</v>
      </c>
      <c r="F207" s="4" t="s">
        <v>4018</v>
      </c>
      <c r="G207" s="2" t="s">
        <v>4019</v>
      </c>
      <c r="H207" s="7" t="s">
        <v>789</v>
      </c>
      <c r="I207" s="2" t="s">
        <v>523</v>
      </c>
      <c r="J207" s="2" t="s">
        <v>1042</v>
      </c>
      <c r="K207" s="2" t="s">
        <v>304</v>
      </c>
      <c r="L207" s="2" t="s">
        <v>4020</v>
      </c>
      <c r="M207" s="8" t="str">
        <f>HYPERLINK("http://slimages.macys.com/is/image/MCY/10428877 ")</f>
        <v xml:space="preserve">http://slimages.macys.com/is/image/MCY/10428877 </v>
      </c>
    </row>
    <row r="208" spans="1:13" ht="60" x14ac:dyDescent="0.25">
      <c r="A208" s="7" t="s">
        <v>11520</v>
      </c>
      <c r="B208" s="2" t="s">
        <v>11521</v>
      </c>
      <c r="C208" s="4">
        <v>2</v>
      </c>
      <c r="D208" s="5">
        <v>7.25</v>
      </c>
      <c r="E208" s="5">
        <v>14.98</v>
      </c>
      <c r="F208" s="4" t="s">
        <v>11522</v>
      </c>
      <c r="G208" s="2"/>
      <c r="H208" s="7" t="s">
        <v>3990</v>
      </c>
      <c r="I208" s="2" t="s">
        <v>523</v>
      </c>
      <c r="J208" s="2" t="s">
        <v>4086</v>
      </c>
      <c r="K208" s="2" t="s">
        <v>304</v>
      </c>
      <c r="L208" s="2" t="s">
        <v>358</v>
      </c>
      <c r="M208" s="8" t="str">
        <f>HYPERLINK("http://slimages.macys.com/is/image/MCY/2885301 ")</f>
        <v xml:space="preserve">http://slimages.macys.com/is/image/MCY/2885301 </v>
      </c>
    </row>
    <row r="209" spans="1:13" ht="60" x14ac:dyDescent="0.25">
      <c r="A209" s="7" t="s">
        <v>10490</v>
      </c>
      <c r="B209" s="2" t="s">
        <v>10491</v>
      </c>
      <c r="C209" s="4">
        <v>2</v>
      </c>
      <c r="D209" s="5">
        <v>7.25</v>
      </c>
      <c r="E209" s="5">
        <v>14.98</v>
      </c>
      <c r="F209" s="4" t="s">
        <v>10492</v>
      </c>
      <c r="G209" s="2" t="s">
        <v>41</v>
      </c>
      <c r="H209" s="7" t="s">
        <v>4085</v>
      </c>
      <c r="I209" s="2" t="s">
        <v>523</v>
      </c>
      <c r="J209" s="2" t="s">
        <v>4086</v>
      </c>
      <c r="K209" s="2" t="s">
        <v>304</v>
      </c>
      <c r="L209" s="2" t="s">
        <v>10493</v>
      </c>
      <c r="M209" s="8" t="str">
        <f>HYPERLINK("http://slimages.macys.com/is/image/MCY/11722413 ")</f>
        <v xml:space="preserve">http://slimages.macys.com/is/image/MCY/11722413 </v>
      </c>
    </row>
    <row r="210" spans="1:13" ht="60" x14ac:dyDescent="0.25">
      <c r="A210" s="7" t="s">
        <v>11523</v>
      </c>
      <c r="B210" s="2" t="s">
        <v>11524</v>
      </c>
      <c r="C210" s="4">
        <v>1</v>
      </c>
      <c r="D210" s="5">
        <v>7.25</v>
      </c>
      <c r="E210" s="5">
        <v>16.989999999999998</v>
      </c>
      <c r="F210" s="4" t="s">
        <v>11525</v>
      </c>
      <c r="G210" s="2" t="s">
        <v>582</v>
      </c>
      <c r="H210" s="7" t="s">
        <v>228</v>
      </c>
      <c r="I210" s="2" t="s">
        <v>342</v>
      </c>
      <c r="J210" s="2" t="s">
        <v>1789</v>
      </c>
      <c r="K210" s="2" t="s">
        <v>304</v>
      </c>
      <c r="L210" s="2" t="s">
        <v>10497</v>
      </c>
      <c r="M210" s="8" t="str">
        <f>HYPERLINK("http://slimages.macys.com/is/image/MCY/12236934 ")</f>
        <v xml:space="preserve">http://slimages.macys.com/is/image/MCY/12236934 </v>
      </c>
    </row>
    <row r="211" spans="1:13" ht="60" x14ac:dyDescent="0.25">
      <c r="A211" s="7" t="s">
        <v>11526</v>
      </c>
      <c r="B211" s="2" t="s">
        <v>11521</v>
      </c>
      <c r="C211" s="4">
        <v>3</v>
      </c>
      <c r="D211" s="5">
        <v>7.25</v>
      </c>
      <c r="E211" s="5">
        <v>14.98</v>
      </c>
      <c r="F211" s="4" t="s">
        <v>11522</v>
      </c>
      <c r="G211" s="2"/>
      <c r="H211" s="7"/>
      <c r="I211" s="2" t="s">
        <v>523</v>
      </c>
      <c r="J211" s="2" t="s">
        <v>4086</v>
      </c>
      <c r="K211" s="2" t="s">
        <v>304</v>
      </c>
      <c r="L211" s="2" t="s">
        <v>358</v>
      </c>
      <c r="M211" s="8" t="str">
        <f>HYPERLINK("http://slimages.macys.com/is/image/MCY/2885301 ")</f>
        <v xml:space="preserve">http://slimages.macys.com/is/image/MCY/2885301 </v>
      </c>
    </row>
    <row r="212" spans="1:13" ht="60" x14ac:dyDescent="0.25">
      <c r="A212" s="7" t="s">
        <v>11527</v>
      </c>
      <c r="B212" s="2" t="s">
        <v>11521</v>
      </c>
      <c r="C212" s="4">
        <v>1</v>
      </c>
      <c r="D212" s="5">
        <v>7.25</v>
      </c>
      <c r="E212" s="5">
        <v>14.98</v>
      </c>
      <c r="F212" s="4" t="s">
        <v>11522</v>
      </c>
      <c r="G212" s="2"/>
      <c r="H212" s="7" t="s">
        <v>4085</v>
      </c>
      <c r="I212" s="2" t="s">
        <v>523</v>
      </c>
      <c r="J212" s="2" t="s">
        <v>4086</v>
      </c>
      <c r="K212" s="2" t="s">
        <v>304</v>
      </c>
      <c r="L212" s="2" t="s">
        <v>358</v>
      </c>
      <c r="M212" s="8" t="str">
        <f>HYPERLINK("http://slimages.macys.com/is/image/MCY/2885301 ")</f>
        <v xml:space="preserve">http://slimages.macys.com/is/image/MCY/2885301 </v>
      </c>
    </row>
    <row r="213" spans="1:13" ht="72" x14ac:dyDescent="0.25">
      <c r="A213" s="7" t="s">
        <v>946</v>
      </c>
      <c r="B213" s="2" t="s">
        <v>935</v>
      </c>
      <c r="C213" s="4">
        <v>1</v>
      </c>
      <c r="D213" s="5">
        <v>7.2</v>
      </c>
      <c r="E213" s="5">
        <v>18</v>
      </c>
      <c r="F213" s="4" t="s">
        <v>936</v>
      </c>
      <c r="G213" s="2" t="s">
        <v>62</v>
      </c>
      <c r="H213" s="7"/>
      <c r="I213" s="2" t="s">
        <v>523</v>
      </c>
      <c r="J213" s="2" t="s">
        <v>937</v>
      </c>
      <c r="K213" s="2" t="s">
        <v>304</v>
      </c>
      <c r="L213" s="2" t="s">
        <v>938</v>
      </c>
      <c r="M213" s="8" t="str">
        <f>HYPERLINK("http://slimages.macys.com/is/image/MCY/9628134 ")</f>
        <v xml:space="preserve">http://slimages.macys.com/is/image/MCY/9628134 </v>
      </c>
    </row>
    <row r="214" spans="1:13" ht="72" x14ac:dyDescent="0.25">
      <c r="A214" s="7" t="s">
        <v>934</v>
      </c>
      <c r="B214" s="2" t="s">
        <v>935</v>
      </c>
      <c r="C214" s="4">
        <v>2</v>
      </c>
      <c r="D214" s="5">
        <v>7.2</v>
      </c>
      <c r="E214" s="5">
        <v>18</v>
      </c>
      <c r="F214" s="4" t="s">
        <v>936</v>
      </c>
      <c r="G214" s="2" t="s">
        <v>41</v>
      </c>
      <c r="H214" s="7"/>
      <c r="I214" s="2" t="s">
        <v>523</v>
      </c>
      <c r="J214" s="2" t="s">
        <v>937</v>
      </c>
      <c r="K214" s="2" t="s">
        <v>304</v>
      </c>
      <c r="L214" s="2" t="s">
        <v>938</v>
      </c>
      <c r="M214" s="8" t="str">
        <f>HYPERLINK("http://slimages.macys.com/is/image/MCY/9628134 ")</f>
        <v xml:space="preserve">http://slimages.macys.com/is/image/MCY/9628134 </v>
      </c>
    </row>
    <row r="215" spans="1:13" ht="60" x14ac:dyDescent="0.25">
      <c r="A215" s="7" t="s">
        <v>945</v>
      </c>
      <c r="B215" s="2" t="s">
        <v>935</v>
      </c>
      <c r="C215" s="4">
        <v>2</v>
      </c>
      <c r="D215" s="5">
        <v>7.2</v>
      </c>
      <c r="E215" s="5">
        <v>18</v>
      </c>
      <c r="F215" s="4" t="s">
        <v>940</v>
      </c>
      <c r="G215" s="2" t="s">
        <v>62</v>
      </c>
      <c r="H215" s="7"/>
      <c r="I215" s="2" t="s">
        <v>523</v>
      </c>
      <c r="J215" s="2" t="s">
        <v>937</v>
      </c>
      <c r="K215" s="2" t="s">
        <v>304</v>
      </c>
      <c r="L215" s="2" t="s">
        <v>263</v>
      </c>
      <c r="M215" s="8" t="str">
        <f>HYPERLINK("http://slimages.macys.com/is/image/MCY/9628127 ")</f>
        <v xml:space="preserve">http://slimages.macys.com/is/image/MCY/9628127 </v>
      </c>
    </row>
    <row r="216" spans="1:13" ht="72" x14ac:dyDescent="0.25">
      <c r="A216" s="7" t="s">
        <v>11528</v>
      </c>
      <c r="B216" s="2" t="s">
        <v>7529</v>
      </c>
      <c r="C216" s="4">
        <v>1</v>
      </c>
      <c r="D216" s="5">
        <v>7.2</v>
      </c>
      <c r="E216" s="5">
        <v>19.989999999999998</v>
      </c>
      <c r="F216" s="4">
        <v>26567710</v>
      </c>
      <c r="G216" s="2"/>
      <c r="H216" s="7" t="s">
        <v>209</v>
      </c>
      <c r="I216" s="2" t="s">
        <v>321</v>
      </c>
      <c r="J216" s="2" t="s">
        <v>2552</v>
      </c>
      <c r="K216" s="2" t="s">
        <v>304</v>
      </c>
      <c r="L216" s="2" t="s">
        <v>2553</v>
      </c>
      <c r="M216" s="8" t="str">
        <f>HYPERLINK("http://slimages.macys.com/is/image/MCY/11954641 ")</f>
        <v xml:space="preserve">http://slimages.macys.com/is/image/MCY/11954641 </v>
      </c>
    </row>
    <row r="217" spans="1:13" ht="96" x14ac:dyDescent="0.25">
      <c r="A217" s="7" t="s">
        <v>11529</v>
      </c>
      <c r="B217" s="2" t="s">
        <v>11530</v>
      </c>
      <c r="C217" s="4">
        <v>1</v>
      </c>
      <c r="D217" s="5">
        <v>7.17</v>
      </c>
      <c r="E217" s="5">
        <v>16.989999999999998</v>
      </c>
      <c r="F217" s="4" t="s">
        <v>11531</v>
      </c>
      <c r="G217" s="2" t="s">
        <v>171</v>
      </c>
      <c r="H217" s="7" t="s">
        <v>42</v>
      </c>
      <c r="I217" s="2" t="s">
        <v>483</v>
      </c>
      <c r="J217" s="2" t="s">
        <v>536</v>
      </c>
      <c r="K217" s="2" t="s">
        <v>304</v>
      </c>
      <c r="L217" s="2" t="s">
        <v>6860</v>
      </c>
      <c r="M217" s="8" t="str">
        <f>HYPERLINK("http://slimages.macys.com/is/image/MCY/10532955 ")</f>
        <v xml:space="preserve">http://slimages.macys.com/is/image/MCY/10532955 </v>
      </c>
    </row>
    <row r="218" spans="1:13" ht="60" x14ac:dyDescent="0.25">
      <c r="A218" s="7" t="s">
        <v>11532</v>
      </c>
      <c r="B218" s="2" t="s">
        <v>987</v>
      </c>
      <c r="C218" s="4">
        <v>1</v>
      </c>
      <c r="D218" s="5">
        <v>7.15</v>
      </c>
      <c r="E218" s="5">
        <v>10.99</v>
      </c>
      <c r="F218" s="4" t="s">
        <v>988</v>
      </c>
      <c r="G218" s="2" t="s">
        <v>582</v>
      </c>
      <c r="H218" s="7" t="s">
        <v>196</v>
      </c>
      <c r="I218" s="2" t="s">
        <v>523</v>
      </c>
      <c r="J218" s="2" t="s">
        <v>969</v>
      </c>
      <c r="K218" s="2" t="s">
        <v>304</v>
      </c>
      <c r="L218" s="2" t="s">
        <v>970</v>
      </c>
      <c r="M218" s="8" t="str">
        <f>HYPERLINK("http://slimages.macys.com/is/image/MCY/11646814 ")</f>
        <v xml:space="preserve">http://slimages.macys.com/is/image/MCY/11646814 </v>
      </c>
    </row>
    <row r="219" spans="1:13" ht="60" x14ac:dyDescent="0.25">
      <c r="A219" s="7" t="s">
        <v>5391</v>
      </c>
      <c r="B219" s="2" t="s">
        <v>5389</v>
      </c>
      <c r="C219" s="4">
        <v>1</v>
      </c>
      <c r="D219" s="5">
        <v>7.12</v>
      </c>
      <c r="E219" s="5">
        <v>19.989999999999998</v>
      </c>
      <c r="F219" s="4" t="s">
        <v>5390</v>
      </c>
      <c r="G219" s="2" t="s">
        <v>103</v>
      </c>
      <c r="H219" s="7" t="s">
        <v>196</v>
      </c>
      <c r="I219" s="2" t="s">
        <v>389</v>
      </c>
      <c r="J219" s="2" t="s">
        <v>354</v>
      </c>
      <c r="K219" s="2" t="s">
        <v>304</v>
      </c>
      <c r="L219" s="2" t="s">
        <v>596</v>
      </c>
      <c r="M219" s="8" t="str">
        <f>HYPERLINK("http://slimages.macys.com/is/image/MCY/12670165 ")</f>
        <v xml:space="preserve">http://slimages.macys.com/is/image/MCY/12670165 </v>
      </c>
    </row>
    <row r="220" spans="1:13" ht="60" x14ac:dyDescent="0.25">
      <c r="A220" s="7" t="s">
        <v>11533</v>
      </c>
      <c r="B220" s="2" t="s">
        <v>10501</v>
      </c>
      <c r="C220" s="4">
        <v>3</v>
      </c>
      <c r="D220" s="5">
        <v>7.05</v>
      </c>
      <c r="E220" s="5">
        <v>11.99</v>
      </c>
      <c r="F220" s="4" t="s">
        <v>10502</v>
      </c>
      <c r="G220" s="2" t="s">
        <v>36</v>
      </c>
      <c r="H220" s="7" t="s">
        <v>284</v>
      </c>
      <c r="I220" s="2" t="s">
        <v>73</v>
      </c>
      <c r="J220" s="2" t="s">
        <v>1917</v>
      </c>
      <c r="K220" s="2" t="s">
        <v>304</v>
      </c>
      <c r="L220" s="2" t="s">
        <v>125</v>
      </c>
      <c r="M220" s="8" t="str">
        <f>HYPERLINK("http://slimages.macys.com/is/image/MCY/12688490 ")</f>
        <v xml:space="preserve">http://slimages.macys.com/is/image/MCY/12688490 </v>
      </c>
    </row>
    <row r="221" spans="1:13" ht="60" x14ac:dyDescent="0.25">
      <c r="A221" s="7" t="s">
        <v>11534</v>
      </c>
      <c r="B221" s="2" t="s">
        <v>10501</v>
      </c>
      <c r="C221" s="4">
        <v>3</v>
      </c>
      <c r="D221" s="5">
        <v>7.05</v>
      </c>
      <c r="E221" s="5">
        <v>11.99</v>
      </c>
      <c r="F221" s="4" t="s">
        <v>10502</v>
      </c>
      <c r="G221" s="2" t="s">
        <v>36</v>
      </c>
      <c r="H221" s="7" t="s">
        <v>196</v>
      </c>
      <c r="I221" s="2" t="s">
        <v>73</v>
      </c>
      <c r="J221" s="2" t="s">
        <v>1917</v>
      </c>
      <c r="K221" s="2" t="s">
        <v>304</v>
      </c>
      <c r="L221" s="2" t="s">
        <v>125</v>
      </c>
      <c r="M221" s="8" t="str">
        <f>HYPERLINK("http://slimages.macys.com/is/image/MCY/12688490 ")</f>
        <v xml:space="preserve">http://slimages.macys.com/is/image/MCY/12688490 </v>
      </c>
    </row>
    <row r="222" spans="1:13" ht="60" x14ac:dyDescent="0.25">
      <c r="A222" s="7" t="s">
        <v>10500</v>
      </c>
      <c r="B222" s="2" t="s">
        <v>10501</v>
      </c>
      <c r="C222" s="4">
        <v>6</v>
      </c>
      <c r="D222" s="5">
        <v>7.05</v>
      </c>
      <c r="E222" s="5">
        <v>11.99</v>
      </c>
      <c r="F222" s="4" t="s">
        <v>10502</v>
      </c>
      <c r="G222" s="2" t="s">
        <v>36</v>
      </c>
      <c r="H222" s="7" t="s">
        <v>159</v>
      </c>
      <c r="I222" s="2" t="s">
        <v>73</v>
      </c>
      <c r="J222" s="2" t="s">
        <v>1917</v>
      </c>
      <c r="K222" s="2" t="s">
        <v>304</v>
      </c>
      <c r="L222" s="2" t="s">
        <v>125</v>
      </c>
      <c r="M222" s="8" t="str">
        <f>HYPERLINK("http://slimages.macys.com/is/image/MCY/12688490 ")</f>
        <v xml:space="preserve">http://slimages.macys.com/is/image/MCY/12688490 </v>
      </c>
    </row>
    <row r="223" spans="1:13" ht="60" x14ac:dyDescent="0.25">
      <c r="A223" s="7" t="s">
        <v>10503</v>
      </c>
      <c r="B223" s="2" t="s">
        <v>10501</v>
      </c>
      <c r="C223" s="4">
        <v>4</v>
      </c>
      <c r="D223" s="5">
        <v>7.05</v>
      </c>
      <c r="E223" s="5">
        <v>11.99</v>
      </c>
      <c r="F223" s="4" t="s">
        <v>10502</v>
      </c>
      <c r="G223" s="2" t="s">
        <v>36</v>
      </c>
      <c r="H223" s="7" t="s">
        <v>228</v>
      </c>
      <c r="I223" s="2" t="s">
        <v>73</v>
      </c>
      <c r="J223" s="2" t="s">
        <v>1917</v>
      </c>
      <c r="K223" s="2" t="s">
        <v>304</v>
      </c>
      <c r="L223" s="2" t="s">
        <v>125</v>
      </c>
      <c r="M223" s="8" t="str">
        <f>HYPERLINK("http://slimages.macys.com/is/image/MCY/12688490 ")</f>
        <v xml:space="preserve">http://slimages.macys.com/is/image/MCY/12688490 </v>
      </c>
    </row>
    <row r="224" spans="1:13" ht="60" x14ac:dyDescent="0.25">
      <c r="A224" s="7" t="s">
        <v>11535</v>
      </c>
      <c r="B224" s="2" t="s">
        <v>6862</v>
      </c>
      <c r="C224" s="4">
        <v>1</v>
      </c>
      <c r="D224" s="5">
        <v>7.05</v>
      </c>
      <c r="E224" s="5">
        <v>16.04</v>
      </c>
      <c r="F224" s="4">
        <v>17879810</v>
      </c>
      <c r="G224" s="2"/>
      <c r="H224" s="7" t="s">
        <v>675</v>
      </c>
      <c r="I224" s="2" t="s">
        <v>153</v>
      </c>
      <c r="J224" s="2" t="s">
        <v>154</v>
      </c>
      <c r="K224" s="2" t="s">
        <v>304</v>
      </c>
      <c r="L224" s="2" t="s">
        <v>38</v>
      </c>
      <c r="M224" s="8" t="str">
        <f>HYPERLINK("http://slimages.macys.com/is/image/MCY/13727650 ")</f>
        <v xml:space="preserve">http://slimages.macys.com/is/image/MCY/13727650 </v>
      </c>
    </row>
    <row r="225" spans="1:13" ht="60" x14ac:dyDescent="0.25">
      <c r="A225" s="7" t="s">
        <v>4927</v>
      </c>
      <c r="B225" s="2" t="s">
        <v>968</v>
      </c>
      <c r="C225" s="4">
        <v>2</v>
      </c>
      <c r="D225" s="5">
        <v>7</v>
      </c>
      <c r="E225" s="5">
        <v>14.99</v>
      </c>
      <c r="F225" s="4">
        <v>7135</v>
      </c>
      <c r="G225" s="2" t="s">
        <v>657</v>
      </c>
      <c r="H225" s="7" t="s">
        <v>228</v>
      </c>
      <c r="I225" s="2" t="s">
        <v>523</v>
      </c>
      <c r="J225" s="2" t="s">
        <v>969</v>
      </c>
      <c r="K225" s="2" t="s">
        <v>304</v>
      </c>
      <c r="L225" s="2" t="s">
        <v>970</v>
      </c>
      <c r="M225" s="8" t="str">
        <f>HYPERLINK("http://slimages.macys.com/is/image/MCY/13040252 ")</f>
        <v xml:space="preserve">http://slimages.macys.com/is/image/MCY/13040252 </v>
      </c>
    </row>
    <row r="226" spans="1:13" ht="60" x14ac:dyDescent="0.25">
      <c r="A226" s="7" t="s">
        <v>972</v>
      </c>
      <c r="B226" s="2" t="s">
        <v>973</v>
      </c>
      <c r="C226" s="4">
        <v>3</v>
      </c>
      <c r="D226" s="5">
        <v>7</v>
      </c>
      <c r="E226" s="5">
        <v>14.99</v>
      </c>
      <c r="F226" s="4">
        <v>6137</v>
      </c>
      <c r="G226" s="2" t="s">
        <v>657</v>
      </c>
      <c r="H226" s="7" t="s">
        <v>228</v>
      </c>
      <c r="I226" s="2" t="s">
        <v>523</v>
      </c>
      <c r="J226" s="2" t="s">
        <v>969</v>
      </c>
      <c r="K226" s="2" t="s">
        <v>304</v>
      </c>
      <c r="L226" s="2" t="s">
        <v>100</v>
      </c>
      <c r="M226" s="8" t="str">
        <f>HYPERLINK("http://slimages.macys.com/is/image/MCY/13040214 ")</f>
        <v xml:space="preserve">http://slimages.macys.com/is/image/MCY/13040214 </v>
      </c>
    </row>
    <row r="227" spans="1:13" ht="60" x14ac:dyDescent="0.25">
      <c r="A227" s="7" t="s">
        <v>978</v>
      </c>
      <c r="B227" s="2" t="s">
        <v>968</v>
      </c>
      <c r="C227" s="4">
        <v>3</v>
      </c>
      <c r="D227" s="5">
        <v>7</v>
      </c>
      <c r="E227" s="5">
        <v>14.99</v>
      </c>
      <c r="F227" s="4">
        <v>7135</v>
      </c>
      <c r="G227" s="2" t="s">
        <v>36</v>
      </c>
      <c r="H227" s="7" t="s">
        <v>228</v>
      </c>
      <c r="I227" s="2" t="s">
        <v>523</v>
      </c>
      <c r="J227" s="2" t="s">
        <v>969</v>
      </c>
      <c r="K227" s="2" t="s">
        <v>304</v>
      </c>
      <c r="L227" s="2" t="s">
        <v>970</v>
      </c>
      <c r="M227" s="8" t="str">
        <f>HYPERLINK("http://slimages.macys.com/is/image/MCY/13040275 ")</f>
        <v xml:space="preserve">http://slimages.macys.com/is/image/MCY/13040275 </v>
      </c>
    </row>
    <row r="228" spans="1:13" ht="60" x14ac:dyDescent="0.25">
      <c r="A228" s="7" t="s">
        <v>967</v>
      </c>
      <c r="B228" s="2" t="s">
        <v>968</v>
      </c>
      <c r="C228" s="4">
        <v>2</v>
      </c>
      <c r="D228" s="5">
        <v>7</v>
      </c>
      <c r="E228" s="5">
        <v>14.99</v>
      </c>
      <c r="F228" s="4">
        <v>7135</v>
      </c>
      <c r="G228" s="2" t="s">
        <v>657</v>
      </c>
      <c r="H228" s="7" t="s">
        <v>159</v>
      </c>
      <c r="I228" s="2" t="s">
        <v>523</v>
      </c>
      <c r="J228" s="2" t="s">
        <v>969</v>
      </c>
      <c r="K228" s="2" t="s">
        <v>304</v>
      </c>
      <c r="L228" s="2" t="s">
        <v>970</v>
      </c>
      <c r="M228" s="8" t="str">
        <f>HYPERLINK("http://slimages.macys.com/is/image/MCY/13040252 ")</f>
        <v xml:space="preserve">http://slimages.macys.com/is/image/MCY/13040252 </v>
      </c>
    </row>
    <row r="229" spans="1:13" ht="60" x14ac:dyDescent="0.25">
      <c r="A229" s="7" t="s">
        <v>4928</v>
      </c>
      <c r="B229" s="2" t="s">
        <v>968</v>
      </c>
      <c r="C229" s="4">
        <v>2</v>
      </c>
      <c r="D229" s="5">
        <v>7</v>
      </c>
      <c r="E229" s="5">
        <v>14.99</v>
      </c>
      <c r="F229" s="4">
        <v>7135</v>
      </c>
      <c r="G229" s="2" t="s">
        <v>36</v>
      </c>
      <c r="H229" s="7" t="s">
        <v>159</v>
      </c>
      <c r="I229" s="2" t="s">
        <v>523</v>
      </c>
      <c r="J229" s="2" t="s">
        <v>969</v>
      </c>
      <c r="K229" s="2" t="s">
        <v>304</v>
      </c>
      <c r="L229" s="2" t="s">
        <v>970</v>
      </c>
      <c r="M229" s="8" t="str">
        <f>HYPERLINK("http://slimages.macys.com/is/image/MCY/13040275 ")</f>
        <v xml:space="preserve">http://slimages.macys.com/is/image/MCY/13040275 </v>
      </c>
    </row>
    <row r="230" spans="1:13" ht="60" x14ac:dyDescent="0.25">
      <c r="A230" s="7" t="s">
        <v>971</v>
      </c>
      <c r="B230" s="2" t="s">
        <v>968</v>
      </c>
      <c r="C230" s="4">
        <v>3</v>
      </c>
      <c r="D230" s="5">
        <v>7</v>
      </c>
      <c r="E230" s="5">
        <v>14.99</v>
      </c>
      <c r="F230" s="4">
        <v>7135</v>
      </c>
      <c r="G230" s="2" t="s">
        <v>657</v>
      </c>
      <c r="H230" s="7" t="s">
        <v>284</v>
      </c>
      <c r="I230" s="2" t="s">
        <v>523</v>
      </c>
      <c r="J230" s="2" t="s">
        <v>969</v>
      </c>
      <c r="K230" s="2" t="s">
        <v>304</v>
      </c>
      <c r="L230" s="2" t="s">
        <v>970</v>
      </c>
      <c r="M230" s="8" t="str">
        <f>HYPERLINK("http://slimages.macys.com/is/image/MCY/13040252 ")</f>
        <v xml:space="preserve">http://slimages.macys.com/is/image/MCY/13040252 </v>
      </c>
    </row>
    <row r="231" spans="1:13" ht="60" x14ac:dyDescent="0.25">
      <c r="A231" s="7" t="s">
        <v>3320</v>
      </c>
      <c r="B231" s="2" t="s">
        <v>968</v>
      </c>
      <c r="C231" s="4">
        <v>1</v>
      </c>
      <c r="D231" s="5">
        <v>7</v>
      </c>
      <c r="E231" s="5">
        <v>14.99</v>
      </c>
      <c r="F231" s="4">
        <v>7135</v>
      </c>
      <c r="G231" s="2" t="s">
        <v>36</v>
      </c>
      <c r="H231" s="7" t="s">
        <v>196</v>
      </c>
      <c r="I231" s="2" t="s">
        <v>523</v>
      </c>
      <c r="J231" s="2" t="s">
        <v>969</v>
      </c>
      <c r="K231" s="2" t="s">
        <v>304</v>
      </c>
      <c r="L231" s="2" t="s">
        <v>970</v>
      </c>
      <c r="M231" s="8" t="str">
        <f>HYPERLINK("http://slimages.macys.com/is/image/MCY/13040275 ")</f>
        <v xml:space="preserve">http://slimages.macys.com/is/image/MCY/13040275 </v>
      </c>
    </row>
    <row r="232" spans="1:13" ht="60" x14ac:dyDescent="0.25">
      <c r="A232" s="7" t="s">
        <v>8902</v>
      </c>
      <c r="B232" s="2" t="s">
        <v>973</v>
      </c>
      <c r="C232" s="4">
        <v>2</v>
      </c>
      <c r="D232" s="5">
        <v>7</v>
      </c>
      <c r="E232" s="5">
        <v>14.99</v>
      </c>
      <c r="F232" s="4">
        <v>6137</v>
      </c>
      <c r="G232" s="2" t="s">
        <v>657</v>
      </c>
      <c r="H232" s="7" t="s">
        <v>284</v>
      </c>
      <c r="I232" s="2" t="s">
        <v>523</v>
      </c>
      <c r="J232" s="2" t="s">
        <v>969</v>
      </c>
      <c r="K232" s="2" t="s">
        <v>304</v>
      </c>
      <c r="L232" s="2" t="s">
        <v>100</v>
      </c>
      <c r="M232" s="8" t="str">
        <f>HYPERLINK("http://slimages.macys.com/is/image/MCY/13040214 ")</f>
        <v xml:space="preserve">http://slimages.macys.com/is/image/MCY/13040214 </v>
      </c>
    </row>
    <row r="233" spans="1:13" ht="60" x14ac:dyDescent="0.25">
      <c r="A233" s="7" t="s">
        <v>4926</v>
      </c>
      <c r="B233" s="2" t="s">
        <v>973</v>
      </c>
      <c r="C233" s="4">
        <v>3</v>
      </c>
      <c r="D233" s="5">
        <v>7</v>
      </c>
      <c r="E233" s="5">
        <v>14.99</v>
      </c>
      <c r="F233" s="4">
        <v>6137</v>
      </c>
      <c r="G233" s="2" t="s">
        <v>657</v>
      </c>
      <c r="H233" s="7" t="s">
        <v>196</v>
      </c>
      <c r="I233" s="2" t="s">
        <v>523</v>
      </c>
      <c r="J233" s="2" t="s">
        <v>969</v>
      </c>
      <c r="K233" s="2" t="s">
        <v>304</v>
      </c>
      <c r="L233" s="2" t="s">
        <v>100</v>
      </c>
      <c r="M233" s="8" t="str">
        <f>HYPERLINK("http://slimages.macys.com/is/image/MCY/13040214 ")</f>
        <v xml:space="preserve">http://slimages.macys.com/is/image/MCY/13040214 </v>
      </c>
    </row>
    <row r="234" spans="1:13" ht="144" x14ac:dyDescent="0.25">
      <c r="A234" s="7" t="s">
        <v>11536</v>
      </c>
      <c r="B234" s="2" t="s">
        <v>9521</v>
      </c>
      <c r="C234" s="4">
        <v>1</v>
      </c>
      <c r="D234" s="5">
        <v>7</v>
      </c>
      <c r="E234" s="5">
        <v>19.989999999999998</v>
      </c>
      <c r="F234" s="4" t="s">
        <v>9522</v>
      </c>
      <c r="G234" s="2" t="s">
        <v>41</v>
      </c>
      <c r="H234" s="7" t="s">
        <v>159</v>
      </c>
      <c r="I234" s="2" t="s">
        <v>342</v>
      </c>
      <c r="J234" s="2" t="s">
        <v>1589</v>
      </c>
      <c r="K234" s="2" t="s">
        <v>304</v>
      </c>
      <c r="L234" s="2" t="s">
        <v>9523</v>
      </c>
      <c r="M234" s="8" t="str">
        <f>HYPERLINK("http://slimages.macys.com/is/image/MCY/13294162 ")</f>
        <v xml:space="preserve">http://slimages.macys.com/is/image/MCY/13294162 </v>
      </c>
    </row>
    <row r="235" spans="1:13" ht="60" x14ac:dyDescent="0.25">
      <c r="A235" s="7" t="s">
        <v>1749</v>
      </c>
      <c r="B235" s="2" t="s">
        <v>1750</v>
      </c>
      <c r="C235" s="4">
        <v>1</v>
      </c>
      <c r="D235" s="5">
        <v>6.93</v>
      </c>
      <c r="E235" s="5">
        <v>16.989999999999998</v>
      </c>
      <c r="F235" s="4" t="s">
        <v>1751</v>
      </c>
      <c r="G235" s="2" t="s">
        <v>62</v>
      </c>
      <c r="H235" s="7" t="s">
        <v>159</v>
      </c>
      <c r="I235" s="2" t="s">
        <v>515</v>
      </c>
      <c r="J235" s="2" t="s">
        <v>827</v>
      </c>
      <c r="K235" s="2" t="s">
        <v>304</v>
      </c>
      <c r="L235" s="2" t="s">
        <v>125</v>
      </c>
      <c r="M235" s="8" t="str">
        <f>HYPERLINK("http://slimages.macys.com/is/image/MCY/13119364 ")</f>
        <v xml:space="preserve">http://slimages.macys.com/is/image/MCY/13119364 </v>
      </c>
    </row>
    <row r="236" spans="1:13" ht="60" x14ac:dyDescent="0.25">
      <c r="A236" s="7" t="s">
        <v>9532</v>
      </c>
      <c r="B236" s="2" t="s">
        <v>9533</v>
      </c>
      <c r="C236" s="4">
        <v>1</v>
      </c>
      <c r="D236" s="5">
        <v>6.88</v>
      </c>
      <c r="E236" s="5">
        <v>19.989999999999998</v>
      </c>
      <c r="F236" s="4" t="s">
        <v>9534</v>
      </c>
      <c r="G236" s="2" t="s">
        <v>793</v>
      </c>
      <c r="H236" s="7" t="s">
        <v>42</v>
      </c>
      <c r="I236" s="2" t="s">
        <v>483</v>
      </c>
      <c r="J236" s="2" t="s">
        <v>536</v>
      </c>
      <c r="K236" s="2" t="s">
        <v>304</v>
      </c>
      <c r="L236" s="2" t="s">
        <v>119</v>
      </c>
      <c r="M236" s="8" t="str">
        <f>HYPERLINK("http://slimages.macys.com/is/image/MCY/11107552 ")</f>
        <v xml:space="preserve">http://slimages.macys.com/is/image/MCY/11107552 </v>
      </c>
    </row>
    <row r="237" spans="1:13" ht="60" x14ac:dyDescent="0.25">
      <c r="A237" s="7" t="s">
        <v>11537</v>
      </c>
      <c r="B237" s="2" t="s">
        <v>990</v>
      </c>
      <c r="C237" s="4">
        <v>1</v>
      </c>
      <c r="D237" s="5">
        <v>6.85</v>
      </c>
      <c r="E237" s="5">
        <v>18</v>
      </c>
      <c r="F237" s="4" t="s">
        <v>991</v>
      </c>
      <c r="G237" s="2" t="s">
        <v>755</v>
      </c>
      <c r="H237" s="7" t="s">
        <v>97</v>
      </c>
      <c r="I237" s="2" t="s">
        <v>468</v>
      </c>
      <c r="J237" s="2" t="s">
        <v>469</v>
      </c>
      <c r="K237" s="2" t="s">
        <v>304</v>
      </c>
      <c r="L237" s="2" t="s">
        <v>87</v>
      </c>
      <c r="M237" s="8" t="str">
        <f>HYPERLINK("http://slimages.macys.com/is/image/MCY/11959696 ")</f>
        <v xml:space="preserve">http://slimages.macys.com/is/image/MCY/11959696 </v>
      </c>
    </row>
    <row r="238" spans="1:13" ht="60" x14ac:dyDescent="0.25">
      <c r="A238" s="7" t="s">
        <v>8914</v>
      </c>
      <c r="B238" s="2" t="s">
        <v>1768</v>
      </c>
      <c r="C238" s="4">
        <v>1</v>
      </c>
      <c r="D238" s="5">
        <v>6.85</v>
      </c>
      <c r="E238" s="5">
        <v>18</v>
      </c>
      <c r="F238" s="4" t="s">
        <v>1769</v>
      </c>
      <c r="G238" s="2" t="s">
        <v>62</v>
      </c>
      <c r="H238" s="7" t="s">
        <v>284</v>
      </c>
      <c r="I238" s="2" t="s">
        <v>468</v>
      </c>
      <c r="J238" s="2" t="s">
        <v>469</v>
      </c>
      <c r="K238" s="2" t="s">
        <v>304</v>
      </c>
      <c r="L238" s="2" t="s">
        <v>100</v>
      </c>
      <c r="M238" s="8" t="str">
        <f>HYPERLINK("http://slimages.macys.com/is/image/MCY/12809150 ")</f>
        <v xml:space="preserve">http://slimages.macys.com/is/image/MCY/12809150 </v>
      </c>
    </row>
    <row r="239" spans="1:13" ht="60" x14ac:dyDescent="0.25">
      <c r="A239" s="7" t="s">
        <v>8913</v>
      </c>
      <c r="B239" s="2" t="s">
        <v>1768</v>
      </c>
      <c r="C239" s="4">
        <v>1</v>
      </c>
      <c r="D239" s="5">
        <v>6.85</v>
      </c>
      <c r="E239" s="5">
        <v>18</v>
      </c>
      <c r="F239" s="4" t="s">
        <v>1769</v>
      </c>
      <c r="G239" s="2" t="s">
        <v>62</v>
      </c>
      <c r="H239" s="7" t="s">
        <v>159</v>
      </c>
      <c r="I239" s="2" t="s">
        <v>468</v>
      </c>
      <c r="J239" s="2" t="s">
        <v>469</v>
      </c>
      <c r="K239" s="2" t="s">
        <v>304</v>
      </c>
      <c r="L239" s="2" t="s">
        <v>100</v>
      </c>
      <c r="M239" s="8" t="str">
        <f>HYPERLINK("http://slimages.macys.com/is/image/MCY/12809150 ")</f>
        <v xml:space="preserve">http://slimages.macys.com/is/image/MCY/12809150 </v>
      </c>
    </row>
    <row r="240" spans="1:13" ht="60" x14ac:dyDescent="0.25">
      <c r="A240" s="7" t="s">
        <v>1774</v>
      </c>
      <c r="B240" s="2" t="s">
        <v>990</v>
      </c>
      <c r="C240" s="4">
        <v>2</v>
      </c>
      <c r="D240" s="5">
        <v>6.85</v>
      </c>
      <c r="E240" s="5">
        <v>18</v>
      </c>
      <c r="F240" s="4" t="s">
        <v>991</v>
      </c>
      <c r="G240" s="2" t="s">
        <v>755</v>
      </c>
      <c r="H240" s="7" t="s">
        <v>177</v>
      </c>
      <c r="I240" s="2" t="s">
        <v>468</v>
      </c>
      <c r="J240" s="2" t="s">
        <v>469</v>
      </c>
      <c r="K240" s="2" t="s">
        <v>304</v>
      </c>
      <c r="L240" s="2" t="s">
        <v>87</v>
      </c>
      <c r="M240" s="8" t="str">
        <f t="shared" ref="M240:M245" si="0">HYPERLINK("http://slimages.macys.com/is/image/MCY/11959696 ")</f>
        <v xml:space="preserve">http://slimages.macys.com/is/image/MCY/11959696 </v>
      </c>
    </row>
    <row r="241" spans="1:13" ht="60" x14ac:dyDescent="0.25">
      <c r="A241" s="7" t="s">
        <v>11538</v>
      </c>
      <c r="B241" s="2" t="s">
        <v>990</v>
      </c>
      <c r="C241" s="4">
        <v>1</v>
      </c>
      <c r="D241" s="5">
        <v>6.85</v>
      </c>
      <c r="E241" s="5">
        <v>18</v>
      </c>
      <c r="F241" s="4" t="s">
        <v>991</v>
      </c>
      <c r="G241" s="2" t="s">
        <v>755</v>
      </c>
      <c r="H241" s="7" t="s">
        <v>1411</v>
      </c>
      <c r="I241" s="2" t="s">
        <v>468</v>
      </c>
      <c r="J241" s="2" t="s">
        <v>469</v>
      </c>
      <c r="K241" s="2" t="s">
        <v>304</v>
      </c>
      <c r="L241" s="2" t="s">
        <v>87</v>
      </c>
      <c r="M241" s="8" t="str">
        <f t="shared" si="0"/>
        <v xml:space="preserve">http://slimages.macys.com/is/image/MCY/11959696 </v>
      </c>
    </row>
    <row r="242" spans="1:13" ht="60" x14ac:dyDescent="0.25">
      <c r="A242" s="7" t="s">
        <v>11539</v>
      </c>
      <c r="B242" s="2" t="s">
        <v>990</v>
      </c>
      <c r="C242" s="4">
        <v>1</v>
      </c>
      <c r="D242" s="5">
        <v>6.85</v>
      </c>
      <c r="E242" s="5">
        <v>18</v>
      </c>
      <c r="F242" s="4" t="s">
        <v>991</v>
      </c>
      <c r="G242" s="2" t="s">
        <v>755</v>
      </c>
      <c r="H242" s="7" t="s">
        <v>179</v>
      </c>
      <c r="I242" s="2" t="s">
        <v>468</v>
      </c>
      <c r="J242" s="2" t="s">
        <v>469</v>
      </c>
      <c r="K242" s="2" t="s">
        <v>304</v>
      </c>
      <c r="L242" s="2" t="s">
        <v>87</v>
      </c>
      <c r="M242" s="8" t="str">
        <f t="shared" si="0"/>
        <v xml:space="preserve">http://slimages.macys.com/is/image/MCY/11959696 </v>
      </c>
    </row>
    <row r="243" spans="1:13" ht="60" x14ac:dyDescent="0.25">
      <c r="A243" s="7" t="s">
        <v>11540</v>
      </c>
      <c r="B243" s="2" t="s">
        <v>990</v>
      </c>
      <c r="C243" s="4">
        <v>1</v>
      </c>
      <c r="D243" s="5">
        <v>6.85</v>
      </c>
      <c r="E243" s="5">
        <v>18</v>
      </c>
      <c r="F243" s="4" t="s">
        <v>991</v>
      </c>
      <c r="G243" s="2" t="s">
        <v>755</v>
      </c>
      <c r="H243" s="7" t="s">
        <v>2740</v>
      </c>
      <c r="I243" s="2" t="s">
        <v>468</v>
      </c>
      <c r="J243" s="2" t="s">
        <v>469</v>
      </c>
      <c r="K243" s="2" t="s">
        <v>304</v>
      </c>
      <c r="L243" s="2" t="s">
        <v>87</v>
      </c>
      <c r="M243" s="8" t="str">
        <f t="shared" si="0"/>
        <v xml:space="preserve">http://slimages.macys.com/is/image/MCY/11959696 </v>
      </c>
    </row>
    <row r="244" spans="1:13" ht="60" x14ac:dyDescent="0.25">
      <c r="A244" s="7" t="s">
        <v>11541</v>
      </c>
      <c r="B244" s="2" t="s">
        <v>990</v>
      </c>
      <c r="C244" s="4">
        <v>1</v>
      </c>
      <c r="D244" s="5">
        <v>6.85</v>
      </c>
      <c r="E244" s="5">
        <v>18</v>
      </c>
      <c r="F244" s="4" t="s">
        <v>991</v>
      </c>
      <c r="G244" s="2" t="s">
        <v>755</v>
      </c>
      <c r="H244" s="7" t="s">
        <v>56</v>
      </c>
      <c r="I244" s="2" t="s">
        <v>468</v>
      </c>
      <c r="J244" s="2" t="s">
        <v>469</v>
      </c>
      <c r="K244" s="2" t="s">
        <v>304</v>
      </c>
      <c r="L244" s="2" t="s">
        <v>87</v>
      </c>
      <c r="M244" s="8" t="str">
        <f t="shared" si="0"/>
        <v xml:space="preserve">http://slimages.macys.com/is/image/MCY/11959696 </v>
      </c>
    </row>
    <row r="245" spans="1:13" ht="60" x14ac:dyDescent="0.25">
      <c r="A245" s="7" t="s">
        <v>989</v>
      </c>
      <c r="B245" s="2" t="s">
        <v>990</v>
      </c>
      <c r="C245" s="4">
        <v>1</v>
      </c>
      <c r="D245" s="5">
        <v>6.85</v>
      </c>
      <c r="E245" s="5">
        <v>18</v>
      </c>
      <c r="F245" s="4" t="s">
        <v>991</v>
      </c>
      <c r="G245" s="2" t="s">
        <v>755</v>
      </c>
      <c r="H245" s="7" t="s">
        <v>172</v>
      </c>
      <c r="I245" s="2" t="s">
        <v>468</v>
      </c>
      <c r="J245" s="2" t="s">
        <v>469</v>
      </c>
      <c r="K245" s="2" t="s">
        <v>304</v>
      </c>
      <c r="L245" s="2" t="s">
        <v>87</v>
      </c>
      <c r="M245" s="8" t="str">
        <f t="shared" si="0"/>
        <v xml:space="preserve">http://slimages.macys.com/is/image/MCY/11959696 </v>
      </c>
    </row>
    <row r="246" spans="1:13" ht="60" x14ac:dyDescent="0.25">
      <c r="A246" s="7" t="s">
        <v>11542</v>
      </c>
      <c r="B246" s="2" t="s">
        <v>466</v>
      </c>
      <c r="C246" s="4">
        <v>1</v>
      </c>
      <c r="D246" s="5">
        <v>6.85</v>
      </c>
      <c r="E246" s="5">
        <v>18</v>
      </c>
      <c r="F246" s="4" t="s">
        <v>467</v>
      </c>
      <c r="G246" s="2" t="s">
        <v>62</v>
      </c>
      <c r="H246" s="7" t="s">
        <v>2740</v>
      </c>
      <c r="I246" s="2" t="s">
        <v>468</v>
      </c>
      <c r="J246" s="2" t="s">
        <v>469</v>
      </c>
      <c r="K246" s="2" t="s">
        <v>304</v>
      </c>
      <c r="L246" s="2" t="s">
        <v>206</v>
      </c>
      <c r="M246" s="8" t="str">
        <f>HYPERLINK("http://slimages.macys.com/is/image/MCY/11640093 ")</f>
        <v xml:space="preserve">http://slimages.macys.com/is/image/MCY/11640093 </v>
      </c>
    </row>
    <row r="247" spans="1:13" ht="60" x14ac:dyDescent="0.25">
      <c r="A247" s="7" t="s">
        <v>11543</v>
      </c>
      <c r="B247" s="2" t="s">
        <v>9537</v>
      </c>
      <c r="C247" s="4">
        <v>1</v>
      </c>
      <c r="D247" s="5">
        <v>6.85</v>
      </c>
      <c r="E247" s="5">
        <v>18</v>
      </c>
      <c r="F247" s="4" t="s">
        <v>9538</v>
      </c>
      <c r="G247" s="2" t="s">
        <v>134</v>
      </c>
      <c r="H247" s="7" t="s">
        <v>56</v>
      </c>
      <c r="I247" s="2" t="s">
        <v>468</v>
      </c>
      <c r="J247" s="2" t="s">
        <v>469</v>
      </c>
      <c r="K247" s="2" t="s">
        <v>304</v>
      </c>
      <c r="L247" s="2" t="s">
        <v>38</v>
      </c>
      <c r="M247" s="8" t="str">
        <f>HYPERLINK("http://slimages.macys.com/is/image/MCY/12036953 ")</f>
        <v xml:space="preserve">http://slimages.macys.com/is/image/MCY/12036953 </v>
      </c>
    </row>
    <row r="248" spans="1:13" ht="60" x14ac:dyDescent="0.25">
      <c r="A248" s="7" t="s">
        <v>11544</v>
      </c>
      <c r="B248" s="2" t="s">
        <v>9537</v>
      </c>
      <c r="C248" s="4">
        <v>1</v>
      </c>
      <c r="D248" s="5">
        <v>6.85</v>
      </c>
      <c r="E248" s="5">
        <v>18</v>
      </c>
      <c r="F248" s="4" t="s">
        <v>9538</v>
      </c>
      <c r="G248" s="2" t="s">
        <v>134</v>
      </c>
      <c r="H248" s="7" t="s">
        <v>172</v>
      </c>
      <c r="I248" s="2" t="s">
        <v>468</v>
      </c>
      <c r="J248" s="2" t="s">
        <v>469</v>
      </c>
      <c r="K248" s="2" t="s">
        <v>304</v>
      </c>
      <c r="L248" s="2" t="s">
        <v>38</v>
      </c>
      <c r="M248" s="8" t="str">
        <f>HYPERLINK("http://slimages.macys.com/is/image/MCY/12036953 ")</f>
        <v xml:space="preserve">http://slimages.macys.com/is/image/MCY/12036953 </v>
      </c>
    </row>
    <row r="249" spans="1:13" ht="60" x14ac:dyDescent="0.25">
      <c r="A249" s="7" t="s">
        <v>11545</v>
      </c>
      <c r="B249" s="2" t="s">
        <v>9537</v>
      </c>
      <c r="C249" s="4">
        <v>1</v>
      </c>
      <c r="D249" s="5">
        <v>6.85</v>
      </c>
      <c r="E249" s="5">
        <v>18</v>
      </c>
      <c r="F249" s="4" t="s">
        <v>9538</v>
      </c>
      <c r="G249" s="2" t="s">
        <v>134</v>
      </c>
      <c r="H249" s="7" t="s">
        <v>177</v>
      </c>
      <c r="I249" s="2" t="s">
        <v>468</v>
      </c>
      <c r="J249" s="2" t="s">
        <v>469</v>
      </c>
      <c r="K249" s="2" t="s">
        <v>304</v>
      </c>
      <c r="L249" s="2" t="s">
        <v>38</v>
      </c>
      <c r="M249" s="8" t="str">
        <f>HYPERLINK("http://slimages.macys.com/is/image/MCY/12036953 ")</f>
        <v xml:space="preserve">http://slimages.macys.com/is/image/MCY/12036953 </v>
      </c>
    </row>
    <row r="250" spans="1:13" ht="60" x14ac:dyDescent="0.25">
      <c r="A250" s="7" t="s">
        <v>9536</v>
      </c>
      <c r="B250" s="2" t="s">
        <v>9537</v>
      </c>
      <c r="C250" s="4">
        <v>1</v>
      </c>
      <c r="D250" s="5">
        <v>6.85</v>
      </c>
      <c r="E250" s="5">
        <v>18</v>
      </c>
      <c r="F250" s="4" t="s">
        <v>9538</v>
      </c>
      <c r="G250" s="2" t="s">
        <v>134</v>
      </c>
      <c r="H250" s="7" t="s">
        <v>179</v>
      </c>
      <c r="I250" s="2" t="s">
        <v>468</v>
      </c>
      <c r="J250" s="2" t="s">
        <v>469</v>
      </c>
      <c r="K250" s="2" t="s">
        <v>304</v>
      </c>
      <c r="L250" s="2" t="s">
        <v>38</v>
      </c>
      <c r="M250" s="8" t="str">
        <f>HYPERLINK("http://slimages.macys.com/is/image/MCY/12036953 ")</f>
        <v xml:space="preserve">http://slimages.macys.com/is/image/MCY/12036953 </v>
      </c>
    </row>
    <row r="251" spans="1:13" ht="60" x14ac:dyDescent="0.25">
      <c r="A251" s="7" t="s">
        <v>11546</v>
      </c>
      <c r="B251" s="2" t="s">
        <v>9537</v>
      </c>
      <c r="C251" s="4">
        <v>1</v>
      </c>
      <c r="D251" s="5">
        <v>6.85</v>
      </c>
      <c r="E251" s="5">
        <v>18</v>
      </c>
      <c r="F251" s="4" t="s">
        <v>9538</v>
      </c>
      <c r="G251" s="2" t="s">
        <v>134</v>
      </c>
      <c r="H251" s="7" t="s">
        <v>97</v>
      </c>
      <c r="I251" s="2" t="s">
        <v>468</v>
      </c>
      <c r="J251" s="2" t="s">
        <v>469</v>
      </c>
      <c r="K251" s="2" t="s">
        <v>304</v>
      </c>
      <c r="L251" s="2" t="s">
        <v>38</v>
      </c>
      <c r="M251" s="8" t="str">
        <f>HYPERLINK("http://slimages.macys.com/is/image/MCY/12036953 ")</f>
        <v xml:space="preserve">http://slimages.macys.com/is/image/MCY/12036953 </v>
      </c>
    </row>
    <row r="252" spans="1:13" ht="60" x14ac:dyDescent="0.25">
      <c r="A252" s="7" t="s">
        <v>6865</v>
      </c>
      <c r="B252" s="2" t="s">
        <v>1765</v>
      </c>
      <c r="C252" s="4">
        <v>2</v>
      </c>
      <c r="D252" s="5">
        <v>6.85</v>
      </c>
      <c r="E252" s="5">
        <v>18</v>
      </c>
      <c r="F252" s="4" t="s">
        <v>1766</v>
      </c>
      <c r="G252" s="2" t="s">
        <v>62</v>
      </c>
      <c r="H252" s="7" t="s">
        <v>217</v>
      </c>
      <c r="I252" s="2" t="s">
        <v>468</v>
      </c>
      <c r="J252" s="2" t="s">
        <v>469</v>
      </c>
      <c r="K252" s="2" t="s">
        <v>304</v>
      </c>
      <c r="L252" s="2" t="s">
        <v>119</v>
      </c>
      <c r="M252" s="8" t="str">
        <f>HYPERLINK("http://slimages.macys.com/is/image/MCY/11958538 ")</f>
        <v xml:space="preserve">http://slimages.macys.com/is/image/MCY/11958538 </v>
      </c>
    </row>
    <row r="253" spans="1:13" ht="60" x14ac:dyDescent="0.25">
      <c r="A253" s="7" t="s">
        <v>5412</v>
      </c>
      <c r="B253" s="2" t="s">
        <v>1765</v>
      </c>
      <c r="C253" s="4">
        <v>1</v>
      </c>
      <c r="D253" s="5">
        <v>6.85</v>
      </c>
      <c r="E253" s="5">
        <v>18</v>
      </c>
      <c r="F253" s="4" t="s">
        <v>1766</v>
      </c>
      <c r="G253" s="2" t="s">
        <v>62</v>
      </c>
      <c r="H253" s="7" t="s">
        <v>159</v>
      </c>
      <c r="I253" s="2" t="s">
        <v>468</v>
      </c>
      <c r="J253" s="2" t="s">
        <v>469</v>
      </c>
      <c r="K253" s="2" t="s">
        <v>304</v>
      </c>
      <c r="L253" s="2" t="s">
        <v>119</v>
      </c>
      <c r="M253" s="8" t="str">
        <f>HYPERLINK("http://slimages.macys.com/is/image/MCY/11958538 ")</f>
        <v xml:space="preserve">http://slimages.macys.com/is/image/MCY/11958538 </v>
      </c>
    </row>
    <row r="254" spans="1:13" ht="60" x14ac:dyDescent="0.25">
      <c r="A254" s="7" t="s">
        <v>5407</v>
      </c>
      <c r="B254" s="2" t="s">
        <v>1768</v>
      </c>
      <c r="C254" s="4">
        <v>4</v>
      </c>
      <c r="D254" s="5">
        <v>6.85</v>
      </c>
      <c r="E254" s="5">
        <v>18</v>
      </c>
      <c r="F254" s="4" t="s">
        <v>1769</v>
      </c>
      <c r="G254" s="2" t="s">
        <v>48</v>
      </c>
      <c r="H254" s="7" t="s">
        <v>159</v>
      </c>
      <c r="I254" s="2" t="s">
        <v>468</v>
      </c>
      <c r="J254" s="2" t="s">
        <v>469</v>
      </c>
      <c r="K254" s="2" t="s">
        <v>304</v>
      </c>
      <c r="L254" s="2" t="s">
        <v>100</v>
      </c>
      <c r="M254" s="8" t="str">
        <f>HYPERLINK("http://slimages.macys.com/is/image/MCY/12809150 ")</f>
        <v xml:space="preserve">http://slimages.macys.com/is/image/MCY/12809150 </v>
      </c>
    </row>
    <row r="255" spans="1:13" ht="60" x14ac:dyDescent="0.25">
      <c r="A255" s="7" t="s">
        <v>1767</v>
      </c>
      <c r="B255" s="2" t="s">
        <v>1768</v>
      </c>
      <c r="C255" s="4">
        <v>5</v>
      </c>
      <c r="D255" s="5">
        <v>6.85</v>
      </c>
      <c r="E255" s="5">
        <v>18</v>
      </c>
      <c r="F255" s="4" t="s">
        <v>1769</v>
      </c>
      <c r="G255" s="2" t="s">
        <v>48</v>
      </c>
      <c r="H255" s="7" t="s">
        <v>217</v>
      </c>
      <c r="I255" s="2" t="s">
        <v>468</v>
      </c>
      <c r="J255" s="2" t="s">
        <v>469</v>
      </c>
      <c r="K255" s="2" t="s">
        <v>304</v>
      </c>
      <c r="L255" s="2" t="s">
        <v>100</v>
      </c>
      <c r="M255" s="8" t="str">
        <f>HYPERLINK("http://slimages.macys.com/is/image/MCY/12809150 ")</f>
        <v xml:space="preserve">http://slimages.macys.com/is/image/MCY/12809150 </v>
      </c>
    </row>
    <row r="256" spans="1:13" ht="60" x14ac:dyDescent="0.25">
      <c r="A256" s="7" t="s">
        <v>1770</v>
      </c>
      <c r="B256" s="2" t="s">
        <v>1768</v>
      </c>
      <c r="C256" s="4">
        <v>4</v>
      </c>
      <c r="D256" s="5">
        <v>6.85</v>
      </c>
      <c r="E256" s="5">
        <v>18</v>
      </c>
      <c r="F256" s="4" t="s">
        <v>1769</v>
      </c>
      <c r="G256" s="2" t="s">
        <v>48</v>
      </c>
      <c r="H256" s="7" t="s">
        <v>228</v>
      </c>
      <c r="I256" s="2" t="s">
        <v>468</v>
      </c>
      <c r="J256" s="2" t="s">
        <v>469</v>
      </c>
      <c r="K256" s="2" t="s">
        <v>304</v>
      </c>
      <c r="L256" s="2" t="s">
        <v>100</v>
      </c>
      <c r="M256" s="8" t="str">
        <f>HYPERLINK("http://slimages.macys.com/is/image/MCY/12809150 ")</f>
        <v xml:space="preserve">http://slimages.macys.com/is/image/MCY/12809150 </v>
      </c>
    </row>
    <row r="257" spans="1:13" ht="60" x14ac:dyDescent="0.25">
      <c r="A257" s="7" t="s">
        <v>5927</v>
      </c>
      <c r="B257" s="2" t="s">
        <v>1768</v>
      </c>
      <c r="C257" s="4">
        <v>2</v>
      </c>
      <c r="D257" s="5">
        <v>6.85</v>
      </c>
      <c r="E257" s="5">
        <v>18</v>
      </c>
      <c r="F257" s="4" t="s">
        <v>1769</v>
      </c>
      <c r="G257" s="2" t="s">
        <v>48</v>
      </c>
      <c r="H257" s="7" t="s">
        <v>284</v>
      </c>
      <c r="I257" s="2" t="s">
        <v>468</v>
      </c>
      <c r="J257" s="2" t="s">
        <v>469</v>
      </c>
      <c r="K257" s="2" t="s">
        <v>304</v>
      </c>
      <c r="L257" s="2" t="s">
        <v>100</v>
      </c>
      <c r="M257" s="8" t="str">
        <f>HYPERLINK("http://slimages.macys.com/is/image/MCY/12809150 ")</f>
        <v xml:space="preserve">http://slimages.macys.com/is/image/MCY/12809150 </v>
      </c>
    </row>
    <row r="258" spans="1:13" ht="60" x14ac:dyDescent="0.25">
      <c r="A258" s="7" t="s">
        <v>11547</v>
      </c>
      <c r="B258" s="2" t="s">
        <v>1768</v>
      </c>
      <c r="C258" s="4">
        <v>1</v>
      </c>
      <c r="D258" s="5">
        <v>6.85</v>
      </c>
      <c r="E258" s="5">
        <v>18</v>
      </c>
      <c r="F258" s="4" t="s">
        <v>1769</v>
      </c>
      <c r="G258" s="2" t="s">
        <v>62</v>
      </c>
      <c r="H258" s="7" t="s">
        <v>217</v>
      </c>
      <c r="I258" s="2" t="s">
        <v>468</v>
      </c>
      <c r="J258" s="2" t="s">
        <v>469</v>
      </c>
      <c r="K258" s="2" t="s">
        <v>304</v>
      </c>
      <c r="L258" s="2" t="s">
        <v>100</v>
      </c>
      <c r="M258" s="8" t="str">
        <f>HYPERLINK("http://slimages.macys.com/is/image/MCY/12809150 ")</f>
        <v xml:space="preserve">http://slimages.macys.com/is/image/MCY/12809150 </v>
      </c>
    </row>
    <row r="259" spans="1:13" ht="60" x14ac:dyDescent="0.25">
      <c r="A259" s="7" t="s">
        <v>5409</v>
      </c>
      <c r="B259" s="2" t="s">
        <v>5410</v>
      </c>
      <c r="C259" s="4">
        <v>2</v>
      </c>
      <c r="D259" s="5">
        <v>6.85</v>
      </c>
      <c r="E259" s="5">
        <v>18</v>
      </c>
      <c r="F259" s="4" t="s">
        <v>5411</v>
      </c>
      <c r="G259" s="2" t="s">
        <v>262</v>
      </c>
      <c r="H259" s="7" t="s">
        <v>159</v>
      </c>
      <c r="I259" s="2" t="s">
        <v>468</v>
      </c>
      <c r="J259" s="2" t="s">
        <v>469</v>
      </c>
      <c r="K259" s="2" t="s">
        <v>304</v>
      </c>
      <c r="L259" s="2" t="s">
        <v>119</v>
      </c>
      <c r="M259" s="8" t="str">
        <f>HYPERLINK("http://slimages.macys.com/is/image/MCY/12809166 ")</f>
        <v xml:space="preserve">http://slimages.macys.com/is/image/MCY/12809166 </v>
      </c>
    </row>
    <row r="260" spans="1:13" ht="60" x14ac:dyDescent="0.25">
      <c r="A260" s="7" t="s">
        <v>992</v>
      </c>
      <c r="B260" s="2" t="s">
        <v>993</v>
      </c>
      <c r="C260" s="4">
        <v>1</v>
      </c>
      <c r="D260" s="5">
        <v>6.85</v>
      </c>
      <c r="E260" s="5">
        <v>18</v>
      </c>
      <c r="F260" s="4" t="s">
        <v>994</v>
      </c>
      <c r="G260" s="2" t="s">
        <v>657</v>
      </c>
      <c r="H260" s="7" t="s">
        <v>159</v>
      </c>
      <c r="I260" s="2" t="s">
        <v>468</v>
      </c>
      <c r="J260" s="2" t="s">
        <v>469</v>
      </c>
      <c r="K260" s="2" t="s">
        <v>304</v>
      </c>
      <c r="L260" s="2" t="s">
        <v>537</v>
      </c>
      <c r="M260" s="8" t="str">
        <f>HYPERLINK("http://slimages.macys.com/is/image/MCY/13468835 ")</f>
        <v xml:space="preserve">http://slimages.macys.com/is/image/MCY/13468835 </v>
      </c>
    </row>
    <row r="261" spans="1:13" ht="60" x14ac:dyDescent="0.25">
      <c r="A261" s="7" t="s">
        <v>8912</v>
      </c>
      <c r="B261" s="2" t="s">
        <v>466</v>
      </c>
      <c r="C261" s="4">
        <v>1</v>
      </c>
      <c r="D261" s="5">
        <v>6.85</v>
      </c>
      <c r="E261" s="5">
        <v>18</v>
      </c>
      <c r="F261" s="4" t="s">
        <v>467</v>
      </c>
      <c r="G261" s="2" t="s">
        <v>62</v>
      </c>
      <c r="H261" s="7" t="s">
        <v>177</v>
      </c>
      <c r="I261" s="2" t="s">
        <v>468</v>
      </c>
      <c r="J261" s="2" t="s">
        <v>469</v>
      </c>
      <c r="K261" s="2" t="s">
        <v>304</v>
      </c>
      <c r="L261" s="2" t="s">
        <v>206</v>
      </c>
      <c r="M261" s="8" t="str">
        <f>HYPERLINK("http://slimages.macys.com/is/image/MCY/11640093 ")</f>
        <v xml:space="preserve">http://slimages.macys.com/is/image/MCY/11640093 </v>
      </c>
    </row>
    <row r="262" spans="1:13" ht="60" x14ac:dyDescent="0.25">
      <c r="A262" s="7" t="s">
        <v>6286</v>
      </c>
      <c r="B262" s="2" t="s">
        <v>5410</v>
      </c>
      <c r="C262" s="4">
        <v>1</v>
      </c>
      <c r="D262" s="5">
        <v>6.85</v>
      </c>
      <c r="E262" s="5">
        <v>18</v>
      </c>
      <c r="F262" s="4" t="s">
        <v>5411</v>
      </c>
      <c r="G262" s="2" t="s">
        <v>262</v>
      </c>
      <c r="H262" s="7" t="s">
        <v>217</v>
      </c>
      <c r="I262" s="2" t="s">
        <v>468</v>
      </c>
      <c r="J262" s="2" t="s">
        <v>469</v>
      </c>
      <c r="K262" s="2" t="s">
        <v>304</v>
      </c>
      <c r="L262" s="2" t="s">
        <v>119</v>
      </c>
      <c r="M262" s="8" t="str">
        <f>HYPERLINK("http://slimages.macys.com/is/image/MCY/12809166 ")</f>
        <v xml:space="preserve">http://slimages.macys.com/is/image/MCY/12809166 </v>
      </c>
    </row>
    <row r="263" spans="1:13" ht="60" x14ac:dyDescent="0.25">
      <c r="A263" s="7" t="s">
        <v>11548</v>
      </c>
      <c r="B263" s="2" t="s">
        <v>5410</v>
      </c>
      <c r="C263" s="4">
        <v>1</v>
      </c>
      <c r="D263" s="5">
        <v>6.85</v>
      </c>
      <c r="E263" s="5">
        <v>18</v>
      </c>
      <c r="F263" s="4" t="s">
        <v>5411</v>
      </c>
      <c r="G263" s="2" t="s">
        <v>262</v>
      </c>
      <c r="H263" s="7" t="s">
        <v>228</v>
      </c>
      <c r="I263" s="2" t="s">
        <v>468</v>
      </c>
      <c r="J263" s="2" t="s">
        <v>469</v>
      </c>
      <c r="K263" s="2" t="s">
        <v>304</v>
      </c>
      <c r="L263" s="2" t="s">
        <v>119</v>
      </c>
      <c r="M263" s="8" t="str">
        <f>HYPERLINK("http://slimages.macys.com/is/image/MCY/12809166 ")</f>
        <v xml:space="preserve">http://slimages.macys.com/is/image/MCY/12809166 </v>
      </c>
    </row>
    <row r="264" spans="1:13" ht="60" x14ac:dyDescent="0.25">
      <c r="A264" s="7" t="s">
        <v>1760</v>
      </c>
      <c r="B264" s="2" t="s">
        <v>993</v>
      </c>
      <c r="C264" s="4">
        <v>2</v>
      </c>
      <c r="D264" s="5">
        <v>6.85</v>
      </c>
      <c r="E264" s="5">
        <v>18</v>
      </c>
      <c r="F264" s="4" t="s">
        <v>994</v>
      </c>
      <c r="G264" s="2" t="s">
        <v>657</v>
      </c>
      <c r="H264" s="7" t="s">
        <v>228</v>
      </c>
      <c r="I264" s="2" t="s">
        <v>468</v>
      </c>
      <c r="J264" s="2" t="s">
        <v>469</v>
      </c>
      <c r="K264" s="2" t="s">
        <v>304</v>
      </c>
      <c r="L264" s="2" t="s">
        <v>537</v>
      </c>
      <c r="M264" s="8" t="str">
        <f>HYPERLINK("http://slimages.macys.com/is/image/MCY/13468835 ")</f>
        <v xml:space="preserve">http://slimages.macys.com/is/image/MCY/13468835 </v>
      </c>
    </row>
    <row r="265" spans="1:13" ht="60" x14ac:dyDescent="0.25">
      <c r="A265" s="7" t="s">
        <v>5413</v>
      </c>
      <c r="B265" s="2" t="s">
        <v>993</v>
      </c>
      <c r="C265" s="4">
        <v>1</v>
      </c>
      <c r="D265" s="5">
        <v>6.85</v>
      </c>
      <c r="E265" s="5">
        <v>18</v>
      </c>
      <c r="F265" s="4" t="s">
        <v>994</v>
      </c>
      <c r="G265" s="2" t="s">
        <v>657</v>
      </c>
      <c r="H265" s="7" t="s">
        <v>217</v>
      </c>
      <c r="I265" s="2" t="s">
        <v>468</v>
      </c>
      <c r="J265" s="2" t="s">
        <v>469</v>
      </c>
      <c r="K265" s="2" t="s">
        <v>304</v>
      </c>
      <c r="L265" s="2" t="s">
        <v>537</v>
      </c>
      <c r="M265" s="8" t="str">
        <f>HYPERLINK("http://slimages.macys.com/is/image/MCY/13468835 ")</f>
        <v xml:space="preserve">http://slimages.macys.com/is/image/MCY/13468835 </v>
      </c>
    </row>
    <row r="266" spans="1:13" ht="60" x14ac:dyDescent="0.25">
      <c r="A266" s="7" t="s">
        <v>5928</v>
      </c>
      <c r="B266" s="2" t="s">
        <v>1762</v>
      </c>
      <c r="C266" s="4">
        <v>1</v>
      </c>
      <c r="D266" s="5">
        <v>6.85</v>
      </c>
      <c r="E266" s="5">
        <v>18</v>
      </c>
      <c r="F266" s="4" t="s">
        <v>1763</v>
      </c>
      <c r="G266" s="2" t="s">
        <v>1160</v>
      </c>
      <c r="H266" s="7" t="s">
        <v>217</v>
      </c>
      <c r="I266" s="2" t="s">
        <v>468</v>
      </c>
      <c r="J266" s="2" t="s">
        <v>469</v>
      </c>
      <c r="K266" s="2" t="s">
        <v>304</v>
      </c>
      <c r="L266" s="2" t="s">
        <v>119</v>
      </c>
      <c r="M266" s="8" t="str">
        <f>HYPERLINK("http://slimages.macys.com/is/image/MCY/11387122 ")</f>
        <v xml:space="preserve">http://slimages.macys.com/is/image/MCY/11387122 </v>
      </c>
    </row>
    <row r="267" spans="1:13" ht="60" x14ac:dyDescent="0.25">
      <c r="A267" s="7" t="s">
        <v>10072</v>
      </c>
      <c r="B267" s="2" t="s">
        <v>993</v>
      </c>
      <c r="C267" s="4">
        <v>1</v>
      </c>
      <c r="D267" s="5">
        <v>6.85</v>
      </c>
      <c r="E267" s="5">
        <v>18</v>
      </c>
      <c r="F267" s="4" t="s">
        <v>994</v>
      </c>
      <c r="G267" s="2" t="s">
        <v>455</v>
      </c>
      <c r="H267" s="7" t="s">
        <v>159</v>
      </c>
      <c r="I267" s="2" t="s">
        <v>468</v>
      </c>
      <c r="J267" s="2" t="s">
        <v>469</v>
      </c>
      <c r="K267" s="2" t="s">
        <v>304</v>
      </c>
      <c r="L267" s="2" t="s">
        <v>537</v>
      </c>
      <c r="M267" s="8" t="str">
        <f>HYPERLINK("http://slimages.macys.com/is/image/MCY/13468835 ")</f>
        <v xml:space="preserve">http://slimages.macys.com/is/image/MCY/13468835 </v>
      </c>
    </row>
    <row r="268" spans="1:13" ht="60" x14ac:dyDescent="0.25">
      <c r="A268" s="7" t="s">
        <v>11549</v>
      </c>
      <c r="B268" s="2" t="s">
        <v>11550</v>
      </c>
      <c r="C268" s="4">
        <v>1</v>
      </c>
      <c r="D268" s="5">
        <v>6.85</v>
      </c>
      <c r="E268" s="5">
        <v>16.989999999999998</v>
      </c>
      <c r="F268" s="4" t="s">
        <v>11551</v>
      </c>
      <c r="G268" s="2" t="s">
        <v>41</v>
      </c>
      <c r="H268" s="7" t="s">
        <v>42</v>
      </c>
      <c r="I268" s="2" t="s">
        <v>483</v>
      </c>
      <c r="J268" s="2" t="s">
        <v>536</v>
      </c>
      <c r="K268" s="2" t="s">
        <v>304</v>
      </c>
      <c r="L268" s="2" t="s">
        <v>119</v>
      </c>
      <c r="M268" s="8" t="str">
        <f>HYPERLINK("http://slimages.macys.com/is/image/MCY/12466282 ")</f>
        <v xml:space="preserve">http://slimages.macys.com/is/image/MCY/12466282 </v>
      </c>
    </row>
    <row r="269" spans="1:13" ht="60" x14ac:dyDescent="0.25">
      <c r="A269" s="7" t="s">
        <v>1775</v>
      </c>
      <c r="B269" s="2" t="s">
        <v>1776</v>
      </c>
      <c r="C269" s="4">
        <v>1</v>
      </c>
      <c r="D269" s="5">
        <v>6.84</v>
      </c>
      <c r="E269" s="5">
        <v>19.989999999999998</v>
      </c>
      <c r="F269" s="4" t="s">
        <v>1777</v>
      </c>
      <c r="G269" s="2" t="s">
        <v>388</v>
      </c>
      <c r="H269" s="7" t="s">
        <v>514</v>
      </c>
      <c r="I269" s="2" t="s">
        <v>1689</v>
      </c>
      <c r="J269" s="2" t="s">
        <v>354</v>
      </c>
      <c r="K269" s="2" t="s">
        <v>304</v>
      </c>
      <c r="L269" s="2" t="s">
        <v>390</v>
      </c>
      <c r="M269" s="8" t="str">
        <f>HYPERLINK("http://slimages.macys.com/is/image/MCY/12890114 ")</f>
        <v xml:space="preserve">http://slimages.macys.com/is/image/MCY/12890114 </v>
      </c>
    </row>
    <row r="270" spans="1:13" ht="60" x14ac:dyDescent="0.25">
      <c r="A270" s="7" t="s">
        <v>1778</v>
      </c>
      <c r="B270" s="2" t="s">
        <v>1776</v>
      </c>
      <c r="C270" s="4">
        <v>1</v>
      </c>
      <c r="D270" s="5">
        <v>6.84</v>
      </c>
      <c r="E270" s="5">
        <v>19.989999999999998</v>
      </c>
      <c r="F270" s="4" t="s">
        <v>1777</v>
      </c>
      <c r="G270" s="2" t="s">
        <v>388</v>
      </c>
      <c r="H270" s="7" t="s">
        <v>1151</v>
      </c>
      <c r="I270" s="2" t="s">
        <v>1689</v>
      </c>
      <c r="J270" s="2" t="s">
        <v>354</v>
      </c>
      <c r="K270" s="2" t="s">
        <v>304</v>
      </c>
      <c r="L270" s="2" t="s">
        <v>390</v>
      </c>
      <c r="M270" s="8" t="str">
        <f>HYPERLINK("http://slimages.macys.com/is/image/MCY/12890114 ")</f>
        <v xml:space="preserve">http://slimages.macys.com/is/image/MCY/12890114 </v>
      </c>
    </row>
    <row r="271" spans="1:13" ht="60" x14ac:dyDescent="0.25">
      <c r="A271" s="7" t="s">
        <v>11552</v>
      </c>
      <c r="B271" s="2" t="s">
        <v>5419</v>
      </c>
      <c r="C271" s="4">
        <v>1</v>
      </c>
      <c r="D271" s="5">
        <v>6.83</v>
      </c>
      <c r="E271" s="5">
        <v>13.99</v>
      </c>
      <c r="F271" s="4" t="s">
        <v>5420</v>
      </c>
      <c r="G271" s="2" t="s">
        <v>310</v>
      </c>
      <c r="H271" s="7" t="s">
        <v>217</v>
      </c>
      <c r="I271" s="2" t="s">
        <v>523</v>
      </c>
      <c r="J271" s="2" t="s">
        <v>4102</v>
      </c>
      <c r="K271" s="2" t="s">
        <v>304</v>
      </c>
      <c r="L271" s="2" t="s">
        <v>125</v>
      </c>
      <c r="M271" s="8" t="str">
        <f>HYPERLINK("http://slimages.macys.com/is/image/MCY/9687514 ")</f>
        <v xml:space="preserve">http://slimages.macys.com/is/image/MCY/9687514 </v>
      </c>
    </row>
    <row r="272" spans="1:13" ht="120" x14ac:dyDescent="0.25">
      <c r="A272" s="7" t="s">
        <v>11553</v>
      </c>
      <c r="B272" s="2" t="s">
        <v>1782</v>
      </c>
      <c r="C272" s="4">
        <v>1</v>
      </c>
      <c r="D272" s="5">
        <v>6.8</v>
      </c>
      <c r="E272" s="5">
        <v>14.99</v>
      </c>
      <c r="F272" s="4" t="s">
        <v>1783</v>
      </c>
      <c r="G272" s="2" t="s">
        <v>62</v>
      </c>
      <c r="H272" s="7" t="s">
        <v>228</v>
      </c>
      <c r="I272" s="2" t="s">
        <v>515</v>
      </c>
      <c r="J272" s="2" t="s">
        <v>827</v>
      </c>
      <c r="K272" s="2" t="s">
        <v>304</v>
      </c>
      <c r="L272" s="2" t="s">
        <v>1784</v>
      </c>
      <c r="M272" s="8" t="str">
        <f>HYPERLINK("http://slimages.macys.com/is/image/MCY/13119046 ")</f>
        <v xml:space="preserve">http://slimages.macys.com/is/image/MCY/13119046 </v>
      </c>
    </row>
    <row r="273" spans="1:13" ht="120" x14ac:dyDescent="0.25">
      <c r="A273" s="7" t="s">
        <v>5422</v>
      </c>
      <c r="B273" s="2" t="s">
        <v>1782</v>
      </c>
      <c r="C273" s="4">
        <v>1</v>
      </c>
      <c r="D273" s="5">
        <v>6.8</v>
      </c>
      <c r="E273" s="5">
        <v>14.99</v>
      </c>
      <c r="F273" s="4" t="s">
        <v>1783</v>
      </c>
      <c r="G273" s="2" t="s">
        <v>103</v>
      </c>
      <c r="H273" s="7" t="s">
        <v>284</v>
      </c>
      <c r="I273" s="2" t="s">
        <v>515</v>
      </c>
      <c r="J273" s="2" t="s">
        <v>827</v>
      </c>
      <c r="K273" s="2" t="s">
        <v>304</v>
      </c>
      <c r="L273" s="2" t="s">
        <v>1784</v>
      </c>
      <c r="M273" s="8" t="str">
        <f>HYPERLINK("http://slimages.macys.com/is/image/MCY/13119046 ")</f>
        <v xml:space="preserve">http://slimages.macys.com/is/image/MCY/13119046 </v>
      </c>
    </row>
    <row r="274" spans="1:13" ht="60" x14ac:dyDescent="0.25">
      <c r="A274" s="7" t="s">
        <v>11554</v>
      </c>
      <c r="B274" s="2" t="s">
        <v>8920</v>
      </c>
      <c r="C274" s="4">
        <v>1</v>
      </c>
      <c r="D274" s="5">
        <v>6.77</v>
      </c>
      <c r="E274" s="5">
        <v>16.989999999999998</v>
      </c>
      <c r="F274" s="4" t="s">
        <v>8921</v>
      </c>
      <c r="G274" s="2" t="s">
        <v>62</v>
      </c>
      <c r="H274" s="7" t="s">
        <v>196</v>
      </c>
      <c r="I274" s="2" t="s">
        <v>515</v>
      </c>
      <c r="J274" s="2" t="s">
        <v>827</v>
      </c>
      <c r="K274" s="2" t="s">
        <v>304</v>
      </c>
      <c r="L274" s="2" t="s">
        <v>358</v>
      </c>
      <c r="M274" s="8" t="str">
        <f>HYPERLINK("http://slimages.macys.com/is/image/MCY/9978851 ")</f>
        <v xml:space="preserve">http://slimages.macys.com/is/image/MCY/9978851 </v>
      </c>
    </row>
    <row r="275" spans="1:13" ht="60" x14ac:dyDescent="0.25">
      <c r="A275" s="7" t="s">
        <v>11555</v>
      </c>
      <c r="B275" s="2" t="s">
        <v>6872</v>
      </c>
      <c r="C275" s="4">
        <v>2</v>
      </c>
      <c r="D275" s="5">
        <v>6.75</v>
      </c>
      <c r="E275" s="5">
        <v>21.99</v>
      </c>
      <c r="F275" s="4" t="s">
        <v>6873</v>
      </c>
      <c r="G275" s="2" t="s">
        <v>310</v>
      </c>
      <c r="H275" s="7" t="s">
        <v>209</v>
      </c>
      <c r="I275" s="2" t="s">
        <v>342</v>
      </c>
      <c r="J275" s="2" t="s">
        <v>362</v>
      </c>
      <c r="K275" s="2" t="s">
        <v>304</v>
      </c>
      <c r="L275" s="2" t="s">
        <v>3935</v>
      </c>
      <c r="M275" s="8" t="str">
        <f>HYPERLINK("http://slimages.macys.com/is/image/MCY/12227644 ")</f>
        <v xml:space="preserve">http://slimages.macys.com/is/image/MCY/12227644 </v>
      </c>
    </row>
    <row r="276" spans="1:13" ht="60" x14ac:dyDescent="0.25">
      <c r="A276" s="7" t="s">
        <v>11556</v>
      </c>
      <c r="B276" s="2" t="s">
        <v>10083</v>
      </c>
      <c r="C276" s="4">
        <v>1</v>
      </c>
      <c r="D276" s="5">
        <v>6.75</v>
      </c>
      <c r="E276" s="5">
        <v>14.99</v>
      </c>
      <c r="F276" s="4" t="s">
        <v>10084</v>
      </c>
      <c r="G276" s="2" t="s">
        <v>657</v>
      </c>
      <c r="H276" s="7"/>
      <c r="I276" s="2" t="s">
        <v>523</v>
      </c>
      <c r="J276" s="2" t="s">
        <v>5463</v>
      </c>
      <c r="K276" s="2" t="s">
        <v>304</v>
      </c>
      <c r="L276" s="2" t="s">
        <v>358</v>
      </c>
      <c r="M276" s="8" t="str">
        <f>HYPERLINK("http://slimages.macys.com/is/image/MCY/9336556 ")</f>
        <v xml:space="preserve">http://slimages.macys.com/is/image/MCY/9336556 </v>
      </c>
    </row>
    <row r="277" spans="1:13" ht="60" x14ac:dyDescent="0.25">
      <c r="A277" s="7" t="s">
        <v>11557</v>
      </c>
      <c r="B277" s="2" t="s">
        <v>11558</v>
      </c>
      <c r="C277" s="4">
        <v>1</v>
      </c>
      <c r="D277" s="5">
        <v>6.75</v>
      </c>
      <c r="E277" s="5">
        <v>21.99</v>
      </c>
      <c r="F277" s="4" t="s">
        <v>11559</v>
      </c>
      <c r="G277" s="2" t="s">
        <v>310</v>
      </c>
      <c r="H277" s="7" t="s">
        <v>123</v>
      </c>
      <c r="I277" s="2" t="s">
        <v>342</v>
      </c>
      <c r="J277" s="2" t="s">
        <v>362</v>
      </c>
      <c r="K277" s="2" t="s">
        <v>304</v>
      </c>
      <c r="L277" s="2" t="s">
        <v>3935</v>
      </c>
      <c r="M277" s="8" t="str">
        <f>HYPERLINK("http://slimages.macys.com/is/image/MCY/12227577 ")</f>
        <v xml:space="preserve">http://slimages.macys.com/is/image/MCY/12227577 </v>
      </c>
    </row>
    <row r="278" spans="1:13" ht="84" x14ac:dyDescent="0.25">
      <c r="A278" s="7" t="s">
        <v>7551</v>
      </c>
      <c r="B278" s="2" t="s">
        <v>4088</v>
      </c>
      <c r="C278" s="4">
        <v>1</v>
      </c>
      <c r="D278" s="5">
        <v>6.75</v>
      </c>
      <c r="E278" s="5">
        <v>16.989999999999998</v>
      </c>
      <c r="F278" s="4" t="s">
        <v>4089</v>
      </c>
      <c r="G278" s="2" t="s">
        <v>892</v>
      </c>
      <c r="H278" s="7"/>
      <c r="I278" s="2" t="s">
        <v>321</v>
      </c>
      <c r="J278" s="2" t="s">
        <v>477</v>
      </c>
      <c r="K278" s="2" t="s">
        <v>304</v>
      </c>
      <c r="L278" s="2" t="s">
        <v>1516</v>
      </c>
      <c r="M278" s="8" t="str">
        <f>HYPERLINK("http://slimages.macys.com/is/image/MCY/13860413 ")</f>
        <v xml:space="preserve">http://slimages.macys.com/is/image/MCY/13860413 </v>
      </c>
    </row>
    <row r="279" spans="1:13" ht="84" x14ac:dyDescent="0.25">
      <c r="A279" s="7" t="s">
        <v>6881</v>
      </c>
      <c r="B279" s="2" t="s">
        <v>474</v>
      </c>
      <c r="C279" s="4">
        <v>13</v>
      </c>
      <c r="D279" s="5">
        <v>6.75</v>
      </c>
      <c r="E279" s="5">
        <v>16.989999999999998</v>
      </c>
      <c r="F279" s="4" t="s">
        <v>475</v>
      </c>
      <c r="G279" s="2" t="s">
        <v>476</v>
      </c>
      <c r="H279" s="7" t="s">
        <v>144</v>
      </c>
      <c r="I279" s="2" t="s">
        <v>321</v>
      </c>
      <c r="J279" s="2" t="s">
        <v>477</v>
      </c>
      <c r="K279" s="2" t="s">
        <v>304</v>
      </c>
      <c r="L279" s="2" t="s">
        <v>478</v>
      </c>
      <c r="M279" s="8" t="str">
        <f>HYPERLINK("http://slimages.macys.com/is/image/MCY/13860353 ")</f>
        <v xml:space="preserve">http://slimages.macys.com/is/image/MCY/13860353 </v>
      </c>
    </row>
    <row r="280" spans="1:13" ht="84" x14ac:dyDescent="0.25">
      <c r="A280" s="7" t="s">
        <v>7572</v>
      </c>
      <c r="B280" s="2" t="s">
        <v>4088</v>
      </c>
      <c r="C280" s="4">
        <v>2</v>
      </c>
      <c r="D280" s="5">
        <v>6.75</v>
      </c>
      <c r="E280" s="5">
        <v>16.989999999999998</v>
      </c>
      <c r="F280" s="4" t="s">
        <v>4089</v>
      </c>
      <c r="G280" s="2" t="s">
        <v>892</v>
      </c>
      <c r="H280" s="7"/>
      <c r="I280" s="2" t="s">
        <v>321</v>
      </c>
      <c r="J280" s="2" t="s">
        <v>477</v>
      </c>
      <c r="K280" s="2" t="s">
        <v>304</v>
      </c>
      <c r="L280" s="2" t="s">
        <v>1516</v>
      </c>
      <c r="M280" s="8" t="str">
        <f>HYPERLINK("http://slimages.macys.com/is/image/MCY/13860413 ")</f>
        <v xml:space="preserve">http://slimages.macys.com/is/image/MCY/13860413 </v>
      </c>
    </row>
    <row r="281" spans="1:13" ht="60" x14ac:dyDescent="0.25">
      <c r="A281" s="7" t="s">
        <v>5435</v>
      </c>
      <c r="B281" s="2" t="s">
        <v>1791</v>
      </c>
      <c r="C281" s="4">
        <v>5</v>
      </c>
      <c r="D281" s="5">
        <v>6.75</v>
      </c>
      <c r="E281" s="5">
        <v>16.989999999999998</v>
      </c>
      <c r="F281" s="4" t="s">
        <v>1795</v>
      </c>
      <c r="G281" s="2" t="s">
        <v>41</v>
      </c>
      <c r="H281" s="7" t="s">
        <v>68</v>
      </c>
      <c r="I281" s="2" t="s">
        <v>321</v>
      </c>
      <c r="J281" s="2" t="s">
        <v>477</v>
      </c>
      <c r="K281" s="2" t="s">
        <v>304</v>
      </c>
      <c r="L281" s="2" t="s">
        <v>125</v>
      </c>
      <c r="M281" s="8" t="str">
        <f>HYPERLINK("http://slimages.macys.com/is/image/MCY/13860424 ")</f>
        <v xml:space="preserve">http://slimages.macys.com/is/image/MCY/13860424 </v>
      </c>
    </row>
    <row r="282" spans="1:13" ht="84" x14ac:dyDescent="0.25">
      <c r="A282" s="7" t="s">
        <v>5432</v>
      </c>
      <c r="B282" s="2" t="s">
        <v>4088</v>
      </c>
      <c r="C282" s="4">
        <v>2</v>
      </c>
      <c r="D282" s="5">
        <v>6.75</v>
      </c>
      <c r="E282" s="5">
        <v>16.989999999999998</v>
      </c>
      <c r="F282" s="4" t="s">
        <v>5431</v>
      </c>
      <c r="G282" s="2" t="s">
        <v>892</v>
      </c>
      <c r="H282" s="7" t="s">
        <v>209</v>
      </c>
      <c r="I282" s="2" t="s">
        <v>321</v>
      </c>
      <c r="J282" s="2" t="s">
        <v>477</v>
      </c>
      <c r="K282" s="2" t="s">
        <v>304</v>
      </c>
      <c r="L282" s="2" t="s">
        <v>1516</v>
      </c>
      <c r="M282" s="8" t="str">
        <f>HYPERLINK("http://slimages.macys.com/is/image/MCY/13860413 ")</f>
        <v xml:space="preserve">http://slimages.macys.com/is/image/MCY/13860413 </v>
      </c>
    </row>
    <row r="283" spans="1:13" ht="60" x14ac:dyDescent="0.25">
      <c r="A283" s="7" t="s">
        <v>7552</v>
      </c>
      <c r="B283" s="2" t="s">
        <v>4097</v>
      </c>
      <c r="C283" s="4">
        <v>12</v>
      </c>
      <c r="D283" s="5">
        <v>6.75</v>
      </c>
      <c r="E283" s="5">
        <v>16.989999999999998</v>
      </c>
      <c r="F283" s="4" t="s">
        <v>7553</v>
      </c>
      <c r="G283" s="2" t="s">
        <v>892</v>
      </c>
      <c r="H283" s="7" t="s">
        <v>144</v>
      </c>
      <c r="I283" s="2" t="s">
        <v>321</v>
      </c>
      <c r="J283" s="2" t="s">
        <v>477</v>
      </c>
      <c r="K283" s="2" t="s">
        <v>304</v>
      </c>
      <c r="L283" s="2" t="s">
        <v>125</v>
      </c>
      <c r="M283" s="8" t="str">
        <f>HYPERLINK("http://slimages.macys.com/is/image/MCY/13860370 ")</f>
        <v xml:space="preserve">http://slimages.macys.com/is/image/MCY/13860370 </v>
      </c>
    </row>
    <row r="284" spans="1:13" ht="84" x14ac:dyDescent="0.25">
      <c r="A284" s="7" t="s">
        <v>4087</v>
      </c>
      <c r="B284" s="2" t="s">
        <v>4088</v>
      </c>
      <c r="C284" s="4">
        <v>2</v>
      </c>
      <c r="D284" s="5">
        <v>6.75</v>
      </c>
      <c r="E284" s="5">
        <v>16.989999999999998</v>
      </c>
      <c r="F284" s="4" t="s">
        <v>4089</v>
      </c>
      <c r="G284" s="2" t="s">
        <v>892</v>
      </c>
      <c r="H284" s="7"/>
      <c r="I284" s="2" t="s">
        <v>321</v>
      </c>
      <c r="J284" s="2" t="s">
        <v>477</v>
      </c>
      <c r="K284" s="2" t="s">
        <v>304</v>
      </c>
      <c r="L284" s="2" t="s">
        <v>1516</v>
      </c>
      <c r="M284" s="8" t="str">
        <f>HYPERLINK("http://slimages.macys.com/is/image/MCY/13860413 ")</f>
        <v xml:space="preserve">http://slimages.macys.com/is/image/MCY/13860413 </v>
      </c>
    </row>
    <row r="285" spans="1:13" ht="84" x14ac:dyDescent="0.25">
      <c r="A285" s="7" t="s">
        <v>5430</v>
      </c>
      <c r="B285" s="2" t="s">
        <v>4088</v>
      </c>
      <c r="C285" s="4">
        <v>9</v>
      </c>
      <c r="D285" s="5">
        <v>6.75</v>
      </c>
      <c r="E285" s="5">
        <v>16.989999999999998</v>
      </c>
      <c r="F285" s="4" t="s">
        <v>5431</v>
      </c>
      <c r="G285" s="2" t="s">
        <v>892</v>
      </c>
      <c r="H285" s="7" t="s">
        <v>144</v>
      </c>
      <c r="I285" s="2" t="s">
        <v>321</v>
      </c>
      <c r="J285" s="2" t="s">
        <v>477</v>
      </c>
      <c r="K285" s="2" t="s">
        <v>304</v>
      </c>
      <c r="L285" s="2" t="s">
        <v>1516</v>
      </c>
      <c r="M285" s="8" t="str">
        <f>HYPERLINK("http://slimages.macys.com/is/image/MCY/13860413 ")</f>
        <v xml:space="preserve">http://slimages.macys.com/is/image/MCY/13860413 </v>
      </c>
    </row>
    <row r="286" spans="1:13" ht="84" x14ac:dyDescent="0.25">
      <c r="A286" s="7" t="s">
        <v>7575</v>
      </c>
      <c r="B286" s="2" t="s">
        <v>4088</v>
      </c>
      <c r="C286" s="4">
        <v>1</v>
      </c>
      <c r="D286" s="5">
        <v>6.75</v>
      </c>
      <c r="E286" s="5">
        <v>16.989999999999998</v>
      </c>
      <c r="F286" s="4" t="s">
        <v>4089</v>
      </c>
      <c r="G286" s="2" t="s">
        <v>892</v>
      </c>
      <c r="H286" s="7"/>
      <c r="I286" s="2" t="s">
        <v>321</v>
      </c>
      <c r="J286" s="2" t="s">
        <v>477</v>
      </c>
      <c r="K286" s="2" t="s">
        <v>304</v>
      </c>
      <c r="L286" s="2" t="s">
        <v>1516</v>
      </c>
      <c r="M286" s="8" t="str">
        <f>HYPERLINK("http://slimages.macys.com/is/image/MCY/13860413 ")</f>
        <v xml:space="preserve">http://slimages.macys.com/is/image/MCY/13860413 </v>
      </c>
    </row>
    <row r="287" spans="1:13" ht="60" x14ac:dyDescent="0.25">
      <c r="A287" s="7" t="s">
        <v>7574</v>
      </c>
      <c r="B287" s="2" t="s">
        <v>4097</v>
      </c>
      <c r="C287" s="4">
        <v>2</v>
      </c>
      <c r="D287" s="5">
        <v>6.75</v>
      </c>
      <c r="E287" s="5">
        <v>16.989999999999998</v>
      </c>
      <c r="F287" s="4" t="s">
        <v>4098</v>
      </c>
      <c r="G287" s="2" t="s">
        <v>892</v>
      </c>
      <c r="H287" s="7"/>
      <c r="I287" s="2" t="s">
        <v>321</v>
      </c>
      <c r="J287" s="2" t="s">
        <v>477</v>
      </c>
      <c r="K287" s="2" t="s">
        <v>304</v>
      </c>
      <c r="L287" s="2" t="s">
        <v>125</v>
      </c>
      <c r="M287" s="8" t="str">
        <f>HYPERLINK("http://slimages.macys.com/is/image/MCY/13860370 ")</f>
        <v xml:space="preserve">http://slimages.macys.com/is/image/MCY/13860370 </v>
      </c>
    </row>
    <row r="288" spans="1:13" ht="60" x14ac:dyDescent="0.25">
      <c r="A288" s="7" t="s">
        <v>7576</v>
      </c>
      <c r="B288" s="2" t="s">
        <v>4097</v>
      </c>
      <c r="C288" s="4">
        <v>6</v>
      </c>
      <c r="D288" s="5">
        <v>6.75</v>
      </c>
      <c r="E288" s="5">
        <v>16.989999999999998</v>
      </c>
      <c r="F288" s="4" t="s">
        <v>7553</v>
      </c>
      <c r="G288" s="2" t="s">
        <v>892</v>
      </c>
      <c r="H288" s="7" t="s">
        <v>209</v>
      </c>
      <c r="I288" s="2" t="s">
        <v>321</v>
      </c>
      <c r="J288" s="2" t="s">
        <v>477</v>
      </c>
      <c r="K288" s="2" t="s">
        <v>304</v>
      </c>
      <c r="L288" s="2" t="s">
        <v>125</v>
      </c>
      <c r="M288" s="8" t="str">
        <f>HYPERLINK("http://slimages.macys.com/is/image/MCY/13860370 ")</f>
        <v xml:space="preserve">http://slimages.macys.com/is/image/MCY/13860370 </v>
      </c>
    </row>
    <row r="289" spans="1:13" ht="60" x14ac:dyDescent="0.25">
      <c r="A289" s="7" t="s">
        <v>7577</v>
      </c>
      <c r="B289" s="2" t="s">
        <v>4097</v>
      </c>
      <c r="C289" s="4">
        <v>5</v>
      </c>
      <c r="D289" s="5">
        <v>6.75</v>
      </c>
      <c r="E289" s="5">
        <v>16.989999999999998</v>
      </c>
      <c r="F289" s="4" t="s">
        <v>7553</v>
      </c>
      <c r="G289" s="2" t="s">
        <v>892</v>
      </c>
      <c r="H289" s="7" t="s">
        <v>68</v>
      </c>
      <c r="I289" s="2" t="s">
        <v>321</v>
      </c>
      <c r="J289" s="2" t="s">
        <v>477</v>
      </c>
      <c r="K289" s="2" t="s">
        <v>304</v>
      </c>
      <c r="L289" s="2" t="s">
        <v>125</v>
      </c>
      <c r="M289" s="8" t="str">
        <f>HYPERLINK("http://slimages.macys.com/is/image/MCY/13860370 ")</f>
        <v xml:space="preserve">http://slimages.macys.com/is/image/MCY/13860370 </v>
      </c>
    </row>
    <row r="290" spans="1:13" ht="84" x14ac:dyDescent="0.25">
      <c r="A290" s="7" t="s">
        <v>7571</v>
      </c>
      <c r="B290" s="2" t="s">
        <v>4088</v>
      </c>
      <c r="C290" s="4">
        <v>1</v>
      </c>
      <c r="D290" s="5">
        <v>6.75</v>
      </c>
      <c r="E290" s="5">
        <v>16.989999999999998</v>
      </c>
      <c r="F290" s="4" t="s">
        <v>5431</v>
      </c>
      <c r="G290" s="2" t="s">
        <v>892</v>
      </c>
      <c r="H290" s="7" t="s">
        <v>68</v>
      </c>
      <c r="I290" s="2" t="s">
        <v>321</v>
      </c>
      <c r="J290" s="2" t="s">
        <v>477</v>
      </c>
      <c r="K290" s="2" t="s">
        <v>304</v>
      </c>
      <c r="L290" s="2" t="s">
        <v>1516</v>
      </c>
      <c r="M290" s="8" t="str">
        <f>HYPERLINK("http://slimages.macys.com/is/image/MCY/13860413 ")</f>
        <v xml:space="preserve">http://slimages.macys.com/is/image/MCY/13860413 </v>
      </c>
    </row>
    <row r="291" spans="1:13" ht="84" x14ac:dyDescent="0.25">
      <c r="A291" s="7" t="s">
        <v>5427</v>
      </c>
      <c r="B291" s="2" t="s">
        <v>5428</v>
      </c>
      <c r="C291" s="4">
        <v>7</v>
      </c>
      <c r="D291" s="5">
        <v>6.75</v>
      </c>
      <c r="E291" s="5">
        <v>16.989999999999998</v>
      </c>
      <c r="F291" s="4" t="s">
        <v>5429</v>
      </c>
      <c r="G291" s="2" t="s">
        <v>476</v>
      </c>
      <c r="H291" s="7" t="s">
        <v>68</v>
      </c>
      <c r="I291" s="2" t="s">
        <v>321</v>
      </c>
      <c r="J291" s="2" t="s">
        <v>477</v>
      </c>
      <c r="K291" s="2" t="s">
        <v>304</v>
      </c>
      <c r="L291" s="2" t="s">
        <v>1516</v>
      </c>
      <c r="M291" s="8" t="str">
        <f>HYPERLINK("http://slimages.macys.com/is/image/MCY/13860359 ")</f>
        <v xml:space="preserve">http://slimages.macys.com/is/image/MCY/13860359 </v>
      </c>
    </row>
    <row r="292" spans="1:13" ht="84" x14ac:dyDescent="0.25">
      <c r="A292" s="7" t="s">
        <v>6878</v>
      </c>
      <c r="B292" s="2" t="s">
        <v>5428</v>
      </c>
      <c r="C292" s="4">
        <v>8</v>
      </c>
      <c r="D292" s="5">
        <v>6.75</v>
      </c>
      <c r="E292" s="5">
        <v>16.989999999999998</v>
      </c>
      <c r="F292" s="4" t="s">
        <v>5429</v>
      </c>
      <c r="G292" s="2" t="s">
        <v>476</v>
      </c>
      <c r="H292" s="7" t="s">
        <v>209</v>
      </c>
      <c r="I292" s="2" t="s">
        <v>321</v>
      </c>
      <c r="J292" s="2" t="s">
        <v>477</v>
      </c>
      <c r="K292" s="2" t="s">
        <v>304</v>
      </c>
      <c r="L292" s="2" t="s">
        <v>1516</v>
      </c>
      <c r="M292" s="8" t="str">
        <f>HYPERLINK("http://slimages.macys.com/is/image/MCY/13860359 ")</f>
        <v xml:space="preserve">http://slimages.macys.com/is/image/MCY/13860359 </v>
      </c>
    </row>
    <row r="293" spans="1:13" ht="84" x14ac:dyDescent="0.25">
      <c r="A293" s="7" t="s">
        <v>6877</v>
      </c>
      <c r="B293" s="2" t="s">
        <v>5428</v>
      </c>
      <c r="C293" s="4">
        <v>4</v>
      </c>
      <c r="D293" s="5">
        <v>6.75</v>
      </c>
      <c r="E293" s="5">
        <v>16.989999999999998</v>
      </c>
      <c r="F293" s="4" t="s">
        <v>5429</v>
      </c>
      <c r="G293" s="2" t="s">
        <v>476</v>
      </c>
      <c r="H293" s="7" t="s">
        <v>144</v>
      </c>
      <c r="I293" s="2" t="s">
        <v>321</v>
      </c>
      <c r="J293" s="2" t="s">
        <v>477</v>
      </c>
      <c r="K293" s="2" t="s">
        <v>304</v>
      </c>
      <c r="L293" s="2" t="s">
        <v>1516</v>
      </c>
      <c r="M293" s="8" t="str">
        <f>HYPERLINK("http://slimages.macys.com/is/image/MCY/13860359 ")</f>
        <v xml:space="preserve">http://slimages.macys.com/is/image/MCY/13860359 </v>
      </c>
    </row>
    <row r="294" spans="1:13" ht="84" x14ac:dyDescent="0.25">
      <c r="A294" s="7" t="s">
        <v>473</v>
      </c>
      <c r="B294" s="2" t="s">
        <v>474</v>
      </c>
      <c r="C294" s="4">
        <v>12</v>
      </c>
      <c r="D294" s="5">
        <v>6.75</v>
      </c>
      <c r="E294" s="5">
        <v>16.989999999999998</v>
      </c>
      <c r="F294" s="4" t="s">
        <v>475</v>
      </c>
      <c r="G294" s="2" t="s">
        <v>476</v>
      </c>
      <c r="H294" s="7" t="s">
        <v>209</v>
      </c>
      <c r="I294" s="2" t="s">
        <v>321</v>
      </c>
      <c r="J294" s="2" t="s">
        <v>477</v>
      </c>
      <c r="K294" s="2" t="s">
        <v>304</v>
      </c>
      <c r="L294" s="2" t="s">
        <v>478</v>
      </c>
      <c r="M294" s="8" t="str">
        <f>HYPERLINK("http://slimages.macys.com/is/image/MCY/13860353 ")</f>
        <v xml:space="preserve">http://slimages.macys.com/is/image/MCY/13860353 </v>
      </c>
    </row>
    <row r="295" spans="1:13" ht="72" x14ac:dyDescent="0.25">
      <c r="A295" s="7" t="s">
        <v>7570</v>
      </c>
      <c r="B295" s="2" t="s">
        <v>474</v>
      </c>
      <c r="C295" s="4">
        <v>12</v>
      </c>
      <c r="D295" s="5">
        <v>6.75</v>
      </c>
      <c r="E295" s="5">
        <v>16.989999999999998</v>
      </c>
      <c r="F295" s="4" t="s">
        <v>1798</v>
      </c>
      <c r="G295" s="2" t="s">
        <v>476</v>
      </c>
      <c r="H295" s="7"/>
      <c r="I295" s="2" t="s">
        <v>321</v>
      </c>
      <c r="J295" s="2" t="s">
        <v>477</v>
      </c>
      <c r="K295" s="2" t="s">
        <v>304</v>
      </c>
      <c r="L295" s="2" t="s">
        <v>1117</v>
      </c>
      <c r="M295" s="8" t="str">
        <f>HYPERLINK("http://slimages.macys.com/is/image/MCY/13860353 ")</f>
        <v xml:space="preserve">http://slimages.macys.com/is/image/MCY/13860353 </v>
      </c>
    </row>
    <row r="296" spans="1:13" ht="72" x14ac:dyDescent="0.25">
      <c r="A296" s="7" t="s">
        <v>6876</v>
      </c>
      <c r="B296" s="2" t="s">
        <v>474</v>
      </c>
      <c r="C296" s="4">
        <v>1</v>
      </c>
      <c r="D296" s="5">
        <v>6.75</v>
      </c>
      <c r="E296" s="5">
        <v>16.989999999999998</v>
      </c>
      <c r="F296" s="4" t="s">
        <v>1798</v>
      </c>
      <c r="G296" s="2" t="s">
        <v>476</v>
      </c>
      <c r="H296" s="7"/>
      <c r="I296" s="2" t="s">
        <v>321</v>
      </c>
      <c r="J296" s="2" t="s">
        <v>477</v>
      </c>
      <c r="K296" s="2" t="s">
        <v>304</v>
      </c>
      <c r="L296" s="2" t="s">
        <v>1117</v>
      </c>
      <c r="M296" s="8" t="str">
        <f>HYPERLINK("http://slimages.macys.com/is/image/MCY/13860353 ")</f>
        <v xml:space="preserve">http://slimages.macys.com/is/image/MCY/13860353 </v>
      </c>
    </row>
    <row r="297" spans="1:13" ht="72" x14ac:dyDescent="0.25">
      <c r="A297" s="7" t="s">
        <v>1797</v>
      </c>
      <c r="B297" s="2" t="s">
        <v>474</v>
      </c>
      <c r="C297" s="4">
        <v>11</v>
      </c>
      <c r="D297" s="5">
        <v>6.75</v>
      </c>
      <c r="E297" s="5">
        <v>16.989999999999998</v>
      </c>
      <c r="F297" s="4" t="s">
        <v>1798</v>
      </c>
      <c r="G297" s="2" t="s">
        <v>476</v>
      </c>
      <c r="H297" s="7"/>
      <c r="I297" s="2" t="s">
        <v>321</v>
      </c>
      <c r="J297" s="2" t="s">
        <v>477</v>
      </c>
      <c r="K297" s="2" t="s">
        <v>304</v>
      </c>
      <c r="L297" s="2" t="s">
        <v>1117</v>
      </c>
      <c r="M297" s="8" t="str">
        <f>HYPERLINK("http://slimages.macys.com/is/image/MCY/13860353 ")</f>
        <v xml:space="preserve">http://slimages.macys.com/is/image/MCY/13860353 </v>
      </c>
    </row>
    <row r="298" spans="1:13" ht="84" x14ac:dyDescent="0.25">
      <c r="A298" s="7" t="s">
        <v>2594</v>
      </c>
      <c r="B298" s="2" t="s">
        <v>474</v>
      </c>
      <c r="C298" s="4">
        <v>9</v>
      </c>
      <c r="D298" s="5">
        <v>6.75</v>
      </c>
      <c r="E298" s="5">
        <v>16.989999999999998</v>
      </c>
      <c r="F298" s="4" t="s">
        <v>475</v>
      </c>
      <c r="G298" s="2" t="s">
        <v>476</v>
      </c>
      <c r="H298" s="7" t="s">
        <v>68</v>
      </c>
      <c r="I298" s="2" t="s">
        <v>321</v>
      </c>
      <c r="J298" s="2" t="s">
        <v>477</v>
      </c>
      <c r="K298" s="2" t="s">
        <v>304</v>
      </c>
      <c r="L298" s="2" t="s">
        <v>478</v>
      </c>
      <c r="M298" s="8" t="str">
        <f>HYPERLINK("http://slimages.macys.com/is/image/MCY/13860353 ")</f>
        <v xml:space="preserve">http://slimages.macys.com/is/image/MCY/13860353 </v>
      </c>
    </row>
    <row r="299" spans="1:13" ht="60" x14ac:dyDescent="0.25">
      <c r="A299" s="7" t="s">
        <v>7561</v>
      </c>
      <c r="B299" s="2" t="s">
        <v>5428</v>
      </c>
      <c r="C299" s="4">
        <v>2</v>
      </c>
      <c r="D299" s="5">
        <v>6.75</v>
      </c>
      <c r="E299" s="5">
        <v>16.989999999999998</v>
      </c>
      <c r="F299" s="4" t="s">
        <v>5434</v>
      </c>
      <c r="G299" s="2" t="s">
        <v>476</v>
      </c>
      <c r="H299" s="7"/>
      <c r="I299" s="2" t="s">
        <v>321</v>
      </c>
      <c r="J299" s="2" t="s">
        <v>477</v>
      </c>
      <c r="K299" s="2" t="s">
        <v>304</v>
      </c>
      <c r="L299" s="2" t="s">
        <v>358</v>
      </c>
      <c r="M299" s="8" t="str">
        <f>HYPERLINK("http://slimages.macys.com/is/image/MCY/13860359 ")</f>
        <v xml:space="preserve">http://slimages.macys.com/is/image/MCY/13860359 </v>
      </c>
    </row>
    <row r="300" spans="1:13" ht="72" x14ac:dyDescent="0.25">
      <c r="A300" s="7" t="s">
        <v>6875</v>
      </c>
      <c r="B300" s="2" t="s">
        <v>474</v>
      </c>
      <c r="C300" s="4">
        <v>1</v>
      </c>
      <c r="D300" s="5">
        <v>6.75</v>
      </c>
      <c r="E300" s="5">
        <v>16.989999999999998</v>
      </c>
      <c r="F300" s="4" t="s">
        <v>1798</v>
      </c>
      <c r="G300" s="2" t="s">
        <v>476</v>
      </c>
      <c r="H300" s="7"/>
      <c r="I300" s="2" t="s">
        <v>321</v>
      </c>
      <c r="J300" s="2" t="s">
        <v>477</v>
      </c>
      <c r="K300" s="2" t="s">
        <v>304</v>
      </c>
      <c r="L300" s="2" t="s">
        <v>1117</v>
      </c>
      <c r="M300" s="8" t="str">
        <f>HYPERLINK("http://slimages.macys.com/is/image/MCY/13860353 ")</f>
        <v xml:space="preserve">http://slimages.macys.com/is/image/MCY/13860353 </v>
      </c>
    </row>
    <row r="301" spans="1:13" ht="60" x14ac:dyDescent="0.25">
      <c r="A301" s="7" t="s">
        <v>7566</v>
      </c>
      <c r="B301" s="2" t="s">
        <v>2596</v>
      </c>
      <c r="C301" s="4">
        <v>12</v>
      </c>
      <c r="D301" s="5">
        <v>6.75</v>
      </c>
      <c r="E301" s="5">
        <v>16.989999999999998</v>
      </c>
      <c r="F301" s="4" t="s">
        <v>7555</v>
      </c>
      <c r="G301" s="2" t="s">
        <v>41</v>
      </c>
      <c r="H301" s="7" t="s">
        <v>144</v>
      </c>
      <c r="I301" s="2" t="s">
        <v>321</v>
      </c>
      <c r="J301" s="2" t="s">
        <v>477</v>
      </c>
      <c r="K301" s="2" t="s">
        <v>304</v>
      </c>
      <c r="L301" s="2" t="s">
        <v>125</v>
      </c>
      <c r="M301" s="8" t="str">
        <f>HYPERLINK("http://slimages.macys.com/is/image/MCY/13860422 ")</f>
        <v xml:space="preserve">http://slimages.macys.com/is/image/MCY/13860422 </v>
      </c>
    </row>
    <row r="302" spans="1:13" ht="60" x14ac:dyDescent="0.25">
      <c r="A302" s="7" t="s">
        <v>7554</v>
      </c>
      <c r="B302" s="2" t="s">
        <v>2596</v>
      </c>
      <c r="C302" s="4">
        <v>9</v>
      </c>
      <c r="D302" s="5">
        <v>6.75</v>
      </c>
      <c r="E302" s="5">
        <v>16.989999999999998</v>
      </c>
      <c r="F302" s="4" t="s">
        <v>7555</v>
      </c>
      <c r="G302" s="2" t="s">
        <v>41</v>
      </c>
      <c r="H302" s="7" t="s">
        <v>68</v>
      </c>
      <c r="I302" s="2" t="s">
        <v>321</v>
      </c>
      <c r="J302" s="2" t="s">
        <v>477</v>
      </c>
      <c r="K302" s="2" t="s">
        <v>304</v>
      </c>
      <c r="L302" s="2" t="s">
        <v>125</v>
      </c>
      <c r="M302" s="8" t="str">
        <f>HYPERLINK("http://slimages.macys.com/is/image/MCY/13860422 ")</f>
        <v xml:space="preserve">http://slimages.macys.com/is/image/MCY/13860422 </v>
      </c>
    </row>
    <row r="303" spans="1:13" ht="60" x14ac:dyDescent="0.25">
      <c r="A303" s="7" t="s">
        <v>7556</v>
      </c>
      <c r="B303" s="2" t="s">
        <v>2596</v>
      </c>
      <c r="C303" s="4">
        <v>4</v>
      </c>
      <c r="D303" s="5">
        <v>6.75</v>
      </c>
      <c r="E303" s="5">
        <v>16.989999999999998</v>
      </c>
      <c r="F303" s="4" t="s">
        <v>7555</v>
      </c>
      <c r="G303" s="2" t="s">
        <v>41</v>
      </c>
      <c r="H303" s="7" t="s">
        <v>209</v>
      </c>
      <c r="I303" s="2" t="s">
        <v>321</v>
      </c>
      <c r="J303" s="2" t="s">
        <v>477</v>
      </c>
      <c r="K303" s="2" t="s">
        <v>304</v>
      </c>
      <c r="L303" s="2" t="s">
        <v>125</v>
      </c>
      <c r="M303" s="8" t="str">
        <f>HYPERLINK("http://slimages.macys.com/is/image/MCY/13860422 ")</f>
        <v xml:space="preserve">http://slimages.macys.com/is/image/MCY/13860422 </v>
      </c>
    </row>
    <row r="304" spans="1:13" ht="84" x14ac:dyDescent="0.25">
      <c r="A304" s="7" t="s">
        <v>7557</v>
      </c>
      <c r="B304" s="2" t="s">
        <v>2596</v>
      </c>
      <c r="C304" s="4">
        <v>4</v>
      </c>
      <c r="D304" s="5">
        <v>6.75</v>
      </c>
      <c r="E304" s="5">
        <v>16.989999999999998</v>
      </c>
      <c r="F304" s="4" t="s">
        <v>2597</v>
      </c>
      <c r="G304" s="2" t="s">
        <v>41</v>
      </c>
      <c r="H304" s="7"/>
      <c r="I304" s="2" t="s">
        <v>321</v>
      </c>
      <c r="J304" s="2" t="s">
        <v>477</v>
      </c>
      <c r="K304" s="2" t="s">
        <v>304</v>
      </c>
      <c r="L304" s="2" t="s">
        <v>1516</v>
      </c>
      <c r="M304" s="8" t="str">
        <f>HYPERLINK("http://slimages.macys.com/is/image/MCY/13860422 ")</f>
        <v xml:space="preserve">http://slimages.macys.com/is/image/MCY/13860422 </v>
      </c>
    </row>
    <row r="305" spans="1:13" ht="60" x14ac:dyDescent="0.25">
      <c r="A305" s="7" t="s">
        <v>5433</v>
      </c>
      <c r="B305" s="2" t="s">
        <v>5428</v>
      </c>
      <c r="C305" s="4">
        <v>3</v>
      </c>
      <c r="D305" s="5">
        <v>6.75</v>
      </c>
      <c r="E305" s="5">
        <v>16.989999999999998</v>
      </c>
      <c r="F305" s="4" t="s">
        <v>5434</v>
      </c>
      <c r="G305" s="2" t="s">
        <v>476</v>
      </c>
      <c r="H305" s="7"/>
      <c r="I305" s="2" t="s">
        <v>321</v>
      </c>
      <c r="J305" s="2" t="s">
        <v>477</v>
      </c>
      <c r="K305" s="2" t="s">
        <v>304</v>
      </c>
      <c r="L305" s="2" t="s">
        <v>358</v>
      </c>
      <c r="M305" s="8" t="str">
        <f>HYPERLINK("http://slimages.macys.com/is/image/MCY/13860359 ")</f>
        <v xml:space="preserve">http://slimages.macys.com/is/image/MCY/13860359 </v>
      </c>
    </row>
    <row r="306" spans="1:13" ht="60" x14ac:dyDescent="0.25">
      <c r="A306" s="7" t="s">
        <v>6879</v>
      </c>
      <c r="B306" s="2" t="s">
        <v>5428</v>
      </c>
      <c r="C306" s="4">
        <v>4</v>
      </c>
      <c r="D306" s="5">
        <v>6.75</v>
      </c>
      <c r="E306" s="5">
        <v>16.989999999999998</v>
      </c>
      <c r="F306" s="4" t="s">
        <v>5434</v>
      </c>
      <c r="G306" s="2" t="s">
        <v>476</v>
      </c>
      <c r="H306" s="7"/>
      <c r="I306" s="2" t="s">
        <v>321</v>
      </c>
      <c r="J306" s="2" t="s">
        <v>477</v>
      </c>
      <c r="K306" s="2" t="s">
        <v>304</v>
      </c>
      <c r="L306" s="2" t="s">
        <v>358</v>
      </c>
      <c r="M306" s="8" t="str">
        <f>HYPERLINK("http://slimages.macys.com/is/image/MCY/13860359 ")</f>
        <v xml:space="preserve">http://slimages.macys.com/is/image/MCY/13860359 </v>
      </c>
    </row>
    <row r="307" spans="1:13" ht="60" x14ac:dyDescent="0.25">
      <c r="A307" s="7" t="s">
        <v>6880</v>
      </c>
      <c r="B307" s="2" t="s">
        <v>5428</v>
      </c>
      <c r="C307" s="4">
        <v>9</v>
      </c>
      <c r="D307" s="5">
        <v>6.75</v>
      </c>
      <c r="E307" s="5">
        <v>16.989999999999998</v>
      </c>
      <c r="F307" s="4" t="s">
        <v>5434</v>
      </c>
      <c r="G307" s="2" t="s">
        <v>476</v>
      </c>
      <c r="H307" s="7"/>
      <c r="I307" s="2" t="s">
        <v>321</v>
      </c>
      <c r="J307" s="2" t="s">
        <v>477</v>
      </c>
      <c r="K307" s="2" t="s">
        <v>304</v>
      </c>
      <c r="L307" s="2" t="s">
        <v>358</v>
      </c>
      <c r="M307" s="8" t="str">
        <f>HYPERLINK("http://slimages.macys.com/is/image/MCY/13860359 ")</f>
        <v xml:space="preserve">http://slimages.macys.com/is/image/MCY/13860359 </v>
      </c>
    </row>
    <row r="308" spans="1:13" ht="60" x14ac:dyDescent="0.25">
      <c r="A308" s="7" t="s">
        <v>1793</v>
      </c>
      <c r="B308" s="2" t="s">
        <v>1791</v>
      </c>
      <c r="C308" s="4">
        <v>2</v>
      </c>
      <c r="D308" s="5">
        <v>6.75</v>
      </c>
      <c r="E308" s="5">
        <v>16.989999999999998</v>
      </c>
      <c r="F308" s="4" t="s">
        <v>1792</v>
      </c>
      <c r="G308" s="2" t="s">
        <v>41</v>
      </c>
      <c r="H308" s="7"/>
      <c r="I308" s="2" t="s">
        <v>321</v>
      </c>
      <c r="J308" s="2" t="s">
        <v>477</v>
      </c>
      <c r="K308" s="2" t="s">
        <v>304</v>
      </c>
      <c r="L308" s="2" t="s">
        <v>125</v>
      </c>
      <c r="M308" s="8" t="str">
        <f>HYPERLINK("http://slimages.macys.com/is/image/MCY/13860424 ")</f>
        <v xml:space="preserve">http://slimages.macys.com/is/image/MCY/13860424 </v>
      </c>
    </row>
    <row r="309" spans="1:13" ht="60" x14ac:dyDescent="0.25">
      <c r="A309" s="7" t="s">
        <v>1794</v>
      </c>
      <c r="B309" s="2" t="s">
        <v>1791</v>
      </c>
      <c r="C309" s="4">
        <v>2</v>
      </c>
      <c r="D309" s="5">
        <v>6.75</v>
      </c>
      <c r="E309" s="5">
        <v>16.989999999999998</v>
      </c>
      <c r="F309" s="4" t="s">
        <v>1795</v>
      </c>
      <c r="G309" s="2" t="s">
        <v>41</v>
      </c>
      <c r="H309" s="7" t="s">
        <v>209</v>
      </c>
      <c r="I309" s="2" t="s">
        <v>321</v>
      </c>
      <c r="J309" s="2" t="s">
        <v>477</v>
      </c>
      <c r="K309" s="2" t="s">
        <v>304</v>
      </c>
      <c r="L309" s="2" t="s">
        <v>125</v>
      </c>
      <c r="M309" s="8" t="str">
        <f>HYPERLINK("http://slimages.macys.com/is/image/MCY/13860424 ")</f>
        <v xml:space="preserve">http://slimages.macys.com/is/image/MCY/13860424 </v>
      </c>
    </row>
    <row r="310" spans="1:13" ht="60" x14ac:dyDescent="0.25">
      <c r="A310" s="7" t="s">
        <v>7560</v>
      </c>
      <c r="B310" s="2" t="s">
        <v>1791</v>
      </c>
      <c r="C310" s="4">
        <v>6</v>
      </c>
      <c r="D310" s="5">
        <v>6.75</v>
      </c>
      <c r="E310" s="5">
        <v>16.989999999999998</v>
      </c>
      <c r="F310" s="4" t="s">
        <v>1795</v>
      </c>
      <c r="G310" s="2" t="s">
        <v>41</v>
      </c>
      <c r="H310" s="7" t="s">
        <v>144</v>
      </c>
      <c r="I310" s="2" t="s">
        <v>321</v>
      </c>
      <c r="J310" s="2" t="s">
        <v>477</v>
      </c>
      <c r="K310" s="2" t="s">
        <v>304</v>
      </c>
      <c r="L310" s="2" t="s">
        <v>125</v>
      </c>
      <c r="M310" s="8" t="str">
        <f>HYPERLINK("http://slimages.macys.com/is/image/MCY/13860424 ")</f>
        <v xml:space="preserve">http://slimages.macys.com/is/image/MCY/13860424 </v>
      </c>
    </row>
    <row r="311" spans="1:13" ht="60" x14ac:dyDescent="0.25">
      <c r="A311" s="7" t="s">
        <v>4096</v>
      </c>
      <c r="B311" s="2" t="s">
        <v>4097</v>
      </c>
      <c r="C311" s="4">
        <v>2</v>
      </c>
      <c r="D311" s="5">
        <v>6.75</v>
      </c>
      <c r="E311" s="5">
        <v>16.989999999999998</v>
      </c>
      <c r="F311" s="4" t="s">
        <v>4098</v>
      </c>
      <c r="G311" s="2" t="s">
        <v>892</v>
      </c>
      <c r="H311" s="7"/>
      <c r="I311" s="2" t="s">
        <v>321</v>
      </c>
      <c r="J311" s="2" t="s">
        <v>477</v>
      </c>
      <c r="K311" s="2" t="s">
        <v>304</v>
      </c>
      <c r="L311" s="2" t="s">
        <v>125</v>
      </c>
      <c r="M311" s="8" t="str">
        <f>HYPERLINK("http://slimages.macys.com/is/image/MCY/13860370 ")</f>
        <v xml:space="preserve">http://slimages.macys.com/is/image/MCY/13860370 </v>
      </c>
    </row>
    <row r="312" spans="1:13" ht="60" x14ac:dyDescent="0.25">
      <c r="A312" s="7" t="s">
        <v>1796</v>
      </c>
      <c r="B312" s="2" t="s">
        <v>1791</v>
      </c>
      <c r="C312" s="4">
        <v>2</v>
      </c>
      <c r="D312" s="5">
        <v>6.75</v>
      </c>
      <c r="E312" s="5">
        <v>16.989999999999998</v>
      </c>
      <c r="F312" s="4" t="s">
        <v>1792</v>
      </c>
      <c r="G312" s="2" t="s">
        <v>41</v>
      </c>
      <c r="H312" s="7"/>
      <c r="I312" s="2" t="s">
        <v>321</v>
      </c>
      <c r="J312" s="2" t="s">
        <v>477</v>
      </c>
      <c r="K312" s="2" t="s">
        <v>304</v>
      </c>
      <c r="L312" s="2" t="s">
        <v>125</v>
      </c>
      <c r="M312" s="8" t="str">
        <f>HYPERLINK("http://slimages.macys.com/is/image/MCY/13860424 ")</f>
        <v xml:space="preserve">http://slimages.macys.com/is/image/MCY/13860424 </v>
      </c>
    </row>
    <row r="313" spans="1:13" ht="84" x14ac:dyDescent="0.25">
      <c r="A313" s="7" t="s">
        <v>2595</v>
      </c>
      <c r="B313" s="2" t="s">
        <v>2596</v>
      </c>
      <c r="C313" s="4">
        <v>3</v>
      </c>
      <c r="D313" s="5">
        <v>6.75</v>
      </c>
      <c r="E313" s="5">
        <v>16.989999999999998</v>
      </c>
      <c r="F313" s="4" t="s">
        <v>2597</v>
      </c>
      <c r="G313" s="2" t="s">
        <v>41</v>
      </c>
      <c r="H313" s="7"/>
      <c r="I313" s="2" t="s">
        <v>321</v>
      </c>
      <c r="J313" s="2" t="s">
        <v>477</v>
      </c>
      <c r="K313" s="2" t="s">
        <v>304</v>
      </c>
      <c r="L313" s="2" t="s">
        <v>1516</v>
      </c>
      <c r="M313" s="8" t="str">
        <f>HYPERLINK("http://slimages.macys.com/is/image/MCY/13860422 ")</f>
        <v xml:space="preserve">http://slimages.macys.com/is/image/MCY/13860422 </v>
      </c>
    </row>
    <row r="314" spans="1:13" ht="60" x14ac:dyDescent="0.25">
      <c r="A314" s="7" t="s">
        <v>1790</v>
      </c>
      <c r="B314" s="2" t="s">
        <v>1791</v>
      </c>
      <c r="C314" s="4">
        <v>1</v>
      </c>
      <c r="D314" s="5">
        <v>6.75</v>
      </c>
      <c r="E314" s="5">
        <v>16.989999999999998</v>
      </c>
      <c r="F314" s="4" t="s">
        <v>1792</v>
      </c>
      <c r="G314" s="2" t="s">
        <v>41</v>
      </c>
      <c r="H314" s="7"/>
      <c r="I314" s="2" t="s">
        <v>321</v>
      </c>
      <c r="J314" s="2" t="s">
        <v>477</v>
      </c>
      <c r="K314" s="2" t="s">
        <v>304</v>
      </c>
      <c r="L314" s="2" t="s">
        <v>125</v>
      </c>
      <c r="M314" s="8" t="str">
        <f>HYPERLINK("http://slimages.macys.com/is/image/MCY/13860424 ")</f>
        <v xml:space="preserve">http://slimages.macys.com/is/image/MCY/13860424 </v>
      </c>
    </row>
    <row r="315" spans="1:13" ht="60" x14ac:dyDescent="0.25">
      <c r="A315" s="7" t="s">
        <v>10080</v>
      </c>
      <c r="B315" s="2" t="s">
        <v>7564</v>
      </c>
      <c r="C315" s="4">
        <v>1</v>
      </c>
      <c r="D315" s="5">
        <v>6.75</v>
      </c>
      <c r="E315" s="5">
        <v>21.99</v>
      </c>
      <c r="F315" s="4" t="s">
        <v>7565</v>
      </c>
      <c r="G315" s="2" t="s">
        <v>310</v>
      </c>
      <c r="H315" s="7" t="s">
        <v>68</v>
      </c>
      <c r="I315" s="2" t="s">
        <v>342</v>
      </c>
      <c r="J315" s="2" t="s">
        <v>362</v>
      </c>
      <c r="K315" s="2" t="s">
        <v>304</v>
      </c>
      <c r="L315" s="2" t="s">
        <v>3935</v>
      </c>
      <c r="M315" s="8" t="str">
        <f>HYPERLINK("http://slimages.macys.com/is/image/MCY/12227599 ")</f>
        <v xml:space="preserve">http://slimages.macys.com/is/image/MCY/12227599 </v>
      </c>
    </row>
    <row r="316" spans="1:13" ht="72" x14ac:dyDescent="0.25">
      <c r="A316" s="7" t="s">
        <v>8927</v>
      </c>
      <c r="B316" s="2" t="s">
        <v>8928</v>
      </c>
      <c r="C316" s="4">
        <v>2</v>
      </c>
      <c r="D316" s="5">
        <v>6.72</v>
      </c>
      <c r="E316" s="5">
        <v>17.989999999999998</v>
      </c>
      <c r="F316" s="4" t="s">
        <v>8929</v>
      </c>
      <c r="G316" s="2" t="s">
        <v>527</v>
      </c>
      <c r="H316" s="7" t="s">
        <v>159</v>
      </c>
      <c r="I316" s="2" t="s">
        <v>515</v>
      </c>
      <c r="J316" s="2" t="s">
        <v>827</v>
      </c>
      <c r="K316" s="2" t="s">
        <v>304</v>
      </c>
      <c r="L316" s="2" t="s">
        <v>1117</v>
      </c>
      <c r="M316" s="8" t="str">
        <f>HYPERLINK("http://slimages.macys.com/is/image/MCY/11605993 ")</f>
        <v xml:space="preserve">http://slimages.macys.com/is/image/MCY/11605993 </v>
      </c>
    </row>
    <row r="317" spans="1:13" ht="96" x14ac:dyDescent="0.25">
      <c r="A317" s="7" t="s">
        <v>11560</v>
      </c>
      <c r="B317" s="2" t="s">
        <v>11561</v>
      </c>
      <c r="C317" s="4">
        <v>1</v>
      </c>
      <c r="D317" s="5">
        <v>6.7</v>
      </c>
      <c r="E317" s="5">
        <v>24.99</v>
      </c>
      <c r="F317" s="4" t="s">
        <v>11562</v>
      </c>
      <c r="G317" s="2" t="s">
        <v>310</v>
      </c>
      <c r="H317" s="7" t="s">
        <v>442</v>
      </c>
      <c r="I317" s="2" t="s">
        <v>135</v>
      </c>
      <c r="J317" s="2" t="s">
        <v>99</v>
      </c>
      <c r="K317" s="2" t="s">
        <v>304</v>
      </c>
      <c r="L317" s="2" t="s">
        <v>9552</v>
      </c>
      <c r="M317" s="8" t="str">
        <f>HYPERLINK("http://slimages.macys.com/is/image/MCY/12827908 ")</f>
        <v xml:space="preserve">http://slimages.macys.com/is/image/MCY/12827908 </v>
      </c>
    </row>
    <row r="318" spans="1:13" ht="156" x14ac:dyDescent="0.25">
      <c r="A318" s="7" t="s">
        <v>11563</v>
      </c>
      <c r="B318" s="2" t="s">
        <v>6883</v>
      </c>
      <c r="C318" s="4">
        <v>1</v>
      </c>
      <c r="D318" s="5">
        <v>6.7</v>
      </c>
      <c r="E318" s="5">
        <v>24.99</v>
      </c>
      <c r="F318" s="4" t="s">
        <v>6884</v>
      </c>
      <c r="G318" s="2" t="s">
        <v>310</v>
      </c>
      <c r="H318" s="7" t="s">
        <v>42</v>
      </c>
      <c r="I318" s="2" t="s">
        <v>135</v>
      </c>
      <c r="J318" s="2" t="s">
        <v>99</v>
      </c>
      <c r="K318" s="2" t="s">
        <v>304</v>
      </c>
      <c r="L318" s="2" t="s">
        <v>6885</v>
      </c>
      <c r="M318" s="8" t="str">
        <f>HYPERLINK("http://slimages.macys.com/is/image/MCY/12738557 ")</f>
        <v xml:space="preserve">http://slimages.macys.com/is/image/MCY/12738557 </v>
      </c>
    </row>
    <row r="319" spans="1:13" ht="60" x14ac:dyDescent="0.25">
      <c r="A319" s="7" t="s">
        <v>5934</v>
      </c>
      <c r="B319" s="2" t="s">
        <v>3347</v>
      </c>
      <c r="C319" s="4">
        <v>1</v>
      </c>
      <c r="D319" s="5">
        <v>6.7</v>
      </c>
      <c r="E319" s="5">
        <v>11.99</v>
      </c>
      <c r="F319" s="4" t="s">
        <v>3348</v>
      </c>
      <c r="G319" s="2" t="s">
        <v>48</v>
      </c>
      <c r="H319" s="7" t="s">
        <v>317</v>
      </c>
      <c r="I319" s="2" t="s">
        <v>73</v>
      </c>
      <c r="J319" s="2" t="s">
        <v>1963</v>
      </c>
      <c r="K319" s="2" t="s">
        <v>304</v>
      </c>
      <c r="L319" s="2" t="s">
        <v>100</v>
      </c>
      <c r="M319" s="8" t="str">
        <f>HYPERLINK("http://slimages.macys.com/is/image/MCY/11229110 ")</f>
        <v xml:space="preserve">http://slimages.macys.com/is/image/MCY/11229110 </v>
      </c>
    </row>
    <row r="320" spans="1:13" ht="60" x14ac:dyDescent="0.25">
      <c r="A320" s="7" t="s">
        <v>3346</v>
      </c>
      <c r="B320" s="2" t="s">
        <v>3347</v>
      </c>
      <c r="C320" s="4">
        <v>1</v>
      </c>
      <c r="D320" s="5">
        <v>6.7</v>
      </c>
      <c r="E320" s="5">
        <v>11.99</v>
      </c>
      <c r="F320" s="4" t="s">
        <v>3348</v>
      </c>
      <c r="G320" s="2" t="s">
        <v>48</v>
      </c>
      <c r="H320" s="7" t="s">
        <v>123</v>
      </c>
      <c r="I320" s="2" t="s">
        <v>73</v>
      </c>
      <c r="J320" s="2" t="s">
        <v>1963</v>
      </c>
      <c r="K320" s="2" t="s">
        <v>304</v>
      </c>
      <c r="L320" s="2" t="s">
        <v>100</v>
      </c>
      <c r="M320" s="8" t="str">
        <f>HYPERLINK("http://slimages.macys.com/is/image/MCY/11229110 ")</f>
        <v xml:space="preserve">http://slimages.macys.com/is/image/MCY/11229110 </v>
      </c>
    </row>
    <row r="321" spans="1:13" ht="60" x14ac:dyDescent="0.25">
      <c r="A321" s="7" t="s">
        <v>11564</v>
      </c>
      <c r="B321" s="2" t="s">
        <v>11565</v>
      </c>
      <c r="C321" s="4">
        <v>1</v>
      </c>
      <c r="D321" s="5">
        <v>6.7</v>
      </c>
      <c r="E321" s="5">
        <v>13.37</v>
      </c>
      <c r="F321" s="4">
        <v>16509410</v>
      </c>
      <c r="G321" s="2"/>
      <c r="H321" s="7" t="s">
        <v>233</v>
      </c>
      <c r="I321" s="2" t="s">
        <v>153</v>
      </c>
      <c r="J321" s="2" t="s">
        <v>154</v>
      </c>
      <c r="K321" s="2" t="s">
        <v>304</v>
      </c>
      <c r="L321" s="2" t="s">
        <v>224</v>
      </c>
      <c r="M321" s="8" t="str">
        <f>HYPERLINK("http://slimages.macys.com/is/image/MCY/13863309 ")</f>
        <v xml:space="preserve">http://slimages.macys.com/is/image/MCY/13863309 </v>
      </c>
    </row>
    <row r="322" spans="1:13" ht="60" x14ac:dyDescent="0.25">
      <c r="A322" s="7" t="s">
        <v>7580</v>
      </c>
      <c r="B322" s="2" t="s">
        <v>1025</v>
      </c>
      <c r="C322" s="4">
        <v>1</v>
      </c>
      <c r="D322" s="5">
        <v>6.67</v>
      </c>
      <c r="E322" s="5">
        <v>16.989999999999998</v>
      </c>
      <c r="F322" s="4" t="s">
        <v>1804</v>
      </c>
      <c r="G322" s="2" t="s">
        <v>62</v>
      </c>
      <c r="H322" s="7" t="s">
        <v>284</v>
      </c>
      <c r="I322" s="2" t="s">
        <v>515</v>
      </c>
      <c r="J322" s="2" t="s">
        <v>827</v>
      </c>
      <c r="K322" s="2" t="s">
        <v>304</v>
      </c>
      <c r="L322" s="2" t="s">
        <v>358</v>
      </c>
      <c r="M322" s="8" t="str">
        <f>HYPERLINK("http://slimages.macys.com/is/image/MCY/12687279 ")</f>
        <v xml:space="preserve">http://slimages.macys.com/is/image/MCY/12687279 </v>
      </c>
    </row>
    <row r="323" spans="1:13" ht="60" x14ac:dyDescent="0.25">
      <c r="A323" s="7" t="s">
        <v>11566</v>
      </c>
      <c r="B323" s="2" t="s">
        <v>11567</v>
      </c>
      <c r="C323" s="4">
        <v>1</v>
      </c>
      <c r="D323" s="5">
        <v>6.65</v>
      </c>
      <c r="E323" s="5">
        <v>19.989999999999998</v>
      </c>
      <c r="F323" s="4" t="s">
        <v>11568</v>
      </c>
      <c r="G323" s="2" t="s">
        <v>310</v>
      </c>
      <c r="H323" s="7" t="s">
        <v>209</v>
      </c>
      <c r="I323" s="2" t="s">
        <v>312</v>
      </c>
      <c r="J323" s="2" t="s">
        <v>313</v>
      </c>
      <c r="K323" s="2" t="s">
        <v>304</v>
      </c>
      <c r="L323" s="2" t="s">
        <v>206</v>
      </c>
      <c r="M323" s="8" t="str">
        <f>HYPERLINK("http://slimages.macys.com/is/image/MCY/12291162 ")</f>
        <v xml:space="preserve">http://slimages.macys.com/is/image/MCY/12291162 </v>
      </c>
    </row>
    <row r="324" spans="1:13" ht="60" x14ac:dyDescent="0.25">
      <c r="A324" s="7" t="s">
        <v>6294</v>
      </c>
      <c r="B324" s="2" t="s">
        <v>1006</v>
      </c>
      <c r="C324" s="4">
        <v>1</v>
      </c>
      <c r="D324" s="5">
        <v>6.52</v>
      </c>
      <c r="E324" s="5">
        <v>14.99</v>
      </c>
      <c r="F324" s="4" t="s">
        <v>1007</v>
      </c>
      <c r="G324" s="2" t="s">
        <v>28</v>
      </c>
      <c r="H324" s="7" t="s">
        <v>317</v>
      </c>
      <c r="I324" s="2" t="s">
        <v>292</v>
      </c>
      <c r="J324" s="2" t="s">
        <v>354</v>
      </c>
      <c r="K324" s="2" t="s">
        <v>304</v>
      </c>
      <c r="L324" s="2" t="s">
        <v>119</v>
      </c>
      <c r="M324" s="8" t="str">
        <f>HYPERLINK("http://slimages.macys.com/is/image/MCY/11776479 ")</f>
        <v xml:space="preserve">http://slimages.macys.com/is/image/MCY/11776479 </v>
      </c>
    </row>
    <row r="325" spans="1:13" ht="60" x14ac:dyDescent="0.25">
      <c r="A325" s="7" t="s">
        <v>11569</v>
      </c>
      <c r="B325" s="2" t="s">
        <v>5445</v>
      </c>
      <c r="C325" s="4">
        <v>1</v>
      </c>
      <c r="D325" s="5">
        <v>6.51</v>
      </c>
      <c r="E325" s="5">
        <v>16.989999999999998</v>
      </c>
      <c r="F325" s="4" t="s">
        <v>5446</v>
      </c>
      <c r="G325" s="2" t="s">
        <v>2913</v>
      </c>
      <c r="H325" s="7" t="s">
        <v>5814</v>
      </c>
      <c r="I325" s="2" t="s">
        <v>483</v>
      </c>
      <c r="J325" s="2" t="s">
        <v>4858</v>
      </c>
      <c r="K325" s="2" t="s">
        <v>304</v>
      </c>
      <c r="L325" s="2" t="s">
        <v>5447</v>
      </c>
      <c r="M325" s="8" t="str">
        <f>HYPERLINK("http://slimages.macys.com/is/image/MCY/10276661 ")</f>
        <v xml:space="preserve">http://slimages.macys.com/is/image/MCY/10276661 </v>
      </c>
    </row>
    <row r="326" spans="1:13" ht="60" x14ac:dyDescent="0.25">
      <c r="A326" s="7" t="s">
        <v>11570</v>
      </c>
      <c r="B326" s="2" t="s">
        <v>11571</v>
      </c>
      <c r="C326" s="4">
        <v>1</v>
      </c>
      <c r="D326" s="5">
        <v>6.5</v>
      </c>
      <c r="E326" s="5">
        <v>14.99</v>
      </c>
      <c r="F326" s="4" t="s">
        <v>11572</v>
      </c>
      <c r="G326" s="2" t="s">
        <v>41</v>
      </c>
      <c r="H326" s="7" t="s">
        <v>311</v>
      </c>
      <c r="I326" s="2" t="s">
        <v>80</v>
      </c>
      <c r="J326" s="2" t="s">
        <v>167</v>
      </c>
      <c r="K326" s="2" t="s">
        <v>304</v>
      </c>
      <c r="L326" s="2" t="s">
        <v>119</v>
      </c>
      <c r="M326" s="8" t="str">
        <f>HYPERLINK("http://slimages.macys.com/is/image/MCY/10377840 ")</f>
        <v xml:space="preserve">http://slimages.macys.com/is/image/MCY/10377840 </v>
      </c>
    </row>
    <row r="327" spans="1:13" ht="60" x14ac:dyDescent="0.25">
      <c r="A327" s="7" t="s">
        <v>11573</v>
      </c>
      <c r="B327" s="2" t="s">
        <v>7591</v>
      </c>
      <c r="C327" s="4">
        <v>1</v>
      </c>
      <c r="D327" s="5">
        <v>6.49</v>
      </c>
      <c r="E327" s="5">
        <v>12.99</v>
      </c>
      <c r="F327" s="4" t="s">
        <v>7592</v>
      </c>
      <c r="G327" s="2" t="s">
        <v>62</v>
      </c>
      <c r="H327" s="7" t="s">
        <v>1151</v>
      </c>
      <c r="I327" s="2" t="s">
        <v>515</v>
      </c>
      <c r="J327" s="2" t="s">
        <v>516</v>
      </c>
      <c r="K327" s="2" t="s">
        <v>304</v>
      </c>
      <c r="L327" s="2" t="s">
        <v>100</v>
      </c>
      <c r="M327" s="8" t="str">
        <f>HYPERLINK("http://slimages.macys.com/is/image/MCY/12228423 ")</f>
        <v xml:space="preserve">http://slimages.macys.com/is/image/MCY/12228423 </v>
      </c>
    </row>
    <row r="328" spans="1:13" ht="60" x14ac:dyDescent="0.25">
      <c r="A328" s="7" t="s">
        <v>1011</v>
      </c>
      <c r="B328" s="2" t="s">
        <v>1009</v>
      </c>
      <c r="C328" s="4">
        <v>1</v>
      </c>
      <c r="D328" s="5">
        <v>6.4</v>
      </c>
      <c r="E328" s="5">
        <v>16</v>
      </c>
      <c r="F328" s="4" t="s">
        <v>1010</v>
      </c>
      <c r="G328" s="2" t="s">
        <v>165</v>
      </c>
      <c r="H328" s="7"/>
      <c r="I328" s="2" t="s">
        <v>523</v>
      </c>
      <c r="J328" s="2" t="s">
        <v>937</v>
      </c>
      <c r="K328" s="2" t="s">
        <v>304</v>
      </c>
      <c r="L328" s="2" t="s">
        <v>944</v>
      </c>
      <c r="M328" s="8" t="str">
        <f>HYPERLINK("http://slimages.macys.com/is/image/MCY/10426067 ")</f>
        <v xml:space="preserve">http://slimages.macys.com/is/image/MCY/10426067 </v>
      </c>
    </row>
    <row r="329" spans="1:13" ht="60" x14ac:dyDescent="0.25">
      <c r="A329" s="7" t="s">
        <v>11057</v>
      </c>
      <c r="B329" s="2" t="s">
        <v>11058</v>
      </c>
      <c r="C329" s="4">
        <v>1</v>
      </c>
      <c r="D329" s="5">
        <v>6.35</v>
      </c>
      <c r="E329" s="5">
        <v>12.7</v>
      </c>
      <c r="F329" s="4" t="s">
        <v>11059</v>
      </c>
      <c r="G329" s="2" t="s">
        <v>79</v>
      </c>
      <c r="H329" s="7" t="s">
        <v>144</v>
      </c>
      <c r="I329" s="2" t="s">
        <v>487</v>
      </c>
      <c r="J329" s="2" t="s">
        <v>488</v>
      </c>
      <c r="K329" s="2" t="s">
        <v>304</v>
      </c>
      <c r="L329" s="2" t="s">
        <v>38</v>
      </c>
      <c r="M329" s="8" t="str">
        <f>HYPERLINK("http://slimages.macys.com/is/image/MCY/11867486 ")</f>
        <v xml:space="preserve">http://slimages.macys.com/is/image/MCY/11867486 </v>
      </c>
    </row>
    <row r="330" spans="1:13" ht="120" x14ac:dyDescent="0.25">
      <c r="A330" s="7" t="s">
        <v>9569</v>
      </c>
      <c r="B330" s="2" t="s">
        <v>1782</v>
      </c>
      <c r="C330" s="4">
        <v>1</v>
      </c>
      <c r="D330" s="5">
        <v>6.33</v>
      </c>
      <c r="E330" s="5">
        <v>12.99</v>
      </c>
      <c r="F330" s="4" t="s">
        <v>9568</v>
      </c>
      <c r="G330" s="2" t="s">
        <v>62</v>
      </c>
      <c r="H330" s="7" t="s">
        <v>311</v>
      </c>
      <c r="I330" s="2" t="s">
        <v>515</v>
      </c>
      <c r="J330" s="2" t="s">
        <v>516</v>
      </c>
      <c r="K330" s="2" t="s">
        <v>304</v>
      </c>
      <c r="L330" s="2" t="s">
        <v>1784</v>
      </c>
      <c r="M330" s="8" t="str">
        <f>HYPERLINK("http://slimages.macys.com/is/image/MCY/12387468 ")</f>
        <v xml:space="preserve">http://slimages.macys.com/is/image/MCY/12387468 </v>
      </c>
    </row>
    <row r="331" spans="1:13" ht="60" x14ac:dyDescent="0.25">
      <c r="A331" s="7" t="s">
        <v>11574</v>
      </c>
      <c r="B331" s="2" t="s">
        <v>1025</v>
      </c>
      <c r="C331" s="4">
        <v>1</v>
      </c>
      <c r="D331" s="5">
        <v>6.25</v>
      </c>
      <c r="E331" s="5">
        <v>12.99</v>
      </c>
      <c r="F331" s="4" t="s">
        <v>1026</v>
      </c>
      <c r="G331" s="2" t="s">
        <v>48</v>
      </c>
      <c r="H331" s="7" t="s">
        <v>514</v>
      </c>
      <c r="I331" s="2" t="s">
        <v>515</v>
      </c>
      <c r="J331" s="2" t="s">
        <v>516</v>
      </c>
      <c r="K331" s="2" t="s">
        <v>304</v>
      </c>
      <c r="L331" s="2" t="s">
        <v>358</v>
      </c>
      <c r="M331" s="8" t="str">
        <f>HYPERLINK("http://slimages.macys.com/is/image/MCY/12953213 ")</f>
        <v xml:space="preserve">http://slimages.macys.com/is/image/MCY/12953213 </v>
      </c>
    </row>
    <row r="332" spans="1:13" ht="60" x14ac:dyDescent="0.25">
      <c r="A332" s="7" t="s">
        <v>11575</v>
      </c>
      <c r="B332" s="2" t="s">
        <v>6305</v>
      </c>
      <c r="C332" s="4">
        <v>1</v>
      </c>
      <c r="D332" s="5">
        <v>6.25</v>
      </c>
      <c r="E332" s="5">
        <v>16.989999999999998</v>
      </c>
      <c r="F332" s="4">
        <v>26506811</v>
      </c>
      <c r="G332" s="2"/>
      <c r="H332" s="7" t="s">
        <v>68</v>
      </c>
      <c r="I332" s="2" t="s">
        <v>321</v>
      </c>
      <c r="J332" s="2" t="s">
        <v>4958</v>
      </c>
      <c r="K332" s="2" t="s">
        <v>304</v>
      </c>
      <c r="L332" s="2" t="s">
        <v>1418</v>
      </c>
      <c r="M332" s="8" t="str">
        <f>HYPERLINK("http://slimages.macys.com/is/image/MCY/11954492 ")</f>
        <v xml:space="preserve">http://slimages.macys.com/is/image/MCY/11954492 </v>
      </c>
    </row>
    <row r="333" spans="1:13" ht="60" x14ac:dyDescent="0.25">
      <c r="A333" s="7" t="s">
        <v>11576</v>
      </c>
      <c r="B333" s="2" t="s">
        <v>4954</v>
      </c>
      <c r="C333" s="4">
        <v>1</v>
      </c>
      <c r="D333" s="5">
        <v>6.25</v>
      </c>
      <c r="E333" s="5">
        <v>17.989999999999998</v>
      </c>
      <c r="F333" s="4" t="s">
        <v>4955</v>
      </c>
      <c r="G333" s="2" t="s">
        <v>28</v>
      </c>
      <c r="H333" s="7" t="s">
        <v>284</v>
      </c>
      <c r="I333" s="2" t="s">
        <v>342</v>
      </c>
      <c r="J333" s="2" t="s">
        <v>1834</v>
      </c>
      <c r="K333" s="2" t="s">
        <v>304</v>
      </c>
      <c r="L333" s="2" t="s">
        <v>335</v>
      </c>
      <c r="M333" s="8" t="str">
        <f>HYPERLINK("http://slimages.macys.com/is/image/MCY/12236897 ")</f>
        <v xml:space="preserve">http://slimages.macys.com/is/image/MCY/12236897 </v>
      </c>
    </row>
    <row r="334" spans="1:13" ht="84" x14ac:dyDescent="0.25">
      <c r="A334" s="7" t="s">
        <v>10103</v>
      </c>
      <c r="B334" s="2" t="s">
        <v>7628</v>
      </c>
      <c r="C334" s="4">
        <v>1</v>
      </c>
      <c r="D334" s="5">
        <v>6.19</v>
      </c>
      <c r="E334" s="5">
        <v>14.99</v>
      </c>
      <c r="F334" s="4" t="s">
        <v>7629</v>
      </c>
      <c r="G334" s="2" t="s">
        <v>1265</v>
      </c>
      <c r="H334" s="7" t="s">
        <v>228</v>
      </c>
      <c r="I334" s="2" t="s">
        <v>515</v>
      </c>
      <c r="J334" s="2" t="s">
        <v>827</v>
      </c>
      <c r="K334" s="2" t="s">
        <v>304</v>
      </c>
      <c r="L334" s="2" t="s">
        <v>7630</v>
      </c>
      <c r="M334" s="8" t="str">
        <f>HYPERLINK("http://slimages.macys.com/is/image/MCY/10410496 ")</f>
        <v xml:space="preserve">http://slimages.macys.com/is/image/MCY/10410496 </v>
      </c>
    </row>
    <row r="335" spans="1:13" ht="60" x14ac:dyDescent="0.25">
      <c r="A335" s="7" t="s">
        <v>11577</v>
      </c>
      <c r="B335" s="2" t="s">
        <v>11066</v>
      </c>
      <c r="C335" s="4">
        <v>1</v>
      </c>
      <c r="D335" s="5">
        <v>6.15</v>
      </c>
      <c r="E335" s="5">
        <v>12.3</v>
      </c>
      <c r="F335" s="4" t="s">
        <v>11067</v>
      </c>
      <c r="G335" s="2" t="s">
        <v>657</v>
      </c>
      <c r="H335" s="7" t="s">
        <v>68</v>
      </c>
      <c r="I335" s="2" t="s">
        <v>487</v>
      </c>
      <c r="J335" s="2" t="s">
        <v>488</v>
      </c>
      <c r="K335" s="2" t="s">
        <v>304</v>
      </c>
      <c r="L335" s="2" t="s">
        <v>206</v>
      </c>
      <c r="M335" s="8" t="str">
        <f>HYPERLINK("http://slimages.macys.com/is/image/MCY/12236165 ")</f>
        <v xml:space="preserve">http://slimages.macys.com/is/image/MCY/12236165 </v>
      </c>
    </row>
    <row r="336" spans="1:13" ht="60" x14ac:dyDescent="0.25">
      <c r="A336" s="7" t="s">
        <v>11578</v>
      </c>
      <c r="B336" s="2" t="s">
        <v>11579</v>
      </c>
      <c r="C336" s="4">
        <v>1</v>
      </c>
      <c r="D336" s="5">
        <v>6.1</v>
      </c>
      <c r="E336" s="5">
        <v>14.99</v>
      </c>
      <c r="F336" s="4" t="s">
        <v>11580</v>
      </c>
      <c r="G336" s="2" t="s">
        <v>28</v>
      </c>
      <c r="H336" s="7" t="s">
        <v>3451</v>
      </c>
      <c r="I336" s="2" t="s">
        <v>523</v>
      </c>
      <c r="J336" s="2" t="s">
        <v>921</v>
      </c>
      <c r="K336" s="2" t="s">
        <v>304</v>
      </c>
      <c r="L336" s="2" t="s">
        <v>323</v>
      </c>
      <c r="M336" s="8" t="str">
        <f>HYPERLINK("http://slimages.macys.com/is/image/MCY/11389470 ")</f>
        <v xml:space="preserve">http://slimages.macys.com/is/image/MCY/11389470 </v>
      </c>
    </row>
    <row r="337" spans="1:13" ht="60" x14ac:dyDescent="0.25">
      <c r="A337" s="7" t="s">
        <v>11581</v>
      </c>
      <c r="B337" s="2" t="s">
        <v>7534</v>
      </c>
      <c r="C337" s="4">
        <v>1</v>
      </c>
      <c r="D337" s="5">
        <v>6.02</v>
      </c>
      <c r="E337" s="5">
        <v>13.99</v>
      </c>
      <c r="F337" s="4" t="s">
        <v>7644</v>
      </c>
      <c r="G337" s="2" t="s">
        <v>62</v>
      </c>
      <c r="H337" s="7" t="s">
        <v>1151</v>
      </c>
      <c r="I337" s="2" t="s">
        <v>218</v>
      </c>
      <c r="J337" s="2" t="s">
        <v>835</v>
      </c>
      <c r="K337" s="2" t="s">
        <v>304</v>
      </c>
      <c r="L337" s="2" t="s">
        <v>3629</v>
      </c>
      <c r="M337" s="8" t="str">
        <f>HYPERLINK("http://slimages.macys.com/is/image/MCY/12340443 ")</f>
        <v xml:space="preserve">http://slimages.macys.com/is/image/MCY/12340443 </v>
      </c>
    </row>
    <row r="338" spans="1:13" ht="60" x14ac:dyDescent="0.25">
      <c r="A338" s="7" t="s">
        <v>11079</v>
      </c>
      <c r="B338" s="2" t="s">
        <v>11077</v>
      </c>
      <c r="C338" s="4">
        <v>1</v>
      </c>
      <c r="D338" s="5">
        <v>6</v>
      </c>
      <c r="E338" s="5">
        <v>15.99</v>
      </c>
      <c r="F338" s="4" t="s">
        <v>11078</v>
      </c>
      <c r="G338" s="2" t="s">
        <v>28</v>
      </c>
      <c r="H338" s="7" t="s">
        <v>179</v>
      </c>
      <c r="I338" s="2" t="s">
        <v>321</v>
      </c>
      <c r="J338" s="2" t="s">
        <v>492</v>
      </c>
      <c r="K338" s="2" t="s">
        <v>304</v>
      </c>
      <c r="L338" s="2" t="s">
        <v>493</v>
      </c>
      <c r="M338" s="8" t="str">
        <f>HYPERLINK("http://slimages.macys.com/is/image/MCY/12045177 ")</f>
        <v xml:space="preserve">http://slimages.macys.com/is/image/MCY/12045177 </v>
      </c>
    </row>
    <row r="339" spans="1:13" ht="60" x14ac:dyDescent="0.25">
      <c r="A339" s="7" t="s">
        <v>11087</v>
      </c>
      <c r="B339" s="2" t="s">
        <v>11077</v>
      </c>
      <c r="C339" s="4">
        <v>1</v>
      </c>
      <c r="D339" s="5">
        <v>6</v>
      </c>
      <c r="E339" s="5">
        <v>15.99</v>
      </c>
      <c r="F339" s="4" t="s">
        <v>11078</v>
      </c>
      <c r="G339" s="2" t="s">
        <v>28</v>
      </c>
      <c r="H339" s="7"/>
      <c r="I339" s="2" t="s">
        <v>321</v>
      </c>
      <c r="J339" s="2" t="s">
        <v>492</v>
      </c>
      <c r="K339" s="2" t="s">
        <v>304</v>
      </c>
      <c r="L339" s="2" t="s">
        <v>493</v>
      </c>
      <c r="M339" s="8" t="str">
        <f>HYPERLINK("http://slimages.macys.com/is/image/MCY/12045177 ")</f>
        <v xml:space="preserve">http://slimages.macys.com/is/image/MCY/12045177 </v>
      </c>
    </row>
    <row r="340" spans="1:13" ht="60" x14ac:dyDescent="0.25">
      <c r="A340" s="7" t="s">
        <v>11088</v>
      </c>
      <c r="B340" s="2" t="s">
        <v>7646</v>
      </c>
      <c r="C340" s="4">
        <v>1</v>
      </c>
      <c r="D340" s="5">
        <v>6</v>
      </c>
      <c r="E340" s="5">
        <v>15.99</v>
      </c>
      <c r="F340" s="4" t="s">
        <v>7647</v>
      </c>
      <c r="G340" s="2" t="s">
        <v>41</v>
      </c>
      <c r="H340" s="7" t="s">
        <v>179</v>
      </c>
      <c r="I340" s="2" t="s">
        <v>321</v>
      </c>
      <c r="J340" s="2" t="s">
        <v>492</v>
      </c>
      <c r="K340" s="2" t="s">
        <v>304</v>
      </c>
      <c r="L340" s="2" t="s">
        <v>493</v>
      </c>
      <c r="M340" s="8" t="str">
        <f>HYPERLINK("http://slimages.macys.com/is/image/MCY/11539241 ")</f>
        <v xml:space="preserve">http://slimages.macys.com/is/image/MCY/11539241 </v>
      </c>
    </row>
    <row r="341" spans="1:13" ht="156" x14ac:dyDescent="0.25">
      <c r="A341" s="7" t="s">
        <v>11582</v>
      </c>
      <c r="B341" s="2" t="s">
        <v>5945</v>
      </c>
      <c r="C341" s="4">
        <v>1</v>
      </c>
      <c r="D341" s="5">
        <v>6</v>
      </c>
      <c r="E341" s="5">
        <v>14</v>
      </c>
      <c r="F341" s="4" t="s">
        <v>5946</v>
      </c>
      <c r="G341" s="2" t="s">
        <v>62</v>
      </c>
      <c r="H341" s="7" t="s">
        <v>228</v>
      </c>
      <c r="I341" s="2" t="s">
        <v>468</v>
      </c>
      <c r="J341" s="2" t="s">
        <v>5947</v>
      </c>
      <c r="K341" s="2" t="s">
        <v>304</v>
      </c>
      <c r="L341" s="2" t="s">
        <v>5948</v>
      </c>
      <c r="M341" s="8" t="str">
        <f>HYPERLINK("http://slimages.macys.com/is/image/MCY/13936126 ")</f>
        <v xml:space="preserve">http://slimages.macys.com/is/image/MCY/13936126 </v>
      </c>
    </row>
    <row r="342" spans="1:13" ht="60" x14ac:dyDescent="0.25">
      <c r="A342" s="7" t="s">
        <v>11583</v>
      </c>
      <c r="B342" s="2" t="s">
        <v>7619</v>
      </c>
      <c r="C342" s="4">
        <v>1</v>
      </c>
      <c r="D342" s="5">
        <v>6</v>
      </c>
      <c r="E342" s="5">
        <v>12.99</v>
      </c>
      <c r="F342" s="4" t="s">
        <v>7620</v>
      </c>
      <c r="G342" s="2" t="s">
        <v>41</v>
      </c>
      <c r="H342" s="7"/>
      <c r="I342" s="2" t="s">
        <v>523</v>
      </c>
      <c r="J342" s="2" t="s">
        <v>5463</v>
      </c>
      <c r="K342" s="2" t="s">
        <v>304</v>
      </c>
      <c r="L342" s="2" t="s">
        <v>75</v>
      </c>
      <c r="M342" s="8" t="str">
        <f>HYPERLINK("http://slimages.macys.com/is/image/MCY/9336742 ")</f>
        <v xml:space="preserve">http://slimages.macys.com/is/image/MCY/9336742 </v>
      </c>
    </row>
    <row r="343" spans="1:13" ht="60" x14ac:dyDescent="0.25">
      <c r="A343" s="7" t="s">
        <v>4116</v>
      </c>
      <c r="B343" s="2" t="s">
        <v>4117</v>
      </c>
      <c r="C343" s="4">
        <v>1</v>
      </c>
      <c r="D343" s="5">
        <v>6</v>
      </c>
      <c r="E343" s="5">
        <v>11.99</v>
      </c>
      <c r="F343" s="4" t="s">
        <v>4118</v>
      </c>
      <c r="G343" s="2" t="s">
        <v>28</v>
      </c>
      <c r="H343" s="7" t="s">
        <v>311</v>
      </c>
      <c r="I343" s="2" t="s">
        <v>173</v>
      </c>
      <c r="J343" s="2" t="s">
        <v>1967</v>
      </c>
      <c r="K343" s="2" t="s">
        <v>304</v>
      </c>
      <c r="L343" s="2" t="s">
        <v>38</v>
      </c>
      <c r="M343" s="8" t="str">
        <f>HYPERLINK("http://slimages.macys.com/is/image/MCY/9906909 ")</f>
        <v xml:space="preserve">http://slimages.macys.com/is/image/MCY/9906909 </v>
      </c>
    </row>
    <row r="344" spans="1:13" ht="60" x14ac:dyDescent="0.25">
      <c r="A344" s="7" t="s">
        <v>11584</v>
      </c>
      <c r="B344" s="2" t="s">
        <v>4117</v>
      </c>
      <c r="C344" s="4">
        <v>1</v>
      </c>
      <c r="D344" s="5">
        <v>6</v>
      </c>
      <c r="E344" s="5">
        <v>11.99</v>
      </c>
      <c r="F344" s="4" t="s">
        <v>4118</v>
      </c>
      <c r="G344" s="2" t="s">
        <v>28</v>
      </c>
      <c r="H344" s="7" t="s">
        <v>317</v>
      </c>
      <c r="I344" s="2" t="s">
        <v>173</v>
      </c>
      <c r="J344" s="2" t="s">
        <v>1967</v>
      </c>
      <c r="K344" s="2" t="s">
        <v>304</v>
      </c>
      <c r="L344" s="2" t="s">
        <v>38</v>
      </c>
      <c r="M344" s="8" t="str">
        <f>HYPERLINK("http://slimages.macys.com/is/image/MCY/9906909 ")</f>
        <v xml:space="preserve">http://slimages.macys.com/is/image/MCY/9906909 </v>
      </c>
    </row>
    <row r="345" spans="1:13" ht="60" x14ac:dyDescent="0.25">
      <c r="A345" s="7" t="s">
        <v>11091</v>
      </c>
      <c r="B345" s="2" t="s">
        <v>10131</v>
      </c>
      <c r="C345" s="4">
        <v>1</v>
      </c>
      <c r="D345" s="5">
        <v>6</v>
      </c>
      <c r="E345" s="5">
        <v>15.99</v>
      </c>
      <c r="F345" s="4" t="s">
        <v>10132</v>
      </c>
      <c r="G345" s="2" t="s">
        <v>698</v>
      </c>
      <c r="H345" s="7"/>
      <c r="I345" s="2" t="s">
        <v>321</v>
      </c>
      <c r="J345" s="2" t="s">
        <v>492</v>
      </c>
      <c r="K345" s="2" t="s">
        <v>304</v>
      </c>
      <c r="L345" s="2" t="s">
        <v>493</v>
      </c>
      <c r="M345" s="8" t="str">
        <f>HYPERLINK("http://slimages.macys.com/is/image/MCY/11539256 ")</f>
        <v xml:space="preserve">http://slimages.macys.com/is/image/MCY/11539256 </v>
      </c>
    </row>
    <row r="346" spans="1:13" ht="72" x14ac:dyDescent="0.25">
      <c r="A346" s="7" t="s">
        <v>8964</v>
      </c>
      <c r="B346" s="2" t="s">
        <v>8965</v>
      </c>
      <c r="C346" s="4">
        <v>1</v>
      </c>
      <c r="D346" s="5">
        <v>6</v>
      </c>
      <c r="E346" s="5">
        <v>12.99</v>
      </c>
      <c r="F346" s="4">
        <v>6101</v>
      </c>
      <c r="G346" s="2" t="s">
        <v>310</v>
      </c>
      <c r="H346" s="7" t="s">
        <v>196</v>
      </c>
      <c r="I346" s="2" t="s">
        <v>523</v>
      </c>
      <c r="J346" s="2" t="s">
        <v>969</v>
      </c>
      <c r="K346" s="2" t="s">
        <v>304</v>
      </c>
      <c r="L346" s="2" t="s">
        <v>8966</v>
      </c>
      <c r="M346" s="8" t="str">
        <f>HYPERLINK("http://slimages.macys.com/is/image/MCY/14718558 ")</f>
        <v xml:space="preserve">http://slimages.macys.com/is/image/MCY/14718558 </v>
      </c>
    </row>
    <row r="347" spans="1:13" ht="156" x14ac:dyDescent="0.25">
      <c r="A347" s="7" t="s">
        <v>5952</v>
      </c>
      <c r="B347" s="2" t="s">
        <v>5945</v>
      </c>
      <c r="C347" s="4">
        <v>2</v>
      </c>
      <c r="D347" s="5">
        <v>6</v>
      </c>
      <c r="E347" s="5">
        <v>14</v>
      </c>
      <c r="F347" s="4" t="s">
        <v>5946</v>
      </c>
      <c r="G347" s="2" t="s">
        <v>62</v>
      </c>
      <c r="H347" s="7" t="s">
        <v>159</v>
      </c>
      <c r="I347" s="2" t="s">
        <v>468</v>
      </c>
      <c r="J347" s="2" t="s">
        <v>5947</v>
      </c>
      <c r="K347" s="2" t="s">
        <v>304</v>
      </c>
      <c r="L347" s="2" t="s">
        <v>5948</v>
      </c>
      <c r="M347" s="8" t="str">
        <f>HYPERLINK("http://slimages.macys.com/is/image/MCY/13936126 ")</f>
        <v xml:space="preserve">http://slimages.macys.com/is/image/MCY/13936126 </v>
      </c>
    </row>
    <row r="348" spans="1:13" ht="60" x14ac:dyDescent="0.25">
      <c r="A348" s="7" t="s">
        <v>8976</v>
      </c>
      <c r="B348" s="2" t="s">
        <v>4961</v>
      </c>
      <c r="C348" s="4">
        <v>1</v>
      </c>
      <c r="D348" s="5">
        <v>5.97</v>
      </c>
      <c r="E348" s="5">
        <v>12.99</v>
      </c>
      <c r="F348" s="4" t="s">
        <v>8977</v>
      </c>
      <c r="G348" s="2" t="s">
        <v>62</v>
      </c>
      <c r="H348" s="7" t="s">
        <v>123</v>
      </c>
      <c r="I348" s="2" t="s">
        <v>218</v>
      </c>
      <c r="J348" s="2" t="s">
        <v>835</v>
      </c>
      <c r="K348" s="2" t="s">
        <v>304</v>
      </c>
      <c r="L348" s="2" t="s">
        <v>358</v>
      </c>
      <c r="M348" s="8" t="str">
        <f>HYPERLINK("http://slimages.macys.com/is/image/MCY/12340448 ")</f>
        <v xml:space="preserve">http://slimages.macys.com/is/image/MCY/12340448 </v>
      </c>
    </row>
    <row r="349" spans="1:13" ht="60" x14ac:dyDescent="0.25">
      <c r="A349" s="7" t="s">
        <v>11585</v>
      </c>
      <c r="B349" s="2" t="s">
        <v>4993</v>
      </c>
      <c r="C349" s="4">
        <v>1</v>
      </c>
      <c r="D349" s="5">
        <v>5.95</v>
      </c>
      <c r="E349" s="5">
        <v>14.99</v>
      </c>
      <c r="F349" s="4" t="s">
        <v>4994</v>
      </c>
      <c r="G349" s="2" t="s">
        <v>698</v>
      </c>
      <c r="H349" s="7"/>
      <c r="I349" s="2" t="s">
        <v>321</v>
      </c>
      <c r="J349" s="2" t="s">
        <v>492</v>
      </c>
      <c r="K349" s="2" t="s">
        <v>304</v>
      </c>
      <c r="L349" s="2" t="s">
        <v>125</v>
      </c>
      <c r="M349" s="8" t="str">
        <f>HYPERLINK("http://slimages.macys.com/is/image/MCY/10924171 ")</f>
        <v xml:space="preserve">http://slimages.macys.com/is/image/MCY/10924171 </v>
      </c>
    </row>
    <row r="350" spans="1:13" ht="60" x14ac:dyDescent="0.25">
      <c r="A350" s="7" t="s">
        <v>1048</v>
      </c>
      <c r="B350" s="2" t="s">
        <v>1039</v>
      </c>
      <c r="C350" s="4">
        <v>1</v>
      </c>
      <c r="D350" s="5">
        <v>5.87</v>
      </c>
      <c r="E350" s="5">
        <v>16</v>
      </c>
      <c r="F350" s="4" t="s">
        <v>1040</v>
      </c>
      <c r="G350" s="2" t="s">
        <v>1041</v>
      </c>
      <c r="H350" s="7" t="s">
        <v>789</v>
      </c>
      <c r="I350" s="2" t="s">
        <v>523</v>
      </c>
      <c r="J350" s="2" t="s">
        <v>1042</v>
      </c>
      <c r="K350" s="2" t="s">
        <v>304</v>
      </c>
      <c r="L350" s="2" t="s">
        <v>1043</v>
      </c>
      <c r="M350" s="8" t="str">
        <f>HYPERLINK("http://slimages.macys.com/is/image/MCY/11647558 ")</f>
        <v xml:space="preserve">http://slimages.macys.com/is/image/MCY/11647558 </v>
      </c>
    </row>
    <row r="351" spans="1:13" ht="60" x14ac:dyDescent="0.25">
      <c r="A351" s="7" t="s">
        <v>1038</v>
      </c>
      <c r="B351" s="2" t="s">
        <v>1039</v>
      </c>
      <c r="C351" s="4">
        <v>3</v>
      </c>
      <c r="D351" s="5">
        <v>5.87</v>
      </c>
      <c r="E351" s="5">
        <v>16</v>
      </c>
      <c r="F351" s="4" t="s">
        <v>1040</v>
      </c>
      <c r="G351" s="2" t="s">
        <v>1041</v>
      </c>
      <c r="H351" s="7" t="s">
        <v>72</v>
      </c>
      <c r="I351" s="2" t="s">
        <v>523</v>
      </c>
      <c r="J351" s="2" t="s">
        <v>1042</v>
      </c>
      <c r="K351" s="2" t="s">
        <v>304</v>
      </c>
      <c r="L351" s="2" t="s">
        <v>1043</v>
      </c>
      <c r="M351" s="8" t="str">
        <f>HYPERLINK("http://slimages.macys.com/is/image/MCY/11647558 ")</f>
        <v xml:space="preserve">http://slimages.macys.com/is/image/MCY/11647558 </v>
      </c>
    </row>
    <row r="352" spans="1:13" ht="84" x14ac:dyDescent="0.25">
      <c r="A352" s="7" t="s">
        <v>11586</v>
      </c>
      <c r="B352" s="2" t="s">
        <v>11587</v>
      </c>
      <c r="C352" s="4">
        <v>1</v>
      </c>
      <c r="D352" s="5">
        <v>5.85</v>
      </c>
      <c r="E352" s="5">
        <v>12.99</v>
      </c>
      <c r="F352" s="4">
        <v>16512810</v>
      </c>
      <c r="G352" s="2" t="s">
        <v>643</v>
      </c>
      <c r="H352" s="7" t="s">
        <v>438</v>
      </c>
      <c r="I352" s="2" t="s">
        <v>153</v>
      </c>
      <c r="J352" s="2" t="s">
        <v>154</v>
      </c>
      <c r="K352" s="2" t="s">
        <v>304</v>
      </c>
      <c r="L352" s="2" t="s">
        <v>11588</v>
      </c>
      <c r="M352" s="8" t="str">
        <f>HYPERLINK("http://slimages.macys.com/is/image/MCY/11636503 ")</f>
        <v xml:space="preserve">http://slimages.macys.com/is/image/MCY/11636503 </v>
      </c>
    </row>
    <row r="353" spans="1:13" ht="60" x14ac:dyDescent="0.25">
      <c r="A353" s="7" t="s">
        <v>8999</v>
      </c>
      <c r="B353" s="2" t="s">
        <v>1877</v>
      </c>
      <c r="C353" s="4">
        <v>1</v>
      </c>
      <c r="D353" s="5">
        <v>5.8</v>
      </c>
      <c r="E353" s="5">
        <v>13.19</v>
      </c>
      <c r="F353" s="4">
        <v>18633810</v>
      </c>
      <c r="G353" s="2" t="s">
        <v>752</v>
      </c>
      <c r="H353" s="7" t="s">
        <v>438</v>
      </c>
      <c r="I353" s="2" t="s">
        <v>153</v>
      </c>
      <c r="J353" s="2" t="s">
        <v>154</v>
      </c>
      <c r="K353" s="2" t="s">
        <v>304</v>
      </c>
      <c r="L353" s="2" t="s">
        <v>38</v>
      </c>
      <c r="M353" s="8" t="str">
        <f>HYPERLINK("http://slimages.macys.com/is/image/MCY/13941918 ")</f>
        <v xml:space="preserve">http://slimages.macys.com/is/image/MCY/13941918 </v>
      </c>
    </row>
    <row r="354" spans="1:13" ht="60" x14ac:dyDescent="0.25">
      <c r="A354" s="7" t="s">
        <v>11589</v>
      </c>
      <c r="B354" s="2" t="s">
        <v>1877</v>
      </c>
      <c r="C354" s="4">
        <v>1</v>
      </c>
      <c r="D354" s="5">
        <v>5.8</v>
      </c>
      <c r="E354" s="5">
        <v>13.19</v>
      </c>
      <c r="F354" s="4">
        <v>18633210</v>
      </c>
      <c r="G354" s="2"/>
      <c r="H354" s="7" t="s">
        <v>438</v>
      </c>
      <c r="I354" s="2" t="s">
        <v>153</v>
      </c>
      <c r="J354" s="2" t="s">
        <v>154</v>
      </c>
      <c r="K354" s="2" t="s">
        <v>304</v>
      </c>
      <c r="L354" s="2" t="s">
        <v>38</v>
      </c>
      <c r="M354" s="8" t="str">
        <f>HYPERLINK("http://slimages.macys.com/is/image/MCY/13941923 ")</f>
        <v xml:space="preserve">http://slimages.macys.com/is/image/MCY/13941923 </v>
      </c>
    </row>
    <row r="355" spans="1:13" ht="60" x14ac:dyDescent="0.25">
      <c r="A355" s="7" t="s">
        <v>11590</v>
      </c>
      <c r="B355" s="2" t="s">
        <v>1877</v>
      </c>
      <c r="C355" s="4">
        <v>1</v>
      </c>
      <c r="D355" s="5">
        <v>5.8</v>
      </c>
      <c r="E355" s="5">
        <v>13.19</v>
      </c>
      <c r="F355" s="4">
        <v>18633810</v>
      </c>
      <c r="G355" s="2" t="s">
        <v>752</v>
      </c>
      <c r="H355" s="7" t="s">
        <v>675</v>
      </c>
      <c r="I355" s="2" t="s">
        <v>153</v>
      </c>
      <c r="J355" s="2" t="s">
        <v>154</v>
      </c>
      <c r="K355" s="2" t="s">
        <v>304</v>
      </c>
      <c r="L355" s="2" t="s">
        <v>38</v>
      </c>
      <c r="M355" s="8" t="str">
        <f>HYPERLINK("http://slimages.macys.com/is/image/MCY/13941918 ")</f>
        <v xml:space="preserve">http://slimages.macys.com/is/image/MCY/13941918 </v>
      </c>
    </row>
    <row r="356" spans="1:13" ht="60" x14ac:dyDescent="0.25">
      <c r="A356" s="7" t="s">
        <v>9594</v>
      </c>
      <c r="B356" s="2" t="s">
        <v>9595</v>
      </c>
      <c r="C356" s="4">
        <v>1</v>
      </c>
      <c r="D356" s="5">
        <v>5.8</v>
      </c>
      <c r="E356" s="5">
        <v>11.6</v>
      </c>
      <c r="F356" s="4" t="s">
        <v>9596</v>
      </c>
      <c r="G356" s="2" t="s">
        <v>129</v>
      </c>
      <c r="H356" s="7" t="s">
        <v>209</v>
      </c>
      <c r="I356" s="2" t="s">
        <v>487</v>
      </c>
      <c r="J356" s="2" t="s">
        <v>488</v>
      </c>
      <c r="K356" s="2" t="s">
        <v>304</v>
      </c>
      <c r="L356" s="2" t="s">
        <v>206</v>
      </c>
      <c r="M356" s="8" t="str">
        <f>HYPERLINK("http://slimages.macys.com/is/image/MCY/12236251 ")</f>
        <v xml:space="preserve">http://slimages.macys.com/is/image/MCY/12236251 </v>
      </c>
    </row>
    <row r="357" spans="1:13" ht="60" x14ac:dyDescent="0.25">
      <c r="A357" s="7" t="s">
        <v>11591</v>
      </c>
      <c r="B357" s="2" t="s">
        <v>11592</v>
      </c>
      <c r="C357" s="4">
        <v>1</v>
      </c>
      <c r="D357" s="5">
        <v>5.8</v>
      </c>
      <c r="E357" s="5">
        <v>10.99</v>
      </c>
      <c r="F357" s="4">
        <v>16879910</v>
      </c>
      <c r="G357" s="2"/>
      <c r="H357" s="7" t="s">
        <v>482</v>
      </c>
      <c r="I357" s="2" t="s">
        <v>153</v>
      </c>
      <c r="J357" s="2" t="s">
        <v>154</v>
      </c>
      <c r="K357" s="2" t="s">
        <v>304</v>
      </c>
      <c r="L357" s="2" t="s">
        <v>206</v>
      </c>
      <c r="M357" s="8" t="str">
        <f>HYPERLINK("http://slimages.macys.com/is/image/MCY/11671857 ")</f>
        <v xml:space="preserve">http://slimages.macys.com/is/image/MCY/11671857 </v>
      </c>
    </row>
    <row r="358" spans="1:13" ht="60" x14ac:dyDescent="0.25">
      <c r="A358" s="7" t="s">
        <v>11593</v>
      </c>
      <c r="B358" s="2" t="s">
        <v>11594</v>
      </c>
      <c r="C358" s="4">
        <v>1</v>
      </c>
      <c r="D358" s="5">
        <v>5.8</v>
      </c>
      <c r="E358" s="5">
        <v>13.19</v>
      </c>
      <c r="F358" s="4">
        <v>17892810</v>
      </c>
      <c r="G358" s="2" t="s">
        <v>455</v>
      </c>
      <c r="H358" s="7" t="s">
        <v>675</v>
      </c>
      <c r="I358" s="2" t="s">
        <v>153</v>
      </c>
      <c r="J358" s="2" t="s">
        <v>154</v>
      </c>
      <c r="K358" s="2" t="s">
        <v>304</v>
      </c>
      <c r="L358" s="2" t="s">
        <v>119</v>
      </c>
      <c r="M358" s="8" t="str">
        <f>HYPERLINK("http://slimages.macys.com/is/image/MCY/13341355 ")</f>
        <v xml:space="preserve">http://slimages.macys.com/is/image/MCY/13341355 </v>
      </c>
    </row>
    <row r="359" spans="1:13" ht="60" x14ac:dyDescent="0.25">
      <c r="A359" s="7" t="s">
        <v>11595</v>
      </c>
      <c r="B359" s="2" t="s">
        <v>1877</v>
      </c>
      <c r="C359" s="4">
        <v>1</v>
      </c>
      <c r="D359" s="5">
        <v>5.8</v>
      </c>
      <c r="E359" s="5">
        <v>13.19</v>
      </c>
      <c r="F359" s="4">
        <v>18633210</v>
      </c>
      <c r="G359" s="2"/>
      <c r="H359" s="7" t="s">
        <v>233</v>
      </c>
      <c r="I359" s="2" t="s">
        <v>153</v>
      </c>
      <c r="J359" s="2" t="s">
        <v>154</v>
      </c>
      <c r="K359" s="2" t="s">
        <v>304</v>
      </c>
      <c r="L359" s="2" t="s">
        <v>38</v>
      </c>
      <c r="M359" s="8" t="str">
        <f>HYPERLINK("http://slimages.macys.com/is/image/MCY/13941923 ")</f>
        <v xml:space="preserve">http://slimages.macys.com/is/image/MCY/13941923 </v>
      </c>
    </row>
    <row r="360" spans="1:13" ht="60" x14ac:dyDescent="0.25">
      <c r="A360" s="7" t="s">
        <v>11596</v>
      </c>
      <c r="B360" s="2" t="s">
        <v>10151</v>
      </c>
      <c r="C360" s="4">
        <v>1</v>
      </c>
      <c r="D360" s="5">
        <v>5.75</v>
      </c>
      <c r="E360" s="5">
        <v>17.989999999999998</v>
      </c>
      <c r="F360" s="4" t="s">
        <v>10152</v>
      </c>
      <c r="G360" s="2" t="s">
        <v>297</v>
      </c>
      <c r="H360" s="7" t="s">
        <v>144</v>
      </c>
      <c r="I360" s="2" t="s">
        <v>342</v>
      </c>
      <c r="J360" s="2" t="s">
        <v>1613</v>
      </c>
      <c r="K360" s="2" t="s">
        <v>304</v>
      </c>
      <c r="L360" s="2" t="s">
        <v>119</v>
      </c>
      <c r="M360" s="8" t="str">
        <f>HYPERLINK("http://slimages.macys.com/is/image/MCY/12832278 ")</f>
        <v xml:space="preserve">http://slimages.macys.com/is/image/MCY/12832278 </v>
      </c>
    </row>
    <row r="361" spans="1:13" ht="60" x14ac:dyDescent="0.25">
      <c r="A361" s="7" t="s">
        <v>11597</v>
      </c>
      <c r="B361" s="2" t="s">
        <v>9609</v>
      </c>
      <c r="C361" s="4">
        <v>1</v>
      </c>
      <c r="D361" s="5">
        <v>5.75</v>
      </c>
      <c r="E361" s="5">
        <v>14.99</v>
      </c>
      <c r="F361" s="4" t="s">
        <v>9610</v>
      </c>
      <c r="G361" s="2" t="s">
        <v>892</v>
      </c>
      <c r="H361" s="7" t="s">
        <v>144</v>
      </c>
      <c r="I361" s="2" t="s">
        <v>342</v>
      </c>
      <c r="J361" s="2" t="s">
        <v>1613</v>
      </c>
      <c r="K361" s="2" t="s">
        <v>304</v>
      </c>
      <c r="L361" s="2" t="s">
        <v>119</v>
      </c>
      <c r="M361" s="8" t="str">
        <f>HYPERLINK("http://slimages.macys.com/is/image/MCY/11627047 ")</f>
        <v xml:space="preserve">http://slimages.macys.com/is/image/MCY/11627047 </v>
      </c>
    </row>
    <row r="362" spans="1:13" ht="60" x14ac:dyDescent="0.25">
      <c r="A362" s="7" t="s">
        <v>11598</v>
      </c>
      <c r="B362" s="2" t="s">
        <v>8965</v>
      </c>
      <c r="C362" s="4">
        <v>1</v>
      </c>
      <c r="D362" s="5">
        <v>5.75</v>
      </c>
      <c r="E362" s="5">
        <v>11.99</v>
      </c>
      <c r="F362" s="4" t="s">
        <v>11599</v>
      </c>
      <c r="G362" s="2" t="s">
        <v>653</v>
      </c>
      <c r="H362" s="7" t="s">
        <v>228</v>
      </c>
      <c r="I362" s="2" t="s">
        <v>523</v>
      </c>
      <c r="J362" s="2" t="s">
        <v>969</v>
      </c>
      <c r="K362" s="2" t="s">
        <v>304</v>
      </c>
      <c r="L362" s="2" t="s">
        <v>1334</v>
      </c>
      <c r="M362" s="8" t="str">
        <f>HYPERLINK("http://slimages.macys.com/is/image/MCY/11646897 ")</f>
        <v xml:space="preserve">http://slimages.macys.com/is/image/MCY/11646897 </v>
      </c>
    </row>
    <row r="363" spans="1:13" ht="60" x14ac:dyDescent="0.25">
      <c r="A363" s="7" t="s">
        <v>6938</v>
      </c>
      <c r="B363" s="2" t="s">
        <v>6939</v>
      </c>
      <c r="C363" s="4">
        <v>1</v>
      </c>
      <c r="D363" s="5">
        <v>5.75</v>
      </c>
      <c r="E363" s="5">
        <v>14.99</v>
      </c>
      <c r="F363" s="4" t="s">
        <v>6940</v>
      </c>
      <c r="G363" s="2" t="s">
        <v>36</v>
      </c>
      <c r="H363" s="7"/>
      <c r="I363" s="2" t="s">
        <v>30</v>
      </c>
      <c r="J363" s="2" t="s">
        <v>1890</v>
      </c>
      <c r="K363" s="2" t="s">
        <v>304</v>
      </c>
      <c r="L363" s="2" t="s">
        <v>416</v>
      </c>
      <c r="M363" s="8" t="str">
        <f>HYPERLINK("http://slimages.macys.com/is/image/MCY/12224280 ")</f>
        <v xml:space="preserve">http://slimages.macys.com/is/image/MCY/12224280 </v>
      </c>
    </row>
    <row r="364" spans="1:13" ht="60" x14ac:dyDescent="0.25">
      <c r="A364" s="7" t="s">
        <v>1053</v>
      </c>
      <c r="B364" s="2" t="s">
        <v>1050</v>
      </c>
      <c r="C364" s="4">
        <v>1</v>
      </c>
      <c r="D364" s="5">
        <v>5.75</v>
      </c>
      <c r="E364" s="5">
        <v>11.99</v>
      </c>
      <c r="F364" s="4">
        <v>2581</v>
      </c>
      <c r="G364" s="2" t="s">
        <v>36</v>
      </c>
      <c r="H364" s="7" t="s">
        <v>196</v>
      </c>
      <c r="I364" s="2" t="s">
        <v>523</v>
      </c>
      <c r="J364" s="2" t="s">
        <v>921</v>
      </c>
      <c r="K364" s="2" t="s">
        <v>304</v>
      </c>
      <c r="L364" s="2" t="s">
        <v>323</v>
      </c>
      <c r="M364" s="8" t="str">
        <f>HYPERLINK("http://slimages.macys.com/is/image/MCY/13050177 ")</f>
        <v xml:space="preserve">http://slimages.macys.com/is/image/MCY/13050177 </v>
      </c>
    </row>
    <row r="365" spans="1:13" ht="60" x14ac:dyDescent="0.25">
      <c r="A365" s="7" t="s">
        <v>9009</v>
      </c>
      <c r="B365" s="2" t="s">
        <v>8305</v>
      </c>
      <c r="C365" s="4">
        <v>2</v>
      </c>
      <c r="D365" s="5">
        <v>5.75</v>
      </c>
      <c r="E365" s="5">
        <v>14.99</v>
      </c>
      <c r="F365" s="4" t="s">
        <v>8306</v>
      </c>
      <c r="G365" s="2" t="s">
        <v>353</v>
      </c>
      <c r="H365" s="7"/>
      <c r="I365" s="2" t="s">
        <v>30</v>
      </c>
      <c r="J365" s="2" t="s">
        <v>1890</v>
      </c>
      <c r="K365" s="2" t="s">
        <v>304</v>
      </c>
      <c r="L365" s="2" t="s">
        <v>416</v>
      </c>
      <c r="M365" s="8" t="str">
        <f>HYPERLINK("http://slimages.macys.com/is/image/MCY/12224270 ")</f>
        <v xml:space="preserve">http://slimages.macys.com/is/image/MCY/12224270 </v>
      </c>
    </row>
    <row r="366" spans="1:13" ht="60" x14ac:dyDescent="0.25">
      <c r="A366" s="7" t="s">
        <v>1887</v>
      </c>
      <c r="B366" s="2" t="s">
        <v>1888</v>
      </c>
      <c r="C366" s="4">
        <v>2</v>
      </c>
      <c r="D366" s="5">
        <v>5.75</v>
      </c>
      <c r="E366" s="5">
        <v>14.99</v>
      </c>
      <c r="F366" s="4" t="s">
        <v>1889</v>
      </c>
      <c r="G366" s="2" t="s">
        <v>892</v>
      </c>
      <c r="H366" s="7"/>
      <c r="I366" s="2" t="s">
        <v>30</v>
      </c>
      <c r="J366" s="2" t="s">
        <v>1890</v>
      </c>
      <c r="K366" s="2" t="s">
        <v>304</v>
      </c>
      <c r="L366" s="2" t="s">
        <v>416</v>
      </c>
      <c r="M366" s="8" t="str">
        <f>HYPERLINK("http://slimages.macys.com/is/image/MCY/12224320 ")</f>
        <v xml:space="preserve">http://slimages.macys.com/is/image/MCY/12224320 </v>
      </c>
    </row>
    <row r="367" spans="1:13" ht="60" x14ac:dyDescent="0.25">
      <c r="A367" s="7" t="s">
        <v>1052</v>
      </c>
      <c r="B367" s="2" t="s">
        <v>1050</v>
      </c>
      <c r="C367" s="4">
        <v>2</v>
      </c>
      <c r="D367" s="5">
        <v>5.75</v>
      </c>
      <c r="E367" s="5">
        <v>11.99</v>
      </c>
      <c r="F367" s="4">
        <v>2581</v>
      </c>
      <c r="G367" s="2" t="s">
        <v>36</v>
      </c>
      <c r="H367" s="7" t="s">
        <v>228</v>
      </c>
      <c r="I367" s="2" t="s">
        <v>523</v>
      </c>
      <c r="J367" s="2" t="s">
        <v>921</v>
      </c>
      <c r="K367" s="2" t="s">
        <v>304</v>
      </c>
      <c r="L367" s="2" t="s">
        <v>323</v>
      </c>
      <c r="M367" s="8" t="str">
        <f>HYPERLINK("http://slimages.macys.com/is/image/MCY/13050177 ")</f>
        <v xml:space="preserve">http://slimages.macys.com/is/image/MCY/13050177 </v>
      </c>
    </row>
    <row r="368" spans="1:13" ht="60" x14ac:dyDescent="0.25">
      <c r="A368" s="7" t="s">
        <v>9008</v>
      </c>
      <c r="B368" s="2" t="s">
        <v>3399</v>
      </c>
      <c r="C368" s="4">
        <v>2</v>
      </c>
      <c r="D368" s="5">
        <v>5.75</v>
      </c>
      <c r="E368" s="5">
        <v>14.99</v>
      </c>
      <c r="F368" s="4" t="s">
        <v>3400</v>
      </c>
      <c r="G368" s="2" t="s">
        <v>476</v>
      </c>
      <c r="H368" s="7"/>
      <c r="I368" s="2" t="s">
        <v>30</v>
      </c>
      <c r="J368" s="2" t="s">
        <v>1890</v>
      </c>
      <c r="K368" s="2" t="s">
        <v>304</v>
      </c>
      <c r="L368" s="2" t="s">
        <v>416</v>
      </c>
      <c r="M368" s="8" t="str">
        <f>HYPERLINK("http://slimages.macys.com/is/image/MCY/12224316 ")</f>
        <v xml:space="preserve">http://slimages.macys.com/is/image/MCY/12224316 </v>
      </c>
    </row>
    <row r="369" spans="1:13" ht="60" x14ac:dyDescent="0.25">
      <c r="A369" s="7" t="s">
        <v>11600</v>
      </c>
      <c r="B369" s="2" t="s">
        <v>1893</v>
      </c>
      <c r="C369" s="4">
        <v>1</v>
      </c>
      <c r="D369" s="5">
        <v>5.73</v>
      </c>
      <c r="E369" s="5">
        <v>14.99</v>
      </c>
      <c r="F369" s="4" t="s">
        <v>1894</v>
      </c>
      <c r="G369" s="2" t="s">
        <v>297</v>
      </c>
      <c r="H369" s="7" t="s">
        <v>284</v>
      </c>
      <c r="I369" s="2" t="s">
        <v>515</v>
      </c>
      <c r="J369" s="2" t="s">
        <v>827</v>
      </c>
      <c r="K369" s="2" t="s">
        <v>304</v>
      </c>
      <c r="L369" s="2" t="s">
        <v>125</v>
      </c>
      <c r="M369" s="8" t="str">
        <f>HYPERLINK("http://slimages.macys.com/is/image/MCY/13119352 ")</f>
        <v xml:space="preserve">http://slimages.macys.com/is/image/MCY/13119352 </v>
      </c>
    </row>
    <row r="370" spans="1:13" ht="96" x14ac:dyDescent="0.25">
      <c r="A370" s="7" t="s">
        <v>11601</v>
      </c>
      <c r="B370" s="2" t="s">
        <v>11602</v>
      </c>
      <c r="C370" s="4">
        <v>1</v>
      </c>
      <c r="D370" s="5">
        <v>5.7</v>
      </c>
      <c r="E370" s="5">
        <v>9.99</v>
      </c>
      <c r="F370" s="4" t="s">
        <v>11603</v>
      </c>
      <c r="G370" s="2" t="s">
        <v>582</v>
      </c>
      <c r="H370" s="7" t="s">
        <v>311</v>
      </c>
      <c r="I370" s="2" t="s">
        <v>80</v>
      </c>
      <c r="J370" s="2" t="s">
        <v>1857</v>
      </c>
      <c r="K370" s="2" t="s">
        <v>304</v>
      </c>
      <c r="L370" s="2" t="s">
        <v>11128</v>
      </c>
      <c r="M370" s="8" t="str">
        <f>HYPERLINK("http://slimages.macys.com/is/image/MCY/9387668 ")</f>
        <v xml:space="preserve">http://slimages.macys.com/is/image/MCY/9387668 </v>
      </c>
    </row>
    <row r="371" spans="1:13" ht="60" x14ac:dyDescent="0.25">
      <c r="A371" s="7" t="s">
        <v>7677</v>
      </c>
      <c r="B371" s="2" t="s">
        <v>1899</v>
      </c>
      <c r="C371" s="4">
        <v>4</v>
      </c>
      <c r="D371" s="5">
        <v>5.68</v>
      </c>
      <c r="E371" s="5">
        <v>16.989999999999998</v>
      </c>
      <c r="F371" s="4" t="s">
        <v>1900</v>
      </c>
      <c r="G371" s="2" t="s">
        <v>165</v>
      </c>
      <c r="H371" s="7" t="s">
        <v>284</v>
      </c>
      <c r="I371" s="2" t="s">
        <v>515</v>
      </c>
      <c r="J371" s="2" t="s">
        <v>827</v>
      </c>
      <c r="K371" s="2" t="s">
        <v>304</v>
      </c>
      <c r="L371" s="2" t="s">
        <v>358</v>
      </c>
      <c r="M371" s="8" t="str">
        <f>HYPERLINK("http://slimages.macys.com/is/image/MCY/3487948 ")</f>
        <v xml:space="preserve">http://slimages.macys.com/is/image/MCY/3487948 </v>
      </c>
    </row>
    <row r="372" spans="1:13" ht="60" x14ac:dyDescent="0.25">
      <c r="A372" s="7" t="s">
        <v>5962</v>
      </c>
      <c r="B372" s="2" t="s">
        <v>1899</v>
      </c>
      <c r="C372" s="4">
        <v>1</v>
      </c>
      <c r="D372" s="5">
        <v>5.68</v>
      </c>
      <c r="E372" s="5">
        <v>16.989999999999998</v>
      </c>
      <c r="F372" s="4" t="s">
        <v>1900</v>
      </c>
      <c r="G372" s="2" t="s">
        <v>165</v>
      </c>
      <c r="H372" s="7" t="s">
        <v>228</v>
      </c>
      <c r="I372" s="2" t="s">
        <v>515</v>
      </c>
      <c r="J372" s="2" t="s">
        <v>827</v>
      </c>
      <c r="K372" s="2" t="s">
        <v>304</v>
      </c>
      <c r="L372" s="2" t="s">
        <v>358</v>
      </c>
      <c r="M372" s="8" t="str">
        <f>HYPERLINK("http://slimages.macys.com/is/image/MCY/3487948 ")</f>
        <v xml:space="preserve">http://slimages.macys.com/is/image/MCY/3487948 </v>
      </c>
    </row>
    <row r="373" spans="1:13" ht="60" x14ac:dyDescent="0.25">
      <c r="A373" s="7" t="s">
        <v>1898</v>
      </c>
      <c r="B373" s="2" t="s">
        <v>1899</v>
      </c>
      <c r="C373" s="4">
        <v>4</v>
      </c>
      <c r="D373" s="5">
        <v>5.68</v>
      </c>
      <c r="E373" s="5">
        <v>16.989999999999998</v>
      </c>
      <c r="F373" s="4" t="s">
        <v>1900</v>
      </c>
      <c r="G373" s="2" t="s">
        <v>165</v>
      </c>
      <c r="H373" s="7" t="s">
        <v>159</v>
      </c>
      <c r="I373" s="2" t="s">
        <v>515</v>
      </c>
      <c r="J373" s="2" t="s">
        <v>827</v>
      </c>
      <c r="K373" s="2" t="s">
        <v>304</v>
      </c>
      <c r="L373" s="2" t="s">
        <v>358</v>
      </c>
      <c r="M373" s="8" t="str">
        <f>HYPERLINK("http://slimages.macys.com/is/image/MCY/3487948 ")</f>
        <v xml:space="preserve">http://slimages.macys.com/is/image/MCY/3487948 </v>
      </c>
    </row>
    <row r="374" spans="1:13" ht="60" x14ac:dyDescent="0.25">
      <c r="A374" s="7" t="s">
        <v>11135</v>
      </c>
      <c r="B374" s="2" t="s">
        <v>3370</v>
      </c>
      <c r="C374" s="4">
        <v>1</v>
      </c>
      <c r="D374" s="5">
        <v>5.64</v>
      </c>
      <c r="E374" s="5">
        <v>12.99</v>
      </c>
      <c r="F374" s="4" t="s">
        <v>5964</v>
      </c>
      <c r="G374" s="2" t="s">
        <v>62</v>
      </c>
      <c r="H374" s="7" t="s">
        <v>311</v>
      </c>
      <c r="I374" s="2" t="s">
        <v>218</v>
      </c>
      <c r="J374" s="2" t="s">
        <v>2008</v>
      </c>
      <c r="K374" s="2" t="s">
        <v>304</v>
      </c>
      <c r="L374" s="2" t="s">
        <v>125</v>
      </c>
      <c r="M374" s="8" t="str">
        <f>HYPERLINK("http://slimages.macys.com/is/image/MCY/12742409 ")</f>
        <v xml:space="preserve">http://slimages.macys.com/is/image/MCY/12742409 </v>
      </c>
    </row>
    <row r="375" spans="1:13" ht="84" x14ac:dyDescent="0.25">
      <c r="A375" s="7" t="s">
        <v>11604</v>
      </c>
      <c r="B375" s="2" t="s">
        <v>11605</v>
      </c>
      <c r="C375" s="4">
        <v>1</v>
      </c>
      <c r="D375" s="5">
        <v>5.64</v>
      </c>
      <c r="E375" s="5">
        <v>14.99</v>
      </c>
      <c r="F375" s="4" t="s">
        <v>11606</v>
      </c>
      <c r="G375" s="2" t="s">
        <v>134</v>
      </c>
      <c r="H375" s="7" t="s">
        <v>379</v>
      </c>
      <c r="I375" s="2" t="s">
        <v>483</v>
      </c>
      <c r="J375" s="2" t="s">
        <v>4858</v>
      </c>
      <c r="K375" s="2" t="s">
        <v>304</v>
      </c>
      <c r="L375" s="2" t="s">
        <v>5470</v>
      </c>
      <c r="M375" s="8" t="str">
        <f>HYPERLINK("http://slimages.macys.com/is/image/MCY/8256831 ")</f>
        <v xml:space="preserve">http://slimages.macys.com/is/image/MCY/8256831 </v>
      </c>
    </row>
    <row r="376" spans="1:13" ht="84" x14ac:dyDescent="0.25">
      <c r="A376" s="7" t="s">
        <v>11607</v>
      </c>
      <c r="B376" s="2" t="s">
        <v>11605</v>
      </c>
      <c r="C376" s="4">
        <v>1</v>
      </c>
      <c r="D376" s="5">
        <v>5.64</v>
      </c>
      <c r="E376" s="5">
        <v>14.99</v>
      </c>
      <c r="F376" s="4" t="s">
        <v>11606</v>
      </c>
      <c r="G376" s="2" t="s">
        <v>134</v>
      </c>
      <c r="H376" s="7" t="s">
        <v>317</v>
      </c>
      <c r="I376" s="2" t="s">
        <v>483</v>
      </c>
      <c r="J376" s="2" t="s">
        <v>4858</v>
      </c>
      <c r="K376" s="2" t="s">
        <v>304</v>
      </c>
      <c r="L376" s="2" t="s">
        <v>5470</v>
      </c>
      <c r="M376" s="8" t="str">
        <f>HYPERLINK("http://slimages.macys.com/is/image/MCY/8256831 ")</f>
        <v xml:space="preserve">http://slimages.macys.com/is/image/MCY/8256831 </v>
      </c>
    </row>
    <row r="377" spans="1:13" ht="60" x14ac:dyDescent="0.25">
      <c r="A377" s="7" t="s">
        <v>11608</v>
      </c>
      <c r="B377" s="2" t="s">
        <v>11609</v>
      </c>
      <c r="C377" s="4">
        <v>1</v>
      </c>
      <c r="D377" s="5">
        <v>5.62</v>
      </c>
      <c r="E377" s="5">
        <v>16.8</v>
      </c>
      <c r="F377" s="4" t="s">
        <v>11610</v>
      </c>
      <c r="G377" s="2" t="s">
        <v>41</v>
      </c>
      <c r="H377" s="7" t="s">
        <v>149</v>
      </c>
      <c r="I377" s="2" t="s">
        <v>483</v>
      </c>
      <c r="J377" s="2" t="s">
        <v>536</v>
      </c>
      <c r="K377" s="2" t="s">
        <v>304</v>
      </c>
      <c r="L377" s="2" t="s">
        <v>206</v>
      </c>
      <c r="M377" s="8" t="str">
        <f>HYPERLINK("http://slimages.macys.com/is/image/MCY/12637136 ")</f>
        <v xml:space="preserve">http://slimages.macys.com/is/image/MCY/12637136 </v>
      </c>
    </row>
    <row r="378" spans="1:13" ht="60" x14ac:dyDescent="0.25">
      <c r="A378" s="7" t="s">
        <v>11611</v>
      </c>
      <c r="B378" s="2" t="s">
        <v>3407</v>
      </c>
      <c r="C378" s="4">
        <v>1</v>
      </c>
      <c r="D378" s="5">
        <v>5.6</v>
      </c>
      <c r="E378" s="5">
        <v>10.99</v>
      </c>
      <c r="F378" s="4" t="s">
        <v>3408</v>
      </c>
      <c r="G378" s="2" t="s">
        <v>41</v>
      </c>
      <c r="H378" s="7" t="s">
        <v>196</v>
      </c>
      <c r="I378" s="2" t="s">
        <v>523</v>
      </c>
      <c r="J378" s="2" t="s">
        <v>921</v>
      </c>
      <c r="K378" s="2" t="s">
        <v>304</v>
      </c>
      <c r="L378" s="2" t="s">
        <v>1334</v>
      </c>
      <c r="M378" s="8" t="str">
        <f>HYPERLINK("http://slimages.macys.com/is/image/MCY/11722357 ")</f>
        <v xml:space="preserve">http://slimages.macys.com/is/image/MCY/11722357 </v>
      </c>
    </row>
    <row r="379" spans="1:13" ht="60" x14ac:dyDescent="0.25">
      <c r="A379" s="7" t="s">
        <v>11612</v>
      </c>
      <c r="B379" s="2" t="s">
        <v>3407</v>
      </c>
      <c r="C379" s="4">
        <v>1</v>
      </c>
      <c r="D379" s="5">
        <v>5.6</v>
      </c>
      <c r="E379" s="5">
        <v>10.99</v>
      </c>
      <c r="F379" s="4" t="s">
        <v>3408</v>
      </c>
      <c r="G379" s="2" t="s">
        <v>41</v>
      </c>
      <c r="H379" s="7" t="s">
        <v>228</v>
      </c>
      <c r="I379" s="2" t="s">
        <v>523</v>
      </c>
      <c r="J379" s="2" t="s">
        <v>921</v>
      </c>
      <c r="K379" s="2" t="s">
        <v>304</v>
      </c>
      <c r="L379" s="2" t="s">
        <v>1334</v>
      </c>
      <c r="M379" s="8" t="str">
        <f>HYPERLINK("http://slimages.macys.com/is/image/MCY/11722357 ")</f>
        <v xml:space="preserve">http://slimages.macys.com/is/image/MCY/11722357 </v>
      </c>
    </row>
    <row r="380" spans="1:13" ht="60" x14ac:dyDescent="0.25">
      <c r="A380" s="7" t="s">
        <v>6951</v>
      </c>
      <c r="B380" s="2" t="s">
        <v>6952</v>
      </c>
      <c r="C380" s="4">
        <v>2</v>
      </c>
      <c r="D380" s="5">
        <v>5.54</v>
      </c>
      <c r="E380" s="5">
        <v>16.989999999999998</v>
      </c>
      <c r="F380" s="4" t="s">
        <v>6953</v>
      </c>
      <c r="G380" s="2" t="s">
        <v>28</v>
      </c>
      <c r="H380" s="7" t="s">
        <v>159</v>
      </c>
      <c r="I380" s="2" t="s">
        <v>515</v>
      </c>
      <c r="J380" s="2" t="s">
        <v>827</v>
      </c>
      <c r="K380" s="2" t="s">
        <v>304</v>
      </c>
      <c r="L380" s="2" t="s">
        <v>358</v>
      </c>
      <c r="M380" s="8" t="str">
        <f>HYPERLINK("http://slimages.macys.com/is/image/MCY/3336452 ")</f>
        <v xml:space="preserve">http://slimages.macys.com/is/image/MCY/3336452 </v>
      </c>
    </row>
    <row r="381" spans="1:13" ht="60" x14ac:dyDescent="0.25">
      <c r="A381" s="7" t="s">
        <v>11613</v>
      </c>
      <c r="B381" s="2" t="s">
        <v>11614</v>
      </c>
      <c r="C381" s="4">
        <v>1</v>
      </c>
      <c r="D381" s="5">
        <v>5.5</v>
      </c>
      <c r="E381" s="5">
        <v>11.99</v>
      </c>
      <c r="F381" s="4" t="s">
        <v>11615</v>
      </c>
      <c r="G381" s="2" t="s">
        <v>41</v>
      </c>
      <c r="H381" s="7" t="s">
        <v>284</v>
      </c>
      <c r="I381" s="2" t="s">
        <v>523</v>
      </c>
      <c r="J381" s="2" t="s">
        <v>11616</v>
      </c>
      <c r="K381" s="2" t="s">
        <v>304</v>
      </c>
      <c r="L381" s="2" t="s">
        <v>11617</v>
      </c>
      <c r="M381" s="8" t="str">
        <f>HYPERLINK("http://slimages.macys.com/is/image/MCY/9399003 ")</f>
        <v xml:space="preserve">http://slimages.macys.com/is/image/MCY/9399003 </v>
      </c>
    </row>
    <row r="382" spans="1:13" ht="60" x14ac:dyDescent="0.25">
      <c r="A382" s="7" t="s">
        <v>11618</v>
      </c>
      <c r="B382" s="2" t="s">
        <v>11619</v>
      </c>
      <c r="C382" s="4">
        <v>1</v>
      </c>
      <c r="D382" s="5">
        <v>5.5</v>
      </c>
      <c r="E382" s="5">
        <v>11.98</v>
      </c>
      <c r="F382" s="4" t="s">
        <v>11620</v>
      </c>
      <c r="G382" s="2" t="s">
        <v>297</v>
      </c>
      <c r="H382" s="7" t="s">
        <v>531</v>
      </c>
      <c r="I382" s="2" t="s">
        <v>43</v>
      </c>
      <c r="J382" s="2" t="s">
        <v>497</v>
      </c>
      <c r="K382" s="2" t="s">
        <v>304</v>
      </c>
      <c r="L382" s="2" t="s">
        <v>87</v>
      </c>
      <c r="M382" s="8" t="str">
        <f>HYPERLINK("http://slimages.macys.com/is/image/MCY/2908918 ")</f>
        <v xml:space="preserve">http://slimages.macys.com/is/image/MCY/2908918 </v>
      </c>
    </row>
    <row r="383" spans="1:13" ht="60" x14ac:dyDescent="0.25">
      <c r="A383" s="7" t="s">
        <v>11621</v>
      </c>
      <c r="B383" s="2" t="s">
        <v>11614</v>
      </c>
      <c r="C383" s="4">
        <v>1</v>
      </c>
      <c r="D383" s="5">
        <v>5.5</v>
      </c>
      <c r="E383" s="5">
        <v>11.99</v>
      </c>
      <c r="F383" s="4" t="s">
        <v>11615</v>
      </c>
      <c r="G383" s="2" t="s">
        <v>41</v>
      </c>
      <c r="H383" s="7"/>
      <c r="I383" s="2" t="s">
        <v>523</v>
      </c>
      <c r="J383" s="2" t="s">
        <v>11616</v>
      </c>
      <c r="K383" s="2" t="s">
        <v>304</v>
      </c>
      <c r="L383" s="2" t="s">
        <v>11617</v>
      </c>
      <c r="M383" s="8" t="str">
        <f>HYPERLINK("http://slimages.macys.com/is/image/MCY/9399003 ")</f>
        <v xml:space="preserve">http://slimages.macys.com/is/image/MCY/9399003 </v>
      </c>
    </row>
    <row r="384" spans="1:13" ht="60" x14ac:dyDescent="0.25">
      <c r="A384" s="7" t="s">
        <v>5495</v>
      </c>
      <c r="B384" s="2" t="s">
        <v>1915</v>
      </c>
      <c r="C384" s="4">
        <v>1</v>
      </c>
      <c r="D384" s="5">
        <v>5.5</v>
      </c>
      <c r="E384" s="5">
        <v>10.99</v>
      </c>
      <c r="F384" s="4" t="s">
        <v>1916</v>
      </c>
      <c r="G384" s="2" t="s">
        <v>36</v>
      </c>
      <c r="H384" s="7" t="s">
        <v>196</v>
      </c>
      <c r="I384" s="2" t="s">
        <v>73</v>
      </c>
      <c r="J384" s="2" t="s">
        <v>1917</v>
      </c>
      <c r="K384" s="2" t="s">
        <v>304</v>
      </c>
      <c r="L384" s="2" t="s">
        <v>125</v>
      </c>
      <c r="M384" s="8" t="str">
        <f>HYPERLINK("http://slimages.macys.com/is/image/MCY/12235600 ")</f>
        <v xml:space="preserve">http://slimages.macys.com/is/image/MCY/12235600 </v>
      </c>
    </row>
    <row r="385" spans="1:13" ht="60" x14ac:dyDescent="0.25">
      <c r="A385" s="7" t="s">
        <v>7685</v>
      </c>
      <c r="B385" s="2" t="s">
        <v>1915</v>
      </c>
      <c r="C385" s="4">
        <v>1</v>
      </c>
      <c r="D385" s="5">
        <v>5.5</v>
      </c>
      <c r="E385" s="5">
        <v>10.99</v>
      </c>
      <c r="F385" s="4" t="s">
        <v>1916</v>
      </c>
      <c r="G385" s="2" t="s">
        <v>41</v>
      </c>
      <c r="H385" s="7" t="s">
        <v>228</v>
      </c>
      <c r="I385" s="2" t="s">
        <v>73</v>
      </c>
      <c r="J385" s="2" t="s">
        <v>1917</v>
      </c>
      <c r="K385" s="2" t="s">
        <v>304</v>
      </c>
      <c r="L385" s="2" t="s">
        <v>125</v>
      </c>
      <c r="M385" s="8" t="str">
        <f>HYPERLINK("http://slimages.macys.com/is/image/MCY/12235600 ")</f>
        <v xml:space="preserve">http://slimages.macys.com/is/image/MCY/12235600 </v>
      </c>
    </row>
    <row r="386" spans="1:13" ht="60" x14ac:dyDescent="0.25">
      <c r="A386" s="7" t="s">
        <v>5497</v>
      </c>
      <c r="B386" s="2" t="s">
        <v>1915</v>
      </c>
      <c r="C386" s="4">
        <v>1</v>
      </c>
      <c r="D386" s="5">
        <v>5.5</v>
      </c>
      <c r="E386" s="5">
        <v>10.99</v>
      </c>
      <c r="F386" s="4" t="s">
        <v>1916</v>
      </c>
      <c r="G386" s="2" t="s">
        <v>41</v>
      </c>
      <c r="H386" s="7" t="s">
        <v>196</v>
      </c>
      <c r="I386" s="2" t="s">
        <v>73</v>
      </c>
      <c r="J386" s="2" t="s">
        <v>1917</v>
      </c>
      <c r="K386" s="2" t="s">
        <v>304</v>
      </c>
      <c r="L386" s="2" t="s">
        <v>125</v>
      </c>
      <c r="M386" s="8" t="str">
        <f>HYPERLINK("http://slimages.macys.com/is/image/MCY/12235600 ")</f>
        <v xml:space="preserve">http://slimages.macys.com/is/image/MCY/12235600 </v>
      </c>
    </row>
    <row r="387" spans="1:13" ht="60" x14ac:dyDescent="0.25">
      <c r="A387" s="7" t="s">
        <v>11622</v>
      </c>
      <c r="B387" s="2" t="s">
        <v>1750</v>
      </c>
      <c r="C387" s="4">
        <v>1</v>
      </c>
      <c r="D387" s="5">
        <v>5.5</v>
      </c>
      <c r="E387" s="5">
        <v>10.99</v>
      </c>
      <c r="F387" s="4" t="s">
        <v>5966</v>
      </c>
      <c r="G387" s="2" t="s">
        <v>36</v>
      </c>
      <c r="H387" s="7" t="s">
        <v>196</v>
      </c>
      <c r="I387" s="2" t="s">
        <v>73</v>
      </c>
      <c r="J387" s="2" t="s">
        <v>1917</v>
      </c>
      <c r="K387" s="2" t="s">
        <v>304</v>
      </c>
      <c r="L387" s="2" t="s">
        <v>5967</v>
      </c>
      <c r="M387" s="8" t="str">
        <f>HYPERLINK("http://slimages.macys.com/is/image/MCY/12789105 ")</f>
        <v xml:space="preserve">http://slimages.macys.com/is/image/MCY/12789105 </v>
      </c>
    </row>
    <row r="388" spans="1:13" ht="60" x14ac:dyDescent="0.25">
      <c r="A388" s="7" t="s">
        <v>6958</v>
      </c>
      <c r="B388" s="2" t="s">
        <v>1750</v>
      </c>
      <c r="C388" s="4">
        <v>1</v>
      </c>
      <c r="D388" s="5">
        <v>5.5</v>
      </c>
      <c r="E388" s="5">
        <v>10.99</v>
      </c>
      <c r="F388" s="4" t="s">
        <v>5966</v>
      </c>
      <c r="G388" s="2" t="s">
        <v>36</v>
      </c>
      <c r="H388" s="7" t="s">
        <v>228</v>
      </c>
      <c r="I388" s="2" t="s">
        <v>73</v>
      </c>
      <c r="J388" s="2" t="s">
        <v>1917</v>
      </c>
      <c r="K388" s="2" t="s">
        <v>304</v>
      </c>
      <c r="L388" s="2" t="s">
        <v>5967</v>
      </c>
      <c r="M388" s="8" t="str">
        <f>HYPERLINK("http://slimages.macys.com/is/image/MCY/12789105 ")</f>
        <v xml:space="preserve">http://slimages.macys.com/is/image/MCY/12789105 </v>
      </c>
    </row>
    <row r="389" spans="1:13" ht="60" x14ac:dyDescent="0.25">
      <c r="A389" s="7" t="s">
        <v>1918</v>
      </c>
      <c r="B389" s="2" t="s">
        <v>1915</v>
      </c>
      <c r="C389" s="4">
        <v>1</v>
      </c>
      <c r="D389" s="5">
        <v>5.5</v>
      </c>
      <c r="E389" s="5">
        <v>10.99</v>
      </c>
      <c r="F389" s="4" t="s">
        <v>1916</v>
      </c>
      <c r="G389" s="2" t="s">
        <v>41</v>
      </c>
      <c r="H389" s="7" t="s">
        <v>159</v>
      </c>
      <c r="I389" s="2" t="s">
        <v>73</v>
      </c>
      <c r="J389" s="2" t="s">
        <v>1917</v>
      </c>
      <c r="K389" s="2" t="s">
        <v>304</v>
      </c>
      <c r="L389" s="2" t="s">
        <v>125</v>
      </c>
      <c r="M389" s="8" t="str">
        <f>HYPERLINK("http://slimages.macys.com/is/image/MCY/12235600 ")</f>
        <v xml:space="preserve">http://slimages.macys.com/is/image/MCY/12235600 </v>
      </c>
    </row>
    <row r="390" spans="1:13" ht="60" x14ac:dyDescent="0.25">
      <c r="A390" s="7" t="s">
        <v>1079</v>
      </c>
      <c r="B390" s="2" t="s">
        <v>1078</v>
      </c>
      <c r="C390" s="4">
        <v>2</v>
      </c>
      <c r="D390" s="5">
        <v>5.5</v>
      </c>
      <c r="E390" s="5">
        <v>12.99</v>
      </c>
      <c r="F390" s="4">
        <v>6133</v>
      </c>
      <c r="G390" s="2" t="s">
        <v>36</v>
      </c>
      <c r="H390" s="7" t="s">
        <v>196</v>
      </c>
      <c r="I390" s="2" t="s">
        <v>523</v>
      </c>
      <c r="J390" s="2" t="s">
        <v>969</v>
      </c>
      <c r="K390" s="2" t="s">
        <v>304</v>
      </c>
      <c r="L390" s="2" t="s">
        <v>1036</v>
      </c>
      <c r="M390" s="8" t="str">
        <f>HYPERLINK("http://slimages.macys.com/is/image/MCY/13403932 ")</f>
        <v xml:space="preserve">http://slimages.macys.com/is/image/MCY/13403932 </v>
      </c>
    </row>
    <row r="391" spans="1:13" ht="168" x14ac:dyDescent="0.25">
      <c r="A391" s="7" t="s">
        <v>10156</v>
      </c>
      <c r="B391" s="2" t="s">
        <v>5017</v>
      </c>
      <c r="C391" s="4">
        <v>8</v>
      </c>
      <c r="D391" s="5">
        <v>5.5</v>
      </c>
      <c r="E391" s="5">
        <v>12.99</v>
      </c>
      <c r="F391" s="4" t="s">
        <v>5018</v>
      </c>
      <c r="G391" s="2" t="s">
        <v>129</v>
      </c>
      <c r="H391" s="7" t="s">
        <v>91</v>
      </c>
      <c r="I391" s="2" t="s">
        <v>92</v>
      </c>
      <c r="J391" s="2" t="s">
        <v>1076</v>
      </c>
      <c r="K391" s="2" t="s">
        <v>304</v>
      </c>
      <c r="L391" s="2" t="s">
        <v>5019</v>
      </c>
      <c r="M391" s="8" t="str">
        <f>HYPERLINK("http://slimages.macys.com/is/image/MCY/15654556 ")</f>
        <v xml:space="preserve">http://slimages.macys.com/is/image/MCY/15654556 </v>
      </c>
    </row>
    <row r="392" spans="1:13" ht="168" x14ac:dyDescent="0.25">
      <c r="A392" s="7" t="s">
        <v>10155</v>
      </c>
      <c r="B392" s="2" t="s">
        <v>5017</v>
      </c>
      <c r="C392" s="4">
        <v>4</v>
      </c>
      <c r="D392" s="5">
        <v>5.5</v>
      </c>
      <c r="E392" s="5">
        <v>12.99</v>
      </c>
      <c r="F392" s="4" t="s">
        <v>5018</v>
      </c>
      <c r="G392" s="2" t="s">
        <v>129</v>
      </c>
      <c r="H392" s="7" t="s">
        <v>42</v>
      </c>
      <c r="I392" s="2" t="s">
        <v>92</v>
      </c>
      <c r="J392" s="2" t="s">
        <v>1076</v>
      </c>
      <c r="K392" s="2" t="s">
        <v>304</v>
      </c>
      <c r="L392" s="2" t="s">
        <v>5019</v>
      </c>
      <c r="M392" s="8" t="str">
        <f>HYPERLINK("http://slimages.macys.com/is/image/MCY/15654556 ")</f>
        <v xml:space="preserve">http://slimages.macys.com/is/image/MCY/15654556 </v>
      </c>
    </row>
    <row r="393" spans="1:13" ht="168" x14ac:dyDescent="0.25">
      <c r="A393" s="7" t="s">
        <v>5016</v>
      </c>
      <c r="B393" s="2" t="s">
        <v>5017</v>
      </c>
      <c r="C393" s="4">
        <v>3</v>
      </c>
      <c r="D393" s="5">
        <v>5.5</v>
      </c>
      <c r="E393" s="5">
        <v>12.99</v>
      </c>
      <c r="F393" s="4" t="s">
        <v>5018</v>
      </c>
      <c r="G393" s="2" t="s">
        <v>129</v>
      </c>
      <c r="H393" s="7" t="s">
        <v>442</v>
      </c>
      <c r="I393" s="2" t="s">
        <v>92</v>
      </c>
      <c r="J393" s="2" t="s">
        <v>1076</v>
      </c>
      <c r="K393" s="2" t="s">
        <v>304</v>
      </c>
      <c r="L393" s="2" t="s">
        <v>5019</v>
      </c>
      <c r="M393" s="8" t="str">
        <f>HYPERLINK("http://slimages.macys.com/is/image/MCY/15654556 ")</f>
        <v xml:space="preserve">http://slimages.macys.com/is/image/MCY/15654556 </v>
      </c>
    </row>
    <row r="394" spans="1:13" ht="180" x14ac:dyDescent="0.25">
      <c r="A394" s="7" t="s">
        <v>4166</v>
      </c>
      <c r="B394" s="2" t="s">
        <v>4167</v>
      </c>
      <c r="C394" s="4">
        <v>1</v>
      </c>
      <c r="D394" s="5">
        <v>5.5</v>
      </c>
      <c r="E394" s="5">
        <v>12.99</v>
      </c>
      <c r="F394" s="4" t="s">
        <v>4168</v>
      </c>
      <c r="G394" s="2" t="s">
        <v>28</v>
      </c>
      <c r="H394" s="7" t="s">
        <v>91</v>
      </c>
      <c r="I394" s="2" t="s">
        <v>92</v>
      </c>
      <c r="J394" s="2" t="s">
        <v>1076</v>
      </c>
      <c r="K394" s="2" t="s">
        <v>304</v>
      </c>
      <c r="L394" s="2" t="s">
        <v>2647</v>
      </c>
      <c r="M394" s="8" t="str">
        <f>HYPERLINK("http://slimages.macys.com/is/image/MCY/15654443 ")</f>
        <v xml:space="preserve">http://slimages.macys.com/is/image/MCY/15654443 </v>
      </c>
    </row>
    <row r="395" spans="1:13" ht="60" x14ac:dyDescent="0.25">
      <c r="A395" s="7" t="s">
        <v>1912</v>
      </c>
      <c r="B395" s="2" t="s">
        <v>1074</v>
      </c>
      <c r="C395" s="4">
        <v>4</v>
      </c>
      <c r="D395" s="5">
        <v>5.5</v>
      </c>
      <c r="E395" s="5">
        <v>12.99</v>
      </c>
      <c r="F395" s="4" t="s">
        <v>1075</v>
      </c>
      <c r="G395" s="2"/>
      <c r="H395" s="7" t="s">
        <v>42</v>
      </c>
      <c r="I395" s="2" t="s">
        <v>92</v>
      </c>
      <c r="J395" s="2" t="s">
        <v>1076</v>
      </c>
      <c r="K395" s="2" t="s">
        <v>304</v>
      </c>
      <c r="L395" s="2" t="s">
        <v>100</v>
      </c>
      <c r="M395" s="8" t="str">
        <f>HYPERLINK("http://slimages.macys.com/is/image/MCY/15654522 ")</f>
        <v xml:space="preserve">http://slimages.macys.com/is/image/MCY/15654522 </v>
      </c>
    </row>
    <row r="396" spans="1:13" ht="60" x14ac:dyDescent="0.25">
      <c r="A396" s="7" t="s">
        <v>1913</v>
      </c>
      <c r="B396" s="2" t="s">
        <v>1074</v>
      </c>
      <c r="C396" s="4">
        <v>3</v>
      </c>
      <c r="D396" s="5">
        <v>5.5</v>
      </c>
      <c r="E396" s="5">
        <v>12.99</v>
      </c>
      <c r="F396" s="4" t="s">
        <v>1075</v>
      </c>
      <c r="G396" s="2"/>
      <c r="H396" s="7" t="s">
        <v>91</v>
      </c>
      <c r="I396" s="2" t="s">
        <v>92</v>
      </c>
      <c r="J396" s="2" t="s">
        <v>1076</v>
      </c>
      <c r="K396" s="2" t="s">
        <v>304</v>
      </c>
      <c r="L396" s="2" t="s">
        <v>100</v>
      </c>
      <c r="M396" s="8" t="str">
        <f>HYPERLINK("http://slimages.macys.com/is/image/MCY/15654522 ")</f>
        <v xml:space="preserve">http://slimages.macys.com/is/image/MCY/15654522 </v>
      </c>
    </row>
    <row r="397" spans="1:13" ht="108" x14ac:dyDescent="0.25">
      <c r="A397" s="7" t="s">
        <v>11623</v>
      </c>
      <c r="B397" s="2" t="s">
        <v>11624</v>
      </c>
      <c r="C397" s="4">
        <v>1</v>
      </c>
      <c r="D397" s="5">
        <v>5.5</v>
      </c>
      <c r="E397" s="5">
        <v>17.989999999999998</v>
      </c>
      <c r="F397" s="4" t="s">
        <v>11625</v>
      </c>
      <c r="G397" s="2" t="s">
        <v>310</v>
      </c>
      <c r="H397" s="7" t="s">
        <v>42</v>
      </c>
      <c r="I397" s="2" t="s">
        <v>135</v>
      </c>
      <c r="J397" s="2" t="s">
        <v>430</v>
      </c>
      <c r="K397" s="2" t="s">
        <v>304</v>
      </c>
      <c r="L397" s="2" t="s">
        <v>7684</v>
      </c>
      <c r="M397" s="8" t="str">
        <f>HYPERLINK("http://slimages.macys.com/is/image/MCY/13040119 ")</f>
        <v xml:space="preserve">http://slimages.macys.com/is/image/MCY/13040119 </v>
      </c>
    </row>
    <row r="398" spans="1:13" ht="60" x14ac:dyDescent="0.25">
      <c r="A398" s="7" t="s">
        <v>3412</v>
      </c>
      <c r="B398" s="2" t="s">
        <v>521</v>
      </c>
      <c r="C398" s="4">
        <v>2</v>
      </c>
      <c r="D398" s="5">
        <v>5.5</v>
      </c>
      <c r="E398" s="5">
        <v>14</v>
      </c>
      <c r="F398" s="4" t="s">
        <v>522</v>
      </c>
      <c r="G398" s="2" t="s">
        <v>41</v>
      </c>
      <c r="H398" s="7"/>
      <c r="I398" s="2" t="s">
        <v>523</v>
      </c>
      <c r="J398" s="2" t="s">
        <v>524</v>
      </c>
      <c r="K398" s="2" t="s">
        <v>304</v>
      </c>
      <c r="L398" s="2" t="s">
        <v>224</v>
      </c>
      <c r="M398" s="8" t="str">
        <f>HYPERLINK("http://slimages.macys.com/is/image/MCY/11797079 ")</f>
        <v xml:space="preserve">http://slimages.macys.com/is/image/MCY/11797079 </v>
      </c>
    </row>
    <row r="399" spans="1:13" ht="60" x14ac:dyDescent="0.25">
      <c r="A399" s="7" t="s">
        <v>6332</v>
      </c>
      <c r="B399" s="2" t="s">
        <v>521</v>
      </c>
      <c r="C399" s="4">
        <v>2</v>
      </c>
      <c r="D399" s="5">
        <v>5.5</v>
      </c>
      <c r="E399" s="5">
        <v>14</v>
      </c>
      <c r="F399" s="4" t="s">
        <v>522</v>
      </c>
      <c r="G399" s="2" t="s">
        <v>62</v>
      </c>
      <c r="H399" s="7"/>
      <c r="I399" s="2" t="s">
        <v>523</v>
      </c>
      <c r="J399" s="2" t="s">
        <v>524</v>
      </c>
      <c r="K399" s="2" t="s">
        <v>304</v>
      </c>
      <c r="L399" s="2" t="s">
        <v>224</v>
      </c>
      <c r="M399" s="8" t="str">
        <f>HYPERLINK("http://slimages.macys.com/is/image/MCY/11797079 ")</f>
        <v xml:space="preserve">http://slimages.macys.com/is/image/MCY/11797079 </v>
      </c>
    </row>
    <row r="400" spans="1:13" ht="60" x14ac:dyDescent="0.25">
      <c r="A400" s="7" t="s">
        <v>520</v>
      </c>
      <c r="B400" s="2" t="s">
        <v>521</v>
      </c>
      <c r="C400" s="4">
        <v>4</v>
      </c>
      <c r="D400" s="5">
        <v>5.5</v>
      </c>
      <c r="E400" s="5">
        <v>14</v>
      </c>
      <c r="F400" s="4" t="s">
        <v>522</v>
      </c>
      <c r="G400" s="2" t="s">
        <v>62</v>
      </c>
      <c r="H400" s="7"/>
      <c r="I400" s="2" t="s">
        <v>523</v>
      </c>
      <c r="J400" s="2" t="s">
        <v>524</v>
      </c>
      <c r="K400" s="2" t="s">
        <v>304</v>
      </c>
      <c r="L400" s="2" t="s">
        <v>224</v>
      </c>
      <c r="M400" s="8" t="str">
        <f>HYPERLINK("http://slimages.macys.com/is/image/MCY/11797079 ")</f>
        <v xml:space="preserve">http://slimages.macys.com/is/image/MCY/11797079 </v>
      </c>
    </row>
    <row r="401" spans="1:13" ht="60" x14ac:dyDescent="0.25">
      <c r="A401" s="7" t="s">
        <v>6333</v>
      </c>
      <c r="B401" s="2" t="s">
        <v>521</v>
      </c>
      <c r="C401" s="4">
        <v>2</v>
      </c>
      <c r="D401" s="5">
        <v>5.5</v>
      </c>
      <c r="E401" s="5">
        <v>14</v>
      </c>
      <c r="F401" s="4" t="s">
        <v>522</v>
      </c>
      <c r="G401" s="2" t="s">
        <v>62</v>
      </c>
      <c r="H401" s="7"/>
      <c r="I401" s="2" t="s">
        <v>523</v>
      </c>
      <c r="J401" s="2" t="s">
        <v>524</v>
      </c>
      <c r="K401" s="2" t="s">
        <v>304</v>
      </c>
      <c r="L401" s="2" t="s">
        <v>224</v>
      </c>
      <c r="M401" s="8" t="str">
        <f>HYPERLINK("http://slimages.macys.com/is/image/MCY/11797079 ")</f>
        <v xml:space="preserve">http://slimages.macys.com/is/image/MCY/11797079 </v>
      </c>
    </row>
    <row r="402" spans="1:13" ht="60" x14ac:dyDescent="0.25">
      <c r="A402" s="7" t="s">
        <v>6954</v>
      </c>
      <c r="B402" s="2" t="s">
        <v>521</v>
      </c>
      <c r="C402" s="4">
        <v>2</v>
      </c>
      <c r="D402" s="5">
        <v>5.5</v>
      </c>
      <c r="E402" s="5">
        <v>14</v>
      </c>
      <c r="F402" s="4" t="s">
        <v>522</v>
      </c>
      <c r="G402" s="2" t="s">
        <v>41</v>
      </c>
      <c r="H402" s="7"/>
      <c r="I402" s="2" t="s">
        <v>523</v>
      </c>
      <c r="J402" s="2" t="s">
        <v>524</v>
      </c>
      <c r="K402" s="2" t="s">
        <v>304</v>
      </c>
      <c r="L402" s="2" t="s">
        <v>224</v>
      </c>
      <c r="M402" s="8" t="str">
        <f>HYPERLINK("http://slimages.macys.com/is/image/MCY/11797079 ")</f>
        <v xml:space="preserve">http://slimages.macys.com/is/image/MCY/11797079 </v>
      </c>
    </row>
    <row r="403" spans="1:13" ht="60" x14ac:dyDescent="0.25">
      <c r="A403" s="7" t="s">
        <v>11626</v>
      </c>
      <c r="B403" s="2" t="s">
        <v>11627</v>
      </c>
      <c r="C403" s="4">
        <v>4</v>
      </c>
      <c r="D403" s="5">
        <v>5.5</v>
      </c>
      <c r="E403" s="5">
        <v>11.99</v>
      </c>
      <c r="F403" s="4" t="s">
        <v>11628</v>
      </c>
      <c r="G403" s="2" t="s">
        <v>129</v>
      </c>
      <c r="H403" s="7" t="s">
        <v>284</v>
      </c>
      <c r="I403" s="2" t="s">
        <v>523</v>
      </c>
      <c r="J403" s="2" t="s">
        <v>11616</v>
      </c>
      <c r="K403" s="2" t="s">
        <v>304</v>
      </c>
      <c r="L403" s="2" t="s">
        <v>11617</v>
      </c>
      <c r="M403" s="8" t="str">
        <f>HYPERLINK("http://slimages.macys.com/is/image/MCY/12291283 ")</f>
        <v xml:space="preserve">http://slimages.macys.com/is/image/MCY/12291283 </v>
      </c>
    </row>
    <row r="404" spans="1:13" ht="60" x14ac:dyDescent="0.25">
      <c r="A404" s="7" t="s">
        <v>11629</v>
      </c>
      <c r="B404" s="2" t="s">
        <v>11630</v>
      </c>
      <c r="C404" s="4">
        <v>1</v>
      </c>
      <c r="D404" s="5">
        <v>5.35</v>
      </c>
      <c r="E404" s="5">
        <v>9.99</v>
      </c>
      <c r="F404" s="4" t="s">
        <v>11631</v>
      </c>
      <c r="G404" s="2" t="s">
        <v>41</v>
      </c>
      <c r="H404" s="7" t="s">
        <v>284</v>
      </c>
      <c r="I404" s="2" t="s">
        <v>153</v>
      </c>
      <c r="J404" s="2" t="s">
        <v>154</v>
      </c>
      <c r="K404" s="2" t="s">
        <v>304</v>
      </c>
      <c r="L404" s="2" t="s">
        <v>87</v>
      </c>
      <c r="M404" s="8" t="str">
        <f>HYPERLINK("http://slimages.macys.com/is/image/MCY/9809713 ")</f>
        <v xml:space="preserve">http://slimages.macys.com/is/image/MCY/9809713 </v>
      </c>
    </row>
    <row r="405" spans="1:13" ht="60" x14ac:dyDescent="0.25">
      <c r="A405" s="7" t="s">
        <v>11632</v>
      </c>
      <c r="B405" s="2" t="s">
        <v>11633</v>
      </c>
      <c r="C405" s="4">
        <v>1</v>
      </c>
      <c r="D405" s="5">
        <v>5.3</v>
      </c>
      <c r="E405" s="5">
        <v>10.6</v>
      </c>
      <c r="F405" s="4" t="s">
        <v>11634</v>
      </c>
      <c r="G405" s="2" t="s">
        <v>643</v>
      </c>
      <c r="H405" s="7"/>
      <c r="I405" s="2" t="s">
        <v>487</v>
      </c>
      <c r="J405" s="2" t="s">
        <v>488</v>
      </c>
      <c r="K405" s="2" t="s">
        <v>304</v>
      </c>
      <c r="L405" s="2" t="s">
        <v>38</v>
      </c>
      <c r="M405" s="8" t="str">
        <f>HYPERLINK("http://slimages.macys.com/is/image/MCY/11867656 ")</f>
        <v xml:space="preserve">http://slimages.macys.com/is/image/MCY/11867656 </v>
      </c>
    </row>
    <row r="406" spans="1:13" ht="96" x14ac:dyDescent="0.25">
      <c r="A406" s="7" t="s">
        <v>10164</v>
      </c>
      <c r="B406" s="2" t="s">
        <v>1946</v>
      </c>
      <c r="C406" s="4">
        <v>1</v>
      </c>
      <c r="D406" s="5">
        <v>5.25</v>
      </c>
      <c r="E406" s="5">
        <v>14.99</v>
      </c>
      <c r="F406" s="4" t="s">
        <v>1947</v>
      </c>
      <c r="G406" s="2"/>
      <c r="H406" s="7" t="s">
        <v>91</v>
      </c>
      <c r="I406" s="2" t="s">
        <v>92</v>
      </c>
      <c r="J406" s="2" t="s">
        <v>1076</v>
      </c>
      <c r="K406" s="2" t="s">
        <v>304</v>
      </c>
      <c r="L406" s="2" t="s">
        <v>1948</v>
      </c>
      <c r="M406" s="8" t="str">
        <f>HYPERLINK("http://slimages.macys.com/is/image/MCY/15654526 ")</f>
        <v xml:space="preserve">http://slimages.macys.com/is/image/MCY/15654526 </v>
      </c>
    </row>
    <row r="407" spans="1:13" ht="96" x14ac:dyDescent="0.25">
      <c r="A407" s="7" t="s">
        <v>1954</v>
      </c>
      <c r="B407" s="2" t="s">
        <v>1946</v>
      </c>
      <c r="C407" s="4">
        <v>2</v>
      </c>
      <c r="D407" s="5">
        <v>5.25</v>
      </c>
      <c r="E407" s="5">
        <v>14.99</v>
      </c>
      <c r="F407" s="4" t="s">
        <v>1947</v>
      </c>
      <c r="G407" s="2"/>
      <c r="H407" s="7" t="s">
        <v>42</v>
      </c>
      <c r="I407" s="2" t="s">
        <v>92</v>
      </c>
      <c r="J407" s="2" t="s">
        <v>1076</v>
      </c>
      <c r="K407" s="2" t="s">
        <v>304</v>
      </c>
      <c r="L407" s="2" t="s">
        <v>1948</v>
      </c>
      <c r="M407" s="8" t="str">
        <f>HYPERLINK("http://slimages.macys.com/is/image/MCY/15654526 ")</f>
        <v xml:space="preserve">http://slimages.macys.com/is/image/MCY/15654526 </v>
      </c>
    </row>
    <row r="408" spans="1:13" ht="96" x14ac:dyDescent="0.25">
      <c r="A408" s="7" t="s">
        <v>9628</v>
      </c>
      <c r="B408" s="2" t="s">
        <v>1950</v>
      </c>
      <c r="C408" s="4">
        <v>1</v>
      </c>
      <c r="D408" s="5">
        <v>5.25</v>
      </c>
      <c r="E408" s="5">
        <v>14.99</v>
      </c>
      <c r="F408" s="4" t="s">
        <v>1951</v>
      </c>
      <c r="G408" s="2" t="s">
        <v>129</v>
      </c>
      <c r="H408" s="7" t="s">
        <v>68</v>
      </c>
      <c r="I408" s="2" t="s">
        <v>92</v>
      </c>
      <c r="J408" s="2" t="s">
        <v>1076</v>
      </c>
      <c r="K408" s="2" t="s">
        <v>304</v>
      </c>
      <c r="L408" s="2" t="s">
        <v>1948</v>
      </c>
      <c r="M408" s="8" t="str">
        <f>HYPERLINK("http://slimages.macys.com/is/image/MCY/15654553 ")</f>
        <v xml:space="preserve">http://slimages.macys.com/is/image/MCY/15654553 </v>
      </c>
    </row>
    <row r="409" spans="1:13" ht="96" x14ac:dyDescent="0.25">
      <c r="A409" s="7" t="s">
        <v>11635</v>
      </c>
      <c r="B409" s="2" t="s">
        <v>1946</v>
      </c>
      <c r="C409" s="4">
        <v>1</v>
      </c>
      <c r="D409" s="5">
        <v>5.25</v>
      </c>
      <c r="E409" s="5">
        <v>14.99</v>
      </c>
      <c r="F409" s="4" t="s">
        <v>1947</v>
      </c>
      <c r="G409" s="2"/>
      <c r="H409" s="7" t="s">
        <v>209</v>
      </c>
      <c r="I409" s="2" t="s">
        <v>92</v>
      </c>
      <c r="J409" s="2" t="s">
        <v>1076</v>
      </c>
      <c r="K409" s="2" t="s">
        <v>304</v>
      </c>
      <c r="L409" s="2" t="s">
        <v>1948</v>
      </c>
      <c r="M409" s="8" t="str">
        <f>HYPERLINK("http://slimages.macys.com/is/image/MCY/15654526 ")</f>
        <v xml:space="preserve">http://slimages.macys.com/is/image/MCY/15654526 </v>
      </c>
    </row>
    <row r="410" spans="1:13" ht="96" x14ac:dyDescent="0.25">
      <c r="A410" s="7" t="s">
        <v>1945</v>
      </c>
      <c r="B410" s="2" t="s">
        <v>1946</v>
      </c>
      <c r="C410" s="4">
        <v>3</v>
      </c>
      <c r="D410" s="5">
        <v>5.25</v>
      </c>
      <c r="E410" s="5">
        <v>14.99</v>
      </c>
      <c r="F410" s="4" t="s">
        <v>1947</v>
      </c>
      <c r="G410" s="2"/>
      <c r="H410" s="7" t="s">
        <v>144</v>
      </c>
      <c r="I410" s="2" t="s">
        <v>92</v>
      </c>
      <c r="J410" s="2" t="s">
        <v>1076</v>
      </c>
      <c r="K410" s="2" t="s">
        <v>304</v>
      </c>
      <c r="L410" s="2" t="s">
        <v>1948</v>
      </c>
      <c r="M410" s="8" t="str">
        <f>HYPERLINK("http://slimages.macys.com/is/image/MCY/15654526 ")</f>
        <v xml:space="preserve">http://slimages.macys.com/is/image/MCY/15654526 </v>
      </c>
    </row>
    <row r="411" spans="1:13" ht="96" x14ac:dyDescent="0.25">
      <c r="A411" s="7" t="s">
        <v>1956</v>
      </c>
      <c r="B411" s="2" t="s">
        <v>1946</v>
      </c>
      <c r="C411" s="4">
        <v>3</v>
      </c>
      <c r="D411" s="5">
        <v>5.25</v>
      </c>
      <c r="E411" s="5">
        <v>14.99</v>
      </c>
      <c r="F411" s="4" t="s">
        <v>1947</v>
      </c>
      <c r="G411" s="2"/>
      <c r="H411" s="7" t="s">
        <v>68</v>
      </c>
      <c r="I411" s="2" t="s">
        <v>92</v>
      </c>
      <c r="J411" s="2" t="s">
        <v>1076</v>
      </c>
      <c r="K411" s="2" t="s">
        <v>304</v>
      </c>
      <c r="L411" s="2" t="s">
        <v>1948</v>
      </c>
      <c r="M411" s="8" t="str">
        <f>HYPERLINK("http://slimages.macys.com/is/image/MCY/15654526 ")</f>
        <v xml:space="preserve">http://slimages.macys.com/is/image/MCY/15654526 </v>
      </c>
    </row>
    <row r="412" spans="1:13" ht="60" x14ac:dyDescent="0.25">
      <c r="A412" s="7" t="s">
        <v>11636</v>
      </c>
      <c r="B412" s="2" t="s">
        <v>11637</v>
      </c>
      <c r="C412" s="4">
        <v>1</v>
      </c>
      <c r="D412" s="5">
        <v>5.2</v>
      </c>
      <c r="E412" s="5">
        <v>10.4</v>
      </c>
      <c r="F412" s="4" t="s">
        <v>11638</v>
      </c>
      <c r="G412" s="2"/>
      <c r="H412" s="7" t="s">
        <v>144</v>
      </c>
      <c r="I412" s="2" t="s">
        <v>487</v>
      </c>
      <c r="J412" s="2" t="s">
        <v>488</v>
      </c>
      <c r="K412" s="2" t="s">
        <v>304</v>
      </c>
      <c r="L412" s="2" t="s">
        <v>206</v>
      </c>
      <c r="M412" s="8" t="str">
        <f>HYPERLINK("http://slimages.macys.com/is/image/MCY/12051900 ")</f>
        <v xml:space="preserve">http://slimages.macys.com/is/image/MCY/12051900 </v>
      </c>
    </row>
    <row r="413" spans="1:13" ht="60" x14ac:dyDescent="0.25">
      <c r="A413" s="7" t="s">
        <v>1087</v>
      </c>
      <c r="B413" s="2" t="s">
        <v>1086</v>
      </c>
      <c r="C413" s="4">
        <v>4</v>
      </c>
      <c r="D413" s="5">
        <v>5.15</v>
      </c>
      <c r="E413" s="5">
        <v>11.99</v>
      </c>
      <c r="F413" s="4">
        <v>4217</v>
      </c>
      <c r="G413" s="2" t="s">
        <v>653</v>
      </c>
      <c r="H413" s="7" t="s">
        <v>228</v>
      </c>
      <c r="I413" s="2" t="s">
        <v>523</v>
      </c>
      <c r="J413" s="2" t="s">
        <v>921</v>
      </c>
      <c r="K413" s="2" t="s">
        <v>304</v>
      </c>
      <c r="L413" s="2" t="s">
        <v>323</v>
      </c>
      <c r="M413" s="8" t="str">
        <f>HYPERLINK("http://slimages.macys.com/is/image/MCY/13050187 ")</f>
        <v xml:space="preserve">http://slimages.macys.com/is/image/MCY/13050187 </v>
      </c>
    </row>
    <row r="414" spans="1:13" ht="60" x14ac:dyDescent="0.25">
      <c r="A414" s="7" t="s">
        <v>1085</v>
      </c>
      <c r="B414" s="2" t="s">
        <v>1086</v>
      </c>
      <c r="C414" s="4">
        <v>1</v>
      </c>
      <c r="D414" s="5">
        <v>5.15</v>
      </c>
      <c r="E414" s="5">
        <v>11.99</v>
      </c>
      <c r="F414" s="4">
        <v>4217</v>
      </c>
      <c r="G414" s="2" t="s">
        <v>653</v>
      </c>
      <c r="H414" s="7" t="s">
        <v>159</v>
      </c>
      <c r="I414" s="2" t="s">
        <v>523</v>
      </c>
      <c r="J414" s="2" t="s">
        <v>921</v>
      </c>
      <c r="K414" s="2" t="s">
        <v>304</v>
      </c>
      <c r="L414" s="2" t="s">
        <v>323</v>
      </c>
      <c r="M414" s="8" t="str">
        <f>HYPERLINK("http://slimages.macys.com/is/image/MCY/13050187 ")</f>
        <v xml:space="preserve">http://slimages.macys.com/is/image/MCY/13050187 </v>
      </c>
    </row>
    <row r="415" spans="1:13" ht="60" x14ac:dyDescent="0.25">
      <c r="A415" s="7" t="s">
        <v>9044</v>
      </c>
      <c r="B415" s="2" t="s">
        <v>1086</v>
      </c>
      <c r="C415" s="4">
        <v>2</v>
      </c>
      <c r="D415" s="5">
        <v>5.15</v>
      </c>
      <c r="E415" s="5">
        <v>11.99</v>
      </c>
      <c r="F415" s="4">
        <v>4217</v>
      </c>
      <c r="G415" s="2" t="s">
        <v>653</v>
      </c>
      <c r="H415" s="7" t="s">
        <v>284</v>
      </c>
      <c r="I415" s="2" t="s">
        <v>523</v>
      </c>
      <c r="J415" s="2" t="s">
        <v>921</v>
      </c>
      <c r="K415" s="2" t="s">
        <v>304</v>
      </c>
      <c r="L415" s="2" t="s">
        <v>323</v>
      </c>
      <c r="M415" s="8" t="str">
        <f>HYPERLINK("http://slimages.macys.com/is/image/MCY/13050187 ")</f>
        <v xml:space="preserve">http://slimages.macys.com/is/image/MCY/13050187 </v>
      </c>
    </row>
    <row r="416" spans="1:13" ht="60" x14ac:dyDescent="0.25">
      <c r="A416" s="7" t="s">
        <v>8319</v>
      </c>
      <c r="B416" s="2" t="s">
        <v>1086</v>
      </c>
      <c r="C416" s="4">
        <v>1</v>
      </c>
      <c r="D416" s="5">
        <v>5.15</v>
      </c>
      <c r="E416" s="5">
        <v>11.99</v>
      </c>
      <c r="F416" s="4">
        <v>4217</v>
      </c>
      <c r="G416" s="2" t="s">
        <v>653</v>
      </c>
      <c r="H416" s="7" t="s">
        <v>196</v>
      </c>
      <c r="I416" s="2" t="s">
        <v>523</v>
      </c>
      <c r="J416" s="2" t="s">
        <v>921</v>
      </c>
      <c r="K416" s="2" t="s">
        <v>304</v>
      </c>
      <c r="L416" s="2" t="s">
        <v>323</v>
      </c>
      <c r="M416" s="8" t="str">
        <f>HYPERLINK("http://slimages.macys.com/is/image/MCY/13050187 ")</f>
        <v xml:space="preserve">http://slimages.macys.com/is/image/MCY/13050187 </v>
      </c>
    </row>
    <row r="417" spans="1:13" ht="60" x14ac:dyDescent="0.25">
      <c r="A417" s="7" t="s">
        <v>11639</v>
      </c>
      <c r="B417" s="2" t="s">
        <v>9066</v>
      </c>
      <c r="C417" s="4">
        <v>1</v>
      </c>
      <c r="D417" s="5">
        <v>5.04</v>
      </c>
      <c r="E417" s="5">
        <v>12.99</v>
      </c>
      <c r="F417" s="4" t="s">
        <v>9067</v>
      </c>
      <c r="G417" s="2" t="s">
        <v>62</v>
      </c>
      <c r="H417" s="7" t="s">
        <v>123</v>
      </c>
      <c r="I417" s="2" t="s">
        <v>218</v>
      </c>
      <c r="J417" s="2" t="s">
        <v>2008</v>
      </c>
      <c r="K417" s="2" t="s">
        <v>304</v>
      </c>
      <c r="L417" s="2" t="s">
        <v>358</v>
      </c>
      <c r="M417" s="8" t="str">
        <f>HYPERLINK("http://slimages.macys.com/is/image/MCY/11947902 ")</f>
        <v xml:space="preserve">http://slimages.macys.com/is/image/MCY/11947902 </v>
      </c>
    </row>
    <row r="418" spans="1:13" ht="60" x14ac:dyDescent="0.25">
      <c r="A418" s="7" t="s">
        <v>1098</v>
      </c>
      <c r="B418" s="2" t="s">
        <v>1099</v>
      </c>
      <c r="C418" s="4">
        <v>1</v>
      </c>
      <c r="D418" s="5">
        <v>5</v>
      </c>
      <c r="E418" s="5">
        <v>11.99</v>
      </c>
      <c r="F418" s="4">
        <v>2581</v>
      </c>
      <c r="G418" s="2" t="s">
        <v>28</v>
      </c>
      <c r="H418" s="7" t="s">
        <v>196</v>
      </c>
      <c r="I418" s="2" t="s">
        <v>523</v>
      </c>
      <c r="J418" s="2" t="s">
        <v>921</v>
      </c>
      <c r="K418" s="2" t="s">
        <v>304</v>
      </c>
      <c r="L418" s="2" t="s">
        <v>323</v>
      </c>
      <c r="M418" s="8" t="str">
        <f>HYPERLINK("http://slimages.macys.com/is/image/MCY/13050178 ")</f>
        <v xml:space="preserve">http://slimages.macys.com/is/image/MCY/13050178 </v>
      </c>
    </row>
    <row r="419" spans="1:13" ht="60" x14ac:dyDescent="0.25">
      <c r="A419" s="7" t="s">
        <v>9072</v>
      </c>
      <c r="B419" s="2" t="s">
        <v>1099</v>
      </c>
      <c r="C419" s="4">
        <v>1</v>
      </c>
      <c r="D419" s="5">
        <v>5</v>
      </c>
      <c r="E419" s="5">
        <v>11.99</v>
      </c>
      <c r="F419" s="4">
        <v>2581</v>
      </c>
      <c r="G419" s="2" t="s">
        <v>28</v>
      </c>
      <c r="H419" s="7" t="s">
        <v>159</v>
      </c>
      <c r="I419" s="2" t="s">
        <v>523</v>
      </c>
      <c r="J419" s="2" t="s">
        <v>921</v>
      </c>
      <c r="K419" s="2" t="s">
        <v>304</v>
      </c>
      <c r="L419" s="2" t="s">
        <v>323</v>
      </c>
      <c r="M419" s="8" t="str">
        <f>HYPERLINK("http://slimages.macys.com/is/image/MCY/13050178 ")</f>
        <v xml:space="preserve">http://slimages.macys.com/is/image/MCY/13050178 </v>
      </c>
    </row>
    <row r="420" spans="1:13" ht="60" x14ac:dyDescent="0.25">
      <c r="A420" s="7" t="s">
        <v>9071</v>
      </c>
      <c r="B420" s="2" t="s">
        <v>1099</v>
      </c>
      <c r="C420" s="4">
        <v>2</v>
      </c>
      <c r="D420" s="5">
        <v>5</v>
      </c>
      <c r="E420" s="5">
        <v>11.99</v>
      </c>
      <c r="F420" s="4">
        <v>2581</v>
      </c>
      <c r="G420" s="2" t="s">
        <v>28</v>
      </c>
      <c r="H420" s="7" t="s">
        <v>284</v>
      </c>
      <c r="I420" s="2" t="s">
        <v>523</v>
      </c>
      <c r="J420" s="2" t="s">
        <v>921</v>
      </c>
      <c r="K420" s="2" t="s">
        <v>304</v>
      </c>
      <c r="L420" s="2" t="s">
        <v>323</v>
      </c>
      <c r="M420" s="8" t="str">
        <f>HYPERLINK("http://slimages.macys.com/is/image/MCY/13050178 ")</f>
        <v xml:space="preserve">http://slimages.macys.com/is/image/MCY/13050178 </v>
      </c>
    </row>
    <row r="421" spans="1:13" ht="60" x14ac:dyDescent="0.25">
      <c r="A421" s="7" t="s">
        <v>1972</v>
      </c>
      <c r="B421" s="2" t="s">
        <v>1969</v>
      </c>
      <c r="C421" s="4">
        <v>1</v>
      </c>
      <c r="D421" s="5">
        <v>4.9800000000000004</v>
      </c>
      <c r="E421" s="5">
        <v>12.99</v>
      </c>
      <c r="F421" s="4" t="s">
        <v>1970</v>
      </c>
      <c r="G421" s="2" t="s">
        <v>48</v>
      </c>
      <c r="H421" s="7" t="s">
        <v>159</v>
      </c>
      <c r="I421" s="2" t="s">
        <v>515</v>
      </c>
      <c r="J421" s="2" t="s">
        <v>1971</v>
      </c>
      <c r="K421" s="2" t="s">
        <v>304</v>
      </c>
      <c r="L421" s="2" t="s">
        <v>119</v>
      </c>
      <c r="M421" s="8" t="str">
        <f>HYPERLINK("http://slimages.macys.com/is/image/MCY/13586213 ")</f>
        <v xml:space="preserve">http://slimages.macys.com/is/image/MCY/13586213 </v>
      </c>
    </row>
    <row r="422" spans="1:13" ht="60" x14ac:dyDescent="0.25">
      <c r="A422" s="7" t="s">
        <v>9637</v>
      </c>
      <c r="B422" s="2" t="s">
        <v>1969</v>
      </c>
      <c r="C422" s="4">
        <v>1</v>
      </c>
      <c r="D422" s="5">
        <v>4.9800000000000004</v>
      </c>
      <c r="E422" s="5">
        <v>12.99</v>
      </c>
      <c r="F422" s="4" t="s">
        <v>1970</v>
      </c>
      <c r="G422" s="2" t="s">
        <v>437</v>
      </c>
      <c r="H422" s="7" t="s">
        <v>284</v>
      </c>
      <c r="I422" s="2" t="s">
        <v>515</v>
      </c>
      <c r="J422" s="2" t="s">
        <v>1971</v>
      </c>
      <c r="K422" s="2" t="s">
        <v>304</v>
      </c>
      <c r="L422" s="2" t="s">
        <v>119</v>
      </c>
      <c r="M422" s="8" t="str">
        <f>HYPERLINK("http://slimages.macys.com/is/image/MCY/13586213 ")</f>
        <v xml:space="preserve">http://slimages.macys.com/is/image/MCY/13586213 </v>
      </c>
    </row>
    <row r="423" spans="1:13" ht="60" x14ac:dyDescent="0.25">
      <c r="A423" s="7" t="s">
        <v>11640</v>
      </c>
      <c r="B423" s="2" t="s">
        <v>11180</v>
      </c>
      <c r="C423" s="4">
        <v>3</v>
      </c>
      <c r="D423" s="5">
        <v>4.93</v>
      </c>
      <c r="E423" s="5">
        <v>12.99</v>
      </c>
      <c r="F423" s="4" t="s">
        <v>11641</v>
      </c>
      <c r="G423" s="2" t="s">
        <v>347</v>
      </c>
      <c r="H423" s="7" t="s">
        <v>159</v>
      </c>
      <c r="I423" s="2" t="s">
        <v>389</v>
      </c>
      <c r="J423" s="2" t="s">
        <v>354</v>
      </c>
      <c r="K423" s="2" t="s">
        <v>304</v>
      </c>
      <c r="L423" s="2" t="s">
        <v>358</v>
      </c>
      <c r="M423" s="8" t="str">
        <f>HYPERLINK("http://slimages.macys.com/is/image/MCY/13079437 ")</f>
        <v xml:space="preserve">http://slimages.macys.com/is/image/MCY/13079437 </v>
      </c>
    </row>
    <row r="424" spans="1:13" ht="60" x14ac:dyDescent="0.25">
      <c r="A424" s="7" t="s">
        <v>11642</v>
      </c>
      <c r="B424" s="2" t="s">
        <v>11180</v>
      </c>
      <c r="C424" s="4">
        <v>1</v>
      </c>
      <c r="D424" s="5">
        <v>4.93</v>
      </c>
      <c r="E424" s="5">
        <v>12.99</v>
      </c>
      <c r="F424" s="4" t="s">
        <v>11641</v>
      </c>
      <c r="G424" s="2" t="s">
        <v>347</v>
      </c>
      <c r="H424" s="7" t="s">
        <v>196</v>
      </c>
      <c r="I424" s="2" t="s">
        <v>389</v>
      </c>
      <c r="J424" s="2" t="s">
        <v>354</v>
      </c>
      <c r="K424" s="2" t="s">
        <v>304</v>
      </c>
      <c r="L424" s="2" t="s">
        <v>358</v>
      </c>
      <c r="M424" s="8" t="str">
        <f>HYPERLINK("http://slimages.macys.com/is/image/MCY/13079437 ")</f>
        <v xml:space="preserve">http://slimages.macys.com/is/image/MCY/13079437 </v>
      </c>
    </row>
    <row r="425" spans="1:13" ht="60" x14ac:dyDescent="0.25">
      <c r="A425" s="7" t="s">
        <v>11643</v>
      </c>
      <c r="B425" s="2" t="s">
        <v>11180</v>
      </c>
      <c r="C425" s="4">
        <v>3</v>
      </c>
      <c r="D425" s="5">
        <v>4.93</v>
      </c>
      <c r="E425" s="5">
        <v>12.99</v>
      </c>
      <c r="F425" s="4" t="s">
        <v>11641</v>
      </c>
      <c r="G425" s="2" t="s">
        <v>347</v>
      </c>
      <c r="H425" s="7" t="s">
        <v>228</v>
      </c>
      <c r="I425" s="2" t="s">
        <v>389</v>
      </c>
      <c r="J425" s="2" t="s">
        <v>354</v>
      </c>
      <c r="K425" s="2" t="s">
        <v>304</v>
      </c>
      <c r="L425" s="2" t="s">
        <v>358</v>
      </c>
      <c r="M425" s="8" t="str">
        <f>HYPERLINK("http://slimages.macys.com/is/image/MCY/13079437 ")</f>
        <v xml:space="preserve">http://slimages.macys.com/is/image/MCY/13079437 </v>
      </c>
    </row>
    <row r="426" spans="1:13" ht="60" x14ac:dyDescent="0.25">
      <c r="A426" s="7" t="s">
        <v>10558</v>
      </c>
      <c r="B426" s="2" t="s">
        <v>10559</v>
      </c>
      <c r="C426" s="4">
        <v>1</v>
      </c>
      <c r="D426" s="5">
        <v>4.9000000000000004</v>
      </c>
      <c r="E426" s="5">
        <v>10.99</v>
      </c>
      <c r="F426" s="4" t="s">
        <v>10560</v>
      </c>
      <c r="G426" s="2" t="s">
        <v>28</v>
      </c>
      <c r="H426" s="7" t="s">
        <v>159</v>
      </c>
      <c r="I426" s="2" t="s">
        <v>468</v>
      </c>
      <c r="J426" s="2" t="s">
        <v>544</v>
      </c>
      <c r="K426" s="2" t="s">
        <v>304</v>
      </c>
      <c r="L426" s="2" t="s">
        <v>119</v>
      </c>
      <c r="M426" s="8" t="str">
        <f>HYPERLINK("http://slimages.macys.com/is/image/MCY/11950204 ")</f>
        <v xml:space="preserve">http://slimages.macys.com/is/image/MCY/11950204 </v>
      </c>
    </row>
    <row r="427" spans="1:13" ht="60" x14ac:dyDescent="0.25">
      <c r="A427" s="7" t="s">
        <v>11644</v>
      </c>
      <c r="B427" s="2" t="s">
        <v>11645</v>
      </c>
      <c r="C427" s="4">
        <v>2</v>
      </c>
      <c r="D427" s="5">
        <v>4.8</v>
      </c>
      <c r="E427" s="5">
        <v>9.99</v>
      </c>
      <c r="F427" s="4">
        <v>16004210</v>
      </c>
      <c r="G427" s="2" t="s">
        <v>41</v>
      </c>
      <c r="H427" s="7" t="s">
        <v>438</v>
      </c>
      <c r="I427" s="2" t="s">
        <v>153</v>
      </c>
      <c r="J427" s="2" t="s">
        <v>154</v>
      </c>
      <c r="K427" s="2" t="s">
        <v>304</v>
      </c>
      <c r="L427" s="2" t="s">
        <v>38</v>
      </c>
      <c r="M427" s="8" t="str">
        <f>HYPERLINK("http://slimages.macys.com/is/image/MCY/10756220 ")</f>
        <v xml:space="preserve">http://slimages.macys.com/is/image/MCY/10756220 </v>
      </c>
    </row>
    <row r="428" spans="1:13" ht="60" x14ac:dyDescent="0.25">
      <c r="A428" s="7" t="s">
        <v>11646</v>
      </c>
      <c r="B428" s="2" t="s">
        <v>11647</v>
      </c>
      <c r="C428" s="4">
        <v>1</v>
      </c>
      <c r="D428" s="5">
        <v>4.8</v>
      </c>
      <c r="E428" s="5">
        <v>9.99</v>
      </c>
      <c r="F428" s="4">
        <v>15925710</v>
      </c>
      <c r="G428" s="2"/>
      <c r="H428" s="7" t="s">
        <v>233</v>
      </c>
      <c r="I428" s="2" t="s">
        <v>153</v>
      </c>
      <c r="J428" s="2" t="s">
        <v>154</v>
      </c>
      <c r="K428" s="2" t="s">
        <v>304</v>
      </c>
      <c r="L428" s="2" t="s">
        <v>38</v>
      </c>
      <c r="M428" s="8" t="str">
        <f>HYPERLINK("http://slimages.macys.com/is/image/MCY/10705159 ")</f>
        <v xml:space="preserve">http://slimages.macys.com/is/image/MCY/10705159 </v>
      </c>
    </row>
    <row r="429" spans="1:13" ht="60" x14ac:dyDescent="0.25">
      <c r="A429" s="7" t="s">
        <v>11648</v>
      </c>
      <c r="B429" s="2" t="s">
        <v>11647</v>
      </c>
      <c r="C429" s="4">
        <v>1</v>
      </c>
      <c r="D429" s="5">
        <v>4.8</v>
      </c>
      <c r="E429" s="5">
        <v>9.99</v>
      </c>
      <c r="F429" s="4">
        <v>15925710</v>
      </c>
      <c r="G429" s="2"/>
      <c r="H429" s="7" t="s">
        <v>482</v>
      </c>
      <c r="I429" s="2" t="s">
        <v>153</v>
      </c>
      <c r="J429" s="2" t="s">
        <v>154</v>
      </c>
      <c r="K429" s="2" t="s">
        <v>304</v>
      </c>
      <c r="L429" s="2" t="s">
        <v>38</v>
      </c>
      <c r="M429" s="8" t="str">
        <f>HYPERLINK("http://slimages.macys.com/is/image/MCY/10705159 ")</f>
        <v xml:space="preserve">http://slimages.macys.com/is/image/MCY/10705159 </v>
      </c>
    </row>
    <row r="430" spans="1:13" ht="60" x14ac:dyDescent="0.25">
      <c r="A430" s="7" t="s">
        <v>11649</v>
      </c>
      <c r="B430" s="2" t="s">
        <v>11650</v>
      </c>
      <c r="C430" s="4">
        <v>1</v>
      </c>
      <c r="D430" s="5">
        <v>4.8</v>
      </c>
      <c r="E430" s="5">
        <v>10.92</v>
      </c>
      <c r="F430" s="4">
        <v>17915610</v>
      </c>
      <c r="G430" s="2" t="s">
        <v>48</v>
      </c>
      <c r="H430" s="7" t="s">
        <v>482</v>
      </c>
      <c r="I430" s="2" t="s">
        <v>153</v>
      </c>
      <c r="J430" s="2" t="s">
        <v>154</v>
      </c>
      <c r="K430" s="2" t="s">
        <v>304</v>
      </c>
      <c r="L430" s="2" t="s">
        <v>38</v>
      </c>
      <c r="M430" s="8" t="str">
        <f>HYPERLINK("http://slimages.macys.com/is/image/MCY/13061544 ")</f>
        <v xml:space="preserve">http://slimages.macys.com/is/image/MCY/13061544 </v>
      </c>
    </row>
    <row r="431" spans="1:13" ht="60" x14ac:dyDescent="0.25">
      <c r="A431" s="7" t="s">
        <v>9079</v>
      </c>
      <c r="B431" s="2" t="s">
        <v>9080</v>
      </c>
      <c r="C431" s="4">
        <v>1</v>
      </c>
      <c r="D431" s="5">
        <v>4.8</v>
      </c>
      <c r="E431" s="5">
        <v>9.99</v>
      </c>
      <c r="F431" s="4">
        <v>15927410</v>
      </c>
      <c r="G431" s="2"/>
      <c r="H431" s="7" t="s">
        <v>233</v>
      </c>
      <c r="I431" s="2" t="s">
        <v>153</v>
      </c>
      <c r="J431" s="2" t="s">
        <v>154</v>
      </c>
      <c r="K431" s="2" t="s">
        <v>304</v>
      </c>
      <c r="L431" s="2" t="s">
        <v>206</v>
      </c>
      <c r="M431" s="8" t="str">
        <f>HYPERLINK("http://slimages.macys.com/is/image/MCY/10705163 ")</f>
        <v xml:space="preserve">http://slimages.macys.com/is/image/MCY/10705163 </v>
      </c>
    </row>
    <row r="432" spans="1:13" ht="60" x14ac:dyDescent="0.25">
      <c r="A432" s="7" t="s">
        <v>11651</v>
      </c>
      <c r="B432" s="2" t="s">
        <v>9086</v>
      </c>
      <c r="C432" s="4">
        <v>1</v>
      </c>
      <c r="D432" s="5">
        <v>4.7699999999999996</v>
      </c>
      <c r="E432" s="5">
        <v>11.99</v>
      </c>
      <c r="F432" s="4" t="s">
        <v>9087</v>
      </c>
      <c r="G432" s="2" t="s">
        <v>653</v>
      </c>
      <c r="H432" s="7" t="s">
        <v>284</v>
      </c>
      <c r="I432" s="2" t="s">
        <v>523</v>
      </c>
      <c r="J432" s="2" t="s">
        <v>921</v>
      </c>
      <c r="K432" s="2" t="s">
        <v>304</v>
      </c>
      <c r="L432" s="2" t="s">
        <v>1334</v>
      </c>
      <c r="M432" s="8" t="str">
        <f>HYPERLINK("http://slimages.macys.com/is/image/MCY/9739807 ")</f>
        <v xml:space="preserve">http://slimages.macys.com/is/image/MCY/9739807 </v>
      </c>
    </row>
    <row r="433" spans="1:13" ht="60" x14ac:dyDescent="0.25">
      <c r="A433" s="7" t="s">
        <v>1993</v>
      </c>
      <c r="B433" s="2" t="s">
        <v>1991</v>
      </c>
      <c r="C433" s="4">
        <v>1</v>
      </c>
      <c r="D433" s="5">
        <v>4.75</v>
      </c>
      <c r="E433" s="5">
        <v>8.99</v>
      </c>
      <c r="F433" s="4" t="s">
        <v>1992</v>
      </c>
      <c r="G433" s="2" t="s">
        <v>653</v>
      </c>
      <c r="H433" s="7" t="s">
        <v>228</v>
      </c>
      <c r="I433" s="2" t="s">
        <v>73</v>
      </c>
      <c r="J433" s="2" t="s">
        <v>1917</v>
      </c>
      <c r="K433" s="2" t="s">
        <v>304</v>
      </c>
      <c r="L433" s="2" t="s">
        <v>125</v>
      </c>
      <c r="M433" s="8" t="str">
        <f>HYPERLINK("http://slimages.macys.com/is/image/MCY/13726811 ")</f>
        <v xml:space="preserve">http://slimages.macys.com/is/image/MCY/13726811 </v>
      </c>
    </row>
    <row r="434" spans="1:13" ht="60" x14ac:dyDescent="0.25">
      <c r="A434" s="7" t="s">
        <v>1108</v>
      </c>
      <c r="B434" s="2" t="s">
        <v>1086</v>
      </c>
      <c r="C434" s="4">
        <v>1</v>
      </c>
      <c r="D434" s="5">
        <v>4.75</v>
      </c>
      <c r="E434" s="5">
        <v>11.99</v>
      </c>
      <c r="F434" s="4">
        <v>4217</v>
      </c>
      <c r="G434" s="2" t="s">
        <v>41</v>
      </c>
      <c r="H434" s="7" t="s">
        <v>228</v>
      </c>
      <c r="I434" s="2" t="s">
        <v>523</v>
      </c>
      <c r="J434" s="2" t="s">
        <v>921</v>
      </c>
      <c r="K434" s="2" t="s">
        <v>304</v>
      </c>
      <c r="L434" s="2" t="s">
        <v>323</v>
      </c>
      <c r="M434" s="8" t="str">
        <f>HYPERLINK("http://slimages.macys.com/is/image/MCY/13050184 ")</f>
        <v xml:space="preserve">http://slimages.macys.com/is/image/MCY/13050184 </v>
      </c>
    </row>
    <row r="435" spans="1:13" ht="60" x14ac:dyDescent="0.25">
      <c r="A435" s="7" t="s">
        <v>11652</v>
      </c>
      <c r="B435" s="2" t="s">
        <v>1086</v>
      </c>
      <c r="C435" s="4">
        <v>1</v>
      </c>
      <c r="D435" s="5">
        <v>4.75</v>
      </c>
      <c r="E435" s="5">
        <v>11.99</v>
      </c>
      <c r="F435" s="4">
        <v>4217</v>
      </c>
      <c r="G435" s="2" t="s">
        <v>582</v>
      </c>
      <c r="H435" s="7" t="s">
        <v>228</v>
      </c>
      <c r="I435" s="2" t="s">
        <v>523</v>
      </c>
      <c r="J435" s="2" t="s">
        <v>921</v>
      </c>
      <c r="K435" s="2" t="s">
        <v>304</v>
      </c>
      <c r="L435" s="2" t="s">
        <v>323</v>
      </c>
      <c r="M435" s="8" t="str">
        <f>HYPERLINK("http://slimages.macys.com/is/image/MCY/13050181 ")</f>
        <v xml:space="preserve">http://slimages.macys.com/is/image/MCY/13050181 </v>
      </c>
    </row>
    <row r="436" spans="1:13" ht="60" x14ac:dyDescent="0.25">
      <c r="A436" s="7" t="s">
        <v>7006</v>
      </c>
      <c r="B436" s="2" t="s">
        <v>1086</v>
      </c>
      <c r="C436" s="4">
        <v>1</v>
      </c>
      <c r="D436" s="5">
        <v>4.75</v>
      </c>
      <c r="E436" s="5">
        <v>11.99</v>
      </c>
      <c r="F436" s="4">
        <v>4217</v>
      </c>
      <c r="G436" s="2" t="s">
        <v>582</v>
      </c>
      <c r="H436" s="7" t="s">
        <v>196</v>
      </c>
      <c r="I436" s="2" t="s">
        <v>523</v>
      </c>
      <c r="J436" s="2" t="s">
        <v>921</v>
      </c>
      <c r="K436" s="2" t="s">
        <v>304</v>
      </c>
      <c r="L436" s="2" t="s">
        <v>323</v>
      </c>
      <c r="M436" s="8" t="str">
        <f>HYPERLINK("http://slimages.macys.com/is/image/MCY/13050181 ")</f>
        <v xml:space="preserve">http://slimages.macys.com/is/image/MCY/13050181 </v>
      </c>
    </row>
    <row r="437" spans="1:13" ht="60" x14ac:dyDescent="0.25">
      <c r="A437" s="7" t="s">
        <v>1111</v>
      </c>
      <c r="B437" s="2" t="s">
        <v>1112</v>
      </c>
      <c r="C437" s="4">
        <v>1</v>
      </c>
      <c r="D437" s="5">
        <v>4.7</v>
      </c>
      <c r="E437" s="5">
        <v>11.99</v>
      </c>
      <c r="F437" s="4" t="s">
        <v>1113</v>
      </c>
      <c r="G437" s="2" t="s">
        <v>28</v>
      </c>
      <c r="H437" s="7" t="s">
        <v>284</v>
      </c>
      <c r="I437" s="2" t="s">
        <v>523</v>
      </c>
      <c r="J437" s="2" t="s">
        <v>921</v>
      </c>
      <c r="K437" s="2" t="s">
        <v>304</v>
      </c>
      <c r="L437" s="2" t="s">
        <v>323</v>
      </c>
      <c r="M437" s="8" t="str">
        <f>HYPERLINK("http://slimages.macys.com/is/image/MCY/8345564 ")</f>
        <v xml:space="preserve">http://slimages.macys.com/is/image/MCY/8345564 </v>
      </c>
    </row>
    <row r="438" spans="1:13" ht="60" x14ac:dyDescent="0.25">
      <c r="A438" s="7" t="s">
        <v>2004</v>
      </c>
      <c r="B438" s="2" t="s">
        <v>2002</v>
      </c>
      <c r="C438" s="4">
        <v>1</v>
      </c>
      <c r="D438" s="5">
        <v>4.6500000000000004</v>
      </c>
      <c r="E438" s="5">
        <v>14.99</v>
      </c>
      <c r="F438" s="4" t="s">
        <v>2003</v>
      </c>
      <c r="G438" s="2" t="s">
        <v>657</v>
      </c>
      <c r="H438" s="7" t="s">
        <v>379</v>
      </c>
      <c r="I438" s="2" t="s">
        <v>292</v>
      </c>
      <c r="J438" s="2" t="s">
        <v>354</v>
      </c>
      <c r="K438" s="2" t="s">
        <v>304</v>
      </c>
      <c r="L438" s="2" t="s">
        <v>125</v>
      </c>
      <c r="M438" s="8" t="str">
        <f>HYPERLINK("http://slimages.macys.com/is/image/MCY/13893167 ")</f>
        <v xml:space="preserve">http://slimages.macys.com/is/image/MCY/13893167 </v>
      </c>
    </row>
    <row r="439" spans="1:13" ht="60" x14ac:dyDescent="0.25">
      <c r="A439" s="7" t="s">
        <v>11653</v>
      </c>
      <c r="B439" s="2" t="s">
        <v>11654</v>
      </c>
      <c r="C439" s="4">
        <v>1</v>
      </c>
      <c r="D439" s="5">
        <v>4.59</v>
      </c>
      <c r="E439" s="5">
        <v>11.99</v>
      </c>
      <c r="F439" s="4" t="s">
        <v>11655</v>
      </c>
      <c r="G439" s="2" t="s">
        <v>41</v>
      </c>
      <c r="H439" s="7" t="s">
        <v>149</v>
      </c>
      <c r="I439" s="2" t="s">
        <v>483</v>
      </c>
      <c r="J439" s="2" t="s">
        <v>536</v>
      </c>
      <c r="K439" s="2" t="s">
        <v>304</v>
      </c>
      <c r="L439" s="2" t="s">
        <v>119</v>
      </c>
      <c r="M439" s="8" t="str">
        <f>HYPERLINK("http://slimages.macys.com/is/image/MCY/12644560 ")</f>
        <v xml:space="preserve">http://slimages.macys.com/is/image/MCY/12644560 </v>
      </c>
    </row>
    <row r="440" spans="1:13" ht="60" x14ac:dyDescent="0.25">
      <c r="A440" s="7" t="s">
        <v>3471</v>
      </c>
      <c r="B440" s="2" t="s">
        <v>3466</v>
      </c>
      <c r="C440" s="4">
        <v>2</v>
      </c>
      <c r="D440" s="5">
        <v>4.5</v>
      </c>
      <c r="E440" s="5">
        <v>10.99</v>
      </c>
      <c r="F440" s="4" t="s">
        <v>3467</v>
      </c>
      <c r="G440" s="2" t="s">
        <v>653</v>
      </c>
      <c r="H440" s="7" t="s">
        <v>196</v>
      </c>
      <c r="I440" s="2" t="s">
        <v>523</v>
      </c>
      <c r="J440" s="2" t="s">
        <v>921</v>
      </c>
      <c r="K440" s="2" t="s">
        <v>304</v>
      </c>
      <c r="L440" s="2" t="s">
        <v>3468</v>
      </c>
      <c r="M440" s="8" t="str">
        <f>HYPERLINK("http://slimages.macys.com/is/image/MCY/11247949 ")</f>
        <v xml:space="preserve">http://slimages.macys.com/is/image/MCY/11247949 </v>
      </c>
    </row>
    <row r="441" spans="1:13" ht="60" x14ac:dyDescent="0.25">
      <c r="A441" s="7" t="s">
        <v>9120</v>
      </c>
      <c r="B441" s="2" t="s">
        <v>3466</v>
      </c>
      <c r="C441" s="4">
        <v>1</v>
      </c>
      <c r="D441" s="5">
        <v>4.5</v>
      </c>
      <c r="E441" s="5">
        <v>10.99</v>
      </c>
      <c r="F441" s="4" t="s">
        <v>3467</v>
      </c>
      <c r="G441" s="2" t="s">
        <v>653</v>
      </c>
      <c r="H441" s="7" t="s">
        <v>159</v>
      </c>
      <c r="I441" s="2" t="s">
        <v>523</v>
      </c>
      <c r="J441" s="2" t="s">
        <v>921</v>
      </c>
      <c r="K441" s="2" t="s">
        <v>304</v>
      </c>
      <c r="L441" s="2" t="s">
        <v>3468</v>
      </c>
      <c r="M441" s="8" t="str">
        <f>HYPERLINK("http://slimages.macys.com/is/image/MCY/11247949 ")</f>
        <v xml:space="preserve">http://slimages.macys.com/is/image/MCY/11247949 </v>
      </c>
    </row>
    <row r="442" spans="1:13" ht="60" x14ac:dyDescent="0.25">
      <c r="A442" s="7" t="s">
        <v>11656</v>
      </c>
      <c r="B442" s="2" t="s">
        <v>3466</v>
      </c>
      <c r="C442" s="4">
        <v>1</v>
      </c>
      <c r="D442" s="5">
        <v>4.5</v>
      </c>
      <c r="E442" s="5">
        <v>10.99</v>
      </c>
      <c r="F442" s="4" t="s">
        <v>3467</v>
      </c>
      <c r="G442" s="2" t="s">
        <v>653</v>
      </c>
      <c r="H442" s="7" t="s">
        <v>284</v>
      </c>
      <c r="I442" s="2" t="s">
        <v>523</v>
      </c>
      <c r="J442" s="2" t="s">
        <v>921</v>
      </c>
      <c r="K442" s="2" t="s">
        <v>304</v>
      </c>
      <c r="L442" s="2" t="s">
        <v>3468</v>
      </c>
      <c r="M442" s="8" t="str">
        <f>HYPERLINK("http://slimages.macys.com/is/image/MCY/11247949 ")</f>
        <v xml:space="preserve">http://slimages.macys.com/is/image/MCY/11247949 </v>
      </c>
    </row>
    <row r="443" spans="1:13" ht="60" x14ac:dyDescent="0.25">
      <c r="A443" s="7" t="s">
        <v>11657</v>
      </c>
      <c r="B443" s="2" t="s">
        <v>11658</v>
      </c>
      <c r="C443" s="4">
        <v>1</v>
      </c>
      <c r="D443" s="5">
        <v>4.5</v>
      </c>
      <c r="E443" s="5">
        <v>10.47</v>
      </c>
      <c r="F443" s="4">
        <v>18989510</v>
      </c>
      <c r="G443" s="2" t="s">
        <v>28</v>
      </c>
      <c r="H443" s="7" t="s">
        <v>233</v>
      </c>
      <c r="I443" s="2" t="s">
        <v>153</v>
      </c>
      <c r="J443" s="2" t="s">
        <v>154</v>
      </c>
      <c r="K443" s="2" t="s">
        <v>304</v>
      </c>
      <c r="L443" s="2" t="s">
        <v>38</v>
      </c>
      <c r="M443" s="8" t="str">
        <f>HYPERLINK("http://slimages.macys.com/is/image/MCY/13728671 ")</f>
        <v xml:space="preserve">http://slimages.macys.com/is/image/MCY/13728671 </v>
      </c>
    </row>
    <row r="444" spans="1:13" ht="60" x14ac:dyDescent="0.25">
      <c r="A444" s="7" t="s">
        <v>5536</v>
      </c>
      <c r="B444" s="2" t="s">
        <v>5537</v>
      </c>
      <c r="C444" s="4">
        <v>1</v>
      </c>
      <c r="D444" s="5">
        <v>4.5</v>
      </c>
      <c r="E444" s="5">
        <v>12.99</v>
      </c>
      <c r="F444" s="4" t="s">
        <v>5538</v>
      </c>
      <c r="G444" s="2" t="s">
        <v>1265</v>
      </c>
      <c r="H444" s="7" t="s">
        <v>531</v>
      </c>
      <c r="I444" s="2" t="s">
        <v>483</v>
      </c>
      <c r="J444" s="2" t="s">
        <v>536</v>
      </c>
      <c r="K444" s="2" t="s">
        <v>304</v>
      </c>
      <c r="L444" s="2" t="s">
        <v>358</v>
      </c>
      <c r="M444" s="8" t="str">
        <f>HYPERLINK("http://slimages.macys.com/is/image/MCY/10468510 ")</f>
        <v xml:space="preserve">http://slimages.macys.com/is/image/MCY/10468510 </v>
      </c>
    </row>
    <row r="445" spans="1:13" ht="60" x14ac:dyDescent="0.25">
      <c r="A445" s="7" t="s">
        <v>2022</v>
      </c>
      <c r="B445" s="2" t="s">
        <v>2023</v>
      </c>
      <c r="C445" s="4">
        <v>1</v>
      </c>
      <c r="D445" s="5">
        <v>4.46</v>
      </c>
      <c r="E445" s="5">
        <v>12</v>
      </c>
      <c r="F445" s="4" t="s">
        <v>2024</v>
      </c>
      <c r="G445" s="2" t="s">
        <v>437</v>
      </c>
      <c r="H445" s="7" t="s">
        <v>586</v>
      </c>
      <c r="I445" s="2" t="s">
        <v>483</v>
      </c>
      <c r="J445" s="2" t="s">
        <v>536</v>
      </c>
      <c r="K445" s="2" t="s">
        <v>304</v>
      </c>
      <c r="L445" s="2" t="s">
        <v>1207</v>
      </c>
      <c r="M445" s="8" t="str">
        <f>HYPERLINK("http://slimages.macys.com/is/image/MCY/12466266 ")</f>
        <v xml:space="preserve">http://slimages.macys.com/is/image/MCY/12466266 </v>
      </c>
    </row>
    <row r="446" spans="1:13" ht="60" x14ac:dyDescent="0.25">
      <c r="A446" s="7" t="s">
        <v>11659</v>
      </c>
      <c r="B446" s="2" t="s">
        <v>11660</v>
      </c>
      <c r="C446" s="4">
        <v>7</v>
      </c>
      <c r="D446" s="5">
        <v>4.4000000000000004</v>
      </c>
      <c r="E446" s="5">
        <v>9.99</v>
      </c>
      <c r="F446" s="4" t="s">
        <v>11661</v>
      </c>
      <c r="G446" s="2" t="s">
        <v>657</v>
      </c>
      <c r="H446" s="7" t="s">
        <v>531</v>
      </c>
      <c r="I446" s="2" t="s">
        <v>483</v>
      </c>
      <c r="J446" s="2" t="s">
        <v>5540</v>
      </c>
      <c r="K446" s="2" t="s">
        <v>304</v>
      </c>
      <c r="L446" s="2" t="s">
        <v>11662</v>
      </c>
      <c r="M446" s="8" t="str">
        <f>HYPERLINK("http://slimages.macys.com/is/image/MCY/8550081 ")</f>
        <v xml:space="preserve">http://slimages.macys.com/is/image/MCY/8550081 </v>
      </c>
    </row>
    <row r="447" spans="1:13" ht="60" x14ac:dyDescent="0.25">
      <c r="A447" s="7" t="s">
        <v>11663</v>
      </c>
      <c r="B447" s="2" t="s">
        <v>11664</v>
      </c>
      <c r="C447" s="4">
        <v>4</v>
      </c>
      <c r="D447" s="5">
        <v>4.4000000000000004</v>
      </c>
      <c r="E447" s="5">
        <v>9.99</v>
      </c>
      <c r="F447" s="4" t="s">
        <v>11665</v>
      </c>
      <c r="G447" s="2" t="s">
        <v>48</v>
      </c>
      <c r="H447" s="7" t="s">
        <v>531</v>
      </c>
      <c r="I447" s="2" t="s">
        <v>483</v>
      </c>
      <c r="J447" s="2" t="s">
        <v>5540</v>
      </c>
      <c r="K447" s="2" t="s">
        <v>304</v>
      </c>
      <c r="L447" s="2" t="s">
        <v>11662</v>
      </c>
      <c r="M447" s="8" t="str">
        <f>HYPERLINK("http://slimages.macys.com/is/image/MCY/8549963 ")</f>
        <v xml:space="preserve">http://slimages.macys.com/is/image/MCY/8549963 </v>
      </c>
    </row>
    <row r="448" spans="1:13" ht="60" x14ac:dyDescent="0.25">
      <c r="A448" s="7" t="s">
        <v>10213</v>
      </c>
      <c r="B448" s="2" t="s">
        <v>7761</v>
      </c>
      <c r="C448" s="4">
        <v>1</v>
      </c>
      <c r="D448" s="5">
        <v>4.38</v>
      </c>
      <c r="E448" s="5">
        <v>11.99</v>
      </c>
      <c r="F448" s="4" t="s">
        <v>7762</v>
      </c>
      <c r="G448" s="2" t="s">
        <v>129</v>
      </c>
      <c r="H448" s="7" t="s">
        <v>159</v>
      </c>
      <c r="I448" s="2" t="s">
        <v>292</v>
      </c>
      <c r="J448" s="2" t="s">
        <v>293</v>
      </c>
      <c r="K448" s="2" t="s">
        <v>304</v>
      </c>
      <c r="L448" s="2" t="s">
        <v>119</v>
      </c>
      <c r="M448" s="8" t="str">
        <f>HYPERLINK("http://slimages.macys.com/is/image/MCY/13938960 ")</f>
        <v xml:space="preserve">http://slimages.macys.com/is/image/MCY/13938960 </v>
      </c>
    </row>
    <row r="449" spans="1:13" ht="60" x14ac:dyDescent="0.25">
      <c r="A449" s="7" t="s">
        <v>2046</v>
      </c>
      <c r="B449" s="2" t="s">
        <v>1975</v>
      </c>
      <c r="C449" s="4">
        <v>1</v>
      </c>
      <c r="D449" s="5">
        <v>4.3600000000000003</v>
      </c>
      <c r="E449" s="5">
        <v>9.99</v>
      </c>
      <c r="F449" s="4" t="s">
        <v>2047</v>
      </c>
      <c r="G449" s="2" t="s">
        <v>527</v>
      </c>
      <c r="H449" s="7" t="s">
        <v>514</v>
      </c>
      <c r="I449" s="2" t="s">
        <v>515</v>
      </c>
      <c r="J449" s="2" t="s">
        <v>875</v>
      </c>
      <c r="K449" s="2" t="s">
        <v>304</v>
      </c>
      <c r="L449" s="2" t="s">
        <v>119</v>
      </c>
      <c r="M449" s="8" t="str">
        <f>HYPERLINK("http://slimages.macys.com/is/image/MCY/11526551 ")</f>
        <v xml:space="preserve">http://slimages.macys.com/is/image/MCY/11526551 </v>
      </c>
    </row>
    <row r="450" spans="1:13" ht="60" x14ac:dyDescent="0.25">
      <c r="A450" s="7" t="s">
        <v>11666</v>
      </c>
      <c r="B450" s="2" t="s">
        <v>1975</v>
      </c>
      <c r="C450" s="4">
        <v>1</v>
      </c>
      <c r="D450" s="5">
        <v>4.3600000000000003</v>
      </c>
      <c r="E450" s="5">
        <v>9.99</v>
      </c>
      <c r="F450" s="4" t="s">
        <v>2047</v>
      </c>
      <c r="G450" s="2" t="s">
        <v>527</v>
      </c>
      <c r="H450" s="7" t="s">
        <v>578</v>
      </c>
      <c r="I450" s="2" t="s">
        <v>515</v>
      </c>
      <c r="J450" s="2" t="s">
        <v>875</v>
      </c>
      <c r="K450" s="2" t="s">
        <v>304</v>
      </c>
      <c r="L450" s="2" t="s">
        <v>119</v>
      </c>
      <c r="M450" s="8" t="str">
        <f>HYPERLINK("http://slimages.macys.com/is/image/MCY/11526551 ")</f>
        <v xml:space="preserve">http://slimages.macys.com/is/image/MCY/11526551 </v>
      </c>
    </row>
    <row r="451" spans="1:13" ht="60" x14ac:dyDescent="0.25">
      <c r="A451" s="7" t="s">
        <v>11667</v>
      </c>
      <c r="B451" s="2" t="s">
        <v>1122</v>
      </c>
      <c r="C451" s="4">
        <v>1</v>
      </c>
      <c r="D451" s="5">
        <v>4.3499999999999996</v>
      </c>
      <c r="E451" s="5">
        <v>10.99</v>
      </c>
      <c r="F451" s="4" t="s">
        <v>1123</v>
      </c>
      <c r="G451" s="2" t="s">
        <v>892</v>
      </c>
      <c r="H451" s="7" t="s">
        <v>196</v>
      </c>
      <c r="I451" s="2" t="s">
        <v>523</v>
      </c>
      <c r="J451" s="2" t="s">
        <v>921</v>
      </c>
      <c r="K451" s="2" t="s">
        <v>304</v>
      </c>
      <c r="L451" s="2" t="s">
        <v>323</v>
      </c>
      <c r="M451" s="8" t="str">
        <f>HYPERLINK("http://slimages.macys.com/is/image/MCY/11722264 ")</f>
        <v xml:space="preserve">http://slimages.macys.com/is/image/MCY/11722264 </v>
      </c>
    </row>
    <row r="452" spans="1:13" ht="60" x14ac:dyDescent="0.25">
      <c r="A452" s="7" t="s">
        <v>5557</v>
      </c>
      <c r="B452" s="2" t="s">
        <v>2049</v>
      </c>
      <c r="C452" s="4">
        <v>1</v>
      </c>
      <c r="D452" s="5">
        <v>4.32</v>
      </c>
      <c r="E452" s="5">
        <v>10.99</v>
      </c>
      <c r="F452" s="4">
        <v>10005384800</v>
      </c>
      <c r="G452" s="2" t="s">
        <v>1360</v>
      </c>
      <c r="H452" s="7" t="s">
        <v>42</v>
      </c>
      <c r="I452" s="2" t="s">
        <v>483</v>
      </c>
      <c r="J452" s="2" t="s">
        <v>536</v>
      </c>
      <c r="K452" s="2" t="s">
        <v>304</v>
      </c>
      <c r="L452" s="2" t="s">
        <v>119</v>
      </c>
      <c r="M452" s="8" t="str">
        <f>HYPERLINK("http://slimages.macys.com/is/image/MCY/12465277 ")</f>
        <v xml:space="preserve">http://slimages.macys.com/is/image/MCY/12465277 </v>
      </c>
    </row>
    <row r="453" spans="1:13" ht="60" x14ac:dyDescent="0.25">
      <c r="A453" s="7" t="s">
        <v>2048</v>
      </c>
      <c r="B453" s="2" t="s">
        <v>2049</v>
      </c>
      <c r="C453" s="4">
        <v>1</v>
      </c>
      <c r="D453" s="5">
        <v>4.32</v>
      </c>
      <c r="E453" s="5">
        <v>10.99</v>
      </c>
      <c r="F453" s="4">
        <v>10005384800</v>
      </c>
      <c r="G453" s="2" t="s">
        <v>86</v>
      </c>
      <c r="H453" s="7" t="s">
        <v>590</v>
      </c>
      <c r="I453" s="2" t="s">
        <v>483</v>
      </c>
      <c r="J453" s="2" t="s">
        <v>536</v>
      </c>
      <c r="K453" s="2" t="s">
        <v>304</v>
      </c>
      <c r="L453" s="2" t="s">
        <v>119</v>
      </c>
      <c r="M453" s="8" t="str">
        <f>HYPERLINK("http://slimages.macys.com/is/image/MCY/12465277 ")</f>
        <v xml:space="preserve">http://slimages.macys.com/is/image/MCY/12465277 </v>
      </c>
    </row>
    <row r="454" spans="1:13" ht="60" x14ac:dyDescent="0.25">
      <c r="A454" s="7" t="s">
        <v>2051</v>
      </c>
      <c r="B454" s="2" t="s">
        <v>2049</v>
      </c>
      <c r="C454" s="4">
        <v>1</v>
      </c>
      <c r="D454" s="5">
        <v>4.32</v>
      </c>
      <c r="E454" s="5">
        <v>10.99</v>
      </c>
      <c r="F454" s="4">
        <v>10005384800</v>
      </c>
      <c r="G454" s="2" t="s">
        <v>1360</v>
      </c>
      <c r="H454" s="7" t="s">
        <v>91</v>
      </c>
      <c r="I454" s="2" t="s">
        <v>483</v>
      </c>
      <c r="J454" s="2" t="s">
        <v>536</v>
      </c>
      <c r="K454" s="2" t="s">
        <v>304</v>
      </c>
      <c r="L454" s="2" t="s">
        <v>119</v>
      </c>
      <c r="M454" s="8" t="str">
        <f>HYPERLINK("http://slimages.macys.com/is/image/MCY/12465277 ")</f>
        <v xml:space="preserve">http://slimages.macys.com/is/image/MCY/12465277 </v>
      </c>
    </row>
    <row r="455" spans="1:13" ht="60" x14ac:dyDescent="0.25">
      <c r="A455" s="7" t="s">
        <v>8355</v>
      </c>
      <c r="B455" s="2" t="s">
        <v>2058</v>
      </c>
      <c r="C455" s="4">
        <v>1</v>
      </c>
      <c r="D455" s="5">
        <v>4.25</v>
      </c>
      <c r="E455" s="5">
        <v>7.99</v>
      </c>
      <c r="F455" s="4" t="s">
        <v>2059</v>
      </c>
      <c r="G455" s="2" t="s">
        <v>36</v>
      </c>
      <c r="H455" s="7" t="s">
        <v>68</v>
      </c>
      <c r="I455" s="2" t="s">
        <v>73</v>
      </c>
      <c r="J455" s="2" t="s">
        <v>1963</v>
      </c>
      <c r="K455" s="2" t="s">
        <v>304</v>
      </c>
      <c r="L455" s="2" t="s">
        <v>119</v>
      </c>
      <c r="M455" s="8" t="str">
        <f>HYPERLINK("http://slimages.macys.com/is/image/MCY/11272141 ")</f>
        <v xml:space="preserve">http://slimages.macys.com/is/image/MCY/11272141 </v>
      </c>
    </row>
    <row r="456" spans="1:13" ht="60" x14ac:dyDescent="0.25">
      <c r="A456" s="7" t="s">
        <v>2057</v>
      </c>
      <c r="B456" s="2" t="s">
        <v>2058</v>
      </c>
      <c r="C456" s="4">
        <v>1</v>
      </c>
      <c r="D456" s="5">
        <v>4.25</v>
      </c>
      <c r="E456" s="5">
        <v>7.99</v>
      </c>
      <c r="F456" s="4" t="s">
        <v>2059</v>
      </c>
      <c r="G456" s="2" t="s">
        <v>41</v>
      </c>
      <c r="H456" s="7" t="s">
        <v>317</v>
      </c>
      <c r="I456" s="2" t="s">
        <v>73</v>
      </c>
      <c r="J456" s="2" t="s">
        <v>1963</v>
      </c>
      <c r="K456" s="2" t="s">
        <v>304</v>
      </c>
      <c r="L456" s="2" t="s">
        <v>119</v>
      </c>
      <c r="M456" s="8" t="str">
        <f>HYPERLINK("http://slimages.macys.com/is/image/MCY/11272141 ")</f>
        <v xml:space="preserve">http://slimages.macys.com/is/image/MCY/11272141 </v>
      </c>
    </row>
    <row r="457" spans="1:13" ht="60" x14ac:dyDescent="0.25">
      <c r="A457" s="7" t="s">
        <v>11668</v>
      </c>
      <c r="B457" s="2" t="s">
        <v>2071</v>
      </c>
      <c r="C457" s="4">
        <v>1</v>
      </c>
      <c r="D457" s="5">
        <v>4.25</v>
      </c>
      <c r="E457" s="5">
        <v>7.99</v>
      </c>
      <c r="F457" s="4" t="s">
        <v>2072</v>
      </c>
      <c r="G457" s="2" t="s">
        <v>41</v>
      </c>
      <c r="H457" s="7" t="s">
        <v>144</v>
      </c>
      <c r="I457" s="2" t="s">
        <v>73</v>
      </c>
      <c r="J457" s="2" t="s">
        <v>1963</v>
      </c>
      <c r="K457" s="2" t="s">
        <v>304</v>
      </c>
      <c r="L457" s="2" t="s">
        <v>119</v>
      </c>
      <c r="M457" s="8" t="str">
        <f>HYPERLINK("http://slimages.macys.com/is/image/MCY/12684273 ")</f>
        <v xml:space="preserve">http://slimages.macys.com/is/image/MCY/12684273 </v>
      </c>
    </row>
    <row r="458" spans="1:13" ht="60" x14ac:dyDescent="0.25">
      <c r="A458" s="7" t="s">
        <v>8356</v>
      </c>
      <c r="B458" s="2" t="s">
        <v>2058</v>
      </c>
      <c r="C458" s="4">
        <v>1</v>
      </c>
      <c r="D458" s="5">
        <v>4.25</v>
      </c>
      <c r="E458" s="5">
        <v>7.99</v>
      </c>
      <c r="F458" s="4" t="s">
        <v>2059</v>
      </c>
      <c r="G458" s="2" t="s">
        <v>41</v>
      </c>
      <c r="H458" s="7" t="s">
        <v>68</v>
      </c>
      <c r="I458" s="2" t="s">
        <v>73</v>
      </c>
      <c r="J458" s="2" t="s">
        <v>1963</v>
      </c>
      <c r="K458" s="2" t="s">
        <v>304</v>
      </c>
      <c r="L458" s="2" t="s">
        <v>119</v>
      </c>
      <c r="M458" s="8" t="str">
        <f>HYPERLINK("http://slimages.macys.com/is/image/MCY/11272141 ")</f>
        <v xml:space="preserve">http://slimages.macys.com/is/image/MCY/11272141 </v>
      </c>
    </row>
    <row r="459" spans="1:13" ht="60" x14ac:dyDescent="0.25">
      <c r="A459" s="7" t="s">
        <v>2066</v>
      </c>
      <c r="B459" s="2" t="s">
        <v>1991</v>
      </c>
      <c r="C459" s="4">
        <v>1</v>
      </c>
      <c r="D459" s="5">
        <v>4.25</v>
      </c>
      <c r="E459" s="5">
        <v>5.99</v>
      </c>
      <c r="F459" s="4" t="s">
        <v>2061</v>
      </c>
      <c r="G459" s="2" t="s">
        <v>653</v>
      </c>
      <c r="H459" s="7" t="s">
        <v>311</v>
      </c>
      <c r="I459" s="2" t="s">
        <v>73</v>
      </c>
      <c r="J459" s="2" t="s">
        <v>1963</v>
      </c>
      <c r="K459" s="2" t="s">
        <v>304</v>
      </c>
      <c r="L459" s="2" t="s">
        <v>125</v>
      </c>
      <c r="M459" s="8" t="str">
        <f>HYPERLINK("http://slimages.macys.com/is/image/MCY/13726811 ")</f>
        <v xml:space="preserve">http://slimages.macys.com/is/image/MCY/13726811 </v>
      </c>
    </row>
    <row r="460" spans="1:13" ht="60" x14ac:dyDescent="0.25">
      <c r="A460" s="7" t="s">
        <v>2065</v>
      </c>
      <c r="B460" s="2" t="s">
        <v>1991</v>
      </c>
      <c r="C460" s="4">
        <v>1</v>
      </c>
      <c r="D460" s="5">
        <v>4.25</v>
      </c>
      <c r="E460" s="5">
        <v>5.99</v>
      </c>
      <c r="F460" s="4" t="s">
        <v>2061</v>
      </c>
      <c r="G460" s="2" t="s">
        <v>653</v>
      </c>
      <c r="H460" s="7" t="s">
        <v>317</v>
      </c>
      <c r="I460" s="2" t="s">
        <v>73</v>
      </c>
      <c r="J460" s="2" t="s">
        <v>1963</v>
      </c>
      <c r="K460" s="2" t="s">
        <v>304</v>
      </c>
      <c r="L460" s="2" t="s">
        <v>125</v>
      </c>
      <c r="M460" s="8" t="str">
        <f>HYPERLINK("http://slimages.macys.com/is/image/MCY/13726811 ")</f>
        <v xml:space="preserve">http://slimages.macys.com/is/image/MCY/13726811 </v>
      </c>
    </row>
    <row r="461" spans="1:13" ht="60" x14ac:dyDescent="0.25">
      <c r="A461" s="7" t="s">
        <v>2080</v>
      </c>
      <c r="B461" s="2" t="s">
        <v>2075</v>
      </c>
      <c r="C461" s="4">
        <v>1</v>
      </c>
      <c r="D461" s="5">
        <v>4.1500000000000004</v>
      </c>
      <c r="E461" s="5">
        <v>10.99</v>
      </c>
      <c r="F461" s="4" t="s">
        <v>2076</v>
      </c>
      <c r="G461" s="2"/>
      <c r="H461" s="7"/>
      <c r="I461" s="2" t="s">
        <v>312</v>
      </c>
      <c r="J461" s="2" t="s">
        <v>2077</v>
      </c>
      <c r="K461" s="2" t="s">
        <v>304</v>
      </c>
      <c r="L461" s="2" t="s">
        <v>2078</v>
      </c>
      <c r="M461" s="8" t="str">
        <f>HYPERLINK("http://slimages.macys.com/is/image/MCY/12045142 ")</f>
        <v xml:space="preserve">http://slimages.macys.com/is/image/MCY/12045142 </v>
      </c>
    </row>
    <row r="462" spans="1:13" ht="60" x14ac:dyDescent="0.25">
      <c r="A462" s="7" t="s">
        <v>9675</v>
      </c>
      <c r="B462" s="2" t="s">
        <v>9676</v>
      </c>
      <c r="C462" s="4">
        <v>1</v>
      </c>
      <c r="D462" s="5">
        <v>4.1100000000000003</v>
      </c>
      <c r="E462" s="5">
        <v>10.99</v>
      </c>
      <c r="F462" s="4" t="s">
        <v>9677</v>
      </c>
      <c r="G462" s="2" t="s">
        <v>41</v>
      </c>
      <c r="H462" s="7" t="s">
        <v>159</v>
      </c>
      <c r="I462" s="2" t="s">
        <v>389</v>
      </c>
      <c r="J462" s="2" t="s">
        <v>354</v>
      </c>
      <c r="K462" s="2" t="s">
        <v>304</v>
      </c>
      <c r="L462" s="2" t="s">
        <v>119</v>
      </c>
      <c r="M462" s="8" t="str">
        <f>HYPERLINK("http://slimages.macys.com/is/image/MCY/13296509 ")</f>
        <v xml:space="preserve">http://slimages.macys.com/is/image/MCY/13296509 </v>
      </c>
    </row>
    <row r="463" spans="1:13" ht="60" x14ac:dyDescent="0.25">
      <c r="A463" s="7" t="s">
        <v>11669</v>
      </c>
      <c r="B463" s="2" t="s">
        <v>9676</v>
      </c>
      <c r="C463" s="4">
        <v>1</v>
      </c>
      <c r="D463" s="5">
        <v>4.1100000000000003</v>
      </c>
      <c r="E463" s="5">
        <v>10.99</v>
      </c>
      <c r="F463" s="4" t="s">
        <v>9677</v>
      </c>
      <c r="G463" s="2" t="s">
        <v>41</v>
      </c>
      <c r="H463" s="7" t="s">
        <v>228</v>
      </c>
      <c r="I463" s="2" t="s">
        <v>389</v>
      </c>
      <c r="J463" s="2" t="s">
        <v>354</v>
      </c>
      <c r="K463" s="2" t="s">
        <v>304</v>
      </c>
      <c r="L463" s="2" t="s">
        <v>119</v>
      </c>
      <c r="M463" s="8" t="str">
        <f>HYPERLINK("http://slimages.macys.com/is/image/MCY/13296509 ")</f>
        <v xml:space="preserve">http://slimages.macys.com/is/image/MCY/13296509 </v>
      </c>
    </row>
    <row r="464" spans="1:13" ht="60" x14ac:dyDescent="0.25">
      <c r="A464" s="7" t="s">
        <v>11670</v>
      </c>
      <c r="B464" s="2" t="s">
        <v>11671</v>
      </c>
      <c r="C464" s="4">
        <v>1</v>
      </c>
      <c r="D464" s="5">
        <v>4.05</v>
      </c>
      <c r="E464" s="5">
        <v>8.1</v>
      </c>
      <c r="F464" s="4" t="s">
        <v>11672</v>
      </c>
      <c r="G464" s="2"/>
      <c r="H464" s="7" t="s">
        <v>144</v>
      </c>
      <c r="I464" s="2" t="s">
        <v>487</v>
      </c>
      <c r="J464" s="2" t="s">
        <v>488</v>
      </c>
      <c r="K464" s="2" t="s">
        <v>304</v>
      </c>
      <c r="L464" s="2" t="s">
        <v>75</v>
      </c>
      <c r="M464" s="8" t="str">
        <f>HYPERLINK("http://slimages.macys.com/is/image/MCY/11489476 ")</f>
        <v xml:space="preserve">http://slimages.macys.com/is/image/MCY/11489476 </v>
      </c>
    </row>
    <row r="465" spans="1:13" ht="60" x14ac:dyDescent="0.25">
      <c r="A465" s="7" t="s">
        <v>11673</v>
      </c>
      <c r="B465" s="2" t="s">
        <v>6009</v>
      </c>
      <c r="C465" s="4">
        <v>1</v>
      </c>
      <c r="D465" s="5">
        <v>4.05</v>
      </c>
      <c r="E465" s="5">
        <v>8.1</v>
      </c>
      <c r="F465" s="4" t="s">
        <v>6010</v>
      </c>
      <c r="G465" s="2"/>
      <c r="H465" s="7" t="s">
        <v>144</v>
      </c>
      <c r="I465" s="2" t="s">
        <v>487</v>
      </c>
      <c r="J465" s="2" t="s">
        <v>488</v>
      </c>
      <c r="K465" s="2" t="s">
        <v>304</v>
      </c>
      <c r="L465" s="2" t="s">
        <v>75</v>
      </c>
      <c r="M465" s="8" t="str">
        <f>HYPERLINK("http://slimages.macys.com/is/image/MCY/11867736 ")</f>
        <v xml:space="preserve">http://slimages.macys.com/is/image/MCY/11867736 </v>
      </c>
    </row>
    <row r="466" spans="1:13" ht="60" x14ac:dyDescent="0.25">
      <c r="A466" s="7" t="s">
        <v>11674</v>
      </c>
      <c r="B466" s="2" t="s">
        <v>11675</v>
      </c>
      <c r="C466" s="4">
        <v>1</v>
      </c>
      <c r="D466" s="5">
        <v>4.05</v>
      </c>
      <c r="E466" s="5">
        <v>8.1</v>
      </c>
      <c r="F466" s="4" t="s">
        <v>11676</v>
      </c>
      <c r="G466" s="2"/>
      <c r="H466" s="7" t="s">
        <v>144</v>
      </c>
      <c r="I466" s="2" t="s">
        <v>487</v>
      </c>
      <c r="J466" s="2" t="s">
        <v>488</v>
      </c>
      <c r="K466" s="2" t="s">
        <v>304</v>
      </c>
      <c r="L466" s="2" t="s">
        <v>75</v>
      </c>
      <c r="M466" s="8" t="str">
        <f>HYPERLINK("http://slimages.macys.com/is/image/MCY/11496827 ")</f>
        <v xml:space="preserve">http://slimages.macys.com/is/image/MCY/11496827 </v>
      </c>
    </row>
    <row r="467" spans="1:13" ht="60" x14ac:dyDescent="0.25">
      <c r="A467" s="7" t="s">
        <v>11677</v>
      </c>
      <c r="B467" s="2" t="s">
        <v>3481</v>
      </c>
      <c r="C467" s="4">
        <v>1</v>
      </c>
      <c r="D467" s="5">
        <v>4</v>
      </c>
      <c r="E467" s="5">
        <v>9.3000000000000007</v>
      </c>
      <c r="F467" s="4">
        <v>18207310</v>
      </c>
      <c r="G467" s="2" t="s">
        <v>28</v>
      </c>
      <c r="H467" s="7" t="s">
        <v>233</v>
      </c>
      <c r="I467" s="2" t="s">
        <v>153</v>
      </c>
      <c r="J467" s="2" t="s">
        <v>154</v>
      </c>
      <c r="K467" s="2" t="s">
        <v>304</v>
      </c>
      <c r="L467" s="2" t="s">
        <v>125</v>
      </c>
      <c r="M467" s="8" t="str">
        <f>HYPERLINK("http://slimages.macys.com/is/image/MCY/15107909 ")</f>
        <v xml:space="preserve">http://slimages.macys.com/is/image/MCY/15107909 </v>
      </c>
    </row>
    <row r="468" spans="1:13" ht="60" x14ac:dyDescent="0.25">
      <c r="A468" s="7" t="s">
        <v>11678</v>
      </c>
      <c r="B468" s="2" t="s">
        <v>6387</v>
      </c>
      <c r="C468" s="4">
        <v>1</v>
      </c>
      <c r="D468" s="5">
        <v>4</v>
      </c>
      <c r="E468" s="5">
        <v>8</v>
      </c>
      <c r="F468" s="4" t="s">
        <v>6388</v>
      </c>
      <c r="G468" s="2" t="s">
        <v>41</v>
      </c>
      <c r="H468" s="7" t="s">
        <v>68</v>
      </c>
      <c r="I468" s="2" t="s">
        <v>487</v>
      </c>
      <c r="J468" s="2" t="s">
        <v>488</v>
      </c>
      <c r="K468" s="2" t="s">
        <v>304</v>
      </c>
      <c r="L468" s="2" t="s">
        <v>206</v>
      </c>
      <c r="M468" s="8" t="str">
        <f>HYPERLINK("http://slimages.macys.com/is/image/MCY/12338634 ")</f>
        <v xml:space="preserve">http://slimages.macys.com/is/image/MCY/12338634 </v>
      </c>
    </row>
    <row r="469" spans="1:13" ht="60" x14ac:dyDescent="0.25">
      <c r="A469" s="7" t="s">
        <v>8369</v>
      </c>
      <c r="B469" s="2" t="s">
        <v>6387</v>
      </c>
      <c r="C469" s="4">
        <v>1</v>
      </c>
      <c r="D469" s="5">
        <v>4</v>
      </c>
      <c r="E469" s="5">
        <v>8</v>
      </c>
      <c r="F469" s="4" t="s">
        <v>6388</v>
      </c>
      <c r="G469" s="2" t="s">
        <v>41</v>
      </c>
      <c r="H469" s="7" t="s">
        <v>209</v>
      </c>
      <c r="I469" s="2" t="s">
        <v>487</v>
      </c>
      <c r="J469" s="2" t="s">
        <v>488</v>
      </c>
      <c r="K469" s="2" t="s">
        <v>304</v>
      </c>
      <c r="L469" s="2" t="s">
        <v>206</v>
      </c>
      <c r="M469" s="8" t="str">
        <f>HYPERLINK("http://slimages.macys.com/is/image/MCY/12338634 ")</f>
        <v xml:space="preserve">http://slimages.macys.com/is/image/MCY/12338634 </v>
      </c>
    </row>
    <row r="470" spans="1:13" ht="60" x14ac:dyDescent="0.25">
      <c r="A470" s="7" t="s">
        <v>11679</v>
      </c>
      <c r="B470" s="2" t="s">
        <v>7778</v>
      </c>
      <c r="C470" s="4">
        <v>1</v>
      </c>
      <c r="D470" s="5">
        <v>4</v>
      </c>
      <c r="E470" s="5">
        <v>10.99</v>
      </c>
      <c r="F470" s="4" t="s">
        <v>7779</v>
      </c>
      <c r="G470" s="2" t="s">
        <v>28</v>
      </c>
      <c r="H470" s="7" t="s">
        <v>228</v>
      </c>
      <c r="I470" s="2" t="s">
        <v>389</v>
      </c>
      <c r="J470" s="2" t="s">
        <v>354</v>
      </c>
      <c r="K470" s="2" t="s">
        <v>304</v>
      </c>
      <c r="L470" s="2" t="s">
        <v>390</v>
      </c>
      <c r="M470" s="8" t="str">
        <f>HYPERLINK("http://slimages.macys.com/is/image/MCY/12121748 ")</f>
        <v xml:space="preserve">http://slimages.macys.com/is/image/MCY/12121748 </v>
      </c>
    </row>
    <row r="471" spans="1:13" ht="156" x14ac:dyDescent="0.25">
      <c r="A471" s="7" t="s">
        <v>11680</v>
      </c>
      <c r="B471" s="2" t="s">
        <v>11681</v>
      </c>
      <c r="C471" s="4">
        <v>2</v>
      </c>
      <c r="D471" s="5">
        <v>3.94</v>
      </c>
      <c r="E471" s="5">
        <v>12.99</v>
      </c>
      <c r="F471" s="4" t="s">
        <v>11682</v>
      </c>
      <c r="G471" s="2" t="s">
        <v>297</v>
      </c>
      <c r="H471" s="7" t="s">
        <v>531</v>
      </c>
      <c r="I471" s="2" t="s">
        <v>483</v>
      </c>
      <c r="J471" s="2" t="s">
        <v>536</v>
      </c>
      <c r="K471" s="2" t="s">
        <v>304</v>
      </c>
      <c r="L471" s="2" t="s">
        <v>11683</v>
      </c>
      <c r="M471" s="8" t="str">
        <f>HYPERLINK("http://slimages.macys.com/is/image/MCY/11804814 ")</f>
        <v xml:space="preserve">http://slimages.macys.com/is/image/MCY/11804814 </v>
      </c>
    </row>
    <row r="472" spans="1:13" ht="60" x14ac:dyDescent="0.25">
      <c r="A472" s="7" t="s">
        <v>5053</v>
      </c>
      <c r="B472" s="2" t="s">
        <v>5054</v>
      </c>
      <c r="C472" s="4">
        <v>8</v>
      </c>
      <c r="D472" s="5">
        <v>3.9</v>
      </c>
      <c r="E472" s="5">
        <v>7.99</v>
      </c>
      <c r="F472" s="4" t="s">
        <v>5055</v>
      </c>
      <c r="G472" s="2" t="s">
        <v>1047</v>
      </c>
      <c r="H472" s="7"/>
      <c r="I472" s="2" t="s">
        <v>523</v>
      </c>
      <c r="J472" s="2" t="s">
        <v>5056</v>
      </c>
      <c r="K472" s="2" t="s">
        <v>304</v>
      </c>
      <c r="L472" s="2" t="s">
        <v>358</v>
      </c>
      <c r="M472" s="8" t="str">
        <f>HYPERLINK("http://slimages.macys.com/is/image/MCY/3254673 ")</f>
        <v xml:space="preserve">http://slimages.macys.com/is/image/MCY/3254673 </v>
      </c>
    </row>
    <row r="473" spans="1:13" ht="60" x14ac:dyDescent="0.25">
      <c r="A473" s="7" t="s">
        <v>5583</v>
      </c>
      <c r="B473" s="2" t="s">
        <v>5584</v>
      </c>
      <c r="C473" s="4">
        <v>2</v>
      </c>
      <c r="D473" s="5">
        <v>3.9</v>
      </c>
      <c r="E473" s="5">
        <v>7.99</v>
      </c>
      <c r="F473" s="4" t="s">
        <v>5585</v>
      </c>
      <c r="G473" s="2" t="s">
        <v>1047</v>
      </c>
      <c r="H473" s="7" t="s">
        <v>5586</v>
      </c>
      <c r="I473" s="2" t="s">
        <v>523</v>
      </c>
      <c r="J473" s="2" t="s">
        <v>5056</v>
      </c>
      <c r="K473" s="2" t="s">
        <v>304</v>
      </c>
      <c r="L473" s="2" t="s">
        <v>358</v>
      </c>
      <c r="M473" s="8" t="str">
        <f>HYPERLINK("http://slimages.macys.com/is/image/MCY/8847919 ")</f>
        <v xml:space="preserve">http://slimages.macys.com/is/image/MCY/8847919 </v>
      </c>
    </row>
    <row r="474" spans="1:13" ht="60" x14ac:dyDescent="0.25">
      <c r="A474" s="7" t="s">
        <v>5587</v>
      </c>
      <c r="B474" s="2" t="s">
        <v>5588</v>
      </c>
      <c r="C474" s="4">
        <v>4</v>
      </c>
      <c r="D474" s="5">
        <v>3.9</v>
      </c>
      <c r="E474" s="5">
        <v>7.99</v>
      </c>
      <c r="F474" s="4" t="s">
        <v>5589</v>
      </c>
      <c r="G474" s="2" t="s">
        <v>1047</v>
      </c>
      <c r="H474" s="7" t="s">
        <v>5590</v>
      </c>
      <c r="I474" s="2" t="s">
        <v>523</v>
      </c>
      <c r="J474" s="2" t="s">
        <v>5056</v>
      </c>
      <c r="K474" s="2" t="s">
        <v>304</v>
      </c>
      <c r="L474" s="2" t="s">
        <v>358</v>
      </c>
      <c r="M474" s="8" t="str">
        <f>HYPERLINK("http://slimages.macys.com/is/image/MCY/3254673 ")</f>
        <v xml:space="preserve">http://slimages.macys.com/is/image/MCY/3254673 </v>
      </c>
    </row>
    <row r="475" spans="1:13" ht="60" x14ac:dyDescent="0.25">
      <c r="A475" s="7" t="s">
        <v>11193</v>
      </c>
      <c r="B475" s="2" t="s">
        <v>11194</v>
      </c>
      <c r="C475" s="4">
        <v>1</v>
      </c>
      <c r="D475" s="5">
        <v>3.88</v>
      </c>
      <c r="E475" s="5">
        <v>9.99</v>
      </c>
      <c r="F475" s="4" t="s">
        <v>11195</v>
      </c>
      <c r="G475" s="2" t="s">
        <v>107</v>
      </c>
      <c r="H475" s="7" t="s">
        <v>590</v>
      </c>
      <c r="I475" s="2" t="s">
        <v>483</v>
      </c>
      <c r="J475" s="2" t="s">
        <v>536</v>
      </c>
      <c r="K475" s="2" t="s">
        <v>304</v>
      </c>
      <c r="L475" s="2" t="s">
        <v>87</v>
      </c>
      <c r="M475" s="8" t="str">
        <f>HYPERLINK("http://slimages.macys.com/is/image/MCY/12642468 ")</f>
        <v xml:space="preserve">http://slimages.macys.com/is/image/MCY/12642468 </v>
      </c>
    </row>
    <row r="476" spans="1:13" ht="60" x14ac:dyDescent="0.25">
      <c r="A476" s="7" t="s">
        <v>11684</v>
      </c>
      <c r="B476" s="2" t="s">
        <v>9697</v>
      </c>
      <c r="C476" s="4">
        <v>1</v>
      </c>
      <c r="D476" s="5">
        <v>3.88</v>
      </c>
      <c r="E476" s="5">
        <v>10.99</v>
      </c>
      <c r="F476" s="4" t="s">
        <v>9698</v>
      </c>
      <c r="G476" s="2" t="s">
        <v>582</v>
      </c>
      <c r="H476" s="7" t="s">
        <v>196</v>
      </c>
      <c r="I476" s="2" t="s">
        <v>389</v>
      </c>
      <c r="J476" s="2" t="s">
        <v>354</v>
      </c>
      <c r="K476" s="2" t="s">
        <v>304</v>
      </c>
      <c r="L476" s="2" t="s">
        <v>358</v>
      </c>
      <c r="M476" s="8" t="str">
        <f>HYPERLINK("http://slimages.macys.com/is/image/MCY/12121793 ")</f>
        <v xml:space="preserve">http://slimages.macys.com/is/image/MCY/12121793 </v>
      </c>
    </row>
    <row r="477" spans="1:13" ht="60" x14ac:dyDescent="0.25">
      <c r="A477" s="7" t="s">
        <v>11685</v>
      </c>
      <c r="B477" s="2" t="s">
        <v>11194</v>
      </c>
      <c r="C477" s="4">
        <v>1</v>
      </c>
      <c r="D477" s="5">
        <v>3.88</v>
      </c>
      <c r="E477" s="5">
        <v>9.99</v>
      </c>
      <c r="F477" s="4" t="s">
        <v>11195</v>
      </c>
      <c r="G477" s="2" t="s">
        <v>107</v>
      </c>
      <c r="H477" s="7" t="s">
        <v>149</v>
      </c>
      <c r="I477" s="2" t="s">
        <v>483</v>
      </c>
      <c r="J477" s="2" t="s">
        <v>536</v>
      </c>
      <c r="K477" s="2" t="s">
        <v>304</v>
      </c>
      <c r="L477" s="2" t="s">
        <v>87</v>
      </c>
      <c r="M477" s="8" t="str">
        <f>HYPERLINK("http://slimages.macys.com/is/image/MCY/12642468 ")</f>
        <v xml:space="preserve">http://slimages.macys.com/is/image/MCY/12642468 </v>
      </c>
    </row>
    <row r="478" spans="1:13" ht="60" x14ac:dyDescent="0.25">
      <c r="A478" s="7" t="s">
        <v>11686</v>
      </c>
      <c r="B478" s="2" t="s">
        <v>11687</v>
      </c>
      <c r="C478" s="4">
        <v>1</v>
      </c>
      <c r="D478" s="5">
        <v>3.74</v>
      </c>
      <c r="E478" s="5">
        <v>10.99</v>
      </c>
      <c r="F478" s="4" t="s">
        <v>11688</v>
      </c>
      <c r="G478" s="2" t="s">
        <v>262</v>
      </c>
      <c r="H478" s="7" t="s">
        <v>149</v>
      </c>
      <c r="I478" s="2" t="s">
        <v>483</v>
      </c>
      <c r="J478" s="2" t="s">
        <v>536</v>
      </c>
      <c r="K478" s="2" t="s">
        <v>304</v>
      </c>
      <c r="L478" s="2" t="s">
        <v>87</v>
      </c>
      <c r="M478" s="8" t="str">
        <f>HYPERLINK("http://slimages.macys.com/is/image/MCY/11710598 ")</f>
        <v xml:space="preserve">http://slimages.macys.com/is/image/MCY/11710598 </v>
      </c>
    </row>
    <row r="479" spans="1:13" ht="60" x14ac:dyDescent="0.25">
      <c r="A479" s="7" t="s">
        <v>2681</v>
      </c>
      <c r="B479" s="2" t="s">
        <v>2113</v>
      </c>
      <c r="C479" s="4">
        <v>3</v>
      </c>
      <c r="D479" s="5">
        <v>3.58</v>
      </c>
      <c r="E479" s="5">
        <v>8.99</v>
      </c>
      <c r="F479" s="4" t="s">
        <v>2114</v>
      </c>
      <c r="G479" s="2" t="s">
        <v>297</v>
      </c>
      <c r="H479" s="7" t="s">
        <v>590</v>
      </c>
      <c r="I479" s="2" t="s">
        <v>483</v>
      </c>
      <c r="J479" s="2" t="s">
        <v>536</v>
      </c>
      <c r="K479" s="2" t="s">
        <v>304</v>
      </c>
      <c r="L479" s="2" t="s">
        <v>119</v>
      </c>
      <c r="M479" s="8" t="str">
        <f>HYPERLINK("http://slimages.macys.com/is/image/MCY/13987501 ")</f>
        <v xml:space="preserve">http://slimages.macys.com/is/image/MCY/13987501 </v>
      </c>
    </row>
    <row r="480" spans="1:13" ht="60" x14ac:dyDescent="0.25">
      <c r="A480" s="7" t="s">
        <v>2112</v>
      </c>
      <c r="B480" s="2" t="s">
        <v>2113</v>
      </c>
      <c r="C480" s="4">
        <v>2</v>
      </c>
      <c r="D480" s="5">
        <v>3.58</v>
      </c>
      <c r="E480" s="5">
        <v>8.99</v>
      </c>
      <c r="F480" s="4" t="s">
        <v>2114</v>
      </c>
      <c r="G480" s="2" t="s">
        <v>297</v>
      </c>
      <c r="H480" s="7"/>
      <c r="I480" s="2" t="s">
        <v>483</v>
      </c>
      <c r="J480" s="2" t="s">
        <v>536</v>
      </c>
      <c r="K480" s="2" t="s">
        <v>304</v>
      </c>
      <c r="L480" s="2" t="s">
        <v>119</v>
      </c>
      <c r="M480" s="8" t="str">
        <f>HYPERLINK("http://slimages.macys.com/is/image/MCY/13987501 ")</f>
        <v xml:space="preserve">http://slimages.macys.com/is/image/MCY/13987501 </v>
      </c>
    </row>
    <row r="481" spans="1:13" ht="60" x14ac:dyDescent="0.25">
      <c r="A481" s="7" t="s">
        <v>2680</v>
      </c>
      <c r="B481" s="2" t="s">
        <v>2113</v>
      </c>
      <c r="C481" s="4">
        <v>1</v>
      </c>
      <c r="D481" s="5">
        <v>3.58</v>
      </c>
      <c r="E481" s="5">
        <v>8.99</v>
      </c>
      <c r="F481" s="4" t="s">
        <v>2114</v>
      </c>
      <c r="G481" s="2" t="s">
        <v>297</v>
      </c>
      <c r="H481" s="7" t="s">
        <v>482</v>
      </c>
      <c r="I481" s="2" t="s">
        <v>483</v>
      </c>
      <c r="J481" s="2" t="s">
        <v>536</v>
      </c>
      <c r="K481" s="2" t="s">
        <v>304</v>
      </c>
      <c r="L481" s="2" t="s">
        <v>119</v>
      </c>
      <c r="M481" s="8" t="str">
        <f>HYPERLINK("http://slimages.macys.com/is/image/MCY/13987501 ")</f>
        <v xml:space="preserve">http://slimages.macys.com/is/image/MCY/13987501 </v>
      </c>
    </row>
    <row r="482" spans="1:13" ht="60" x14ac:dyDescent="0.25">
      <c r="A482" s="7" t="s">
        <v>2115</v>
      </c>
      <c r="B482" s="2" t="s">
        <v>2113</v>
      </c>
      <c r="C482" s="4">
        <v>1</v>
      </c>
      <c r="D482" s="5">
        <v>3.58</v>
      </c>
      <c r="E482" s="5">
        <v>8.99</v>
      </c>
      <c r="F482" s="4" t="s">
        <v>2114</v>
      </c>
      <c r="G482" s="2" t="s">
        <v>297</v>
      </c>
      <c r="H482" s="7" t="s">
        <v>149</v>
      </c>
      <c r="I482" s="2" t="s">
        <v>483</v>
      </c>
      <c r="J482" s="2" t="s">
        <v>536</v>
      </c>
      <c r="K482" s="2" t="s">
        <v>304</v>
      </c>
      <c r="L482" s="2" t="s">
        <v>119</v>
      </c>
      <c r="M482" s="8" t="str">
        <f>HYPERLINK("http://slimages.macys.com/is/image/MCY/13987501 ")</f>
        <v xml:space="preserve">http://slimages.macys.com/is/image/MCY/13987501 </v>
      </c>
    </row>
    <row r="483" spans="1:13" ht="60" x14ac:dyDescent="0.25">
      <c r="A483" s="7" t="s">
        <v>11689</v>
      </c>
      <c r="B483" s="2" t="s">
        <v>6444</v>
      </c>
      <c r="C483" s="4">
        <v>1</v>
      </c>
      <c r="D483" s="5">
        <v>3.52</v>
      </c>
      <c r="E483" s="5">
        <v>7.99</v>
      </c>
      <c r="F483" s="4">
        <v>100017100</v>
      </c>
      <c r="G483" s="2" t="s">
        <v>657</v>
      </c>
      <c r="H483" s="7" t="s">
        <v>123</v>
      </c>
      <c r="I483" s="2" t="s">
        <v>292</v>
      </c>
      <c r="J483" s="2" t="s">
        <v>354</v>
      </c>
      <c r="K483" s="2" t="s">
        <v>304</v>
      </c>
      <c r="L483" s="2" t="s">
        <v>119</v>
      </c>
      <c r="M483" s="8" t="str">
        <f>HYPERLINK("http://slimages.macys.com/is/image/MCY/9542293 ")</f>
        <v xml:space="preserve">http://slimages.macys.com/is/image/MCY/9542293 </v>
      </c>
    </row>
    <row r="484" spans="1:13" ht="60" x14ac:dyDescent="0.25">
      <c r="A484" s="7" t="s">
        <v>9701</v>
      </c>
      <c r="B484" s="2" t="s">
        <v>2117</v>
      </c>
      <c r="C484" s="4">
        <v>1</v>
      </c>
      <c r="D484" s="5">
        <v>3.51</v>
      </c>
      <c r="E484" s="5">
        <v>8.99</v>
      </c>
      <c r="F484" s="4">
        <v>10006320100</v>
      </c>
      <c r="G484" s="2" t="s">
        <v>134</v>
      </c>
      <c r="H484" s="7" t="s">
        <v>442</v>
      </c>
      <c r="I484" s="2" t="s">
        <v>483</v>
      </c>
      <c r="J484" s="2" t="s">
        <v>536</v>
      </c>
      <c r="K484" s="2" t="s">
        <v>304</v>
      </c>
      <c r="L484" s="2" t="s">
        <v>38</v>
      </c>
      <c r="M484" s="8" t="str">
        <f>HYPERLINK("http://slimages.macys.com/is/image/MCY/13987499 ")</f>
        <v xml:space="preserve">http://slimages.macys.com/is/image/MCY/13987499 </v>
      </c>
    </row>
    <row r="485" spans="1:13" ht="60" x14ac:dyDescent="0.25">
      <c r="A485" s="7" t="s">
        <v>4285</v>
      </c>
      <c r="B485" s="2" t="s">
        <v>558</v>
      </c>
      <c r="C485" s="4">
        <v>2</v>
      </c>
      <c r="D485" s="5">
        <v>3.5</v>
      </c>
      <c r="E485" s="5">
        <v>7.99</v>
      </c>
      <c r="F485" s="4">
        <v>18192210</v>
      </c>
      <c r="G485" s="2" t="s">
        <v>36</v>
      </c>
      <c r="H485" s="7" t="s">
        <v>91</v>
      </c>
      <c r="I485" s="2" t="s">
        <v>153</v>
      </c>
      <c r="J485" s="2" t="s">
        <v>154</v>
      </c>
      <c r="K485" s="2" t="s">
        <v>304</v>
      </c>
      <c r="L485" s="2" t="s">
        <v>38</v>
      </c>
      <c r="M485" s="8" t="str">
        <f>HYPERLINK("http://slimages.macys.com/is/image/MCY/13852974 ")</f>
        <v xml:space="preserve">http://slimages.macys.com/is/image/MCY/13852974 </v>
      </c>
    </row>
    <row r="486" spans="1:13" ht="60" x14ac:dyDescent="0.25">
      <c r="A486" s="7" t="s">
        <v>11690</v>
      </c>
      <c r="B486" s="2" t="s">
        <v>11691</v>
      </c>
      <c r="C486" s="4">
        <v>1</v>
      </c>
      <c r="D486" s="5">
        <v>3.49</v>
      </c>
      <c r="E486" s="5">
        <v>7.99</v>
      </c>
      <c r="F486" s="4" t="s">
        <v>11692</v>
      </c>
      <c r="G486" s="2" t="s">
        <v>657</v>
      </c>
      <c r="H486" s="7" t="s">
        <v>209</v>
      </c>
      <c r="I486" s="2" t="s">
        <v>292</v>
      </c>
      <c r="J486" s="2" t="s">
        <v>354</v>
      </c>
      <c r="K486" s="2" t="s">
        <v>304</v>
      </c>
      <c r="L486" s="2" t="s">
        <v>119</v>
      </c>
      <c r="M486" s="8" t="str">
        <f>HYPERLINK("http://slimages.macys.com/is/image/MCY/13077345 ")</f>
        <v xml:space="preserve">http://slimages.macys.com/is/image/MCY/13077345 </v>
      </c>
    </row>
    <row r="487" spans="1:13" ht="60" x14ac:dyDescent="0.25">
      <c r="A487" s="7" t="s">
        <v>11693</v>
      </c>
      <c r="B487" s="2" t="s">
        <v>4316</v>
      </c>
      <c r="C487" s="4">
        <v>1</v>
      </c>
      <c r="D487" s="5">
        <v>3.49</v>
      </c>
      <c r="E487" s="5">
        <v>7.99</v>
      </c>
      <c r="F487" s="4" t="s">
        <v>11694</v>
      </c>
      <c r="G487" s="2" t="s">
        <v>86</v>
      </c>
      <c r="H487" s="7" t="s">
        <v>578</v>
      </c>
      <c r="I487" s="2" t="s">
        <v>1689</v>
      </c>
      <c r="J487" s="2" t="s">
        <v>354</v>
      </c>
      <c r="K487" s="2" t="s">
        <v>304</v>
      </c>
      <c r="L487" s="2" t="s">
        <v>596</v>
      </c>
      <c r="M487" s="8" t="str">
        <f>HYPERLINK("http://slimages.macys.com/is/image/MCY/12465650 ")</f>
        <v xml:space="preserve">http://slimages.macys.com/is/image/MCY/12465650 </v>
      </c>
    </row>
    <row r="488" spans="1:13" ht="60" x14ac:dyDescent="0.25">
      <c r="A488" s="7" t="s">
        <v>4292</v>
      </c>
      <c r="B488" s="2" t="s">
        <v>4293</v>
      </c>
      <c r="C488" s="4">
        <v>1</v>
      </c>
      <c r="D488" s="5">
        <v>3.49</v>
      </c>
      <c r="E488" s="5">
        <v>7.99</v>
      </c>
      <c r="F488" s="4" t="s">
        <v>4294</v>
      </c>
      <c r="G488" s="2" t="s">
        <v>129</v>
      </c>
      <c r="H488" s="7" t="s">
        <v>209</v>
      </c>
      <c r="I488" s="2" t="s">
        <v>292</v>
      </c>
      <c r="J488" s="2" t="s">
        <v>354</v>
      </c>
      <c r="K488" s="2" t="s">
        <v>304</v>
      </c>
      <c r="L488" s="2" t="s">
        <v>119</v>
      </c>
      <c r="M488" s="8" t="str">
        <f>HYPERLINK("http://slimages.macys.com/is/image/MCY/13077248 ")</f>
        <v xml:space="preserve">http://slimages.macys.com/is/image/MCY/13077248 </v>
      </c>
    </row>
    <row r="489" spans="1:13" ht="60" x14ac:dyDescent="0.25">
      <c r="A489" s="7" t="s">
        <v>11695</v>
      </c>
      <c r="B489" s="2" t="s">
        <v>6427</v>
      </c>
      <c r="C489" s="4">
        <v>1</v>
      </c>
      <c r="D489" s="5">
        <v>3.48</v>
      </c>
      <c r="E489" s="5">
        <v>5.99</v>
      </c>
      <c r="F489" s="4" t="s">
        <v>6428</v>
      </c>
      <c r="G489" s="2" t="s">
        <v>41</v>
      </c>
      <c r="H489" s="7" t="s">
        <v>68</v>
      </c>
      <c r="I489" s="2" t="s">
        <v>73</v>
      </c>
      <c r="J489" s="2" t="s">
        <v>1963</v>
      </c>
      <c r="K489" s="2" t="s">
        <v>304</v>
      </c>
      <c r="L489" s="2" t="s">
        <v>119</v>
      </c>
      <c r="M489" s="8" t="str">
        <f>HYPERLINK("http://slimages.macys.com/is/image/MCY/12284124 ")</f>
        <v xml:space="preserve">http://slimages.macys.com/is/image/MCY/12284124 </v>
      </c>
    </row>
    <row r="490" spans="1:13" ht="60" x14ac:dyDescent="0.25">
      <c r="A490" s="7" t="s">
        <v>5057</v>
      </c>
      <c r="B490" s="2" t="s">
        <v>5058</v>
      </c>
      <c r="C490" s="4">
        <v>1</v>
      </c>
      <c r="D490" s="5">
        <v>3.48</v>
      </c>
      <c r="E490" s="5">
        <v>5.99</v>
      </c>
      <c r="F490" s="4" t="s">
        <v>5059</v>
      </c>
      <c r="G490" s="2" t="s">
        <v>595</v>
      </c>
      <c r="H490" s="7" t="s">
        <v>63</v>
      </c>
      <c r="I490" s="2" t="s">
        <v>73</v>
      </c>
      <c r="J490" s="2" t="s">
        <v>1963</v>
      </c>
      <c r="K490" s="2" t="s">
        <v>304</v>
      </c>
      <c r="L490" s="2" t="s">
        <v>119</v>
      </c>
      <c r="M490" s="8" t="str">
        <f>HYPERLINK("http://slimages.macys.com/is/image/MCY/13360517 ")</f>
        <v xml:space="preserve">http://slimages.macys.com/is/image/MCY/13360517 </v>
      </c>
    </row>
    <row r="491" spans="1:13" ht="60" x14ac:dyDescent="0.25">
      <c r="A491" s="7" t="s">
        <v>9706</v>
      </c>
      <c r="B491" s="2" t="s">
        <v>5058</v>
      </c>
      <c r="C491" s="4">
        <v>1</v>
      </c>
      <c r="D491" s="5">
        <v>3.48</v>
      </c>
      <c r="E491" s="5">
        <v>5.99</v>
      </c>
      <c r="F491" s="4" t="s">
        <v>5059</v>
      </c>
      <c r="G491" s="2" t="s">
        <v>595</v>
      </c>
      <c r="H491" s="7" t="s">
        <v>68</v>
      </c>
      <c r="I491" s="2" t="s">
        <v>73</v>
      </c>
      <c r="J491" s="2" t="s">
        <v>1963</v>
      </c>
      <c r="K491" s="2" t="s">
        <v>304</v>
      </c>
      <c r="L491" s="2" t="s">
        <v>119</v>
      </c>
      <c r="M491" s="8" t="str">
        <f>HYPERLINK("http://slimages.macys.com/is/image/MCY/13360517 ")</f>
        <v xml:space="preserve">http://slimages.macys.com/is/image/MCY/13360517 </v>
      </c>
    </row>
    <row r="492" spans="1:13" ht="60" x14ac:dyDescent="0.25">
      <c r="A492" s="7" t="s">
        <v>2127</v>
      </c>
      <c r="B492" s="2" t="s">
        <v>2128</v>
      </c>
      <c r="C492" s="4">
        <v>1</v>
      </c>
      <c r="D492" s="5">
        <v>3.48</v>
      </c>
      <c r="E492" s="5">
        <v>5.99</v>
      </c>
      <c r="F492" s="4" t="s">
        <v>2129</v>
      </c>
      <c r="G492" s="2" t="s">
        <v>62</v>
      </c>
      <c r="H492" s="7" t="s">
        <v>166</v>
      </c>
      <c r="I492" s="2" t="s">
        <v>80</v>
      </c>
      <c r="J492" s="2" t="s">
        <v>1857</v>
      </c>
      <c r="K492" s="2" t="s">
        <v>304</v>
      </c>
      <c r="L492" s="2" t="s">
        <v>125</v>
      </c>
      <c r="M492" s="8" t="str">
        <f>HYPERLINK("http://slimages.macys.com/is/image/MCY/12751351 ")</f>
        <v xml:space="preserve">http://slimages.macys.com/is/image/MCY/12751351 </v>
      </c>
    </row>
    <row r="493" spans="1:13" ht="60" x14ac:dyDescent="0.25">
      <c r="A493" s="7" t="s">
        <v>6439</v>
      </c>
      <c r="B493" s="2" t="s">
        <v>2128</v>
      </c>
      <c r="C493" s="4">
        <v>1</v>
      </c>
      <c r="D493" s="5">
        <v>3.48</v>
      </c>
      <c r="E493" s="5">
        <v>5.99</v>
      </c>
      <c r="F493" s="4" t="s">
        <v>2129</v>
      </c>
      <c r="G493" s="2" t="s">
        <v>62</v>
      </c>
      <c r="H493" s="7" t="s">
        <v>311</v>
      </c>
      <c r="I493" s="2" t="s">
        <v>80</v>
      </c>
      <c r="J493" s="2" t="s">
        <v>1857</v>
      </c>
      <c r="K493" s="2" t="s">
        <v>304</v>
      </c>
      <c r="L493" s="2" t="s">
        <v>125</v>
      </c>
      <c r="M493" s="8" t="str">
        <f>HYPERLINK("http://slimages.macys.com/is/image/MCY/12751351 ")</f>
        <v xml:space="preserve">http://slimages.macys.com/is/image/MCY/12751351 </v>
      </c>
    </row>
    <row r="494" spans="1:13" ht="60" x14ac:dyDescent="0.25">
      <c r="A494" s="7" t="s">
        <v>11696</v>
      </c>
      <c r="B494" s="2" t="s">
        <v>7813</v>
      </c>
      <c r="C494" s="4">
        <v>1</v>
      </c>
      <c r="D494" s="5">
        <v>3.48</v>
      </c>
      <c r="E494" s="5">
        <v>5.99</v>
      </c>
      <c r="F494" s="4" t="s">
        <v>7814</v>
      </c>
      <c r="G494" s="2" t="s">
        <v>41</v>
      </c>
      <c r="H494" s="7" t="s">
        <v>311</v>
      </c>
      <c r="I494" s="2" t="s">
        <v>80</v>
      </c>
      <c r="J494" s="2" t="s">
        <v>1857</v>
      </c>
      <c r="K494" s="2" t="s">
        <v>304</v>
      </c>
      <c r="L494" s="2" t="s">
        <v>119</v>
      </c>
      <c r="M494" s="8" t="str">
        <f>HYPERLINK("http://slimages.macys.com/is/image/MCY/12802575 ")</f>
        <v xml:space="preserve">http://slimages.macys.com/is/image/MCY/12802575 </v>
      </c>
    </row>
    <row r="495" spans="1:13" ht="60" x14ac:dyDescent="0.25">
      <c r="A495" s="7" t="s">
        <v>11697</v>
      </c>
      <c r="B495" s="2" t="s">
        <v>3502</v>
      </c>
      <c r="C495" s="4">
        <v>2</v>
      </c>
      <c r="D495" s="5">
        <v>3.44</v>
      </c>
      <c r="E495" s="5">
        <v>7.99</v>
      </c>
      <c r="F495" s="4" t="s">
        <v>3503</v>
      </c>
      <c r="G495" s="2" t="s">
        <v>103</v>
      </c>
      <c r="H495" s="7" t="s">
        <v>311</v>
      </c>
      <c r="I495" s="2" t="s">
        <v>1689</v>
      </c>
      <c r="J495" s="2" t="s">
        <v>354</v>
      </c>
      <c r="K495" s="2" t="s">
        <v>304</v>
      </c>
      <c r="L495" s="2" t="s">
        <v>596</v>
      </c>
      <c r="M495" s="8" t="str">
        <f>HYPERLINK("http://slimages.macys.com/is/image/MCY/12494891 ")</f>
        <v xml:space="preserve">http://slimages.macys.com/is/image/MCY/12494891 </v>
      </c>
    </row>
    <row r="496" spans="1:13" ht="60" x14ac:dyDescent="0.25">
      <c r="A496" s="7" t="s">
        <v>1172</v>
      </c>
      <c r="B496" s="2" t="s">
        <v>1173</v>
      </c>
      <c r="C496" s="4">
        <v>1</v>
      </c>
      <c r="D496" s="5">
        <v>3.4</v>
      </c>
      <c r="E496" s="5">
        <v>6.99</v>
      </c>
      <c r="F496" s="4">
        <v>7128</v>
      </c>
      <c r="G496" s="2" t="s">
        <v>86</v>
      </c>
      <c r="H496" s="7" t="s">
        <v>196</v>
      </c>
      <c r="I496" s="2" t="s">
        <v>523</v>
      </c>
      <c r="J496" s="2" t="s">
        <v>969</v>
      </c>
      <c r="K496" s="2" t="s">
        <v>304</v>
      </c>
      <c r="L496" s="2" t="s">
        <v>1036</v>
      </c>
      <c r="M496" s="8" t="str">
        <f>HYPERLINK("http://slimages.macys.com/is/image/MCY/14718518 ")</f>
        <v xml:space="preserve">http://slimages.macys.com/is/image/MCY/14718518 </v>
      </c>
    </row>
    <row r="497" spans="1:13" ht="60" x14ac:dyDescent="0.25">
      <c r="A497" s="7" t="s">
        <v>2133</v>
      </c>
      <c r="B497" s="2" t="s">
        <v>2134</v>
      </c>
      <c r="C497" s="4">
        <v>3</v>
      </c>
      <c r="D497" s="5">
        <v>3.39</v>
      </c>
      <c r="E497" s="5">
        <v>8.99</v>
      </c>
      <c r="F497" s="4" t="s">
        <v>2135</v>
      </c>
      <c r="G497" s="2" t="s">
        <v>1265</v>
      </c>
      <c r="H497" s="7"/>
      <c r="I497" s="2" t="s">
        <v>483</v>
      </c>
      <c r="J497" s="2" t="s">
        <v>536</v>
      </c>
      <c r="K497" s="2" t="s">
        <v>304</v>
      </c>
      <c r="L497" s="2" t="s">
        <v>206</v>
      </c>
      <c r="M497" s="8" t="str">
        <f>HYPERLINK("http://slimages.macys.com/is/image/MCY/13337500 ")</f>
        <v xml:space="preserve">http://slimages.macys.com/is/image/MCY/13337500 </v>
      </c>
    </row>
    <row r="498" spans="1:13" ht="60" x14ac:dyDescent="0.25">
      <c r="A498" s="7" t="s">
        <v>2691</v>
      </c>
      <c r="B498" s="2" t="s">
        <v>2134</v>
      </c>
      <c r="C498" s="4">
        <v>3</v>
      </c>
      <c r="D498" s="5">
        <v>3.39</v>
      </c>
      <c r="E498" s="5">
        <v>8.99</v>
      </c>
      <c r="F498" s="4" t="s">
        <v>2135</v>
      </c>
      <c r="G498" s="2" t="s">
        <v>1265</v>
      </c>
      <c r="H498" s="7" t="s">
        <v>149</v>
      </c>
      <c r="I498" s="2" t="s">
        <v>483</v>
      </c>
      <c r="J498" s="2" t="s">
        <v>536</v>
      </c>
      <c r="K498" s="2" t="s">
        <v>304</v>
      </c>
      <c r="L498" s="2" t="s">
        <v>206</v>
      </c>
      <c r="M498" s="8" t="str">
        <f>HYPERLINK("http://slimages.macys.com/is/image/MCY/13337500 ")</f>
        <v xml:space="preserve">http://slimages.macys.com/is/image/MCY/13337500 </v>
      </c>
    </row>
    <row r="499" spans="1:13" ht="60" x14ac:dyDescent="0.25">
      <c r="A499" s="7" t="s">
        <v>2692</v>
      </c>
      <c r="B499" s="2" t="s">
        <v>2134</v>
      </c>
      <c r="C499" s="4">
        <v>1</v>
      </c>
      <c r="D499" s="5">
        <v>3.39</v>
      </c>
      <c r="E499" s="5">
        <v>8.99</v>
      </c>
      <c r="F499" s="4" t="s">
        <v>2135</v>
      </c>
      <c r="G499" s="2" t="s">
        <v>1265</v>
      </c>
      <c r="H499" s="7" t="s">
        <v>482</v>
      </c>
      <c r="I499" s="2" t="s">
        <v>483</v>
      </c>
      <c r="J499" s="2" t="s">
        <v>536</v>
      </c>
      <c r="K499" s="2" t="s">
        <v>304</v>
      </c>
      <c r="L499" s="2" t="s">
        <v>206</v>
      </c>
      <c r="M499" s="8" t="str">
        <f>HYPERLINK("http://slimages.macys.com/is/image/MCY/13337500 ")</f>
        <v xml:space="preserve">http://slimages.macys.com/is/image/MCY/13337500 </v>
      </c>
    </row>
    <row r="500" spans="1:13" ht="60" x14ac:dyDescent="0.25">
      <c r="A500" s="7" t="s">
        <v>11698</v>
      </c>
      <c r="B500" s="2" t="s">
        <v>2134</v>
      </c>
      <c r="C500" s="4">
        <v>1</v>
      </c>
      <c r="D500" s="5">
        <v>3.39</v>
      </c>
      <c r="E500" s="5">
        <v>8.99</v>
      </c>
      <c r="F500" s="4" t="s">
        <v>2135</v>
      </c>
      <c r="G500" s="2" t="s">
        <v>1265</v>
      </c>
      <c r="H500" s="7" t="s">
        <v>442</v>
      </c>
      <c r="I500" s="2" t="s">
        <v>483</v>
      </c>
      <c r="J500" s="2" t="s">
        <v>536</v>
      </c>
      <c r="K500" s="2" t="s">
        <v>304</v>
      </c>
      <c r="L500" s="2" t="s">
        <v>206</v>
      </c>
      <c r="M500" s="8" t="str">
        <f>HYPERLINK("http://slimages.macys.com/is/image/MCY/13337500 ")</f>
        <v xml:space="preserve">http://slimages.macys.com/is/image/MCY/13337500 </v>
      </c>
    </row>
    <row r="501" spans="1:13" ht="60" x14ac:dyDescent="0.25">
      <c r="A501" s="7" t="s">
        <v>11699</v>
      </c>
      <c r="B501" s="2" t="s">
        <v>4332</v>
      </c>
      <c r="C501" s="4">
        <v>1</v>
      </c>
      <c r="D501" s="5">
        <v>3.36</v>
      </c>
      <c r="E501" s="5">
        <v>7.99</v>
      </c>
      <c r="F501" s="4" t="s">
        <v>4333</v>
      </c>
      <c r="G501" s="2" t="s">
        <v>103</v>
      </c>
      <c r="H501" s="7" t="s">
        <v>311</v>
      </c>
      <c r="I501" s="2" t="s">
        <v>1689</v>
      </c>
      <c r="J501" s="2" t="s">
        <v>354</v>
      </c>
      <c r="K501" s="2" t="s">
        <v>304</v>
      </c>
      <c r="L501" s="2" t="s">
        <v>596</v>
      </c>
      <c r="M501" s="8" t="str">
        <f>HYPERLINK("http://slimages.macys.com/is/image/MCY/12492777 ")</f>
        <v xml:space="preserve">http://slimages.macys.com/is/image/MCY/12492777 </v>
      </c>
    </row>
    <row r="502" spans="1:13" ht="60" x14ac:dyDescent="0.25">
      <c r="A502" s="7" t="s">
        <v>11700</v>
      </c>
      <c r="B502" s="2" t="s">
        <v>4332</v>
      </c>
      <c r="C502" s="4">
        <v>1</v>
      </c>
      <c r="D502" s="5">
        <v>3.36</v>
      </c>
      <c r="E502" s="5">
        <v>7.99</v>
      </c>
      <c r="F502" s="4" t="s">
        <v>4333</v>
      </c>
      <c r="G502" s="2" t="s">
        <v>103</v>
      </c>
      <c r="H502" s="7" t="s">
        <v>63</v>
      </c>
      <c r="I502" s="2" t="s">
        <v>1689</v>
      </c>
      <c r="J502" s="2" t="s">
        <v>354</v>
      </c>
      <c r="K502" s="2" t="s">
        <v>304</v>
      </c>
      <c r="L502" s="2" t="s">
        <v>596</v>
      </c>
      <c r="M502" s="8" t="str">
        <f>HYPERLINK("http://slimages.macys.com/is/image/MCY/12492777 ")</f>
        <v xml:space="preserve">http://slimages.macys.com/is/image/MCY/12492777 </v>
      </c>
    </row>
    <row r="503" spans="1:13" ht="60" x14ac:dyDescent="0.25">
      <c r="A503" s="7" t="s">
        <v>10270</v>
      </c>
      <c r="B503" s="2" t="s">
        <v>4332</v>
      </c>
      <c r="C503" s="4">
        <v>1</v>
      </c>
      <c r="D503" s="5">
        <v>3.36</v>
      </c>
      <c r="E503" s="5">
        <v>7.99</v>
      </c>
      <c r="F503" s="4" t="s">
        <v>4333</v>
      </c>
      <c r="G503" s="2" t="s">
        <v>103</v>
      </c>
      <c r="H503" s="7" t="s">
        <v>123</v>
      </c>
      <c r="I503" s="2" t="s">
        <v>1689</v>
      </c>
      <c r="J503" s="2" t="s">
        <v>354</v>
      </c>
      <c r="K503" s="2" t="s">
        <v>304</v>
      </c>
      <c r="L503" s="2" t="s">
        <v>596</v>
      </c>
      <c r="M503" s="8" t="str">
        <f>HYPERLINK("http://slimages.macys.com/is/image/MCY/12492777 ")</f>
        <v xml:space="preserve">http://slimages.macys.com/is/image/MCY/12492777 </v>
      </c>
    </row>
    <row r="504" spans="1:13" ht="60" x14ac:dyDescent="0.25">
      <c r="A504" s="7" t="s">
        <v>11701</v>
      </c>
      <c r="B504" s="2" t="s">
        <v>11702</v>
      </c>
      <c r="C504" s="4">
        <v>1</v>
      </c>
      <c r="D504" s="5">
        <v>3.34</v>
      </c>
      <c r="E504" s="5">
        <v>7.99</v>
      </c>
      <c r="F504" s="4" t="s">
        <v>11703</v>
      </c>
      <c r="G504" s="2" t="s">
        <v>657</v>
      </c>
      <c r="H504" s="7" t="s">
        <v>311</v>
      </c>
      <c r="I504" s="2" t="s">
        <v>292</v>
      </c>
      <c r="J504" s="2" t="s">
        <v>354</v>
      </c>
      <c r="K504" s="2" t="s">
        <v>304</v>
      </c>
      <c r="L504" s="2" t="s">
        <v>119</v>
      </c>
      <c r="M504" s="8" t="str">
        <f>HYPERLINK("http://slimages.macys.com/is/image/MCY/14587361 ")</f>
        <v xml:space="preserve">http://slimages.macys.com/is/image/MCY/14587361 </v>
      </c>
    </row>
    <row r="505" spans="1:13" ht="60" x14ac:dyDescent="0.25">
      <c r="A505" s="7" t="s">
        <v>568</v>
      </c>
      <c r="B505" s="2" t="s">
        <v>569</v>
      </c>
      <c r="C505" s="4">
        <v>1</v>
      </c>
      <c r="D505" s="5">
        <v>3.33</v>
      </c>
      <c r="E505" s="5">
        <v>7.99</v>
      </c>
      <c r="F505" s="4" t="s">
        <v>570</v>
      </c>
      <c r="G505" s="2" t="s">
        <v>86</v>
      </c>
      <c r="H505" s="7" t="s">
        <v>209</v>
      </c>
      <c r="I505" s="2" t="s">
        <v>292</v>
      </c>
      <c r="J505" s="2" t="s">
        <v>354</v>
      </c>
      <c r="K505" s="2" t="s">
        <v>304</v>
      </c>
      <c r="L505" s="2" t="s">
        <v>571</v>
      </c>
      <c r="M505" s="8" t="str">
        <f>HYPERLINK("http://slimages.macys.com/is/image/MCY/12684379 ")</f>
        <v xml:space="preserve">http://slimages.macys.com/is/image/MCY/12684379 </v>
      </c>
    </row>
    <row r="506" spans="1:13" ht="60" x14ac:dyDescent="0.25">
      <c r="A506" s="7" t="s">
        <v>8388</v>
      </c>
      <c r="B506" s="2" t="s">
        <v>2138</v>
      </c>
      <c r="C506" s="4">
        <v>2</v>
      </c>
      <c r="D506" s="5">
        <v>3.3</v>
      </c>
      <c r="E506" s="5">
        <v>7.99</v>
      </c>
      <c r="F506" s="4" t="s">
        <v>2139</v>
      </c>
      <c r="G506" s="2" t="s">
        <v>62</v>
      </c>
      <c r="H506" s="7" t="s">
        <v>123</v>
      </c>
      <c r="I506" s="2" t="s">
        <v>1689</v>
      </c>
      <c r="J506" s="2" t="s">
        <v>354</v>
      </c>
      <c r="K506" s="2" t="s">
        <v>304</v>
      </c>
      <c r="L506" s="2" t="s">
        <v>119</v>
      </c>
      <c r="M506" s="8" t="str">
        <f>HYPERLINK("http://slimages.macys.com/is/image/MCY/10178138 ")</f>
        <v xml:space="preserve">http://slimages.macys.com/is/image/MCY/10178138 </v>
      </c>
    </row>
    <row r="507" spans="1:13" ht="60" x14ac:dyDescent="0.25">
      <c r="A507" s="7" t="s">
        <v>7042</v>
      </c>
      <c r="B507" s="2" t="s">
        <v>1173</v>
      </c>
      <c r="C507" s="4">
        <v>1</v>
      </c>
      <c r="D507" s="5">
        <v>3.3</v>
      </c>
      <c r="E507" s="5">
        <v>6.99</v>
      </c>
      <c r="F507" s="4">
        <v>7128</v>
      </c>
      <c r="G507" s="2" t="s">
        <v>310</v>
      </c>
      <c r="H507" s="7" t="s">
        <v>196</v>
      </c>
      <c r="I507" s="2" t="s">
        <v>523</v>
      </c>
      <c r="J507" s="2" t="s">
        <v>969</v>
      </c>
      <c r="K507" s="2" t="s">
        <v>304</v>
      </c>
      <c r="L507" s="2" t="s">
        <v>1036</v>
      </c>
      <c r="M507" s="8" t="str">
        <f>HYPERLINK("http://slimages.macys.com/is/image/MCY/14718518 ")</f>
        <v xml:space="preserve">http://slimages.macys.com/is/image/MCY/14718518 </v>
      </c>
    </row>
    <row r="508" spans="1:13" ht="60" x14ac:dyDescent="0.25">
      <c r="A508" s="7" t="s">
        <v>11704</v>
      </c>
      <c r="B508" s="2" t="s">
        <v>2138</v>
      </c>
      <c r="C508" s="4">
        <v>1</v>
      </c>
      <c r="D508" s="5">
        <v>3.3</v>
      </c>
      <c r="E508" s="5">
        <v>7.99</v>
      </c>
      <c r="F508" s="4" t="s">
        <v>2139</v>
      </c>
      <c r="G508" s="2" t="s">
        <v>36</v>
      </c>
      <c r="H508" s="7" t="s">
        <v>514</v>
      </c>
      <c r="I508" s="2" t="s">
        <v>1689</v>
      </c>
      <c r="J508" s="2" t="s">
        <v>354</v>
      </c>
      <c r="K508" s="2" t="s">
        <v>304</v>
      </c>
      <c r="L508" s="2" t="s">
        <v>119</v>
      </c>
      <c r="M508" s="8" t="str">
        <f t="shared" ref="M508:M513" si="1">HYPERLINK("http://slimages.macys.com/is/image/MCY/10178138 ")</f>
        <v xml:space="preserve">http://slimages.macys.com/is/image/MCY/10178138 </v>
      </c>
    </row>
    <row r="509" spans="1:13" ht="60" x14ac:dyDescent="0.25">
      <c r="A509" s="7" t="s">
        <v>8398</v>
      </c>
      <c r="B509" s="2" t="s">
        <v>2138</v>
      </c>
      <c r="C509" s="4">
        <v>1</v>
      </c>
      <c r="D509" s="5">
        <v>3.3</v>
      </c>
      <c r="E509" s="5">
        <v>7.99</v>
      </c>
      <c r="F509" s="4" t="s">
        <v>2139</v>
      </c>
      <c r="G509" s="2" t="s">
        <v>36</v>
      </c>
      <c r="H509" s="7" t="s">
        <v>123</v>
      </c>
      <c r="I509" s="2" t="s">
        <v>1689</v>
      </c>
      <c r="J509" s="2" t="s">
        <v>354</v>
      </c>
      <c r="K509" s="2" t="s">
        <v>304</v>
      </c>
      <c r="L509" s="2" t="s">
        <v>119</v>
      </c>
      <c r="M509" s="8" t="str">
        <f t="shared" si="1"/>
        <v xml:space="preserve">http://slimages.macys.com/is/image/MCY/10178138 </v>
      </c>
    </row>
    <row r="510" spans="1:13" ht="60" x14ac:dyDescent="0.25">
      <c r="A510" s="7" t="s">
        <v>8399</v>
      </c>
      <c r="B510" s="2" t="s">
        <v>2138</v>
      </c>
      <c r="C510" s="4">
        <v>1</v>
      </c>
      <c r="D510" s="5">
        <v>3.3</v>
      </c>
      <c r="E510" s="5">
        <v>7.99</v>
      </c>
      <c r="F510" s="4" t="s">
        <v>2139</v>
      </c>
      <c r="G510" s="2" t="s">
        <v>582</v>
      </c>
      <c r="H510" s="7" t="s">
        <v>514</v>
      </c>
      <c r="I510" s="2" t="s">
        <v>1689</v>
      </c>
      <c r="J510" s="2" t="s">
        <v>354</v>
      </c>
      <c r="K510" s="2" t="s">
        <v>304</v>
      </c>
      <c r="L510" s="2" t="s">
        <v>119</v>
      </c>
      <c r="M510" s="8" t="str">
        <f t="shared" si="1"/>
        <v xml:space="preserve">http://slimages.macys.com/is/image/MCY/10178138 </v>
      </c>
    </row>
    <row r="511" spans="1:13" ht="60" x14ac:dyDescent="0.25">
      <c r="A511" s="7" t="s">
        <v>8394</v>
      </c>
      <c r="B511" s="2" t="s">
        <v>2138</v>
      </c>
      <c r="C511" s="4">
        <v>1</v>
      </c>
      <c r="D511" s="5">
        <v>3.3</v>
      </c>
      <c r="E511" s="5">
        <v>7.99</v>
      </c>
      <c r="F511" s="4" t="s">
        <v>2139</v>
      </c>
      <c r="G511" s="2" t="s">
        <v>582</v>
      </c>
      <c r="H511" s="7" t="s">
        <v>311</v>
      </c>
      <c r="I511" s="2" t="s">
        <v>1689</v>
      </c>
      <c r="J511" s="2" t="s">
        <v>354</v>
      </c>
      <c r="K511" s="2" t="s">
        <v>304</v>
      </c>
      <c r="L511" s="2" t="s">
        <v>119</v>
      </c>
      <c r="M511" s="8" t="str">
        <f t="shared" si="1"/>
        <v xml:space="preserve">http://slimages.macys.com/is/image/MCY/10178138 </v>
      </c>
    </row>
    <row r="512" spans="1:13" ht="60" x14ac:dyDescent="0.25">
      <c r="A512" s="7" t="s">
        <v>8400</v>
      </c>
      <c r="B512" s="2" t="s">
        <v>2138</v>
      </c>
      <c r="C512" s="4">
        <v>1</v>
      </c>
      <c r="D512" s="5">
        <v>3.3</v>
      </c>
      <c r="E512" s="5">
        <v>7.99</v>
      </c>
      <c r="F512" s="4" t="s">
        <v>2139</v>
      </c>
      <c r="G512" s="2" t="s">
        <v>86</v>
      </c>
      <c r="H512" s="7" t="s">
        <v>514</v>
      </c>
      <c r="I512" s="2" t="s">
        <v>1689</v>
      </c>
      <c r="J512" s="2" t="s">
        <v>354</v>
      </c>
      <c r="K512" s="2" t="s">
        <v>304</v>
      </c>
      <c r="L512" s="2" t="s">
        <v>119</v>
      </c>
      <c r="M512" s="8" t="str">
        <f t="shared" si="1"/>
        <v xml:space="preserve">http://slimages.macys.com/is/image/MCY/10178138 </v>
      </c>
    </row>
    <row r="513" spans="1:13" ht="60" x14ac:dyDescent="0.25">
      <c r="A513" s="7" t="s">
        <v>6447</v>
      </c>
      <c r="B513" s="2" t="s">
        <v>2138</v>
      </c>
      <c r="C513" s="4">
        <v>1</v>
      </c>
      <c r="D513" s="5">
        <v>3.3</v>
      </c>
      <c r="E513" s="5">
        <v>7.99</v>
      </c>
      <c r="F513" s="4" t="s">
        <v>2139</v>
      </c>
      <c r="G513" s="2" t="s">
        <v>62</v>
      </c>
      <c r="H513" s="7" t="s">
        <v>1151</v>
      </c>
      <c r="I513" s="2" t="s">
        <v>1689</v>
      </c>
      <c r="J513" s="2" t="s">
        <v>354</v>
      </c>
      <c r="K513" s="2" t="s">
        <v>304</v>
      </c>
      <c r="L513" s="2" t="s">
        <v>119</v>
      </c>
      <c r="M513" s="8" t="str">
        <f t="shared" si="1"/>
        <v xml:space="preserve">http://slimages.macys.com/is/image/MCY/10178138 </v>
      </c>
    </row>
    <row r="514" spans="1:13" ht="60" x14ac:dyDescent="0.25">
      <c r="A514" s="7" t="s">
        <v>4366</v>
      </c>
      <c r="B514" s="2" t="s">
        <v>2150</v>
      </c>
      <c r="C514" s="4">
        <v>1</v>
      </c>
      <c r="D514" s="5">
        <v>3.29</v>
      </c>
      <c r="E514" s="5">
        <v>7.99</v>
      </c>
      <c r="F514" s="4" t="s">
        <v>2151</v>
      </c>
      <c r="G514" s="2" t="s">
        <v>86</v>
      </c>
      <c r="H514" s="7" t="s">
        <v>514</v>
      </c>
      <c r="I514" s="2" t="s">
        <v>1689</v>
      </c>
      <c r="J514" s="2" t="s">
        <v>354</v>
      </c>
      <c r="K514" s="2" t="s">
        <v>304</v>
      </c>
      <c r="L514" s="2" t="s">
        <v>119</v>
      </c>
      <c r="M514" s="8" t="str">
        <f>HYPERLINK("http://slimages.macys.com/is/image/MCY/12938525 ")</f>
        <v xml:space="preserve">http://slimages.macys.com/is/image/MCY/12938525 </v>
      </c>
    </row>
    <row r="515" spans="1:13" ht="60" x14ac:dyDescent="0.25">
      <c r="A515" s="7" t="s">
        <v>7048</v>
      </c>
      <c r="B515" s="2" t="s">
        <v>2150</v>
      </c>
      <c r="C515" s="4">
        <v>1</v>
      </c>
      <c r="D515" s="5">
        <v>3.29</v>
      </c>
      <c r="E515" s="5">
        <v>7.99</v>
      </c>
      <c r="F515" s="4" t="s">
        <v>2151</v>
      </c>
      <c r="G515" s="2" t="s">
        <v>86</v>
      </c>
      <c r="H515" s="7" t="s">
        <v>1151</v>
      </c>
      <c r="I515" s="2" t="s">
        <v>1689</v>
      </c>
      <c r="J515" s="2" t="s">
        <v>354</v>
      </c>
      <c r="K515" s="2" t="s">
        <v>304</v>
      </c>
      <c r="L515" s="2" t="s">
        <v>119</v>
      </c>
      <c r="M515" s="8" t="str">
        <f>HYPERLINK("http://slimages.macys.com/is/image/MCY/12938525 ")</f>
        <v xml:space="preserve">http://slimages.macys.com/is/image/MCY/12938525 </v>
      </c>
    </row>
    <row r="516" spans="1:13" ht="60" x14ac:dyDescent="0.25">
      <c r="A516" s="7" t="s">
        <v>11705</v>
      </c>
      <c r="B516" s="2" t="s">
        <v>11706</v>
      </c>
      <c r="C516" s="4">
        <v>1</v>
      </c>
      <c r="D516" s="5">
        <v>3.29</v>
      </c>
      <c r="E516" s="5">
        <v>7.99</v>
      </c>
      <c r="F516" s="4" t="s">
        <v>11707</v>
      </c>
      <c r="G516" s="2" t="s">
        <v>103</v>
      </c>
      <c r="H516" s="7" t="s">
        <v>63</v>
      </c>
      <c r="I516" s="2" t="s">
        <v>1689</v>
      </c>
      <c r="J516" s="2" t="s">
        <v>354</v>
      </c>
      <c r="K516" s="2" t="s">
        <v>304</v>
      </c>
      <c r="L516" s="2" t="s">
        <v>119</v>
      </c>
      <c r="M516" s="8" t="str">
        <f>HYPERLINK("http://slimages.macys.com/is/image/MCY/11776834 ")</f>
        <v xml:space="preserve">http://slimages.macys.com/is/image/MCY/11776834 </v>
      </c>
    </row>
    <row r="517" spans="1:13" ht="60" x14ac:dyDescent="0.25">
      <c r="A517" s="7" t="s">
        <v>10275</v>
      </c>
      <c r="B517" s="2" t="s">
        <v>2147</v>
      </c>
      <c r="C517" s="4">
        <v>1</v>
      </c>
      <c r="D517" s="5">
        <v>3.29</v>
      </c>
      <c r="E517" s="5">
        <v>7.99</v>
      </c>
      <c r="F517" s="4" t="s">
        <v>2148</v>
      </c>
      <c r="G517" s="2" t="s">
        <v>103</v>
      </c>
      <c r="H517" s="7" t="s">
        <v>578</v>
      </c>
      <c r="I517" s="2" t="s">
        <v>1689</v>
      </c>
      <c r="J517" s="2" t="s">
        <v>354</v>
      </c>
      <c r="K517" s="2" t="s">
        <v>304</v>
      </c>
      <c r="L517" s="2" t="s">
        <v>119</v>
      </c>
      <c r="M517" s="8" t="str">
        <f>HYPERLINK("http://slimages.macys.com/is/image/MCY/12938500 ")</f>
        <v xml:space="preserve">http://slimages.macys.com/is/image/MCY/12938500 </v>
      </c>
    </row>
    <row r="518" spans="1:13" ht="60" x14ac:dyDescent="0.25">
      <c r="A518" s="7" t="s">
        <v>10272</v>
      </c>
      <c r="B518" s="2" t="s">
        <v>10273</v>
      </c>
      <c r="C518" s="4">
        <v>1</v>
      </c>
      <c r="D518" s="5">
        <v>3.29</v>
      </c>
      <c r="E518" s="5">
        <v>7.99</v>
      </c>
      <c r="F518" s="4" t="s">
        <v>10274</v>
      </c>
      <c r="G518" s="2" t="s">
        <v>582</v>
      </c>
      <c r="H518" s="7" t="s">
        <v>123</v>
      </c>
      <c r="I518" s="2" t="s">
        <v>1689</v>
      </c>
      <c r="J518" s="2" t="s">
        <v>354</v>
      </c>
      <c r="K518" s="2" t="s">
        <v>304</v>
      </c>
      <c r="L518" s="2" t="s">
        <v>119</v>
      </c>
      <c r="M518" s="8" t="str">
        <f>HYPERLINK("http://slimages.macys.com/is/image/MCY/11976245 ")</f>
        <v xml:space="preserve">http://slimages.macys.com/is/image/MCY/11976245 </v>
      </c>
    </row>
    <row r="519" spans="1:13" ht="60" x14ac:dyDescent="0.25">
      <c r="A519" s="7" t="s">
        <v>9183</v>
      </c>
      <c r="B519" s="2" t="s">
        <v>7095</v>
      </c>
      <c r="C519" s="4">
        <v>1</v>
      </c>
      <c r="D519" s="5">
        <v>3.21</v>
      </c>
      <c r="E519" s="5">
        <v>7.99</v>
      </c>
      <c r="F519" s="4" t="s">
        <v>7096</v>
      </c>
      <c r="G519" s="2" t="s">
        <v>41</v>
      </c>
      <c r="H519" s="7" t="s">
        <v>1151</v>
      </c>
      <c r="I519" s="2" t="s">
        <v>483</v>
      </c>
      <c r="J519" s="2" t="s">
        <v>536</v>
      </c>
      <c r="K519" s="2" t="s">
        <v>304</v>
      </c>
      <c r="L519" s="2" t="s">
        <v>38</v>
      </c>
      <c r="M519" s="8" t="str">
        <f>HYPERLINK("http://slimages.macys.com/is/image/MCY/13987340 ")</f>
        <v xml:space="preserve">http://slimages.macys.com/is/image/MCY/13987340 </v>
      </c>
    </row>
    <row r="520" spans="1:13" ht="60" x14ac:dyDescent="0.25">
      <c r="A520" s="7" t="s">
        <v>7097</v>
      </c>
      <c r="B520" s="2" t="s">
        <v>7098</v>
      </c>
      <c r="C520" s="4">
        <v>2</v>
      </c>
      <c r="D520" s="5">
        <v>3.2</v>
      </c>
      <c r="E520" s="5">
        <v>6.99</v>
      </c>
      <c r="F520" s="4">
        <v>7132</v>
      </c>
      <c r="G520" s="2" t="s">
        <v>103</v>
      </c>
      <c r="H520" s="7" t="s">
        <v>228</v>
      </c>
      <c r="I520" s="2" t="s">
        <v>523</v>
      </c>
      <c r="J520" s="2" t="s">
        <v>969</v>
      </c>
      <c r="K520" s="2" t="s">
        <v>304</v>
      </c>
      <c r="L520" s="2" t="s">
        <v>7099</v>
      </c>
      <c r="M520" s="8" t="str">
        <f>HYPERLINK("http://slimages.macys.com/is/image/MCY/13403928 ")</f>
        <v xml:space="preserve">http://slimages.macys.com/is/image/MCY/13403928 </v>
      </c>
    </row>
    <row r="521" spans="1:13" ht="60" x14ac:dyDescent="0.25">
      <c r="A521" s="7" t="s">
        <v>9184</v>
      </c>
      <c r="B521" s="2" t="s">
        <v>7098</v>
      </c>
      <c r="C521" s="4">
        <v>1</v>
      </c>
      <c r="D521" s="5">
        <v>3.2</v>
      </c>
      <c r="E521" s="5">
        <v>6.99</v>
      </c>
      <c r="F521" s="4">
        <v>7132</v>
      </c>
      <c r="G521" s="2" t="s">
        <v>103</v>
      </c>
      <c r="H521" s="7" t="s">
        <v>196</v>
      </c>
      <c r="I521" s="2" t="s">
        <v>523</v>
      </c>
      <c r="J521" s="2" t="s">
        <v>969</v>
      </c>
      <c r="K521" s="2" t="s">
        <v>304</v>
      </c>
      <c r="L521" s="2" t="s">
        <v>7099</v>
      </c>
      <c r="M521" s="8" t="str">
        <f>HYPERLINK("http://slimages.macys.com/is/image/MCY/13403928 ")</f>
        <v xml:space="preserve">http://slimages.macys.com/is/image/MCY/13403928 </v>
      </c>
    </row>
    <row r="522" spans="1:13" ht="60" x14ac:dyDescent="0.25">
      <c r="A522" s="7" t="s">
        <v>4373</v>
      </c>
      <c r="B522" s="2" t="s">
        <v>2160</v>
      </c>
      <c r="C522" s="4">
        <v>1</v>
      </c>
      <c r="D522" s="5">
        <v>3.15</v>
      </c>
      <c r="E522" s="5">
        <v>7.99</v>
      </c>
      <c r="F522" s="4" t="s">
        <v>2161</v>
      </c>
      <c r="G522" s="2" t="s">
        <v>657</v>
      </c>
      <c r="H522" s="7" t="s">
        <v>578</v>
      </c>
      <c r="I522" s="2" t="s">
        <v>483</v>
      </c>
      <c r="J522" s="2" t="s">
        <v>536</v>
      </c>
      <c r="K522" s="2" t="s">
        <v>304</v>
      </c>
      <c r="L522" s="2" t="s">
        <v>119</v>
      </c>
      <c r="M522" s="8" t="str">
        <f>HYPERLINK("http://slimages.macys.com/is/image/MCY/12644604 ")</f>
        <v xml:space="preserve">http://slimages.macys.com/is/image/MCY/12644604 </v>
      </c>
    </row>
    <row r="523" spans="1:13" ht="60" x14ac:dyDescent="0.25">
      <c r="A523" s="7" t="s">
        <v>11708</v>
      </c>
      <c r="B523" s="2" t="s">
        <v>585</v>
      </c>
      <c r="C523" s="4">
        <v>1</v>
      </c>
      <c r="D523" s="5">
        <v>3.14</v>
      </c>
      <c r="E523" s="5">
        <v>7.99</v>
      </c>
      <c r="F523" s="4">
        <v>10004192500</v>
      </c>
      <c r="G523" s="2" t="s">
        <v>297</v>
      </c>
      <c r="H523" s="7" t="s">
        <v>586</v>
      </c>
      <c r="I523" s="2" t="s">
        <v>483</v>
      </c>
      <c r="J523" s="2" t="s">
        <v>536</v>
      </c>
      <c r="K523" s="2" t="s">
        <v>304</v>
      </c>
      <c r="L523" s="2" t="s">
        <v>75</v>
      </c>
      <c r="M523" s="8" t="str">
        <f>HYPERLINK("http://slimages.macys.com/is/image/MCY/11519410 ")</f>
        <v xml:space="preserve">http://slimages.macys.com/is/image/MCY/11519410 </v>
      </c>
    </row>
    <row r="524" spans="1:13" ht="60" x14ac:dyDescent="0.25">
      <c r="A524" s="7" t="s">
        <v>8411</v>
      </c>
      <c r="B524" s="2" t="s">
        <v>585</v>
      </c>
      <c r="C524" s="4">
        <v>1</v>
      </c>
      <c r="D524" s="5">
        <v>3.14</v>
      </c>
      <c r="E524" s="5">
        <v>7.99</v>
      </c>
      <c r="F524" s="4">
        <v>10004192500</v>
      </c>
      <c r="G524" s="2" t="s">
        <v>171</v>
      </c>
      <c r="H524" s="7" t="s">
        <v>604</v>
      </c>
      <c r="I524" s="2" t="s">
        <v>483</v>
      </c>
      <c r="J524" s="2" t="s">
        <v>536</v>
      </c>
      <c r="K524" s="2" t="s">
        <v>304</v>
      </c>
      <c r="L524" s="2" t="s">
        <v>75</v>
      </c>
      <c r="M524" s="8" t="str">
        <f>HYPERLINK("http://slimages.macys.com/is/image/MCY/11519409 ")</f>
        <v xml:space="preserve">http://slimages.macys.com/is/image/MCY/11519409 </v>
      </c>
    </row>
    <row r="525" spans="1:13" ht="60" x14ac:dyDescent="0.25">
      <c r="A525" s="7" t="s">
        <v>584</v>
      </c>
      <c r="B525" s="2" t="s">
        <v>585</v>
      </c>
      <c r="C525" s="4">
        <v>1</v>
      </c>
      <c r="D525" s="5">
        <v>3.14</v>
      </c>
      <c r="E525" s="5">
        <v>7.99</v>
      </c>
      <c r="F525" s="4">
        <v>10004192500</v>
      </c>
      <c r="G525" s="2" t="s">
        <v>171</v>
      </c>
      <c r="H525" s="7" t="s">
        <v>586</v>
      </c>
      <c r="I525" s="2" t="s">
        <v>483</v>
      </c>
      <c r="J525" s="2" t="s">
        <v>536</v>
      </c>
      <c r="K525" s="2" t="s">
        <v>304</v>
      </c>
      <c r="L525" s="2" t="s">
        <v>75</v>
      </c>
      <c r="M525" s="8" t="str">
        <f>HYPERLINK("http://slimages.macys.com/is/image/MCY/11519409 ")</f>
        <v xml:space="preserve">http://slimages.macys.com/is/image/MCY/11519409 </v>
      </c>
    </row>
    <row r="526" spans="1:13" ht="60" x14ac:dyDescent="0.25">
      <c r="A526" s="7" t="s">
        <v>9730</v>
      </c>
      <c r="B526" s="2" t="s">
        <v>1183</v>
      </c>
      <c r="C526" s="4">
        <v>11</v>
      </c>
      <c r="D526" s="5">
        <v>3.03</v>
      </c>
      <c r="E526" s="5">
        <v>7.99</v>
      </c>
      <c r="F526" s="4" t="s">
        <v>1184</v>
      </c>
      <c r="G526" s="2" t="s">
        <v>41</v>
      </c>
      <c r="H526" s="7" t="s">
        <v>578</v>
      </c>
      <c r="I526" s="2" t="s">
        <v>483</v>
      </c>
      <c r="J526" s="2" t="s">
        <v>536</v>
      </c>
      <c r="K526" s="2" t="s">
        <v>304</v>
      </c>
      <c r="L526" s="2" t="s">
        <v>38</v>
      </c>
      <c r="M526" s="8" t="str">
        <f>HYPERLINK("http://slimages.macys.com/is/image/MCY/13987599 ")</f>
        <v xml:space="preserve">http://slimages.macys.com/is/image/MCY/13987599 </v>
      </c>
    </row>
    <row r="527" spans="1:13" ht="60" x14ac:dyDescent="0.25">
      <c r="A527" s="7" t="s">
        <v>2166</v>
      </c>
      <c r="B527" s="2" t="s">
        <v>1183</v>
      </c>
      <c r="C527" s="4">
        <v>18</v>
      </c>
      <c r="D527" s="5">
        <v>3.03</v>
      </c>
      <c r="E527" s="5">
        <v>7.99</v>
      </c>
      <c r="F527" s="4" t="s">
        <v>1184</v>
      </c>
      <c r="G527" s="2" t="s">
        <v>41</v>
      </c>
      <c r="H527" s="7" t="s">
        <v>1151</v>
      </c>
      <c r="I527" s="2" t="s">
        <v>483</v>
      </c>
      <c r="J527" s="2" t="s">
        <v>536</v>
      </c>
      <c r="K527" s="2" t="s">
        <v>304</v>
      </c>
      <c r="L527" s="2" t="s">
        <v>38</v>
      </c>
      <c r="M527" s="8" t="str">
        <f>HYPERLINK("http://slimages.macys.com/is/image/MCY/13987599 ")</f>
        <v xml:space="preserve">http://slimages.macys.com/is/image/MCY/13987599 </v>
      </c>
    </row>
    <row r="528" spans="1:13" ht="60" x14ac:dyDescent="0.25">
      <c r="A528" s="7" t="s">
        <v>1182</v>
      </c>
      <c r="B528" s="2" t="s">
        <v>1183</v>
      </c>
      <c r="C528" s="4">
        <v>14</v>
      </c>
      <c r="D528" s="5">
        <v>3.03</v>
      </c>
      <c r="E528" s="5">
        <v>7.99</v>
      </c>
      <c r="F528" s="4" t="s">
        <v>1184</v>
      </c>
      <c r="G528" s="2" t="s">
        <v>41</v>
      </c>
      <c r="H528" s="7" t="s">
        <v>514</v>
      </c>
      <c r="I528" s="2" t="s">
        <v>483</v>
      </c>
      <c r="J528" s="2" t="s">
        <v>536</v>
      </c>
      <c r="K528" s="2" t="s">
        <v>304</v>
      </c>
      <c r="L528" s="2" t="s">
        <v>38</v>
      </c>
      <c r="M528" s="8" t="str">
        <f>HYPERLINK("http://slimages.macys.com/is/image/MCY/13987599 ")</f>
        <v xml:space="preserve">http://slimages.macys.com/is/image/MCY/13987599 </v>
      </c>
    </row>
    <row r="529" spans="1:13" ht="60" x14ac:dyDescent="0.25">
      <c r="A529" s="7" t="s">
        <v>1185</v>
      </c>
      <c r="B529" s="2" t="s">
        <v>1186</v>
      </c>
      <c r="C529" s="4">
        <v>3</v>
      </c>
      <c r="D529" s="5">
        <v>3.03</v>
      </c>
      <c r="E529" s="5">
        <v>7.99</v>
      </c>
      <c r="F529" s="4" t="s">
        <v>1187</v>
      </c>
      <c r="G529" s="2" t="s">
        <v>41</v>
      </c>
      <c r="H529" s="7" t="s">
        <v>514</v>
      </c>
      <c r="I529" s="2" t="s">
        <v>483</v>
      </c>
      <c r="J529" s="2" t="s">
        <v>536</v>
      </c>
      <c r="K529" s="2" t="s">
        <v>304</v>
      </c>
      <c r="L529" s="2" t="s">
        <v>100</v>
      </c>
      <c r="M529" s="8" t="str">
        <f>HYPERLINK("http://slimages.macys.com/is/image/MCY/13337544 ")</f>
        <v xml:space="preserve">http://slimages.macys.com/is/image/MCY/13337544 </v>
      </c>
    </row>
    <row r="530" spans="1:13" ht="60" x14ac:dyDescent="0.25">
      <c r="A530" s="7" t="s">
        <v>2165</v>
      </c>
      <c r="B530" s="2" t="s">
        <v>1186</v>
      </c>
      <c r="C530" s="4">
        <v>4</v>
      </c>
      <c r="D530" s="5">
        <v>3.03</v>
      </c>
      <c r="E530" s="5">
        <v>7.99</v>
      </c>
      <c r="F530" s="4" t="s">
        <v>1187</v>
      </c>
      <c r="G530" s="2" t="s">
        <v>41</v>
      </c>
      <c r="H530" s="7" t="s">
        <v>1151</v>
      </c>
      <c r="I530" s="2" t="s">
        <v>483</v>
      </c>
      <c r="J530" s="2" t="s">
        <v>536</v>
      </c>
      <c r="K530" s="2" t="s">
        <v>304</v>
      </c>
      <c r="L530" s="2" t="s">
        <v>100</v>
      </c>
      <c r="M530" s="8" t="str">
        <f>HYPERLINK("http://slimages.macys.com/is/image/MCY/13337544 ")</f>
        <v xml:space="preserve">http://slimages.macys.com/is/image/MCY/13337544 </v>
      </c>
    </row>
    <row r="531" spans="1:13" ht="60" x14ac:dyDescent="0.25">
      <c r="A531" s="7" t="s">
        <v>6469</v>
      </c>
      <c r="B531" s="2" t="s">
        <v>2168</v>
      </c>
      <c r="C531" s="4">
        <v>1</v>
      </c>
      <c r="D531" s="5">
        <v>3.02</v>
      </c>
      <c r="E531" s="5">
        <v>7.99</v>
      </c>
      <c r="F531" s="4" t="s">
        <v>2169</v>
      </c>
      <c r="G531" s="2" t="s">
        <v>657</v>
      </c>
      <c r="H531" s="7" t="s">
        <v>1151</v>
      </c>
      <c r="I531" s="2" t="s">
        <v>483</v>
      </c>
      <c r="J531" s="2" t="s">
        <v>536</v>
      </c>
      <c r="K531" s="2" t="s">
        <v>304</v>
      </c>
      <c r="L531" s="2" t="s">
        <v>119</v>
      </c>
      <c r="M531" s="8" t="str">
        <f>HYPERLINK("http://slimages.macys.com/is/image/MCY/13987476 ")</f>
        <v xml:space="preserve">http://slimages.macys.com/is/image/MCY/13987476 </v>
      </c>
    </row>
    <row r="532" spans="1:13" ht="60" x14ac:dyDescent="0.25">
      <c r="A532" s="7" t="s">
        <v>6470</v>
      </c>
      <c r="B532" s="2" t="s">
        <v>1193</v>
      </c>
      <c r="C532" s="4">
        <v>1</v>
      </c>
      <c r="D532" s="5">
        <v>3.01</v>
      </c>
      <c r="E532" s="5">
        <v>7.99</v>
      </c>
      <c r="F532" s="4" t="s">
        <v>1194</v>
      </c>
      <c r="G532" s="2" t="s">
        <v>1147</v>
      </c>
      <c r="H532" s="7" t="s">
        <v>578</v>
      </c>
      <c r="I532" s="2" t="s">
        <v>483</v>
      </c>
      <c r="J532" s="2" t="s">
        <v>536</v>
      </c>
      <c r="K532" s="2" t="s">
        <v>304</v>
      </c>
      <c r="L532" s="2" t="s">
        <v>100</v>
      </c>
      <c r="M532" s="8" t="str">
        <f>HYPERLINK("http://slimages.macys.com/is/image/MCY/13987297 ")</f>
        <v xml:space="preserve">http://slimages.macys.com/is/image/MCY/13987297 </v>
      </c>
    </row>
    <row r="533" spans="1:13" ht="60" x14ac:dyDescent="0.25">
      <c r="A533" s="7" t="s">
        <v>2173</v>
      </c>
      <c r="B533" s="2" t="s">
        <v>2174</v>
      </c>
      <c r="C533" s="4">
        <v>1</v>
      </c>
      <c r="D533" s="5">
        <v>2.98</v>
      </c>
      <c r="E533" s="5">
        <v>7.99</v>
      </c>
      <c r="F533" s="4" t="s">
        <v>2175</v>
      </c>
      <c r="G533" s="2" t="s">
        <v>86</v>
      </c>
      <c r="H533" s="7" t="s">
        <v>514</v>
      </c>
      <c r="I533" s="2" t="s">
        <v>483</v>
      </c>
      <c r="J533" s="2" t="s">
        <v>536</v>
      </c>
      <c r="K533" s="2" t="s">
        <v>304</v>
      </c>
      <c r="L533" s="2" t="s">
        <v>38</v>
      </c>
      <c r="M533" s="8" t="str">
        <f>HYPERLINK("http://slimages.macys.com/is/image/MCY/11436902 ")</f>
        <v xml:space="preserve">http://slimages.macys.com/is/image/MCY/11436902 </v>
      </c>
    </row>
    <row r="534" spans="1:13" ht="60" x14ac:dyDescent="0.25">
      <c r="A534" s="7" t="s">
        <v>4401</v>
      </c>
      <c r="B534" s="2" t="s">
        <v>2183</v>
      </c>
      <c r="C534" s="4">
        <v>1</v>
      </c>
      <c r="D534" s="5">
        <v>2.97</v>
      </c>
      <c r="E534" s="5">
        <v>7.99</v>
      </c>
      <c r="F534" s="4" t="s">
        <v>2184</v>
      </c>
      <c r="G534" s="2" t="s">
        <v>595</v>
      </c>
      <c r="H534" s="7" t="s">
        <v>590</v>
      </c>
      <c r="I534" s="2" t="s">
        <v>483</v>
      </c>
      <c r="J534" s="2" t="s">
        <v>536</v>
      </c>
      <c r="K534" s="2" t="s">
        <v>304</v>
      </c>
      <c r="L534" s="2" t="s">
        <v>119</v>
      </c>
      <c r="M534" s="8" t="str">
        <f>HYPERLINK("http://slimages.macys.com/is/image/MCY/12465363 ")</f>
        <v xml:space="preserve">http://slimages.macys.com/is/image/MCY/12465363 </v>
      </c>
    </row>
    <row r="535" spans="1:13" ht="60" x14ac:dyDescent="0.25">
      <c r="A535" s="7" t="s">
        <v>2176</v>
      </c>
      <c r="B535" s="2" t="s">
        <v>2177</v>
      </c>
      <c r="C535" s="4">
        <v>1</v>
      </c>
      <c r="D535" s="5">
        <v>2.97</v>
      </c>
      <c r="E535" s="5">
        <v>7.99</v>
      </c>
      <c r="F535" s="4" t="s">
        <v>2178</v>
      </c>
      <c r="G535" s="2" t="s">
        <v>86</v>
      </c>
      <c r="H535" s="7" t="s">
        <v>149</v>
      </c>
      <c r="I535" s="2" t="s">
        <v>483</v>
      </c>
      <c r="J535" s="2" t="s">
        <v>536</v>
      </c>
      <c r="K535" s="2" t="s">
        <v>304</v>
      </c>
      <c r="L535" s="2" t="s">
        <v>119</v>
      </c>
      <c r="M535" s="8" t="str">
        <f>HYPERLINK("http://slimages.macys.com/is/image/MCY/12465218 ")</f>
        <v xml:space="preserve">http://slimages.macys.com/is/image/MCY/12465218 </v>
      </c>
    </row>
    <row r="536" spans="1:13" ht="60" x14ac:dyDescent="0.25">
      <c r="A536" s="7" t="s">
        <v>10633</v>
      </c>
      <c r="B536" s="2" t="s">
        <v>4399</v>
      </c>
      <c r="C536" s="4">
        <v>1</v>
      </c>
      <c r="D536" s="5">
        <v>2.97</v>
      </c>
      <c r="E536" s="5">
        <v>7.99</v>
      </c>
      <c r="F536" s="4" t="s">
        <v>4400</v>
      </c>
      <c r="G536" s="2" t="s">
        <v>171</v>
      </c>
      <c r="H536" s="7" t="s">
        <v>149</v>
      </c>
      <c r="I536" s="2" t="s">
        <v>483</v>
      </c>
      <c r="J536" s="2" t="s">
        <v>536</v>
      </c>
      <c r="K536" s="2" t="s">
        <v>304</v>
      </c>
      <c r="L536" s="2" t="s">
        <v>100</v>
      </c>
      <c r="M536" s="8" t="str">
        <f>HYPERLINK("http://slimages.macys.com/is/image/MCY/12465404 ")</f>
        <v xml:space="preserve">http://slimages.macys.com/is/image/MCY/12465404 </v>
      </c>
    </row>
    <row r="537" spans="1:13" ht="60" x14ac:dyDescent="0.25">
      <c r="A537" s="7" t="s">
        <v>11709</v>
      </c>
      <c r="B537" s="2" t="s">
        <v>7115</v>
      </c>
      <c r="C537" s="4">
        <v>1</v>
      </c>
      <c r="D537" s="5">
        <v>2.97</v>
      </c>
      <c r="E537" s="5">
        <v>7.99</v>
      </c>
      <c r="F537" s="4" t="s">
        <v>7116</v>
      </c>
      <c r="G537" s="2" t="s">
        <v>297</v>
      </c>
      <c r="H537" s="7"/>
      <c r="I537" s="2" t="s">
        <v>483</v>
      </c>
      <c r="J537" s="2" t="s">
        <v>536</v>
      </c>
      <c r="K537" s="2" t="s">
        <v>304</v>
      </c>
      <c r="L537" s="2" t="s">
        <v>119</v>
      </c>
      <c r="M537" s="8" t="str">
        <f>HYPERLINK("http://slimages.macys.com/is/image/MCY/12465218 ")</f>
        <v xml:space="preserve">http://slimages.macys.com/is/image/MCY/12465218 </v>
      </c>
    </row>
    <row r="538" spans="1:13" ht="60" x14ac:dyDescent="0.25">
      <c r="A538" s="7" t="s">
        <v>11710</v>
      </c>
      <c r="B538" s="2" t="s">
        <v>9732</v>
      </c>
      <c r="C538" s="4">
        <v>1</v>
      </c>
      <c r="D538" s="5">
        <v>2.97</v>
      </c>
      <c r="E538" s="5">
        <v>7.99</v>
      </c>
      <c r="F538" s="4" t="s">
        <v>9733</v>
      </c>
      <c r="G538" s="2" t="s">
        <v>1265</v>
      </c>
      <c r="H538" s="7" t="s">
        <v>149</v>
      </c>
      <c r="I538" s="2" t="s">
        <v>483</v>
      </c>
      <c r="J538" s="2" t="s">
        <v>536</v>
      </c>
      <c r="K538" s="2" t="s">
        <v>304</v>
      </c>
      <c r="L538" s="2" t="s">
        <v>100</v>
      </c>
      <c r="M538" s="8" t="str">
        <f>HYPERLINK("http://slimages.macys.com/is/image/MCY/12465404 ")</f>
        <v xml:space="preserve">http://slimages.macys.com/is/image/MCY/12465404 </v>
      </c>
    </row>
    <row r="539" spans="1:13" ht="60" x14ac:dyDescent="0.25">
      <c r="A539" s="7" t="s">
        <v>5662</v>
      </c>
      <c r="B539" s="2" t="s">
        <v>5663</v>
      </c>
      <c r="C539" s="4">
        <v>2</v>
      </c>
      <c r="D539" s="5">
        <v>2.96</v>
      </c>
      <c r="E539" s="5">
        <v>6.99</v>
      </c>
      <c r="F539" s="4" t="s">
        <v>5664</v>
      </c>
      <c r="G539" s="2" t="s">
        <v>28</v>
      </c>
      <c r="H539" s="7" t="s">
        <v>91</v>
      </c>
      <c r="I539" s="2" t="s">
        <v>483</v>
      </c>
      <c r="J539" s="2" t="s">
        <v>536</v>
      </c>
      <c r="K539" s="2" t="s">
        <v>304</v>
      </c>
      <c r="L539" s="2" t="s">
        <v>119</v>
      </c>
      <c r="M539" s="8" t="str">
        <f>HYPERLINK("http://slimages.macys.com/is/image/MCY/11436913 ")</f>
        <v xml:space="preserve">http://slimages.macys.com/is/image/MCY/11436913 </v>
      </c>
    </row>
    <row r="540" spans="1:13" ht="60" x14ac:dyDescent="0.25">
      <c r="A540" s="7" t="s">
        <v>11711</v>
      </c>
      <c r="B540" s="2" t="s">
        <v>5663</v>
      </c>
      <c r="C540" s="4">
        <v>1</v>
      </c>
      <c r="D540" s="5">
        <v>2.96</v>
      </c>
      <c r="E540" s="5">
        <v>6.99</v>
      </c>
      <c r="F540" s="4" t="s">
        <v>5664</v>
      </c>
      <c r="G540" s="2" t="s">
        <v>28</v>
      </c>
      <c r="H540" s="7" t="s">
        <v>42</v>
      </c>
      <c r="I540" s="2" t="s">
        <v>483</v>
      </c>
      <c r="J540" s="2" t="s">
        <v>536</v>
      </c>
      <c r="K540" s="2" t="s">
        <v>304</v>
      </c>
      <c r="L540" s="2" t="s">
        <v>119</v>
      </c>
      <c r="M540" s="8" t="str">
        <f>HYPERLINK("http://slimages.macys.com/is/image/MCY/11436913 ")</f>
        <v xml:space="preserve">http://slimages.macys.com/is/image/MCY/11436913 </v>
      </c>
    </row>
    <row r="541" spans="1:13" ht="60" x14ac:dyDescent="0.25">
      <c r="A541" s="7" t="s">
        <v>11712</v>
      </c>
      <c r="B541" s="2" t="s">
        <v>11713</v>
      </c>
      <c r="C541" s="4">
        <v>1</v>
      </c>
      <c r="D541" s="5">
        <v>2.94</v>
      </c>
      <c r="E541" s="5">
        <v>7.99</v>
      </c>
      <c r="F541" s="4" t="s">
        <v>11714</v>
      </c>
      <c r="G541" s="2" t="s">
        <v>129</v>
      </c>
      <c r="H541" s="7" t="s">
        <v>1151</v>
      </c>
      <c r="I541" s="2" t="s">
        <v>483</v>
      </c>
      <c r="J541" s="2" t="s">
        <v>536</v>
      </c>
      <c r="K541" s="2" t="s">
        <v>304</v>
      </c>
      <c r="L541" s="2" t="s">
        <v>100</v>
      </c>
      <c r="M541" s="8" t="str">
        <f>HYPERLINK("http://slimages.macys.com/is/image/MCY/11857562 ")</f>
        <v xml:space="preserve">http://slimages.macys.com/is/image/MCY/11857562 </v>
      </c>
    </row>
    <row r="542" spans="1:13" ht="60" x14ac:dyDescent="0.25">
      <c r="A542" s="7" t="s">
        <v>7119</v>
      </c>
      <c r="B542" s="2" t="s">
        <v>4418</v>
      </c>
      <c r="C542" s="4">
        <v>3</v>
      </c>
      <c r="D542" s="5">
        <v>2.94</v>
      </c>
      <c r="E542" s="5">
        <v>7.99</v>
      </c>
      <c r="F542" s="4" t="s">
        <v>4419</v>
      </c>
      <c r="G542" s="2" t="s">
        <v>28</v>
      </c>
      <c r="H542" s="7" t="s">
        <v>514</v>
      </c>
      <c r="I542" s="2" t="s">
        <v>483</v>
      </c>
      <c r="J542" s="2" t="s">
        <v>536</v>
      </c>
      <c r="K542" s="2" t="s">
        <v>304</v>
      </c>
      <c r="L542" s="2" t="s">
        <v>206</v>
      </c>
      <c r="M542" s="8" t="str">
        <f>HYPERLINK("http://slimages.macys.com/is/image/MCY/13386207 ")</f>
        <v xml:space="preserve">http://slimages.macys.com/is/image/MCY/13386207 </v>
      </c>
    </row>
    <row r="543" spans="1:13" ht="60" x14ac:dyDescent="0.25">
      <c r="A543" s="7" t="s">
        <v>7121</v>
      </c>
      <c r="B543" s="2" t="s">
        <v>4421</v>
      </c>
      <c r="C543" s="4">
        <v>5</v>
      </c>
      <c r="D543" s="5">
        <v>2.94</v>
      </c>
      <c r="E543" s="5">
        <v>7.99</v>
      </c>
      <c r="F543" s="4" t="s">
        <v>4422</v>
      </c>
      <c r="G543" s="2" t="s">
        <v>41</v>
      </c>
      <c r="H543" s="7" t="s">
        <v>514</v>
      </c>
      <c r="I543" s="2" t="s">
        <v>483</v>
      </c>
      <c r="J543" s="2" t="s">
        <v>536</v>
      </c>
      <c r="K543" s="2" t="s">
        <v>304</v>
      </c>
      <c r="L543" s="2" t="s">
        <v>206</v>
      </c>
      <c r="M543" s="8" t="str">
        <f>HYPERLINK("http://slimages.macys.com/is/image/MCY/13385820 ")</f>
        <v xml:space="preserve">http://slimages.macys.com/is/image/MCY/13385820 </v>
      </c>
    </row>
    <row r="544" spans="1:13" ht="60" x14ac:dyDescent="0.25">
      <c r="A544" s="7" t="s">
        <v>9737</v>
      </c>
      <c r="B544" s="2" t="s">
        <v>2190</v>
      </c>
      <c r="C544" s="4">
        <v>1</v>
      </c>
      <c r="D544" s="5">
        <v>2.94</v>
      </c>
      <c r="E544" s="5">
        <v>7.99</v>
      </c>
      <c r="F544" s="4" t="s">
        <v>2191</v>
      </c>
      <c r="G544" s="2" t="s">
        <v>41</v>
      </c>
      <c r="H544" s="7" t="s">
        <v>578</v>
      </c>
      <c r="I544" s="2" t="s">
        <v>483</v>
      </c>
      <c r="J544" s="2" t="s">
        <v>536</v>
      </c>
      <c r="K544" s="2" t="s">
        <v>304</v>
      </c>
      <c r="L544" s="2" t="s">
        <v>206</v>
      </c>
      <c r="M544" s="8" t="str">
        <f>HYPERLINK("http://slimages.macys.com/is/image/MCY/13385759 ")</f>
        <v xml:space="preserve">http://slimages.macys.com/is/image/MCY/13385759 </v>
      </c>
    </row>
    <row r="545" spans="1:13" ht="60" x14ac:dyDescent="0.25">
      <c r="A545" s="7" t="s">
        <v>11715</v>
      </c>
      <c r="B545" s="2" t="s">
        <v>2190</v>
      </c>
      <c r="C545" s="4">
        <v>6</v>
      </c>
      <c r="D545" s="5">
        <v>2.94</v>
      </c>
      <c r="E545" s="5">
        <v>7.99</v>
      </c>
      <c r="F545" s="4" t="s">
        <v>2191</v>
      </c>
      <c r="G545" s="2" t="s">
        <v>41</v>
      </c>
      <c r="H545" s="7" t="s">
        <v>514</v>
      </c>
      <c r="I545" s="2" t="s">
        <v>483</v>
      </c>
      <c r="J545" s="2" t="s">
        <v>536</v>
      </c>
      <c r="K545" s="2" t="s">
        <v>304</v>
      </c>
      <c r="L545" s="2" t="s">
        <v>206</v>
      </c>
      <c r="M545" s="8" t="str">
        <f>HYPERLINK("http://slimages.macys.com/is/image/MCY/13385759 ")</f>
        <v xml:space="preserve">http://slimages.macys.com/is/image/MCY/13385759 </v>
      </c>
    </row>
    <row r="546" spans="1:13" ht="60" x14ac:dyDescent="0.25">
      <c r="A546" s="7" t="s">
        <v>2189</v>
      </c>
      <c r="B546" s="2" t="s">
        <v>2190</v>
      </c>
      <c r="C546" s="4">
        <v>1</v>
      </c>
      <c r="D546" s="5">
        <v>2.94</v>
      </c>
      <c r="E546" s="5">
        <v>7.99</v>
      </c>
      <c r="F546" s="4" t="s">
        <v>2191</v>
      </c>
      <c r="G546" s="2" t="s">
        <v>41</v>
      </c>
      <c r="H546" s="7" t="s">
        <v>1151</v>
      </c>
      <c r="I546" s="2" t="s">
        <v>483</v>
      </c>
      <c r="J546" s="2" t="s">
        <v>536</v>
      </c>
      <c r="K546" s="2" t="s">
        <v>304</v>
      </c>
      <c r="L546" s="2" t="s">
        <v>206</v>
      </c>
      <c r="M546" s="8" t="str">
        <f>HYPERLINK("http://slimages.macys.com/is/image/MCY/13385759 ")</f>
        <v xml:space="preserve">http://slimages.macys.com/is/image/MCY/13385759 </v>
      </c>
    </row>
    <row r="547" spans="1:13" ht="60" x14ac:dyDescent="0.25">
      <c r="A547" s="7" t="s">
        <v>4420</v>
      </c>
      <c r="B547" s="2" t="s">
        <v>4421</v>
      </c>
      <c r="C547" s="4">
        <v>3</v>
      </c>
      <c r="D547" s="5">
        <v>2.94</v>
      </c>
      <c r="E547" s="5">
        <v>7.99</v>
      </c>
      <c r="F547" s="4" t="s">
        <v>4422</v>
      </c>
      <c r="G547" s="2" t="s">
        <v>41</v>
      </c>
      <c r="H547" s="7" t="s">
        <v>578</v>
      </c>
      <c r="I547" s="2" t="s">
        <v>483</v>
      </c>
      <c r="J547" s="2" t="s">
        <v>536</v>
      </c>
      <c r="K547" s="2" t="s">
        <v>304</v>
      </c>
      <c r="L547" s="2" t="s">
        <v>206</v>
      </c>
      <c r="M547" s="8" t="str">
        <f>HYPERLINK("http://slimages.macys.com/is/image/MCY/13385820 ")</f>
        <v xml:space="preserve">http://slimages.macys.com/is/image/MCY/13385820 </v>
      </c>
    </row>
    <row r="548" spans="1:13" ht="60" x14ac:dyDescent="0.25">
      <c r="A548" s="7" t="s">
        <v>9192</v>
      </c>
      <c r="B548" s="2" t="s">
        <v>4418</v>
      </c>
      <c r="C548" s="4">
        <v>3</v>
      </c>
      <c r="D548" s="5">
        <v>2.94</v>
      </c>
      <c r="E548" s="5">
        <v>7.99</v>
      </c>
      <c r="F548" s="4" t="s">
        <v>4419</v>
      </c>
      <c r="G548" s="2" t="s">
        <v>28</v>
      </c>
      <c r="H548" s="7" t="s">
        <v>1151</v>
      </c>
      <c r="I548" s="2" t="s">
        <v>483</v>
      </c>
      <c r="J548" s="2" t="s">
        <v>536</v>
      </c>
      <c r="K548" s="2" t="s">
        <v>304</v>
      </c>
      <c r="L548" s="2" t="s">
        <v>206</v>
      </c>
      <c r="M548" s="8" t="str">
        <f>HYPERLINK("http://slimages.macys.com/is/image/MCY/13386207 ")</f>
        <v xml:space="preserve">http://slimages.macys.com/is/image/MCY/13386207 </v>
      </c>
    </row>
    <row r="549" spans="1:13" ht="60" x14ac:dyDescent="0.25">
      <c r="A549" s="7" t="s">
        <v>10638</v>
      </c>
      <c r="B549" s="2" t="s">
        <v>4428</v>
      </c>
      <c r="C549" s="4">
        <v>1</v>
      </c>
      <c r="D549" s="5">
        <v>2.93</v>
      </c>
      <c r="E549" s="5">
        <v>8.99</v>
      </c>
      <c r="F549" s="4">
        <v>10006317700</v>
      </c>
      <c r="G549" s="2" t="s">
        <v>134</v>
      </c>
      <c r="H549" s="7" t="s">
        <v>482</v>
      </c>
      <c r="I549" s="2" t="s">
        <v>483</v>
      </c>
      <c r="J549" s="2" t="s">
        <v>536</v>
      </c>
      <c r="K549" s="2" t="s">
        <v>304</v>
      </c>
      <c r="L549" s="2" t="s">
        <v>38</v>
      </c>
      <c r="M549" s="8" t="str">
        <f>HYPERLINK("http://slimages.macys.com/is/image/MCY/13987487 ")</f>
        <v xml:space="preserve">http://slimages.macys.com/is/image/MCY/13987487 </v>
      </c>
    </row>
    <row r="550" spans="1:13" ht="60" x14ac:dyDescent="0.25">
      <c r="A550" s="7" t="s">
        <v>2198</v>
      </c>
      <c r="B550" s="2" t="s">
        <v>2196</v>
      </c>
      <c r="C550" s="4">
        <v>2</v>
      </c>
      <c r="D550" s="5">
        <v>2.92</v>
      </c>
      <c r="E550" s="5">
        <v>7.99</v>
      </c>
      <c r="F550" s="4" t="s">
        <v>2197</v>
      </c>
      <c r="G550" s="2" t="s">
        <v>86</v>
      </c>
      <c r="H550" s="7" t="s">
        <v>514</v>
      </c>
      <c r="I550" s="2" t="s">
        <v>483</v>
      </c>
      <c r="J550" s="2" t="s">
        <v>536</v>
      </c>
      <c r="K550" s="2" t="s">
        <v>304</v>
      </c>
      <c r="L550" s="2" t="s">
        <v>38</v>
      </c>
      <c r="M550" s="8" t="str">
        <f>HYPERLINK("http://slimages.macys.com/is/image/MCY/11855486 ")</f>
        <v xml:space="preserve">http://slimages.macys.com/is/image/MCY/11855486 </v>
      </c>
    </row>
    <row r="551" spans="1:13" ht="60" x14ac:dyDescent="0.25">
      <c r="A551" s="7" t="s">
        <v>2195</v>
      </c>
      <c r="B551" s="2" t="s">
        <v>2196</v>
      </c>
      <c r="C551" s="4">
        <v>1</v>
      </c>
      <c r="D551" s="5">
        <v>2.92</v>
      </c>
      <c r="E551" s="5">
        <v>7.99</v>
      </c>
      <c r="F551" s="4" t="s">
        <v>2197</v>
      </c>
      <c r="G551" s="2" t="s">
        <v>86</v>
      </c>
      <c r="H551" s="7" t="s">
        <v>1151</v>
      </c>
      <c r="I551" s="2" t="s">
        <v>483</v>
      </c>
      <c r="J551" s="2" t="s">
        <v>536</v>
      </c>
      <c r="K551" s="2" t="s">
        <v>304</v>
      </c>
      <c r="L551" s="2" t="s">
        <v>38</v>
      </c>
      <c r="M551" s="8" t="str">
        <f>HYPERLINK("http://slimages.macys.com/is/image/MCY/11855486 ")</f>
        <v xml:space="preserve">http://slimages.macys.com/is/image/MCY/11855486 </v>
      </c>
    </row>
    <row r="552" spans="1:13" ht="60" x14ac:dyDescent="0.25">
      <c r="A552" s="7" t="s">
        <v>7124</v>
      </c>
      <c r="B552" s="2" t="s">
        <v>6479</v>
      </c>
      <c r="C552" s="4">
        <v>1</v>
      </c>
      <c r="D552" s="5">
        <v>2.91</v>
      </c>
      <c r="E552" s="5">
        <v>6.99</v>
      </c>
      <c r="F552" s="4">
        <v>10005791200</v>
      </c>
      <c r="G552" s="2" t="s">
        <v>41</v>
      </c>
      <c r="H552" s="7" t="s">
        <v>590</v>
      </c>
      <c r="I552" s="2" t="s">
        <v>483</v>
      </c>
      <c r="J552" s="2" t="s">
        <v>536</v>
      </c>
      <c r="K552" s="2" t="s">
        <v>304</v>
      </c>
      <c r="L552" s="2" t="s">
        <v>119</v>
      </c>
      <c r="M552" s="8" t="str">
        <f>HYPERLINK("http://slimages.macys.com/is/image/MCY/12466218 ")</f>
        <v xml:space="preserve">http://slimages.macys.com/is/image/MCY/12466218 </v>
      </c>
    </row>
    <row r="553" spans="1:13" ht="60" x14ac:dyDescent="0.25">
      <c r="A553" s="7" t="s">
        <v>7122</v>
      </c>
      <c r="B553" s="2" t="s">
        <v>7123</v>
      </c>
      <c r="C553" s="4">
        <v>1</v>
      </c>
      <c r="D553" s="5">
        <v>2.91</v>
      </c>
      <c r="E553" s="5">
        <v>6.99</v>
      </c>
      <c r="F553" s="4">
        <v>10004349800</v>
      </c>
      <c r="G553" s="2" t="s">
        <v>134</v>
      </c>
      <c r="H553" s="7" t="s">
        <v>149</v>
      </c>
      <c r="I553" s="2" t="s">
        <v>483</v>
      </c>
      <c r="J553" s="2" t="s">
        <v>536</v>
      </c>
      <c r="K553" s="2" t="s">
        <v>304</v>
      </c>
      <c r="L553" s="2" t="s">
        <v>119</v>
      </c>
      <c r="M553" s="8" t="str">
        <f>HYPERLINK("http://slimages.macys.com/is/image/MCY/11437071 ")</f>
        <v xml:space="preserve">http://slimages.macys.com/is/image/MCY/11437071 </v>
      </c>
    </row>
    <row r="554" spans="1:13" ht="60" x14ac:dyDescent="0.25">
      <c r="A554" s="7" t="s">
        <v>11716</v>
      </c>
      <c r="B554" s="2" t="s">
        <v>6479</v>
      </c>
      <c r="C554" s="4">
        <v>1</v>
      </c>
      <c r="D554" s="5">
        <v>2.91</v>
      </c>
      <c r="E554" s="5">
        <v>6.99</v>
      </c>
      <c r="F554" s="4">
        <v>10005791200</v>
      </c>
      <c r="G554" s="2" t="s">
        <v>41</v>
      </c>
      <c r="H554" s="7" t="s">
        <v>482</v>
      </c>
      <c r="I554" s="2" t="s">
        <v>483</v>
      </c>
      <c r="J554" s="2" t="s">
        <v>536</v>
      </c>
      <c r="K554" s="2" t="s">
        <v>304</v>
      </c>
      <c r="L554" s="2" t="s">
        <v>119</v>
      </c>
      <c r="M554" s="8" t="str">
        <f>HYPERLINK("http://slimages.macys.com/is/image/MCY/12466218 ")</f>
        <v xml:space="preserve">http://slimages.macys.com/is/image/MCY/12466218 </v>
      </c>
    </row>
    <row r="555" spans="1:13" ht="60" x14ac:dyDescent="0.25">
      <c r="A555" s="7" t="s">
        <v>11717</v>
      </c>
      <c r="B555" s="2" t="s">
        <v>4434</v>
      </c>
      <c r="C555" s="4">
        <v>1</v>
      </c>
      <c r="D555" s="5">
        <v>2.9</v>
      </c>
      <c r="E555" s="5">
        <v>7.99</v>
      </c>
      <c r="F555" s="4" t="s">
        <v>4435</v>
      </c>
      <c r="G555" s="2" t="s">
        <v>1360</v>
      </c>
      <c r="H555" s="7" t="s">
        <v>514</v>
      </c>
      <c r="I555" s="2" t="s">
        <v>483</v>
      </c>
      <c r="J555" s="2" t="s">
        <v>536</v>
      </c>
      <c r="K555" s="2" t="s">
        <v>304</v>
      </c>
      <c r="L555" s="2" t="s">
        <v>87</v>
      </c>
      <c r="M555" s="8" t="str">
        <f>HYPERLINK("http://slimages.macys.com/is/image/MCY/11524164 ")</f>
        <v xml:space="preserve">http://slimages.macys.com/is/image/MCY/11524164 </v>
      </c>
    </row>
    <row r="556" spans="1:13" ht="60" x14ac:dyDescent="0.25">
      <c r="A556" s="7" t="s">
        <v>11718</v>
      </c>
      <c r="B556" s="2" t="s">
        <v>4434</v>
      </c>
      <c r="C556" s="4">
        <v>1</v>
      </c>
      <c r="D556" s="5">
        <v>2.9</v>
      </c>
      <c r="E556" s="5">
        <v>7.99</v>
      </c>
      <c r="F556" s="4" t="s">
        <v>4435</v>
      </c>
      <c r="G556" s="2" t="s">
        <v>297</v>
      </c>
      <c r="H556" s="7" t="s">
        <v>514</v>
      </c>
      <c r="I556" s="2" t="s">
        <v>483</v>
      </c>
      <c r="J556" s="2" t="s">
        <v>536</v>
      </c>
      <c r="K556" s="2" t="s">
        <v>304</v>
      </c>
      <c r="L556" s="2" t="s">
        <v>87</v>
      </c>
      <c r="M556" s="8" t="str">
        <f>HYPERLINK("http://slimages.macys.com/is/image/MCY/11524164 ")</f>
        <v xml:space="preserve">http://slimages.macys.com/is/image/MCY/11524164 </v>
      </c>
    </row>
    <row r="557" spans="1:13" ht="60" x14ac:dyDescent="0.25">
      <c r="A557" s="7" t="s">
        <v>1204</v>
      </c>
      <c r="B557" s="2" t="s">
        <v>1205</v>
      </c>
      <c r="C557" s="4">
        <v>5</v>
      </c>
      <c r="D557" s="5">
        <v>2.87</v>
      </c>
      <c r="E557" s="5">
        <v>7.99</v>
      </c>
      <c r="F557" s="4" t="s">
        <v>1206</v>
      </c>
      <c r="G557" s="2" t="s">
        <v>437</v>
      </c>
      <c r="H557" s="7" t="s">
        <v>531</v>
      </c>
      <c r="I557" s="2" t="s">
        <v>483</v>
      </c>
      <c r="J557" s="2" t="s">
        <v>536</v>
      </c>
      <c r="K557" s="2" t="s">
        <v>304</v>
      </c>
      <c r="L557" s="2" t="s">
        <v>1207</v>
      </c>
      <c r="M557" s="8" t="str">
        <f>HYPERLINK("http://slimages.macys.com/is/image/MCY/12466264 ")</f>
        <v xml:space="preserve">http://slimages.macys.com/is/image/MCY/12466264 </v>
      </c>
    </row>
    <row r="558" spans="1:13" ht="60" x14ac:dyDescent="0.25">
      <c r="A558" s="7" t="s">
        <v>1211</v>
      </c>
      <c r="B558" s="2" t="s">
        <v>1209</v>
      </c>
      <c r="C558" s="4">
        <v>1</v>
      </c>
      <c r="D558" s="5">
        <v>2.85</v>
      </c>
      <c r="E558" s="5">
        <v>4.99</v>
      </c>
      <c r="F558" s="4">
        <v>4114</v>
      </c>
      <c r="G558" s="2" t="s">
        <v>653</v>
      </c>
      <c r="H558" s="7" t="s">
        <v>159</v>
      </c>
      <c r="I558" s="2" t="s">
        <v>523</v>
      </c>
      <c r="J558" s="2" t="s">
        <v>921</v>
      </c>
      <c r="K558" s="2" t="s">
        <v>304</v>
      </c>
      <c r="L558" s="2" t="s">
        <v>323</v>
      </c>
      <c r="M558" s="8" t="str">
        <f>HYPERLINK("http://slimages.macys.com/is/image/MCY/13050228 ")</f>
        <v xml:space="preserve">http://slimages.macys.com/is/image/MCY/13050228 </v>
      </c>
    </row>
    <row r="559" spans="1:13" ht="60" x14ac:dyDescent="0.25">
      <c r="A559" s="7" t="s">
        <v>1208</v>
      </c>
      <c r="B559" s="2" t="s">
        <v>1209</v>
      </c>
      <c r="C559" s="4">
        <v>3</v>
      </c>
      <c r="D559" s="5">
        <v>2.85</v>
      </c>
      <c r="E559" s="5">
        <v>4.99</v>
      </c>
      <c r="F559" s="4">
        <v>4114</v>
      </c>
      <c r="G559" s="2" t="s">
        <v>653</v>
      </c>
      <c r="H559" s="7" t="s">
        <v>228</v>
      </c>
      <c r="I559" s="2" t="s">
        <v>523</v>
      </c>
      <c r="J559" s="2" t="s">
        <v>921</v>
      </c>
      <c r="K559" s="2" t="s">
        <v>304</v>
      </c>
      <c r="L559" s="2" t="s">
        <v>323</v>
      </c>
      <c r="M559" s="8" t="str">
        <f>HYPERLINK("http://slimages.macys.com/is/image/MCY/13050228 ")</f>
        <v xml:space="preserve">http://slimages.macys.com/is/image/MCY/13050228 </v>
      </c>
    </row>
    <row r="560" spans="1:13" ht="60" x14ac:dyDescent="0.25">
      <c r="A560" s="7" t="s">
        <v>8417</v>
      </c>
      <c r="B560" s="2" t="s">
        <v>1209</v>
      </c>
      <c r="C560" s="4">
        <v>1</v>
      </c>
      <c r="D560" s="5">
        <v>2.85</v>
      </c>
      <c r="E560" s="5">
        <v>4.99</v>
      </c>
      <c r="F560" s="4">
        <v>4114</v>
      </c>
      <c r="G560" s="2" t="s">
        <v>653</v>
      </c>
      <c r="H560" s="7" t="s">
        <v>284</v>
      </c>
      <c r="I560" s="2" t="s">
        <v>523</v>
      </c>
      <c r="J560" s="2" t="s">
        <v>921</v>
      </c>
      <c r="K560" s="2" t="s">
        <v>304</v>
      </c>
      <c r="L560" s="2" t="s">
        <v>323</v>
      </c>
      <c r="M560" s="8" t="str">
        <f>HYPERLINK("http://slimages.macys.com/is/image/MCY/13050228 ")</f>
        <v xml:space="preserve">http://slimages.macys.com/is/image/MCY/13050228 </v>
      </c>
    </row>
    <row r="561" spans="1:13" ht="60" x14ac:dyDescent="0.25">
      <c r="A561" s="7" t="s">
        <v>1210</v>
      </c>
      <c r="B561" s="2" t="s">
        <v>1209</v>
      </c>
      <c r="C561" s="4">
        <v>1</v>
      </c>
      <c r="D561" s="5">
        <v>2.85</v>
      </c>
      <c r="E561" s="5">
        <v>4.99</v>
      </c>
      <c r="F561" s="4">
        <v>4114</v>
      </c>
      <c r="G561" s="2" t="s">
        <v>653</v>
      </c>
      <c r="H561" s="7" t="s">
        <v>196</v>
      </c>
      <c r="I561" s="2" t="s">
        <v>523</v>
      </c>
      <c r="J561" s="2" t="s">
        <v>921</v>
      </c>
      <c r="K561" s="2" t="s">
        <v>304</v>
      </c>
      <c r="L561" s="2" t="s">
        <v>323</v>
      </c>
      <c r="M561" s="8" t="str">
        <f>HYPERLINK("http://slimages.macys.com/is/image/MCY/13050228 ")</f>
        <v xml:space="preserve">http://slimages.macys.com/is/image/MCY/13050228 </v>
      </c>
    </row>
    <row r="562" spans="1:13" ht="108" x14ac:dyDescent="0.25">
      <c r="A562" s="7" t="s">
        <v>11719</v>
      </c>
      <c r="B562" s="2" t="s">
        <v>598</v>
      </c>
      <c r="C562" s="4">
        <v>1</v>
      </c>
      <c r="D562" s="5">
        <v>2.84</v>
      </c>
      <c r="E562" s="5">
        <v>7.99</v>
      </c>
      <c r="F562" s="4" t="s">
        <v>599</v>
      </c>
      <c r="G562" s="2" t="s">
        <v>62</v>
      </c>
      <c r="H562" s="7" t="s">
        <v>91</v>
      </c>
      <c r="I562" s="2" t="s">
        <v>483</v>
      </c>
      <c r="J562" s="2" t="s">
        <v>536</v>
      </c>
      <c r="K562" s="2" t="s">
        <v>304</v>
      </c>
      <c r="L562" s="2" t="s">
        <v>600</v>
      </c>
      <c r="M562" s="8" t="str">
        <f>HYPERLINK("http://slimages.macys.com/is/image/MCY/14384837 ")</f>
        <v xml:space="preserve">http://slimages.macys.com/is/image/MCY/14384837 </v>
      </c>
    </row>
    <row r="563" spans="1:13" ht="108" x14ac:dyDescent="0.25">
      <c r="A563" s="7" t="s">
        <v>597</v>
      </c>
      <c r="B563" s="2" t="s">
        <v>598</v>
      </c>
      <c r="C563" s="4">
        <v>2</v>
      </c>
      <c r="D563" s="5">
        <v>2.84</v>
      </c>
      <c r="E563" s="5">
        <v>7.99</v>
      </c>
      <c r="F563" s="4" t="s">
        <v>599</v>
      </c>
      <c r="G563" s="2" t="s">
        <v>62</v>
      </c>
      <c r="H563" s="7"/>
      <c r="I563" s="2" t="s">
        <v>483</v>
      </c>
      <c r="J563" s="2" t="s">
        <v>536</v>
      </c>
      <c r="K563" s="2" t="s">
        <v>304</v>
      </c>
      <c r="L563" s="2" t="s">
        <v>600</v>
      </c>
      <c r="M563" s="8" t="str">
        <f>HYPERLINK("http://slimages.macys.com/is/image/MCY/14384837 ")</f>
        <v xml:space="preserve">http://slimages.macys.com/is/image/MCY/14384837 </v>
      </c>
    </row>
    <row r="564" spans="1:13" ht="108" x14ac:dyDescent="0.25">
      <c r="A564" s="7" t="s">
        <v>2201</v>
      </c>
      <c r="B564" s="2" t="s">
        <v>598</v>
      </c>
      <c r="C564" s="4">
        <v>2</v>
      </c>
      <c r="D564" s="5">
        <v>2.84</v>
      </c>
      <c r="E564" s="5">
        <v>7.99</v>
      </c>
      <c r="F564" s="4" t="s">
        <v>599</v>
      </c>
      <c r="G564" s="2" t="s">
        <v>62</v>
      </c>
      <c r="H564" s="7" t="s">
        <v>442</v>
      </c>
      <c r="I564" s="2" t="s">
        <v>483</v>
      </c>
      <c r="J564" s="2" t="s">
        <v>536</v>
      </c>
      <c r="K564" s="2" t="s">
        <v>304</v>
      </c>
      <c r="L564" s="2" t="s">
        <v>600</v>
      </c>
      <c r="M564" s="8" t="str">
        <f>HYPERLINK("http://slimages.macys.com/is/image/MCY/14384837 ")</f>
        <v xml:space="preserve">http://slimages.macys.com/is/image/MCY/14384837 </v>
      </c>
    </row>
    <row r="565" spans="1:13" ht="108" x14ac:dyDescent="0.25">
      <c r="A565" s="7" t="s">
        <v>2200</v>
      </c>
      <c r="B565" s="2" t="s">
        <v>598</v>
      </c>
      <c r="C565" s="4">
        <v>4</v>
      </c>
      <c r="D565" s="5">
        <v>2.84</v>
      </c>
      <c r="E565" s="5">
        <v>7.99</v>
      </c>
      <c r="F565" s="4" t="s">
        <v>599</v>
      </c>
      <c r="G565" s="2" t="s">
        <v>62</v>
      </c>
      <c r="H565" s="7" t="s">
        <v>149</v>
      </c>
      <c r="I565" s="2" t="s">
        <v>483</v>
      </c>
      <c r="J565" s="2" t="s">
        <v>536</v>
      </c>
      <c r="K565" s="2" t="s">
        <v>304</v>
      </c>
      <c r="L565" s="2" t="s">
        <v>600</v>
      </c>
      <c r="M565" s="8" t="str">
        <f>HYPERLINK("http://slimages.macys.com/is/image/MCY/14384837 ")</f>
        <v xml:space="preserve">http://slimages.macys.com/is/image/MCY/14384837 </v>
      </c>
    </row>
    <row r="566" spans="1:13" ht="108" x14ac:dyDescent="0.25">
      <c r="A566" s="7" t="s">
        <v>2199</v>
      </c>
      <c r="B566" s="2" t="s">
        <v>598</v>
      </c>
      <c r="C566" s="4">
        <v>3</v>
      </c>
      <c r="D566" s="5">
        <v>2.84</v>
      </c>
      <c r="E566" s="5">
        <v>7.99</v>
      </c>
      <c r="F566" s="4" t="s">
        <v>599</v>
      </c>
      <c r="G566" s="2" t="s">
        <v>62</v>
      </c>
      <c r="H566" s="7" t="s">
        <v>590</v>
      </c>
      <c r="I566" s="2" t="s">
        <v>483</v>
      </c>
      <c r="J566" s="2" t="s">
        <v>536</v>
      </c>
      <c r="K566" s="2" t="s">
        <v>304</v>
      </c>
      <c r="L566" s="2" t="s">
        <v>600</v>
      </c>
      <c r="M566" s="8" t="str">
        <f>HYPERLINK("http://slimages.macys.com/is/image/MCY/14384837 ")</f>
        <v xml:space="preserve">http://slimages.macys.com/is/image/MCY/14384837 </v>
      </c>
    </row>
    <row r="567" spans="1:13" ht="60" x14ac:dyDescent="0.25">
      <c r="A567" s="7" t="s">
        <v>9195</v>
      </c>
      <c r="B567" s="2" t="s">
        <v>2713</v>
      </c>
      <c r="C567" s="4">
        <v>1</v>
      </c>
      <c r="D567" s="5">
        <v>2.79</v>
      </c>
      <c r="E567" s="5">
        <v>7.99</v>
      </c>
      <c r="F567" s="4">
        <v>10004191500</v>
      </c>
      <c r="G567" s="2" t="s">
        <v>262</v>
      </c>
      <c r="H567" s="7"/>
      <c r="I567" s="2" t="s">
        <v>483</v>
      </c>
      <c r="J567" s="2" t="s">
        <v>536</v>
      </c>
      <c r="K567" s="2" t="s">
        <v>304</v>
      </c>
      <c r="L567" s="2" t="s">
        <v>119</v>
      </c>
      <c r="M567" s="8" t="str">
        <f>HYPERLINK("http://slimages.macys.com/is/image/MCY/11519969 ")</f>
        <v xml:space="preserve">http://slimages.macys.com/is/image/MCY/11519969 </v>
      </c>
    </row>
    <row r="568" spans="1:13" ht="60" x14ac:dyDescent="0.25">
      <c r="A568" s="7" t="s">
        <v>5679</v>
      </c>
      <c r="B568" s="2" t="s">
        <v>1217</v>
      </c>
      <c r="C568" s="4">
        <v>1</v>
      </c>
      <c r="D568" s="5">
        <v>2.77</v>
      </c>
      <c r="E568" s="5">
        <v>7.99</v>
      </c>
      <c r="F568" s="4">
        <v>10005049100</v>
      </c>
      <c r="G568" s="2" t="s">
        <v>527</v>
      </c>
      <c r="H568" s="7"/>
      <c r="I568" s="2" t="s">
        <v>483</v>
      </c>
      <c r="J568" s="2" t="s">
        <v>536</v>
      </c>
      <c r="K568" s="2" t="s">
        <v>304</v>
      </c>
      <c r="L568" s="2" t="s">
        <v>119</v>
      </c>
      <c r="M568" s="8" t="str">
        <f>HYPERLINK("http://slimages.macys.com/is/image/MCY/11520375 ")</f>
        <v xml:space="preserve">http://slimages.macys.com/is/image/MCY/11520375 </v>
      </c>
    </row>
    <row r="569" spans="1:13" ht="60" x14ac:dyDescent="0.25">
      <c r="A569" s="7" t="s">
        <v>1216</v>
      </c>
      <c r="B569" s="2" t="s">
        <v>1217</v>
      </c>
      <c r="C569" s="4">
        <v>1</v>
      </c>
      <c r="D569" s="5">
        <v>2.77</v>
      </c>
      <c r="E569" s="5">
        <v>7.99</v>
      </c>
      <c r="F569" s="4">
        <v>10005049100</v>
      </c>
      <c r="G569" s="2" t="s">
        <v>527</v>
      </c>
      <c r="H569" s="7" t="s">
        <v>604</v>
      </c>
      <c r="I569" s="2" t="s">
        <v>483</v>
      </c>
      <c r="J569" s="2" t="s">
        <v>536</v>
      </c>
      <c r="K569" s="2" t="s">
        <v>304</v>
      </c>
      <c r="L569" s="2" t="s">
        <v>119</v>
      </c>
      <c r="M569" s="8" t="str">
        <f>HYPERLINK("http://slimages.macys.com/is/image/MCY/11520375 ")</f>
        <v xml:space="preserve">http://slimages.macys.com/is/image/MCY/11520375 </v>
      </c>
    </row>
    <row r="570" spans="1:13" ht="60" x14ac:dyDescent="0.25">
      <c r="A570" s="7" t="s">
        <v>7138</v>
      </c>
      <c r="B570" s="2" t="s">
        <v>6481</v>
      </c>
      <c r="C570" s="4">
        <v>1</v>
      </c>
      <c r="D570" s="5">
        <v>2.75</v>
      </c>
      <c r="E570" s="5">
        <v>6.99</v>
      </c>
      <c r="F570" s="4" t="s">
        <v>6482</v>
      </c>
      <c r="G570" s="2" t="s">
        <v>41</v>
      </c>
      <c r="H570" s="7" t="s">
        <v>149</v>
      </c>
      <c r="I570" s="2" t="s">
        <v>483</v>
      </c>
      <c r="J570" s="2" t="s">
        <v>536</v>
      </c>
      <c r="K570" s="2" t="s">
        <v>304</v>
      </c>
      <c r="L570" s="2" t="s">
        <v>38</v>
      </c>
      <c r="M570" s="8" t="str">
        <f>HYPERLINK("http://slimages.macys.com/is/image/MCY/13987340 ")</f>
        <v xml:space="preserve">http://slimages.macys.com/is/image/MCY/13987340 </v>
      </c>
    </row>
    <row r="571" spans="1:13" ht="60" x14ac:dyDescent="0.25">
      <c r="A571" s="7" t="s">
        <v>6480</v>
      </c>
      <c r="B571" s="2" t="s">
        <v>6481</v>
      </c>
      <c r="C571" s="4">
        <v>1</v>
      </c>
      <c r="D571" s="5">
        <v>2.75</v>
      </c>
      <c r="E571" s="5">
        <v>6.99</v>
      </c>
      <c r="F571" s="4" t="s">
        <v>6482</v>
      </c>
      <c r="G571" s="2" t="s">
        <v>41</v>
      </c>
      <c r="H571" s="7" t="s">
        <v>442</v>
      </c>
      <c r="I571" s="2" t="s">
        <v>483</v>
      </c>
      <c r="J571" s="2" t="s">
        <v>536</v>
      </c>
      <c r="K571" s="2" t="s">
        <v>304</v>
      </c>
      <c r="L571" s="2" t="s">
        <v>38</v>
      </c>
      <c r="M571" s="8" t="str">
        <f>HYPERLINK("http://slimages.macys.com/is/image/MCY/13987340 ")</f>
        <v xml:space="preserve">http://slimages.macys.com/is/image/MCY/13987340 </v>
      </c>
    </row>
    <row r="572" spans="1:13" ht="60" x14ac:dyDescent="0.25">
      <c r="A572" s="7" t="s">
        <v>8422</v>
      </c>
      <c r="B572" s="2" t="s">
        <v>6481</v>
      </c>
      <c r="C572" s="4">
        <v>1</v>
      </c>
      <c r="D572" s="5">
        <v>2.75</v>
      </c>
      <c r="E572" s="5">
        <v>6.99</v>
      </c>
      <c r="F572" s="4" t="s">
        <v>6482</v>
      </c>
      <c r="G572" s="2" t="s">
        <v>41</v>
      </c>
      <c r="H572" s="7" t="s">
        <v>42</v>
      </c>
      <c r="I572" s="2" t="s">
        <v>483</v>
      </c>
      <c r="J572" s="2" t="s">
        <v>536</v>
      </c>
      <c r="K572" s="2" t="s">
        <v>304</v>
      </c>
      <c r="L572" s="2" t="s">
        <v>38</v>
      </c>
      <c r="M572" s="8" t="str">
        <f>HYPERLINK("http://slimages.macys.com/is/image/MCY/13987340 ")</f>
        <v xml:space="preserve">http://slimages.macys.com/is/image/MCY/13987340 </v>
      </c>
    </row>
    <row r="573" spans="1:13" ht="60" x14ac:dyDescent="0.25">
      <c r="A573" s="7" t="s">
        <v>7137</v>
      </c>
      <c r="B573" s="2" t="s">
        <v>2215</v>
      </c>
      <c r="C573" s="4">
        <v>1</v>
      </c>
      <c r="D573" s="5">
        <v>2.75</v>
      </c>
      <c r="E573" s="5">
        <v>7.99</v>
      </c>
      <c r="F573" s="4" t="s">
        <v>2216</v>
      </c>
      <c r="G573" s="2" t="s">
        <v>1360</v>
      </c>
      <c r="H573" s="7" t="s">
        <v>578</v>
      </c>
      <c r="I573" s="2" t="s">
        <v>483</v>
      </c>
      <c r="J573" s="2" t="s">
        <v>536</v>
      </c>
      <c r="K573" s="2" t="s">
        <v>304</v>
      </c>
      <c r="L573" s="2" t="s">
        <v>38</v>
      </c>
      <c r="M573" s="8" t="str">
        <f>HYPERLINK("http://slimages.macys.com/is/image/MCY/13987605 ")</f>
        <v xml:space="preserve">http://slimages.macys.com/is/image/MCY/13987605 </v>
      </c>
    </row>
    <row r="574" spans="1:13" ht="60" x14ac:dyDescent="0.25">
      <c r="A574" s="7" t="s">
        <v>6483</v>
      </c>
      <c r="B574" s="2" t="s">
        <v>6481</v>
      </c>
      <c r="C574" s="4">
        <v>1</v>
      </c>
      <c r="D574" s="5">
        <v>2.75</v>
      </c>
      <c r="E574" s="5">
        <v>6.99</v>
      </c>
      <c r="F574" s="4" t="s">
        <v>6482</v>
      </c>
      <c r="G574" s="2" t="s">
        <v>41</v>
      </c>
      <c r="H574" s="7" t="s">
        <v>91</v>
      </c>
      <c r="I574" s="2" t="s">
        <v>483</v>
      </c>
      <c r="J574" s="2" t="s">
        <v>536</v>
      </c>
      <c r="K574" s="2" t="s">
        <v>304</v>
      </c>
      <c r="L574" s="2" t="s">
        <v>38</v>
      </c>
      <c r="M574" s="8" t="str">
        <f>HYPERLINK("http://slimages.macys.com/is/image/MCY/13987340 ")</f>
        <v xml:space="preserve">http://slimages.macys.com/is/image/MCY/13987340 </v>
      </c>
    </row>
    <row r="575" spans="1:13" ht="60" x14ac:dyDescent="0.25">
      <c r="A575" s="7" t="s">
        <v>11720</v>
      </c>
      <c r="B575" s="2" t="s">
        <v>11721</v>
      </c>
      <c r="C575" s="4">
        <v>1</v>
      </c>
      <c r="D575" s="5">
        <v>2.74</v>
      </c>
      <c r="E575" s="5">
        <v>7.99</v>
      </c>
      <c r="F575" s="4" t="s">
        <v>11722</v>
      </c>
      <c r="G575" s="2" t="s">
        <v>476</v>
      </c>
      <c r="H575" s="7" t="s">
        <v>514</v>
      </c>
      <c r="I575" s="2" t="s">
        <v>483</v>
      </c>
      <c r="J575" s="2" t="s">
        <v>536</v>
      </c>
      <c r="K575" s="2" t="s">
        <v>304</v>
      </c>
      <c r="L575" s="2" t="s">
        <v>87</v>
      </c>
      <c r="M575" s="8" t="str">
        <f>HYPERLINK("http://slimages.macys.com/is/image/MCY/12640763 ")</f>
        <v xml:space="preserve">http://slimages.macys.com/is/image/MCY/12640763 </v>
      </c>
    </row>
    <row r="576" spans="1:13" ht="60" x14ac:dyDescent="0.25">
      <c r="A576" s="7" t="s">
        <v>11723</v>
      </c>
      <c r="B576" s="2" t="s">
        <v>11724</v>
      </c>
      <c r="C576" s="4">
        <v>2</v>
      </c>
      <c r="D576" s="5">
        <v>2.74</v>
      </c>
      <c r="E576" s="5">
        <v>7.99</v>
      </c>
      <c r="F576" s="4" t="s">
        <v>11725</v>
      </c>
      <c r="G576" s="2" t="s">
        <v>41</v>
      </c>
      <c r="H576" s="7" t="s">
        <v>578</v>
      </c>
      <c r="I576" s="2" t="s">
        <v>483</v>
      </c>
      <c r="J576" s="2" t="s">
        <v>536</v>
      </c>
      <c r="K576" s="2" t="s">
        <v>304</v>
      </c>
      <c r="L576" s="2" t="s">
        <v>38</v>
      </c>
      <c r="M576" s="8" t="str">
        <f>HYPERLINK("http://slimages.macys.com/is/image/MCY/13385985 ")</f>
        <v xml:space="preserve">http://slimages.macys.com/is/image/MCY/13385985 </v>
      </c>
    </row>
    <row r="577" spans="1:13" ht="60" x14ac:dyDescent="0.25">
      <c r="A577" s="7" t="s">
        <v>11726</v>
      </c>
      <c r="B577" s="2" t="s">
        <v>11724</v>
      </c>
      <c r="C577" s="4">
        <v>3</v>
      </c>
      <c r="D577" s="5">
        <v>2.74</v>
      </c>
      <c r="E577" s="5">
        <v>7.99</v>
      </c>
      <c r="F577" s="4" t="s">
        <v>11725</v>
      </c>
      <c r="G577" s="2" t="s">
        <v>41</v>
      </c>
      <c r="H577" s="7" t="s">
        <v>514</v>
      </c>
      <c r="I577" s="2" t="s">
        <v>483</v>
      </c>
      <c r="J577" s="2" t="s">
        <v>536</v>
      </c>
      <c r="K577" s="2" t="s">
        <v>304</v>
      </c>
      <c r="L577" s="2" t="s">
        <v>38</v>
      </c>
      <c r="M577" s="8" t="str">
        <f>HYPERLINK("http://slimages.macys.com/is/image/MCY/13385985 ")</f>
        <v xml:space="preserve">http://slimages.macys.com/is/image/MCY/13385985 </v>
      </c>
    </row>
    <row r="578" spans="1:13" ht="60" x14ac:dyDescent="0.25">
      <c r="A578" s="7" t="s">
        <v>7139</v>
      </c>
      <c r="B578" s="2" t="s">
        <v>7140</v>
      </c>
      <c r="C578" s="4">
        <v>1</v>
      </c>
      <c r="D578" s="5">
        <v>2.74</v>
      </c>
      <c r="E578" s="5">
        <v>7.99</v>
      </c>
      <c r="F578" s="4" t="s">
        <v>7141</v>
      </c>
      <c r="G578" s="2" t="s">
        <v>388</v>
      </c>
      <c r="H578" s="7" t="s">
        <v>1151</v>
      </c>
      <c r="I578" s="2" t="s">
        <v>483</v>
      </c>
      <c r="J578" s="2" t="s">
        <v>536</v>
      </c>
      <c r="K578" s="2" t="s">
        <v>304</v>
      </c>
      <c r="L578" s="2" t="s">
        <v>206</v>
      </c>
      <c r="M578" s="8" t="str">
        <f>HYPERLINK("http://slimages.macys.com/is/image/MCY/13386727 ")</f>
        <v xml:space="preserve">http://slimages.macys.com/is/image/MCY/13386727 </v>
      </c>
    </row>
    <row r="579" spans="1:13" ht="60" x14ac:dyDescent="0.25">
      <c r="A579" s="7" t="s">
        <v>11727</v>
      </c>
      <c r="B579" s="2" t="s">
        <v>11724</v>
      </c>
      <c r="C579" s="4">
        <v>3</v>
      </c>
      <c r="D579" s="5">
        <v>2.74</v>
      </c>
      <c r="E579" s="5">
        <v>7.99</v>
      </c>
      <c r="F579" s="4" t="s">
        <v>11725</v>
      </c>
      <c r="G579" s="2" t="s">
        <v>41</v>
      </c>
      <c r="H579" s="7" t="s">
        <v>1151</v>
      </c>
      <c r="I579" s="2" t="s">
        <v>483</v>
      </c>
      <c r="J579" s="2" t="s">
        <v>536</v>
      </c>
      <c r="K579" s="2" t="s">
        <v>304</v>
      </c>
      <c r="L579" s="2" t="s">
        <v>38</v>
      </c>
      <c r="M579" s="8" t="str">
        <f>HYPERLINK("http://slimages.macys.com/is/image/MCY/13385985 ")</f>
        <v xml:space="preserve">http://slimages.macys.com/is/image/MCY/13385985 </v>
      </c>
    </row>
    <row r="580" spans="1:13" ht="60" x14ac:dyDescent="0.25">
      <c r="A580" s="7" t="s">
        <v>11728</v>
      </c>
      <c r="B580" s="2" t="s">
        <v>7140</v>
      </c>
      <c r="C580" s="4">
        <v>1</v>
      </c>
      <c r="D580" s="5">
        <v>2.74</v>
      </c>
      <c r="E580" s="5">
        <v>7.99</v>
      </c>
      <c r="F580" s="4" t="s">
        <v>7141</v>
      </c>
      <c r="G580" s="2" t="s">
        <v>388</v>
      </c>
      <c r="H580" s="7" t="s">
        <v>514</v>
      </c>
      <c r="I580" s="2" t="s">
        <v>483</v>
      </c>
      <c r="J580" s="2" t="s">
        <v>536</v>
      </c>
      <c r="K580" s="2" t="s">
        <v>304</v>
      </c>
      <c r="L580" s="2" t="s">
        <v>206</v>
      </c>
      <c r="M580" s="8" t="str">
        <f>HYPERLINK("http://slimages.macys.com/is/image/MCY/13386727 ")</f>
        <v xml:space="preserve">http://slimages.macys.com/is/image/MCY/13386727 </v>
      </c>
    </row>
    <row r="581" spans="1:13" ht="60" x14ac:dyDescent="0.25">
      <c r="A581" s="7" t="s">
        <v>6490</v>
      </c>
      <c r="B581" s="2" t="s">
        <v>2223</v>
      </c>
      <c r="C581" s="4">
        <v>3</v>
      </c>
      <c r="D581" s="5">
        <v>2.69</v>
      </c>
      <c r="E581" s="5">
        <v>5.99</v>
      </c>
      <c r="F581" s="4" t="s">
        <v>2224</v>
      </c>
      <c r="G581" s="2" t="s">
        <v>62</v>
      </c>
      <c r="H581" s="7" t="s">
        <v>149</v>
      </c>
      <c r="I581" s="2" t="s">
        <v>483</v>
      </c>
      <c r="J581" s="2" t="s">
        <v>536</v>
      </c>
      <c r="K581" s="2" t="s">
        <v>304</v>
      </c>
      <c r="L581" s="2" t="s">
        <v>206</v>
      </c>
      <c r="M581" s="8" t="str">
        <f t="shared" ref="M581:M595" si="2">HYPERLINK("http://slimages.macys.com/is/image/MCY/11436881 ")</f>
        <v xml:space="preserve">http://slimages.macys.com/is/image/MCY/11436881 </v>
      </c>
    </row>
    <row r="582" spans="1:13" ht="60" x14ac:dyDescent="0.25">
      <c r="A582" s="7" t="s">
        <v>4467</v>
      </c>
      <c r="B582" s="2" t="s">
        <v>2223</v>
      </c>
      <c r="C582" s="4">
        <v>3</v>
      </c>
      <c r="D582" s="5">
        <v>2.69</v>
      </c>
      <c r="E582" s="5">
        <v>5.99</v>
      </c>
      <c r="F582" s="4" t="s">
        <v>2224</v>
      </c>
      <c r="G582" s="2" t="s">
        <v>238</v>
      </c>
      <c r="H582" s="7" t="s">
        <v>42</v>
      </c>
      <c r="I582" s="2" t="s">
        <v>483</v>
      </c>
      <c r="J582" s="2" t="s">
        <v>536</v>
      </c>
      <c r="K582" s="2" t="s">
        <v>304</v>
      </c>
      <c r="L582" s="2" t="s">
        <v>206</v>
      </c>
      <c r="M582" s="8" t="str">
        <f t="shared" si="2"/>
        <v xml:space="preserve">http://slimages.macys.com/is/image/MCY/11436881 </v>
      </c>
    </row>
    <row r="583" spans="1:13" ht="60" x14ac:dyDescent="0.25">
      <c r="A583" s="7" t="s">
        <v>5681</v>
      </c>
      <c r="B583" s="2" t="s">
        <v>2223</v>
      </c>
      <c r="C583" s="4">
        <v>1</v>
      </c>
      <c r="D583" s="5">
        <v>2.69</v>
      </c>
      <c r="E583" s="5">
        <v>5.99</v>
      </c>
      <c r="F583" s="4" t="s">
        <v>2224</v>
      </c>
      <c r="G583" s="2" t="s">
        <v>62</v>
      </c>
      <c r="H583" s="7" t="s">
        <v>42</v>
      </c>
      <c r="I583" s="2" t="s">
        <v>483</v>
      </c>
      <c r="J583" s="2" t="s">
        <v>536</v>
      </c>
      <c r="K583" s="2" t="s">
        <v>304</v>
      </c>
      <c r="L583" s="2" t="s">
        <v>206</v>
      </c>
      <c r="M583" s="8" t="str">
        <f t="shared" si="2"/>
        <v xml:space="preserve">http://slimages.macys.com/is/image/MCY/11436881 </v>
      </c>
    </row>
    <row r="584" spans="1:13" ht="60" x14ac:dyDescent="0.25">
      <c r="A584" s="7" t="s">
        <v>6485</v>
      </c>
      <c r="B584" s="2" t="s">
        <v>2223</v>
      </c>
      <c r="C584" s="4">
        <v>3</v>
      </c>
      <c r="D584" s="5">
        <v>2.69</v>
      </c>
      <c r="E584" s="5">
        <v>5.99</v>
      </c>
      <c r="F584" s="4" t="s">
        <v>2224</v>
      </c>
      <c r="G584" s="2" t="s">
        <v>28</v>
      </c>
      <c r="H584" s="7" t="s">
        <v>590</v>
      </c>
      <c r="I584" s="2" t="s">
        <v>483</v>
      </c>
      <c r="J584" s="2" t="s">
        <v>536</v>
      </c>
      <c r="K584" s="2" t="s">
        <v>304</v>
      </c>
      <c r="L584" s="2" t="s">
        <v>206</v>
      </c>
      <c r="M584" s="8" t="str">
        <f t="shared" si="2"/>
        <v xml:space="preserve">http://slimages.macys.com/is/image/MCY/11436881 </v>
      </c>
    </row>
    <row r="585" spans="1:13" ht="60" x14ac:dyDescent="0.25">
      <c r="A585" s="7" t="s">
        <v>6486</v>
      </c>
      <c r="B585" s="2" t="s">
        <v>2223</v>
      </c>
      <c r="C585" s="4">
        <v>1</v>
      </c>
      <c r="D585" s="5">
        <v>2.69</v>
      </c>
      <c r="E585" s="5">
        <v>5.99</v>
      </c>
      <c r="F585" s="4" t="s">
        <v>2224</v>
      </c>
      <c r="G585" s="2" t="s">
        <v>28</v>
      </c>
      <c r="H585" s="7" t="s">
        <v>442</v>
      </c>
      <c r="I585" s="2" t="s">
        <v>483</v>
      </c>
      <c r="J585" s="2" t="s">
        <v>536</v>
      </c>
      <c r="K585" s="2" t="s">
        <v>304</v>
      </c>
      <c r="L585" s="2" t="s">
        <v>206</v>
      </c>
      <c r="M585" s="8" t="str">
        <f t="shared" si="2"/>
        <v xml:space="preserve">http://slimages.macys.com/is/image/MCY/11436881 </v>
      </c>
    </row>
    <row r="586" spans="1:13" ht="60" x14ac:dyDescent="0.25">
      <c r="A586" s="7" t="s">
        <v>2222</v>
      </c>
      <c r="B586" s="2" t="s">
        <v>2223</v>
      </c>
      <c r="C586" s="4">
        <v>3</v>
      </c>
      <c r="D586" s="5">
        <v>2.69</v>
      </c>
      <c r="E586" s="5">
        <v>5.99</v>
      </c>
      <c r="F586" s="4" t="s">
        <v>2224</v>
      </c>
      <c r="G586" s="2" t="s">
        <v>62</v>
      </c>
      <c r="H586" s="7" t="s">
        <v>91</v>
      </c>
      <c r="I586" s="2" t="s">
        <v>483</v>
      </c>
      <c r="J586" s="2" t="s">
        <v>536</v>
      </c>
      <c r="K586" s="2" t="s">
        <v>304</v>
      </c>
      <c r="L586" s="2" t="s">
        <v>206</v>
      </c>
      <c r="M586" s="8" t="str">
        <f t="shared" si="2"/>
        <v xml:space="preserve">http://slimages.macys.com/is/image/MCY/11436881 </v>
      </c>
    </row>
    <row r="587" spans="1:13" ht="60" x14ac:dyDescent="0.25">
      <c r="A587" s="7" t="s">
        <v>6029</v>
      </c>
      <c r="B587" s="2" t="s">
        <v>2223</v>
      </c>
      <c r="C587" s="4">
        <v>3</v>
      </c>
      <c r="D587" s="5">
        <v>2.69</v>
      </c>
      <c r="E587" s="5">
        <v>5.99</v>
      </c>
      <c r="F587" s="4" t="s">
        <v>2224</v>
      </c>
      <c r="G587" s="2" t="s">
        <v>238</v>
      </c>
      <c r="H587" s="7" t="s">
        <v>149</v>
      </c>
      <c r="I587" s="2" t="s">
        <v>483</v>
      </c>
      <c r="J587" s="2" t="s">
        <v>536</v>
      </c>
      <c r="K587" s="2" t="s">
        <v>304</v>
      </c>
      <c r="L587" s="2" t="s">
        <v>206</v>
      </c>
      <c r="M587" s="8" t="str">
        <f t="shared" si="2"/>
        <v xml:space="preserve">http://slimages.macys.com/is/image/MCY/11436881 </v>
      </c>
    </row>
    <row r="588" spans="1:13" ht="60" x14ac:dyDescent="0.25">
      <c r="A588" s="7" t="s">
        <v>6028</v>
      </c>
      <c r="B588" s="2" t="s">
        <v>2223</v>
      </c>
      <c r="C588" s="4">
        <v>4</v>
      </c>
      <c r="D588" s="5">
        <v>2.69</v>
      </c>
      <c r="E588" s="5">
        <v>5.99</v>
      </c>
      <c r="F588" s="4" t="s">
        <v>2224</v>
      </c>
      <c r="G588" s="2" t="s">
        <v>238</v>
      </c>
      <c r="H588" s="7" t="s">
        <v>590</v>
      </c>
      <c r="I588" s="2" t="s">
        <v>483</v>
      </c>
      <c r="J588" s="2" t="s">
        <v>536</v>
      </c>
      <c r="K588" s="2" t="s">
        <v>304</v>
      </c>
      <c r="L588" s="2" t="s">
        <v>206</v>
      </c>
      <c r="M588" s="8" t="str">
        <f t="shared" si="2"/>
        <v xml:space="preserve">http://slimages.macys.com/is/image/MCY/11436881 </v>
      </c>
    </row>
    <row r="589" spans="1:13" ht="60" x14ac:dyDescent="0.25">
      <c r="A589" s="7" t="s">
        <v>6489</v>
      </c>
      <c r="B589" s="2" t="s">
        <v>2223</v>
      </c>
      <c r="C589" s="4">
        <v>4</v>
      </c>
      <c r="D589" s="5">
        <v>2.69</v>
      </c>
      <c r="E589" s="5">
        <v>5.99</v>
      </c>
      <c r="F589" s="4" t="s">
        <v>2224</v>
      </c>
      <c r="G589" s="2" t="s">
        <v>62</v>
      </c>
      <c r="H589" s="7" t="s">
        <v>442</v>
      </c>
      <c r="I589" s="2" t="s">
        <v>483</v>
      </c>
      <c r="J589" s="2" t="s">
        <v>536</v>
      </c>
      <c r="K589" s="2" t="s">
        <v>304</v>
      </c>
      <c r="L589" s="2" t="s">
        <v>206</v>
      </c>
      <c r="M589" s="8" t="str">
        <f t="shared" si="2"/>
        <v xml:space="preserve">http://slimages.macys.com/is/image/MCY/11436881 </v>
      </c>
    </row>
    <row r="590" spans="1:13" ht="60" x14ac:dyDescent="0.25">
      <c r="A590" s="7" t="s">
        <v>6027</v>
      </c>
      <c r="B590" s="2" t="s">
        <v>2223</v>
      </c>
      <c r="C590" s="4">
        <v>2</v>
      </c>
      <c r="D590" s="5">
        <v>2.69</v>
      </c>
      <c r="E590" s="5">
        <v>5.99</v>
      </c>
      <c r="F590" s="4" t="s">
        <v>2224</v>
      </c>
      <c r="G590" s="2" t="s">
        <v>238</v>
      </c>
      <c r="H590" s="7" t="s">
        <v>91</v>
      </c>
      <c r="I590" s="2" t="s">
        <v>483</v>
      </c>
      <c r="J590" s="2" t="s">
        <v>536</v>
      </c>
      <c r="K590" s="2" t="s">
        <v>304</v>
      </c>
      <c r="L590" s="2" t="s">
        <v>206</v>
      </c>
      <c r="M590" s="8" t="str">
        <f t="shared" si="2"/>
        <v xml:space="preserve">http://slimages.macys.com/is/image/MCY/11436881 </v>
      </c>
    </row>
    <row r="591" spans="1:13" ht="60" x14ac:dyDescent="0.25">
      <c r="A591" s="7" t="s">
        <v>2226</v>
      </c>
      <c r="B591" s="2" t="s">
        <v>2223</v>
      </c>
      <c r="C591" s="4">
        <v>1</v>
      </c>
      <c r="D591" s="5">
        <v>2.69</v>
      </c>
      <c r="E591" s="5">
        <v>5.99</v>
      </c>
      <c r="F591" s="4" t="s">
        <v>2224</v>
      </c>
      <c r="G591" s="2" t="s">
        <v>28</v>
      </c>
      <c r="H591" s="7" t="s">
        <v>42</v>
      </c>
      <c r="I591" s="2" t="s">
        <v>483</v>
      </c>
      <c r="J591" s="2" t="s">
        <v>536</v>
      </c>
      <c r="K591" s="2" t="s">
        <v>304</v>
      </c>
      <c r="L591" s="2" t="s">
        <v>206</v>
      </c>
      <c r="M591" s="8" t="str">
        <f t="shared" si="2"/>
        <v xml:space="preserve">http://slimages.macys.com/is/image/MCY/11436881 </v>
      </c>
    </row>
    <row r="592" spans="1:13" ht="60" x14ac:dyDescent="0.25">
      <c r="A592" s="7" t="s">
        <v>6487</v>
      </c>
      <c r="B592" s="2" t="s">
        <v>2223</v>
      </c>
      <c r="C592" s="4">
        <v>2</v>
      </c>
      <c r="D592" s="5">
        <v>2.69</v>
      </c>
      <c r="E592" s="5">
        <v>5.99</v>
      </c>
      <c r="F592" s="4" t="s">
        <v>2224</v>
      </c>
      <c r="G592" s="2" t="s">
        <v>28</v>
      </c>
      <c r="H592" s="7" t="s">
        <v>149</v>
      </c>
      <c r="I592" s="2" t="s">
        <v>483</v>
      </c>
      <c r="J592" s="2" t="s">
        <v>536</v>
      </c>
      <c r="K592" s="2" t="s">
        <v>304</v>
      </c>
      <c r="L592" s="2" t="s">
        <v>206</v>
      </c>
      <c r="M592" s="8" t="str">
        <f t="shared" si="2"/>
        <v xml:space="preserve">http://slimages.macys.com/is/image/MCY/11436881 </v>
      </c>
    </row>
    <row r="593" spans="1:13" ht="60" x14ac:dyDescent="0.25">
      <c r="A593" s="7" t="s">
        <v>6488</v>
      </c>
      <c r="B593" s="2" t="s">
        <v>2223</v>
      </c>
      <c r="C593" s="4">
        <v>2</v>
      </c>
      <c r="D593" s="5">
        <v>2.69</v>
      </c>
      <c r="E593" s="5">
        <v>5.99</v>
      </c>
      <c r="F593" s="4" t="s">
        <v>2224</v>
      </c>
      <c r="G593" s="2" t="s">
        <v>28</v>
      </c>
      <c r="H593" s="7" t="s">
        <v>91</v>
      </c>
      <c r="I593" s="2" t="s">
        <v>483</v>
      </c>
      <c r="J593" s="2" t="s">
        <v>536</v>
      </c>
      <c r="K593" s="2" t="s">
        <v>304</v>
      </c>
      <c r="L593" s="2" t="s">
        <v>206</v>
      </c>
      <c r="M593" s="8" t="str">
        <f t="shared" si="2"/>
        <v xml:space="preserve">http://slimages.macys.com/is/image/MCY/11436881 </v>
      </c>
    </row>
    <row r="594" spans="1:13" ht="60" x14ac:dyDescent="0.25">
      <c r="A594" s="7" t="s">
        <v>6026</v>
      </c>
      <c r="B594" s="2" t="s">
        <v>2223</v>
      </c>
      <c r="C594" s="4">
        <v>2</v>
      </c>
      <c r="D594" s="5">
        <v>2.69</v>
      </c>
      <c r="E594" s="5">
        <v>5.99</v>
      </c>
      <c r="F594" s="4" t="s">
        <v>2224</v>
      </c>
      <c r="G594" s="2" t="s">
        <v>238</v>
      </c>
      <c r="H594" s="7" t="s">
        <v>442</v>
      </c>
      <c r="I594" s="2" t="s">
        <v>483</v>
      </c>
      <c r="J594" s="2" t="s">
        <v>536</v>
      </c>
      <c r="K594" s="2" t="s">
        <v>304</v>
      </c>
      <c r="L594" s="2" t="s">
        <v>206</v>
      </c>
      <c r="M594" s="8" t="str">
        <f t="shared" si="2"/>
        <v xml:space="preserve">http://slimages.macys.com/is/image/MCY/11436881 </v>
      </c>
    </row>
    <row r="595" spans="1:13" ht="60" x14ac:dyDescent="0.25">
      <c r="A595" s="7" t="s">
        <v>2225</v>
      </c>
      <c r="B595" s="2" t="s">
        <v>2223</v>
      </c>
      <c r="C595" s="4">
        <v>2</v>
      </c>
      <c r="D595" s="5">
        <v>2.69</v>
      </c>
      <c r="E595" s="5">
        <v>5.99</v>
      </c>
      <c r="F595" s="4" t="s">
        <v>2224</v>
      </c>
      <c r="G595" s="2" t="s">
        <v>62</v>
      </c>
      <c r="H595" s="7" t="s">
        <v>590</v>
      </c>
      <c r="I595" s="2" t="s">
        <v>483</v>
      </c>
      <c r="J595" s="2" t="s">
        <v>536</v>
      </c>
      <c r="K595" s="2" t="s">
        <v>304</v>
      </c>
      <c r="L595" s="2" t="s">
        <v>206</v>
      </c>
      <c r="M595" s="8" t="str">
        <f t="shared" si="2"/>
        <v xml:space="preserve">http://slimages.macys.com/is/image/MCY/11436881 </v>
      </c>
    </row>
    <row r="596" spans="1:13" ht="84" x14ac:dyDescent="0.25">
      <c r="A596" s="7" t="s">
        <v>2227</v>
      </c>
      <c r="B596" s="2" t="s">
        <v>2228</v>
      </c>
      <c r="C596" s="4">
        <v>3</v>
      </c>
      <c r="D596" s="5">
        <v>2.67</v>
      </c>
      <c r="E596" s="5">
        <v>7.99</v>
      </c>
      <c r="F596" s="4" t="s">
        <v>2229</v>
      </c>
      <c r="G596" s="2" t="s">
        <v>527</v>
      </c>
      <c r="H596" s="7" t="s">
        <v>149</v>
      </c>
      <c r="I596" s="2" t="s">
        <v>483</v>
      </c>
      <c r="J596" s="2" t="s">
        <v>536</v>
      </c>
      <c r="K596" s="2" t="s">
        <v>304</v>
      </c>
      <c r="L596" s="2" t="s">
        <v>2230</v>
      </c>
      <c r="M596" s="8" t="str">
        <f>HYPERLINK("http://slimages.macys.com/is/image/MCY/14385110 ")</f>
        <v xml:space="preserve">http://slimages.macys.com/is/image/MCY/14385110 </v>
      </c>
    </row>
    <row r="597" spans="1:13" ht="84" x14ac:dyDescent="0.25">
      <c r="A597" s="7" t="s">
        <v>4484</v>
      </c>
      <c r="B597" s="2" t="s">
        <v>2228</v>
      </c>
      <c r="C597" s="4">
        <v>1</v>
      </c>
      <c r="D597" s="5">
        <v>2.67</v>
      </c>
      <c r="E597" s="5">
        <v>7.99</v>
      </c>
      <c r="F597" s="4" t="s">
        <v>2229</v>
      </c>
      <c r="G597" s="2" t="s">
        <v>527</v>
      </c>
      <c r="H597" s="7" t="s">
        <v>91</v>
      </c>
      <c r="I597" s="2" t="s">
        <v>483</v>
      </c>
      <c r="J597" s="2" t="s">
        <v>536</v>
      </c>
      <c r="K597" s="2" t="s">
        <v>304</v>
      </c>
      <c r="L597" s="2" t="s">
        <v>2230</v>
      </c>
      <c r="M597" s="8" t="str">
        <f>HYPERLINK("http://slimages.macys.com/is/image/MCY/14385110 ")</f>
        <v xml:space="preserve">http://slimages.macys.com/is/image/MCY/14385110 </v>
      </c>
    </row>
    <row r="598" spans="1:13" ht="84" x14ac:dyDescent="0.25">
      <c r="A598" s="7" t="s">
        <v>2238</v>
      </c>
      <c r="B598" s="2" t="s">
        <v>2228</v>
      </c>
      <c r="C598" s="4">
        <v>3</v>
      </c>
      <c r="D598" s="5">
        <v>2.67</v>
      </c>
      <c r="E598" s="5">
        <v>7.99</v>
      </c>
      <c r="F598" s="4" t="s">
        <v>2229</v>
      </c>
      <c r="G598" s="2" t="s">
        <v>527</v>
      </c>
      <c r="H598" s="7" t="s">
        <v>590</v>
      </c>
      <c r="I598" s="2" t="s">
        <v>483</v>
      </c>
      <c r="J598" s="2" t="s">
        <v>536</v>
      </c>
      <c r="K598" s="2" t="s">
        <v>304</v>
      </c>
      <c r="L598" s="2" t="s">
        <v>2230</v>
      </c>
      <c r="M598" s="8" t="str">
        <f>HYPERLINK("http://slimages.macys.com/is/image/MCY/14385110 ")</f>
        <v xml:space="preserve">http://slimages.macys.com/is/image/MCY/14385110 </v>
      </c>
    </row>
    <row r="599" spans="1:13" ht="84" x14ac:dyDescent="0.25">
      <c r="A599" s="7" t="s">
        <v>2237</v>
      </c>
      <c r="B599" s="2" t="s">
        <v>2228</v>
      </c>
      <c r="C599" s="4">
        <v>3</v>
      </c>
      <c r="D599" s="5">
        <v>2.67</v>
      </c>
      <c r="E599" s="5">
        <v>7.99</v>
      </c>
      <c r="F599" s="4" t="s">
        <v>2229</v>
      </c>
      <c r="G599" s="2" t="s">
        <v>527</v>
      </c>
      <c r="H599" s="7"/>
      <c r="I599" s="2" t="s">
        <v>483</v>
      </c>
      <c r="J599" s="2" t="s">
        <v>536</v>
      </c>
      <c r="K599" s="2" t="s">
        <v>304</v>
      </c>
      <c r="L599" s="2" t="s">
        <v>2230</v>
      </c>
      <c r="M599" s="8" t="str">
        <f>HYPERLINK("http://slimages.macys.com/is/image/MCY/14385110 ")</f>
        <v xml:space="preserve">http://slimages.macys.com/is/image/MCY/14385110 </v>
      </c>
    </row>
    <row r="600" spans="1:13" ht="60" x14ac:dyDescent="0.25">
      <c r="A600" s="7" t="s">
        <v>11729</v>
      </c>
      <c r="B600" s="2" t="s">
        <v>4479</v>
      </c>
      <c r="C600" s="4">
        <v>1</v>
      </c>
      <c r="D600" s="5">
        <v>2.67</v>
      </c>
      <c r="E600" s="5">
        <v>6.99</v>
      </c>
      <c r="F600" s="4" t="s">
        <v>4480</v>
      </c>
      <c r="G600" s="2" t="s">
        <v>195</v>
      </c>
      <c r="H600" s="7" t="s">
        <v>482</v>
      </c>
      <c r="I600" s="2" t="s">
        <v>483</v>
      </c>
      <c r="J600" s="2" t="s">
        <v>536</v>
      </c>
      <c r="K600" s="2" t="s">
        <v>304</v>
      </c>
      <c r="L600" s="2" t="s">
        <v>38</v>
      </c>
      <c r="M600" s="8" t="str">
        <f>HYPERLINK("http://slimages.macys.com/is/image/MCY/12465793 ")</f>
        <v xml:space="preserve">http://slimages.macys.com/is/image/MCY/12465793 </v>
      </c>
    </row>
    <row r="601" spans="1:13" ht="84" x14ac:dyDescent="0.25">
      <c r="A601" s="7" t="s">
        <v>5685</v>
      </c>
      <c r="B601" s="2" t="s">
        <v>2228</v>
      </c>
      <c r="C601" s="4">
        <v>1</v>
      </c>
      <c r="D601" s="5">
        <v>2.67</v>
      </c>
      <c r="E601" s="5">
        <v>7.99</v>
      </c>
      <c r="F601" s="4" t="s">
        <v>2229</v>
      </c>
      <c r="G601" s="2" t="s">
        <v>527</v>
      </c>
      <c r="H601" s="7" t="s">
        <v>442</v>
      </c>
      <c r="I601" s="2" t="s">
        <v>483</v>
      </c>
      <c r="J601" s="2" t="s">
        <v>536</v>
      </c>
      <c r="K601" s="2" t="s">
        <v>304</v>
      </c>
      <c r="L601" s="2" t="s">
        <v>2230</v>
      </c>
      <c r="M601" s="8" t="str">
        <f>HYPERLINK("http://slimages.macys.com/is/image/MCY/14385110 ")</f>
        <v xml:space="preserve">http://slimages.macys.com/is/image/MCY/14385110 </v>
      </c>
    </row>
    <row r="602" spans="1:13" ht="84" x14ac:dyDescent="0.25">
      <c r="A602" s="7" t="s">
        <v>11730</v>
      </c>
      <c r="B602" s="2" t="s">
        <v>2228</v>
      </c>
      <c r="C602" s="4">
        <v>1</v>
      </c>
      <c r="D602" s="5">
        <v>2.67</v>
      </c>
      <c r="E602" s="5">
        <v>7.99</v>
      </c>
      <c r="F602" s="4" t="s">
        <v>2229</v>
      </c>
      <c r="G602" s="2" t="s">
        <v>527</v>
      </c>
      <c r="H602" s="7" t="s">
        <v>42</v>
      </c>
      <c r="I602" s="2" t="s">
        <v>483</v>
      </c>
      <c r="J602" s="2" t="s">
        <v>536</v>
      </c>
      <c r="K602" s="2" t="s">
        <v>304</v>
      </c>
      <c r="L602" s="2" t="s">
        <v>2230</v>
      </c>
      <c r="M602" s="8" t="str">
        <f>HYPERLINK("http://slimages.macys.com/is/image/MCY/14385110 ")</f>
        <v xml:space="preserve">http://slimages.macys.com/is/image/MCY/14385110 </v>
      </c>
    </row>
    <row r="603" spans="1:13" ht="60" x14ac:dyDescent="0.25">
      <c r="A603" s="7" t="s">
        <v>6499</v>
      </c>
      <c r="B603" s="2" t="s">
        <v>1233</v>
      </c>
      <c r="C603" s="4">
        <v>1</v>
      </c>
      <c r="D603" s="5">
        <v>2.67</v>
      </c>
      <c r="E603" s="5">
        <v>6.99</v>
      </c>
      <c r="F603" s="4" t="s">
        <v>1234</v>
      </c>
      <c r="G603" s="2" t="s">
        <v>171</v>
      </c>
      <c r="H603" s="7" t="s">
        <v>149</v>
      </c>
      <c r="I603" s="2" t="s">
        <v>483</v>
      </c>
      <c r="J603" s="2" t="s">
        <v>536</v>
      </c>
      <c r="K603" s="2" t="s">
        <v>304</v>
      </c>
      <c r="L603" s="2" t="s">
        <v>119</v>
      </c>
      <c r="M603" s="8" t="str">
        <f>HYPERLINK("http://slimages.macys.com/is/image/MCY/12646582 ")</f>
        <v xml:space="preserve">http://slimages.macys.com/is/image/MCY/12646582 </v>
      </c>
    </row>
    <row r="604" spans="1:13" ht="60" x14ac:dyDescent="0.25">
      <c r="A604" s="7" t="s">
        <v>5684</v>
      </c>
      <c r="B604" s="2" t="s">
        <v>4479</v>
      </c>
      <c r="C604" s="4">
        <v>3</v>
      </c>
      <c r="D604" s="5">
        <v>2.67</v>
      </c>
      <c r="E604" s="5">
        <v>6.99</v>
      </c>
      <c r="F604" s="4" t="s">
        <v>4480</v>
      </c>
      <c r="G604" s="2" t="s">
        <v>195</v>
      </c>
      <c r="H604" s="7" t="s">
        <v>590</v>
      </c>
      <c r="I604" s="2" t="s">
        <v>483</v>
      </c>
      <c r="J604" s="2" t="s">
        <v>536</v>
      </c>
      <c r="K604" s="2" t="s">
        <v>304</v>
      </c>
      <c r="L604" s="2" t="s">
        <v>38</v>
      </c>
      <c r="M604" s="8" t="str">
        <f>HYPERLINK("http://slimages.macys.com/is/image/MCY/12465793 ")</f>
        <v xml:space="preserve">http://slimages.macys.com/is/image/MCY/12465793 </v>
      </c>
    </row>
    <row r="605" spans="1:13" ht="60" x14ac:dyDescent="0.25">
      <c r="A605" s="7" t="s">
        <v>7154</v>
      </c>
      <c r="B605" s="2" t="s">
        <v>2240</v>
      </c>
      <c r="C605" s="4">
        <v>1</v>
      </c>
      <c r="D605" s="5">
        <v>2.65</v>
      </c>
      <c r="E605" s="5">
        <v>7.99</v>
      </c>
      <c r="F605" s="4" t="s">
        <v>2241</v>
      </c>
      <c r="G605" s="2" t="s">
        <v>41</v>
      </c>
      <c r="H605" s="7" t="s">
        <v>578</v>
      </c>
      <c r="I605" s="2" t="s">
        <v>483</v>
      </c>
      <c r="J605" s="2" t="s">
        <v>536</v>
      </c>
      <c r="K605" s="2" t="s">
        <v>304</v>
      </c>
      <c r="L605" s="2" t="s">
        <v>206</v>
      </c>
      <c r="M605" s="8" t="str">
        <f>HYPERLINK("http://slimages.macys.com/is/image/MCY/13386152 ")</f>
        <v xml:space="preserve">http://slimages.macys.com/is/image/MCY/13386152 </v>
      </c>
    </row>
    <row r="606" spans="1:13" ht="60" x14ac:dyDescent="0.25">
      <c r="A606" s="7" t="s">
        <v>6500</v>
      </c>
      <c r="B606" s="2" t="s">
        <v>6501</v>
      </c>
      <c r="C606" s="4">
        <v>1</v>
      </c>
      <c r="D606" s="5">
        <v>2.65</v>
      </c>
      <c r="E606" s="5">
        <v>5.99</v>
      </c>
      <c r="F606" s="4" t="s">
        <v>6502</v>
      </c>
      <c r="G606" s="2" t="s">
        <v>134</v>
      </c>
      <c r="H606" s="7" t="s">
        <v>91</v>
      </c>
      <c r="I606" s="2" t="s">
        <v>483</v>
      </c>
      <c r="J606" s="2" t="s">
        <v>536</v>
      </c>
      <c r="K606" s="2" t="s">
        <v>304</v>
      </c>
      <c r="L606" s="2" t="s">
        <v>119</v>
      </c>
      <c r="M606" s="8" t="str">
        <f>HYPERLINK("http://slimages.macys.com/is/image/MCY/12644420 ")</f>
        <v xml:space="preserve">http://slimages.macys.com/is/image/MCY/12644420 </v>
      </c>
    </row>
    <row r="607" spans="1:13" ht="60" x14ac:dyDescent="0.25">
      <c r="A607" s="7" t="s">
        <v>11731</v>
      </c>
      <c r="B607" s="2" t="s">
        <v>11732</v>
      </c>
      <c r="C607" s="4">
        <v>1</v>
      </c>
      <c r="D607" s="5">
        <v>2.65</v>
      </c>
      <c r="E607" s="5">
        <v>6.99</v>
      </c>
      <c r="F607" s="4" t="s">
        <v>11733</v>
      </c>
      <c r="G607" s="2" t="s">
        <v>527</v>
      </c>
      <c r="H607" s="7" t="s">
        <v>42</v>
      </c>
      <c r="I607" s="2" t="s">
        <v>483</v>
      </c>
      <c r="J607" s="2" t="s">
        <v>536</v>
      </c>
      <c r="K607" s="2" t="s">
        <v>304</v>
      </c>
      <c r="L607" s="2" t="s">
        <v>119</v>
      </c>
      <c r="M607" s="8" t="str">
        <f>HYPERLINK("http://slimages.macys.com/is/image/MCY/13987597 ")</f>
        <v xml:space="preserve">http://slimages.macys.com/is/image/MCY/13987597 </v>
      </c>
    </row>
    <row r="608" spans="1:13" ht="60" x14ac:dyDescent="0.25">
      <c r="A608" s="7" t="s">
        <v>11734</v>
      </c>
      <c r="B608" s="2" t="s">
        <v>10657</v>
      </c>
      <c r="C608" s="4">
        <v>1</v>
      </c>
      <c r="D608" s="5">
        <v>2.65</v>
      </c>
      <c r="E608" s="5">
        <v>7.99</v>
      </c>
      <c r="F608" s="4">
        <v>10005378300</v>
      </c>
      <c r="G608" s="2" t="s">
        <v>262</v>
      </c>
      <c r="H608" s="7" t="s">
        <v>442</v>
      </c>
      <c r="I608" s="2" t="s">
        <v>483</v>
      </c>
      <c r="J608" s="2" t="s">
        <v>536</v>
      </c>
      <c r="K608" s="2" t="s">
        <v>304</v>
      </c>
      <c r="L608" s="2" t="s">
        <v>100</v>
      </c>
      <c r="M608" s="8" t="str">
        <f>HYPERLINK("http://slimages.macys.com/is/image/MCY/12465800 ")</f>
        <v xml:space="preserve">http://slimages.macys.com/is/image/MCY/12465800 </v>
      </c>
    </row>
    <row r="609" spans="1:13" ht="60" x14ac:dyDescent="0.25">
      <c r="A609" s="7" t="s">
        <v>9208</v>
      </c>
      <c r="B609" s="2" t="s">
        <v>4495</v>
      </c>
      <c r="C609" s="4">
        <v>1</v>
      </c>
      <c r="D609" s="5">
        <v>2.63</v>
      </c>
      <c r="E609" s="5">
        <v>5.99</v>
      </c>
      <c r="F609" s="4" t="s">
        <v>4496</v>
      </c>
      <c r="G609" s="2" t="s">
        <v>858</v>
      </c>
      <c r="H609" s="7" t="s">
        <v>442</v>
      </c>
      <c r="I609" s="2" t="s">
        <v>483</v>
      </c>
      <c r="J609" s="2" t="s">
        <v>536</v>
      </c>
      <c r="K609" s="2" t="s">
        <v>304</v>
      </c>
      <c r="L609" s="2" t="s">
        <v>206</v>
      </c>
      <c r="M609" s="8" t="str">
        <f>HYPERLINK("http://slimages.macys.com/is/image/MCY/11709478 ")</f>
        <v xml:space="preserve">http://slimages.macys.com/is/image/MCY/11709478 </v>
      </c>
    </row>
    <row r="610" spans="1:13" ht="60" x14ac:dyDescent="0.25">
      <c r="A610" s="7" t="s">
        <v>6031</v>
      </c>
      <c r="B610" s="2" t="s">
        <v>6032</v>
      </c>
      <c r="C610" s="4">
        <v>1</v>
      </c>
      <c r="D610" s="5">
        <v>2.63</v>
      </c>
      <c r="E610" s="5">
        <v>6.99</v>
      </c>
      <c r="F610" s="4" t="s">
        <v>6033</v>
      </c>
      <c r="G610" s="2" t="s">
        <v>1265</v>
      </c>
      <c r="H610" s="7" t="s">
        <v>442</v>
      </c>
      <c r="I610" s="2" t="s">
        <v>483</v>
      </c>
      <c r="J610" s="2" t="s">
        <v>536</v>
      </c>
      <c r="K610" s="2" t="s">
        <v>304</v>
      </c>
      <c r="L610" s="2" t="s">
        <v>100</v>
      </c>
      <c r="M610" s="8" t="str">
        <f>HYPERLINK("http://slimages.macys.com/is/image/MCY/11378279 ")</f>
        <v xml:space="preserve">http://slimages.macys.com/is/image/MCY/11378279 </v>
      </c>
    </row>
    <row r="611" spans="1:13" ht="60" x14ac:dyDescent="0.25">
      <c r="A611" s="7" t="s">
        <v>7160</v>
      </c>
      <c r="B611" s="2" t="s">
        <v>4495</v>
      </c>
      <c r="C611" s="4">
        <v>1</v>
      </c>
      <c r="D611" s="5">
        <v>2.63</v>
      </c>
      <c r="E611" s="5">
        <v>5.99</v>
      </c>
      <c r="F611" s="4" t="s">
        <v>4496</v>
      </c>
      <c r="G611" s="2" t="s">
        <v>858</v>
      </c>
      <c r="H611" s="7" t="s">
        <v>590</v>
      </c>
      <c r="I611" s="2" t="s">
        <v>483</v>
      </c>
      <c r="J611" s="2" t="s">
        <v>536</v>
      </c>
      <c r="K611" s="2" t="s">
        <v>304</v>
      </c>
      <c r="L611" s="2" t="s">
        <v>206</v>
      </c>
      <c r="M611" s="8" t="str">
        <f>HYPERLINK("http://slimages.macys.com/is/image/MCY/11709478 ")</f>
        <v xml:space="preserve">http://slimages.macys.com/is/image/MCY/11709478 </v>
      </c>
    </row>
    <row r="612" spans="1:13" ht="60" x14ac:dyDescent="0.25">
      <c r="A612" s="7" t="s">
        <v>5080</v>
      </c>
      <c r="B612" s="2" t="s">
        <v>4495</v>
      </c>
      <c r="C612" s="4">
        <v>2</v>
      </c>
      <c r="D612" s="5">
        <v>2.63</v>
      </c>
      <c r="E612" s="5">
        <v>5.99</v>
      </c>
      <c r="F612" s="4" t="s">
        <v>4496</v>
      </c>
      <c r="G612" s="2" t="s">
        <v>858</v>
      </c>
      <c r="H612" s="7" t="s">
        <v>149</v>
      </c>
      <c r="I612" s="2" t="s">
        <v>483</v>
      </c>
      <c r="J612" s="2" t="s">
        <v>536</v>
      </c>
      <c r="K612" s="2" t="s">
        <v>304</v>
      </c>
      <c r="L612" s="2" t="s">
        <v>206</v>
      </c>
      <c r="M612" s="8" t="str">
        <f>HYPERLINK("http://slimages.macys.com/is/image/MCY/11709478 ")</f>
        <v xml:space="preserve">http://slimages.macys.com/is/image/MCY/11709478 </v>
      </c>
    </row>
    <row r="613" spans="1:13" ht="60" x14ac:dyDescent="0.25">
      <c r="A613" s="7" t="s">
        <v>7158</v>
      </c>
      <c r="B613" s="2" t="s">
        <v>4495</v>
      </c>
      <c r="C613" s="4">
        <v>2</v>
      </c>
      <c r="D613" s="5">
        <v>2.63</v>
      </c>
      <c r="E613" s="5">
        <v>5.99</v>
      </c>
      <c r="F613" s="4" t="s">
        <v>4496</v>
      </c>
      <c r="G613" s="2" t="s">
        <v>858</v>
      </c>
      <c r="H613" s="7" t="s">
        <v>91</v>
      </c>
      <c r="I613" s="2" t="s">
        <v>483</v>
      </c>
      <c r="J613" s="2" t="s">
        <v>536</v>
      </c>
      <c r="K613" s="2" t="s">
        <v>304</v>
      </c>
      <c r="L613" s="2" t="s">
        <v>206</v>
      </c>
      <c r="M613" s="8" t="str">
        <f>HYPERLINK("http://slimages.macys.com/is/image/MCY/11709478 ")</f>
        <v xml:space="preserve">http://slimages.macys.com/is/image/MCY/11709478 </v>
      </c>
    </row>
    <row r="614" spans="1:13" ht="60" x14ac:dyDescent="0.25">
      <c r="A614" s="7" t="s">
        <v>11225</v>
      </c>
      <c r="B614" s="2" t="s">
        <v>4495</v>
      </c>
      <c r="C614" s="4">
        <v>3</v>
      </c>
      <c r="D614" s="5">
        <v>2.63</v>
      </c>
      <c r="E614" s="5">
        <v>5.99</v>
      </c>
      <c r="F614" s="4" t="s">
        <v>4496</v>
      </c>
      <c r="G614" s="2" t="s">
        <v>858</v>
      </c>
      <c r="H614" s="7" t="s">
        <v>42</v>
      </c>
      <c r="I614" s="2" t="s">
        <v>483</v>
      </c>
      <c r="J614" s="2" t="s">
        <v>536</v>
      </c>
      <c r="K614" s="2" t="s">
        <v>304</v>
      </c>
      <c r="L614" s="2" t="s">
        <v>206</v>
      </c>
      <c r="M614" s="8" t="str">
        <f>HYPERLINK("http://slimages.macys.com/is/image/MCY/11709478 ")</f>
        <v xml:space="preserve">http://slimages.macys.com/is/image/MCY/11709478 </v>
      </c>
    </row>
    <row r="615" spans="1:13" ht="60" x14ac:dyDescent="0.25">
      <c r="A615" s="7" t="s">
        <v>6036</v>
      </c>
      <c r="B615" s="2" t="s">
        <v>1246</v>
      </c>
      <c r="C615" s="4">
        <v>1</v>
      </c>
      <c r="D615" s="5">
        <v>2.62</v>
      </c>
      <c r="E615" s="5">
        <v>6.99</v>
      </c>
      <c r="F615" s="4" t="s">
        <v>1247</v>
      </c>
      <c r="G615" s="2" t="s">
        <v>41</v>
      </c>
      <c r="H615" s="7" t="s">
        <v>42</v>
      </c>
      <c r="I615" s="2" t="s">
        <v>483</v>
      </c>
      <c r="J615" s="2" t="s">
        <v>536</v>
      </c>
      <c r="K615" s="2" t="s">
        <v>304</v>
      </c>
      <c r="L615" s="2" t="s">
        <v>100</v>
      </c>
      <c r="M615" s="8" t="str">
        <f>HYPERLINK("http://slimages.macys.com/is/image/MCY/13337544 ")</f>
        <v xml:space="preserve">http://slimages.macys.com/is/image/MCY/13337544 </v>
      </c>
    </row>
    <row r="616" spans="1:13" ht="60" x14ac:dyDescent="0.25">
      <c r="A616" s="7" t="s">
        <v>11735</v>
      </c>
      <c r="B616" s="2" t="s">
        <v>11736</v>
      </c>
      <c r="C616" s="4">
        <v>1</v>
      </c>
      <c r="D616" s="5">
        <v>2.62</v>
      </c>
      <c r="E616" s="5">
        <v>6.99</v>
      </c>
      <c r="F616" s="4" t="s">
        <v>11737</v>
      </c>
      <c r="G616" s="2" t="s">
        <v>41</v>
      </c>
      <c r="H616" s="7" t="s">
        <v>42</v>
      </c>
      <c r="I616" s="2" t="s">
        <v>483</v>
      </c>
      <c r="J616" s="2" t="s">
        <v>536</v>
      </c>
      <c r="K616" s="2" t="s">
        <v>304</v>
      </c>
      <c r="L616" s="2" t="s">
        <v>100</v>
      </c>
      <c r="M616" s="8" t="str">
        <f>HYPERLINK("http://slimages.macys.com/is/image/MCY/11524632 ")</f>
        <v xml:space="preserve">http://slimages.macys.com/is/image/MCY/11524632 </v>
      </c>
    </row>
    <row r="617" spans="1:13" ht="60" x14ac:dyDescent="0.25">
      <c r="A617" s="7" t="s">
        <v>6511</v>
      </c>
      <c r="B617" s="2" t="s">
        <v>1243</v>
      </c>
      <c r="C617" s="4">
        <v>2</v>
      </c>
      <c r="D617" s="5">
        <v>2.62</v>
      </c>
      <c r="E617" s="5">
        <v>6.99</v>
      </c>
      <c r="F617" s="4" t="s">
        <v>1244</v>
      </c>
      <c r="G617" s="2" t="s">
        <v>41</v>
      </c>
      <c r="H617" s="7" t="s">
        <v>442</v>
      </c>
      <c r="I617" s="2" t="s">
        <v>483</v>
      </c>
      <c r="J617" s="2" t="s">
        <v>536</v>
      </c>
      <c r="K617" s="2" t="s">
        <v>304</v>
      </c>
      <c r="L617" s="2" t="s">
        <v>38</v>
      </c>
      <c r="M617" s="8" t="str">
        <f>HYPERLINK("http://slimages.macys.com/is/image/MCY/13987599 ")</f>
        <v xml:space="preserve">http://slimages.macys.com/is/image/MCY/13987599 </v>
      </c>
    </row>
    <row r="618" spans="1:13" ht="60" x14ac:dyDescent="0.25">
      <c r="A618" s="7" t="s">
        <v>2266</v>
      </c>
      <c r="B618" s="2" t="s">
        <v>2254</v>
      </c>
      <c r="C618" s="4">
        <v>1</v>
      </c>
      <c r="D618" s="5">
        <v>2.62</v>
      </c>
      <c r="E618" s="5">
        <v>5.99</v>
      </c>
      <c r="F618" s="4" t="s">
        <v>2255</v>
      </c>
      <c r="G618" s="2" t="s">
        <v>657</v>
      </c>
      <c r="H618" s="7" t="s">
        <v>442</v>
      </c>
      <c r="I618" s="2" t="s">
        <v>483</v>
      </c>
      <c r="J618" s="2" t="s">
        <v>536</v>
      </c>
      <c r="K618" s="2" t="s">
        <v>304</v>
      </c>
      <c r="L618" s="2" t="s">
        <v>119</v>
      </c>
      <c r="M618" s="8" t="str">
        <f>HYPERLINK("http://slimages.macys.com/is/image/MCY/12644604 ")</f>
        <v xml:space="preserve">http://slimages.macys.com/is/image/MCY/12644604 </v>
      </c>
    </row>
    <row r="619" spans="1:13" ht="60" x14ac:dyDescent="0.25">
      <c r="A619" s="7" t="s">
        <v>7166</v>
      </c>
      <c r="B619" s="2" t="s">
        <v>1243</v>
      </c>
      <c r="C619" s="4">
        <v>1</v>
      </c>
      <c r="D619" s="5">
        <v>2.62</v>
      </c>
      <c r="E619" s="5">
        <v>6.99</v>
      </c>
      <c r="F619" s="4" t="s">
        <v>1244</v>
      </c>
      <c r="G619" s="2" t="s">
        <v>41</v>
      </c>
      <c r="H619" s="7" t="s">
        <v>42</v>
      </c>
      <c r="I619" s="2" t="s">
        <v>483</v>
      </c>
      <c r="J619" s="2" t="s">
        <v>536</v>
      </c>
      <c r="K619" s="2" t="s">
        <v>304</v>
      </c>
      <c r="L619" s="2" t="s">
        <v>38</v>
      </c>
      <c r="M619" s="8" t="str">
        <f>HYPERLINK("http://slimages.macys.com/is/image/MCY/13987599 ")</f>
        <v xml:space="preserve">http://slimages.macys.com/is/image/MCY/13987599 </v>
      </c>
    </row>
    <row r="620" spans="1:13" ht="60" x14ac:dyDescent="0.25">
      <c r="A620" s="7" t="s">
        <v>1248</v>
      </c>
      <c r="B620" s="2" t="s">
        <v>1243</v>
      </c>
      <c r="C620" s="4">
        <v>2</v>
      </c>
      <c r="D620" s="5">
        <v>2.62</v>
      </c>
      <c r="E620" s="5">
        <v>6.99</v>
      </c>
      <c r="F620" s="4" t="s">
        <v>1244</v>
      </c>
      <c r="G620" s="2" t="s">
        <v>41</v>
      </c>
      <c r="H620" s="7" t="s">
        <v>590</v>
      </c>
      <c r="I620" s="2" t="s">
        <v>483</v>
      </c>
      <c r="J620" s="2" t="s">
        <v>536</v>
      </c>
      <c r="K620" s="2" t="s">
        <v>304</v>
      </c>
      <c r="L620" s="2" t="s">
        <v>38</v>
      </c>
      <c r="M620" s="8" t="str">
        <f>HYPERLINK("http://slimages.macys.com/is/image/MCY/13987599 ")</f>
        <v xml:space="preserve">http://slimages.macys.com/is/image/MCY/13987599 </v>
      </c>
    </row>
    <row r="621" spans="1:13" ht="60" x14ac:dyDescent="0.25">
      <c r="A621" s="7" t="s">
        <v>6035</v>
      </c>
      <c r="B621" s="2" t="s">
        <v>1246</v>
      </c>
      <c r="C621" s="4">
        <v>2</v>
      </c>
      <c r="D621" s="5">
        <v>2.62</v>
      </c>
      <c r="E621" s="5">
        <v>6.99</v>
      </c>
      <c r="F621" s="4" t="s">
        <v>1247</v>
      </c>
      <c r="G621" s="2" t="s">
        <v>41</v>
      </c>
      <c r="H621" s="7" t="s">
        <v>442</v>
      </c>
      <c r="I621" s="2" t="s">
        <v>483</v>
      </c>
      <c r="J621" s="2" t="s">
        <v>536</v>
      </c>
      <c r="K621" s="2" t="s">
        <v>304</v>
      </c>
      <c r="L621" s="2" t="s">
        <v>100</v>
      </c>
      <c r="M621" s="8" t="str">
        <f>HYPERLINK("http://slimages.macys.com/is/image/MCY/13337544 ")</f>
        <v xml:space="preserve">http://slimages.macys.com/is/image/MCY/13337544 </v>
      </c>
    </row>
    <row r="622" spans="1:13" ht="60" x14ac:dyDescent="0.25">
      <c r="A622" s="7" t="s">
        <v>7164</v>
      </c>
      <c r="B622" s="2" t="s">
        <v>1243</v>
      </c>
      <c r="C622" s="4">
        <v>2</v>
      </c>
      <c r="D622" s="5">
        <v>2.62</v>
      </c>
      <c r="E622" s="5">
        <v>6.99</v>
      </c>
      <c r="F622" s="4" t="s">
        <v>1244</v>
      </c>
      <c r="G622" s="2" t="s">
        <v>41</v>
      </c>
      <c r="H622" s="7" t="s">
        <v>91</v>
      </c>
      <c r="I622" s="2" t="s">
        <v>483</v>
      </c>
      <c r="J622" s="2" t="s">
        <v>536</v>
      </c>
      <c r="K622" s="2" t="s">
        <v>304</v>
      </c>
      <c r="L622" s="2" t="s">
        <v>38</v>
      </c>
      <c r="M622" s="8" t="str">
        <f>HYPERLINK("http://slimages.macys.com/is/image/MCY/13987599 ")</f>
        <v xml:space="preserve">http://slimages.macys.com/is/image/MCY/13987599 </v>
      </c>
    </row>
    <row r="623" spans="1:13" ht="60" x14ac:dyDescent="0.25">
      <c r="A623" s="7" t="s">
        <v>6517</v>
      </c>
      <c r="B623" s="2" t="s">
        <v>6518</v>
      </c>
      <c r="C623" s="4">
        <v>1</v>
      </c>
      <c r="D623" s="5">
        <v>2.62</v>
      </c>
      <c r="E623" s="5">
        <v>6.99</v>
      </c>
      <c r="F623" s="4" t="s">
        <v>6519</v>
      </c>
      <c r="G623" s="2" t="s">
        <v>28</v>
      </c>
      <c r="H623" s="7" t="s">
        <v>149</v>
      </c>
      <c r="I623" s="2" t="s">
        <v>483</v>
      </c>
      <c r="J623" s="2" t="s">
        <v>536</v>
      </c>
      <c r="K623" s="2" t="s">
        <v>304</v>
      </c>
      <c r="L623" s="2" t="s">
        <v>100</v>
      </c>
      <c r="M623" s="8" t="str">
        <f>HYPERLINK("http://slimages.macys.com/is/image/MCY/11524593 ")</f>
        <v xml:space="preserve">http://slimages.macys.com/is/image/MCY/11524593 </v>
      </c>
    </row>
    <row r="624" spans="1:13" ht="60" x14ac:dyDescent="0.25">
      <c r="A624" s="7" t="s">
        <v>2253</v>
      </c>
      <c r="B624" s="2" t="s">
        <v>2254</v>
      </c>
      <c r="C624" s="4">
        <v>2</v>
      </c>
      <c r="D624" s="5">
        <v>2.62</v>
      </c>
      <c r="E624" s="5">
        <v>5.99</v>
      </c>
      <c r="F624" s="4" t="s">
        <v>2255</v>
      </c>
      <c r="G624" s="2" t="s">
        <v>657</v>
      </c>
      <c r="H624" s="7" t="s">
        <v>42</v>
      </c>
      <c r="I624" s="2" t="s">
        <v>483</v>
      </c>
      <c r="J624" s="2" t="s">
        <v>536</v>
      </c>
      <c r="K624" s="2" t="s">
        <v>304</v>
      </c>
      <c r="L624" s="2" t="s">
        <v>119</v>
      </c>
      <c r="M624" s="8" t="str">
        <f>HYPERLINK("http://slimages.macys.com/is/image/MCY/12644604 ")</f>
        <v xml:space="preserve">http://slimages.macys.com/is/image/MCY/12644604 </v>
      </c>
    </row>
    <row r="625" spans="1:13" ht="60" x14ac:dyDescent="0.25">
      <c r="A625" s="7" t="s">
        <v>2256</v>
      </c>
      <c r="B625" s="2" t="s">
        <v>2254</v>
      </c>
      <c r="C625" s="4">
        <v>1</v>
      </c>
      <c r="D625" s="5">
        <v>2.62</v>
      </c>
      <c r="E625" s="5">
        <v>5.99</v>
      </c>
      <c r="F625" s="4" t="s">
        <v>2255</v>
      </c>
      <c r="G625" s="2" t="s">
        <v>657</v>
      </c>
      <c r="H625" s="7" t="s">
        <v>149</v>
      </c>
      <c r="I625" s="2" t="s">
        <v>483</v>
      </c>
      <c r="J625" s="2" t="s">
        <v>536</v>
      </c>
      <c r="K625" s="2" t="s">
        <v>304</v>
      </c>
      <c r="L625" s="2" t="s">
        <v>119</v>
      </c>
      <c r="M625" s="8" t="str">
        <f>HYPERLINK("http://slimages.macys.com/is/image/MCY/12644604 ")</f>
        <v xml:space="preserve">http://slimages.macys.com/is/image/MCY/12644604 </v>
      </c>
    </row>
    <row r="626" spans="1:13" ht="60" x14ac:dyDescent="0.25">
      <c r="A626" s="7" t="s">
        <v>2268</v>
      </c>
      <c r="B626" s="2" t="s">
        <v>2254</v>
      </c>
      <c r="C626" s="4">
        <v>1</v>
      </c>
      <c r="D626" s="5">
        <v>2.62</v>
      </c>
      <c r="E626" s="5">
        <v>5.99</v>
      </c>
      <c r="F626" s="4" t="s">
        <v>2255</v>
      </c>
      <c r="G626" s="2" t="s">
        <v>657</v>
      </c>
      <c r="H626" s="7" t="s">
        <v>91</v>
      </c>
      <c r="I626" s="2" t="s">
        <v>483</v>
      </c>
      <c r="J626" s="2" t="s">
        <v>536</v>
      </c>
      <c r="K626" s="2" t="s">
        <v>304</v>
      </c>
      <c r="L626" s="2" t="s">
        <v>119</v>
      </c>
      <c r="M626" s="8" t="str">
        <f>HYPERLINK("http://slimages.macys.com/is/image/MCY/12644604 ")</f>
        <v xml:space="preserve">http://slimages.macys.com/is/image/MCY/12644604 </v>
      </c>
    </row>
    <row r="627" spans="1:13" ht="60" x14ac:dyDescent="0.25">
      <c r="A627" s="7" t="s">
        <v>1239</v>
      </c>
      <c r="B627" s="2" t="s">
        <v>1240</v>
      </c>
      <c r="C627" s="4">
        <v>1</v>
      </c>
      <c r="D627" s="5">
        <v>2.62</v>
      </c>
      <c r="E627" s="5">
        <v>6.99</v>
      </c>
      <c r="F627" s="4" t="s">
        <v>1241</v>
      </c>
      <c r="G627" s="2" t="s">
        <v>28</v>
      </c>
      <c r="H627" s="7" t="s">
        <v>149</v>
      </c>
      <c r="I627" s="2" t="s">
        <v>483</v>
      </c>
      <c r="J627" s="2" t="s">
        <v>536</v>
      </c>
      <c r="K627" s="2" t="s">
        <v>304</v>
      </c>
      <c r="L627" s="2" t="s">
        <v>100</v>
      </c>
      <c r="M627" s="8" t="str">
        <f>HYPERLINK("http://slimages.macys.com/is/image/MCY/13336558 ")</f>
        <v xml:space="preserve">http://slimages.macys.com/is/image/MCY/13336558 </v>
      </c>
    </row>
    <row r="628" spans="1:13" ht="60" x14ac:dyDescent="0.25">
      <c r="A628" s="7" t="s">
        <v>5688</v>
      </c>
      <c r="B628" s="2" t="s">
        <v>1246</v>
      </c>
      <c r="C628" s="4">
        <v>1</v>
      </c>
      <c r="D628" s="5">
        <v>2.62</v>
      </c>
      <c r="E628" s="5">
        <v>6.99</v>
      </c>
      <c r="F628" s="4" t="s">
        <v>1247</v>
      </c>
      <c r="G628" s="2" t="s">
        <v>41</v>
      </c>
      <c r="H628" s="7" t="s">
        <v>91</v>
      </c>
      <c r="I628" s="2" t="s">
        <v>483</v>
      </c>
      <c r="J628" s="2" t="s">
        <v>536</v>
      </c>
      <c r="K628" s="2" t="s">
        <v>304</v>
      </c>
      <c r="L628" s="2" t="s">
        <v>100</v>
      </c>
      <c r="M628" s="8" t="str">
        <f>HYPERLINK("http://slimages.macys.com/is/image/MCY/13337544 ")</f>
        <v xml:space="preserve">http://slimages.macys.com/is/image/MCY/13337544 </v>
      </c>
    </row>
    <row r="629" spans="1:13" ht="60" x14ac:dyDescent="0.25">
      <c r="A629" s="7" t="s">
        <v>7162</v>
      </c>
      <c r="B629" s="2" t="s">
        <v>6507</v>
      </c>
      <c r="C629" s="4">
        <v>1</v>
      </c>
      <c r="D629" s="5">
        <v>2.62</v>
      </c>
      <c r="E629" s="5">
        <v>7.99</v>
      </c>
      <c r="F629" s="4" t="s">
        <v>6508</v>
      </c>
      <c r="G629" s="2" t="s">
        <v>28</v>
      </c>
      <c r="H629" s="7" t="s">
        <v>514</v>
      </c>
      <c r="I629" s="2" t="s">
        <v>483</v>
      </c>
      <c r="J629" s="2" t="s">
        <v>536</v>
      </c>
      <c r="K629" s="2" t="s">
        <v>304</v>
      </c>
      <c r="L629" s="2" t="s">
        <v>38</v>
      </c>
      <c r="M629" s="8" t="str">
        <f>HYPERLINK("http://slimages.macys.com/is/image/MCY/13987609 ")</f>
        <v xml:space="preserve">http://slimages.macys.com/is/image/MCY/13987609 </v>
      </c>
    </row>
    <row r="630" spans="1:13" ht="60" x14ac:dyDescent="0.25">
      <c r="A630" s="7" t="s">
        <v>5689</v>
      </c>
      <c r="B630" s="2" t="s">
        <v>1253</v>
      </c>
      <c r="C630" s="4">
        <v>1</v>
      </c>
      <c r="D630" s="5">
        <v>2.61</v>
      </c>
      <c r="E630" s="5">
        <v>6.99</v>
      </c>
      <c r="F630" s="4" t="s">
        <v>1254</v>
      </c>
      <c r="G630" s="2" t="s">
        <v>171</v>
      </c>
      <c r="H630" s="7"/>
      <c r="I630" s="2" t="s">
        <v>483</v>
      </c>
      <c r="J630" s="2" t="s">
        <v>536</v>
      </c>
      <c r="K630" s="2" t="s">
        <v>304</v>
      </c>
      <c r="L630" s="2" t="s">
        <v>38</v>
      </c>
      <c r="M630" s="8" t="str">
        <f>HYPERLINK("http://slimages.macys.com/is/image/MCY/13987491 ")</f>
        <v xml:space="preserve">http://slimages.macys.com/is/image/MCY/13987491 </v>
      </c>
    </row>
    <row r="631" spans="1:13" ht="60" x14ac:dyDescent="0.25">
      <c r="A631" s="7" t="s">
        <v>4524</v>
      </c>
      <c r="B631" s="2" t="s">
        <v>4518</v>
      </c>
      <c r="C631" s="4">
        <v>2</v>
      </c>
      <c r="D631" s="5">
        <v>2.61</v>
      </c>
      <c r="E631" s="5">
        <v>6.99</v>
      </c>
      <c r="F631" s="4" t="s">
        <v>4519</v>
      </c>
      <c r="G631" s="2" t="s">
        <v>171</v>
      </c>
      <c r="H631" s="7"/>
      <c r="I631" s="2" t="s">
        <v>483</v>
      </c>
      <c r="J631" s="2" t="s">
        <v>536</v>
      </c>
      <c r="K631" s="2" t="s">
        <v>304</v>
      </c>
      <c r="L631" s="2" t="s">
        <v>623</v>
      </c>
      <c r="M631" s="8" t="str">
        <f>HYPERLINK("http://slimages.macys.com/is/image/MCY/12466225 ")</f>
        <v xml:space="preserve">http://slimages.macys.com/is/image/MCY/12466225 </v>
      </c>
    </row>
    <row r="632" spans="1:13" ht="60" x14ac:dyDescent="0.25">
      <c r="A632" s="7" t="s">
        <v>8446</v>
      </c>
      <c r="B632" s="2" t="s">
        <v>2271</v>
      </c>
      <c r="C632" s="4">
        <v>1</v>
      </c>
      <c r="D632" s="5">
        <v>2.61</v>
      </c>
      <c r="E632" s="5">
        <v>6.99</v>
      </c>
      <c r="F632" s="4" t="s">
        <v>2272</v>
      </c>
      <c r="G632" s="2" t="s">
        <v>1147</v>
      </c>
      <c r="H632" s="7" t="s">
        <v>42</v>
      </c>
      <c r="I632" s="2" t="s">
        <v>483</v>
      </c>
      <c r="J632" s="2" t="s">
        <v>536</v>
      </c>
      <c r="K632" s="2" t="s">
        <v>304</v>
      </c>
      <c r="L632" s="2" t="s">
        <v>38</v>
      </c>
      <c r="M632" s="8" t="str">
        <f>HYPERLINK("http://slimages.macys.com/is/image/MCY/13987297 ")</f>
        <v xml:space="preserve">http://slimages.macys.com/is/image/MCY/13987297 </v>
      </c>
    </row>
    <row r="633" spans="1:13" ht="60" x14ac:dyDescent="0.25">
      <c r="A633" s="7" t="s">
        <v>6523</v>
      </c>
      <c r="B633" s="2" t="s">
        <v>2271</v>
      </c>
      <c r="C633" s="4">
        <v>1</v>
      </c>
      <c r="D633" s="5">
        <v>2.61</v>
      </c>
      <c r="E633" s="5">
        <v>6.99</v>
      </c>
      <c r="F633" s="4" t="s">
        <v>2272</v>
      </c>
      <c r="G633" s="2" t="s">
        <v>1147</v>
      </c>
      <c r="H633" s="7" t="s">
        <v>442</v>
      </c>
      <c r="I633" s="2" t="s">
        <v>483</v>
      </c>
      <c r="J633" s="2" t="s">
        <v>536</v>
      </c>
      <c r="K633" s="2" t="s">
        <v>304</v>
      </c>
      <c r="L633" s="2" t="s">
        <v>38</v>
      </c>
      <c r="M633" s="8" t="str">
        <f>HYPERLINK("http://slimages.macys.com/is/image/MCY/13987297 ")</f>
        <v xml:space="preserve">http://slimages.macys.com/is/image/MCY/13987297 </v>
      </c>
    </row>
    <row r="634" spans="1:13" ht="60" x14ac:dyDescent="0.25">
      <c r="A634" s="7" t="s">
        <v>5082</v>
      </c>
      <c r="B634" s="2" t="s">
        <v>2276</v>
      </c>
      <c r="C634" s="4">
        <v>1</v>
      </c>
      <c r="D634" s="5">
        <v>2.61</v>
      </c>
      <c r="E634" s="5">
        <v>6.99</v>
      </c>
      <c r="F634" s="4" t="s">
        <v>2277</v>
      </c>
      <c r="G634" s="2" t="s">
        <v>527</v>
      </c>
      <c r="H634" s="7" t="s">
        <v>149</v>
      </c>
      <c r="I634" s="2" t="s">
        <v>483</v>
      </c>
      <c r="J634" s="2" t="s">
        <v>536</v>
      </c>
      <c r="K634" s="2" t="s">
        <v>304</v>
      </c>
      <c r="L634" s="2" t="s">
        <v>206</v>
      </c>
      <c r="M634" s="8" t="str">
        <f>HYPERLINK("http://slimages.macys.com/is/image/MCY/13336562 ")</f>
        <v xml:space="preserve">http://slimages.macys.com/is/image/MCY/13336562 </v>
      </c>
    </row>
    <row r="635" spans="1:13" ht="60" x14ac:dyDescent="0.25">
      <c r="A635" s="7" t="s">
        <v>2278</v>
      </c>
      <c r="B635" s="2" t="s">
        <v>2279</v>
      </c>
      <c r="C635" s="4">
        <v>1</v>
      </c>
      <c r="D635" s="5">
        <v>2.59</v>
      </c>
      <c r="E635" s="5">
        <v>7.99</v>
      </c>
      <c r="F635" s="4" t="s">
        <v>2280</v>
      </c>
      <c r="G635" s="2" t="s">
        <v>86</v>
      </c>
      <c r="H635" s="7"/>
      <c r="I635" s="2" t="s">
        <v>483</v>
      </c>
      <c r="J635" s="2" t="s">
        <v>536</v>
      </c>
      <c r="K635" s="2" t="s">
        <v>304</v>
      </c>
      <c r="L635" s="2" t="s">
        <v>100</v>
      </c>
      <c r="M635" s="8" t="str">
        <f>HYPERLINK("http://slimages.macys.com/is/image/MCY/12465706 ")</f>
        <v xml:space="preserve">http://slimages.macys.com/is/image/MCY/12465706 </v>
      </c>
    </row>
    <row r="636" spans="1:13" ht="60" x14ac:dyDescent="0.25">
      <c r="A636" s="7" t="s">
        <v>1256</v>
      </c>
      <c r="B636" s="2" t="s">
        <v>1257</v>
      </c>
      <c r="C636" s="4">
        <v>1</v>
      </c>
      <c r="D636" s="5">
        <v>2.59</v>
      </c>
      <c r="E636" s="5">
        <v>7.99</v>
      </c>
      <c r="F636" s="4" t="s">
        <v>1258</v>
      </c>
      <c r="G636" s="2" t="s">
        <v>195</v>
      </c>
      <c r="H636" s="7" t="s">
        <v>149</v>
      </c>
      <c r="I636" s="2" t="s">
        <v>483</v>
      </c>
      <c r="J636" s="2" t="s">
        <v>536</v>
      </c>
      <c r="K636" s="2" t="s">
        <v>304</v>
      </c>
      <c r="L636" s="2" t="s">
        <v>100</v>
      </c>
      <c r="M636" s="8" t="str">
        <f>HYPERLINK("http://slimages.macys.com/is/image/MCY/12384238 ")</f>
        <v xml:space="preserve">http://slimages.macys.com/is/image/MCY/12384238 </v>
      </c>
    </row>
    <row r="637" spans="1:13" ht="60" x14ac:dyDescent="0.25">
      <c r="A637" s="7" t="s">
        <v>11738</v>
      </c>
      <c r="B637" s="2" t="s">
        <v>2279</v>
      </c>
      <c r="C637" s="4">
        <v>1</v>
      </c>
      <c r="D637" s="5">
        <v>2.59</v>
      </c>
      <c r="E637" s="5">
        <v>7.99</v>
      </c>
      <c r="F637" s="4" t="s">
        <v>2280</v>
      </c>
      <c r="G637" s="2" t="s">
        <v>86</v>
      </c>
      <c r="H637" s="7" t="s">
        <v>482</v>
      </c>
      <c r="I637" s="2" t="s">
        <v>483</v>
      </c>
      <c r="J637" s="2" t="s">
        <v>536</v>
      </c>
      <c r="K637" s="2" t="s">
        <v>304</v>
      </c>
      <c r="L637" s="2" t="s">
        <v>100</v>
      </c>
      <c r="M637" s="8" t="str">
        <f>HYPERLINK("http://slimages.macys.com/is/image/MCY/12465706 ")</f>
        <v xml:space="preserve">http://slimages.macys.com/is/image/MCY/12465706 </v>
      </c>
    </row>
    <row r="638" spans="1:13" ht="60" x14ac:dyDescent="0.25">
      <c r="A638" s="7" t="s">
        <v>11739</v>
      </c>
      <c r="B638" s="2" t="s">
        <v>6032</v>
      </c>
      <c r="C638" s="4">
        <v>1</v>
      </c>
      <c r="D638" s="5">
        <v>2.57</v>
      </c>
      <c r="E638" s="5">
        <v>6.99</v>
      </c>
      <c r="F638" s="4" t="s">
        <v>6033</v>
      </c>
      <c r="G638" s="2" t="s">
        <v>41</v>
      </c>
      <c r="H638" s="7" t="s">
        <v>91</v>
      </c>
      <c r="I638" s="2" t="s">
        <v>483</v>
      </c>
      <c r="J638" s="2" t="s">
        <v>536</v>
      </c>
      <c r="K638" s="2" t="s">
        <v>304</v>
      </c>
      <c r="L638" s="2" t="s">
        <v>100</v>
      </c>
      <c r="M638" s="8" t="str">
        <f>HYPERLINK("http://slimages.macys.com/is/image/MCY/11378313 ")</f>
        <v xml:space="preserve">http://slimages.macys.com/is/image/MCY/11378313 </v>
      </c>
    </row>
    <row r="639" spans="1:13" ht="60" x14ac:dyDescent="0.25">
      <c r="A639" s="7" t="s">
        <v>11740</v>
      </c>
      <c r="B639" s="2" t="s">
        <v>7917</v>
      </c>
      <c r="C639" s="4">
        <v>1</v>
      </c>
      <c r="D639" s="5">
        <v>2.57</v>
      </c>
      <c r="E639" s="5">
        <v>6.99</v>
      </c>
      <c r="F639" s="4" t="s">
        <v>7918</v>
      </c>
      <c r="G639" s="2" t="s">
        <v>41</v>
      </c>
      <c r="H639" s="7" t="s">
        <v>590</v>
      </c>
      <c r="I639" s="2" t="s">
        <v>483</v>
      </c>
      <c r="J639" s="2" t="s">
        <v>536</v>
      </c>
      <c r="K639" s="2" t="s">
        <v>304</v>
      </c>
      <c r="L639" s="2" t="s">
        <v>100</v>
      </c>
      <c r="M639" s="8" t="str">
        <f>HYPERLINK("http://slimages.macys.com/is/image/MCY/11340098 ")</f>
        <v xml:space="preserve">http://slimages.macys.com/is/image/MCY/11340098 </v>
      </c>
    </row>
    <row r="640" spans="1:13" ht="60" x14ac:dyDescent="0.25">
      <c r="A640" s="7" t="s">
        <v>6049</v>
      </c>
      <c r="B640" s="2" t="s">
        <v>6032</v>
      </c>
      <c r="C640" s="4">
        <v>2</v>
      </c>
      <c r="D640" s="5">
        <v>2.57</v>
      </c>
      <c r="E640" s="5">
        <v>6.99</v>
      </c>
      <c r="F640" s="4" t="s">
        <v>6033</v>
      </c>
      <c r="G640" s="2" t="s">
        <v>41</v>
      </c>
      <c r="H640" s="7" t="s">
        <v>42</v>
      </c>
      <c r="I640" s="2" t="s">
        <v>483</v>
      </c>
      <c r="J640" s="2" t="s">
        <v>536</v>
      </c>
      <c r="K640" s="2" t="s">
        <v>304</v>
      </c>
      <c r="L640" s="2" t="s">
        <v>100</v>
      </c>
      <c r="M640" s="8" t="str">
        <f>HYPERLINK("http://slimages.macys.com/is/image/MCY/11378313 ")</f>
        <v xml:space="preserve">http://slimages.macys.com/is/image/MCY/11378313 </v>
      </c>
    </row>
    <row r="641" spans="1:13" ht="60" x14ac:dyDescent="0.25">
      <c r="A641" s="7" t="s">
        <v>6052</v>
      </c>
      <c r="B641" s="2" t="s">
        <v>6032</v>
      </c>
      <c r="C641" s="4">
        <v>1</v>
      </c>
      <c r="D641" s="5">
        <v>2.57</v>
      </c>
      <c r="E641" s="5">
        <v>6.99</v>
      </c>
      <c r="F641" s="4" t="s">
        <v>6033</v>
      </c>
      <c r="G641" s="2" t="s">
        <v>1265</v>
      </c>
      <c r="H641" s="7" t="s">
        <v>42</v>
      </c>
      <c r="I641" s="2" t="s">
        <v>483</v>
      </c>
      <c r="J641" s="2" t="s">
        <v>536</v>
      </c>
      <c r="K641" s="2" t="s">
        <v>304</v>
      </c>
      <c r="L641" s="2" t="s">
        <v>100</v>
      </c>
      <c r="M641" s="8" t="str">
        <f>HYPERLINK("http://slimages.macys.com/is/image/MCY/11378279 ")</f>
        <v xml:space="preserve">http://slimages.macys.com/is/image/MCY/11378279 </v>
      </c>
    </row>
    <row r="642" spans="1:13" ht="60" x14ac:dyDescent="0.25">
      <c r="A642" s="7" t="s">
        <v>6050</v>
      </c>
      <c r="B642" s="2" t="s">
        <v>6032</v>
      </c>
      <c r="C642" s="4">
        <v>1</v>
      </c>
      <c r="D642" s="5">
        <v>2.57</v>
      </c>
      <c r="E642" s="5">
        <v>6.99</v>
      </c>
      <c r="F642" s="4" t="s">
        <v>6033</v>
      </c>
      <c r="G642" s="2" t="s">
        <v>1265</v>
      </c>
      <c r="H642" s="7" t="s">
        <v>590</v>
      </c>
      <c r="I642" s="2" t="s">
        <v>483</v>
      </c>
      <c r="J642" s="2" t="s">
        <v>536</v>
      </c>
      <c r="K642" s="2" t="s">
        <v>304</v>
      </c>
      <c r="L642" s="2" t="s">
        <v>100</v>
      </c>
      <c r="M642" s="8" t="str">
        <f>HYPERLINK("http://slimages.macys.com/is/image/MCY/11378279 ")</f>
        <v xml:space="preserve">http://slimages.macys.com/is/image/MCY/11378279 </v>
      </c>
    </row>
    <row r="643" spans="1:13" ht="60" x14ac:dyDescent="0.25">
      <c r="A643" s="7" t="s">
        <v>6040</v>
      </c>
      <c r="B643" s="2" t="s">
        <v>6032</v>
      </c>
      <c r="C643" s="4">
        <v>1</v>
      </c>
      <c r="D643" s="5">
        <v>2.57</v>
      </c>
      <c r="E643" s="5">
        <v>6.99</v>
      </c>
      <c r="F643" s="4" t="s">
        <v>6033</v>
      </c>
      <c r="G643" s="2" t="s">
        <v>41</v>
      </c>
      <c r="H643" s="7" t="s">
        <v>590</v>
      </c>
      <c r="I643" s="2" t="s">
        <v>483</v>
      </c>
      <c r="J643" s="2" t="s">
        <v>536</v>
      </c>
      <c r="K643" s="2" t="s">
        <v>304</v>
      </c>
      <c r="L643" s="2" t="s">
        <v>100</v>
      </c>
      <c r="M643" s="8" t="str">
        <f>HYPERLINK("http://slimages.macys.com/is/image/MCY/11378313 ")</f>
        <v xml:space="preserve">http://slimages.macys.com/is/image/MCY/11378313 </v>
      </c>
    </row>
    <row r="644" spans="1:13" ht="60" x14ac:dyDescent="0.25">
      <c r="A644" s="7" t="s">
        <v>9749</v>
      </c>
      <c r="B644" s="2" t="s">
        <v>1260</v>
      </c>
      <c r="C644" s="4">
        <v>1</v>
      </c>
      <c r="D644" s="5">
        <v>2.56</v>
      </c>
      <c r="E644" s="5">
        <v>6.99</v>
      </c>
      <c r="F644" s="4" t="s">
        <v>1261</v>
      </c>
      <c r="G644" s="2" t="s">
        <v>41</v>
      </c>
      <c r="H644" s="7" t="s">
        <v>149</v>
      </c>
      <c r="I644" s="2" t="s">
        <v>483</v>
      </c>
      <c r="J644" s="2" t="s">
        <v>536</v>
      </c>
      <c r="K644" s="2" t="s">
        <v>304</v>
      </c>
      <c r="L644" s="2" t="s">
        <v>100</v>
      </c>
      <c r="M644" s="8" t="str">
        <f>HYPERLINK("http://slimages.macys.com/is/image/MCY/11779082 ")</f>
        <v xml:space="preserve">http://slimages.macys.com/is/image/MCY/11779082 </v>
      </c>
    </row>
    <row r="645" spans="1:13" ht="60" x14ac:dyDescent="0.25">
      <c r="A645" s="7" t="s">
        <v>9750</v>
      </c>
      <c r="B645" s="2" t="s">
        <v>6531</v>
      </c>
      <c r="C645" s="4">
        <v>1</v>
      </c>
      <c r="D645" s="5">
        <v>2.56</v>
      </c>
      <c r="E645" s="5">
        <v>6.99</v>
      </c>
      <c r="F645" s="4" t="s">
        <v>6532</v>
      </c>
      <c r="G645" s="2" t="s">
        <v>41</v>
      </c>
      <c r="H645" s="7" t="s">
        <v>91</v>
      </c>
      <c r="I645" s="2" t="s">
        <v>483</v>
      </c>
      <c r="J645" s="2" t="s">
        <v>536</v>
      </c>
      <c r="K645" s="2" t="s">
        <v>304</v>
      </c>
      <c r="L645" s="2" t="s">
        <v>100</v>
      </c>
      <c r="M645" s="8" t="str">
        <f>HYPERLINK("http://slimages.macys.com/is/image/MCY/11334659 ")</f>
        <v xml:space="preserve">http://slimages.macys.com/is/image/MCY/11334659 </v>
      </c>
    </row>
    <row r="646" spans="1:13" ht="60" x14ac:dyDescent="0.25">
      <c r="A646" s="7" t="s">
        <v>7929</v>
      </c>
      <c r="B646" s="2" t="s">
        <v>1260</v>
      </c>
      <c r="C646" s="4">
        <v>1</v>
      </c>
      <c r="D646" s="5">
        <v>2.56</v>
      </c>
      <c r="E646" s="5">
        <v>6.99</v>
      </c>
      <c r="F646" s="4" t="s">
        <v>1261</v>
      </c>
      <c r="G646" s="2" t="s">
        <v>1360</v>
      </c>
      <c r="H646" s="7" t="s">
        <v>590</v>
      </c>
      <c r="I646" s="2" t="s">
        <v>483</v>
      </c>
      <c r="J646" s="2" t="s">
        <v>536</v>
      </c>
      <c r="K646" s="2" t="s">
        <v>304</v>
      </c>
      <c r="L646" s="2" t="s">
        <v>100</v>
      </c>
      <c r="M646" s="8" t="str">
        <f>HYPERLINK("http://slimages.macys.com/is/image/MCY/11779082 ")</f>
        <v xml:space="preserve">http://slimages.macys.com/is/image/MCY/11779082 </v>
      </c>
    </row>
    <row r="647" spans="1:13" ht="84" x14ac:dyDescent="0.25">
      <c r="A647" s="7" t="s">
        <v>1262</v>
      </c>
      <c r="B647" s="2" t="s">
        <v>1263</v>
      </c>
      <c r="C647" s="4">
        <v>2</v>
      </c>
      <c r="D647" s="5">
        <v>2.5499999999999998</v>
      </c>
      <c r="E647" s="5">
        <v>6.99</v>
      </c>
      <c r="F647" s="4" t="s">
        <v>1264</v>
      </c>
      <c r="G647" s="2" t="s">
        <v>1265</v>
      </c>
      <c r="H647" s="7" t="s">
        <v>149</v>
      </c>
      <c r="I647" s="2" t="s">
        <v>483</v>
      </c>
      <c r="J647" s="2" t="s">
        <v>536</v>
      </c>
      <c r="K647" s="2" t="s">
        <v>304</v>
      </c>
      <c r="L647" s="2" t="s">
        <v>1266</v>
      </c>
      <c r="M647" s="8" t="str">
        <f>HYPERLINK("http://slimages.macys.com/is/image/MCY/13337503 ")</f>
        <v xml:space="preserve">http://slimages.macys.com/is/image/MCY/13337503 </v>
      </c>
    </row>
    <row r="648" spans="1:13" ht="60" x14ac:dyDescent="0.25">
      <c r="A648" s="7" t="s">
        <v>6538</v>
      </c>
      <c r="B648" s="2" t="s">
        <v>5692</v>
      </c>
      <c r="C648" s="4">
        <v>1</v>
      </c>
      <c r="D648" s="5">
        <v>2.5499999999999998</v>
      </c>
      <c r="E648" s="5">
        <v>6.99</v>
      </c>
      <c r="F648" s="4">
        <v>10004349400</v>
      </c>
      <c r="G648" s="2" t="s">
        <v>134</v>
      </c>
      <c r="H648" s="7"/>
      <c r="I648" s="2" t="s">
        <v>483</v>
      </c>
      <c r="J648" s="2" t="s">
        <v>536</v>
      </c>
      <c r="K648" s="2" t="s">
        <v>304</v>
      </c>
      <c r="L648" s="2" t="s">
        <v>206</v>
      </c>
      <c r="M648" s="8" t="str">
        <f>HYPERLINK("http://slimages.macys.com/is/image/MCY/11434520 ")</f>
        <v xml:space="preserve">http://slimages.macys.com/is/image/MCY/11434520 </v>
      </c>
    </row>
    <row r="649" spans="1:13" ht="60" x14ac:dyDescent="0.25">
      <c r="A649" s="7" t="s">
        <v>6066</v>
      </c>
      <c r="B649" s="2" t="s">
        <v>2283</v>
      </c>
      <c r="C649" s="4">
        <v>2</v>
      </c>
      <c r="D649" s="5">
        <v>2.5499999999999998</v>
      </c>
      <c r="E649" s="5">
        <v>5.99</v>
      </c>
      <c r="F649" s="4" t="s">
        <v>2284</v>
      </c>
      <c r="G649" s="2" t="s">
        <v>86</v>
      </c>
      <c r="H649" s="7" t="s">
        <v>590</v>
      </c>
      <c r="I649" s="2" t="s">
        <v>483</v>
      </c>
      <c r="J649" s="2" t="s">
        <v>536</v>
      </c>
      <c r="K649" s="2" t="s">
        <v>304</v>
      </c>
      <c r="L649" s="2" t="s">
        <v>206</v>
      </c>
      <c r="M649" s="8" t="str">
        <f>HYPERLINK("http://slimages.macys.com/is/image/MCY/11436902 ")</f>
        <v xml:space="preserve">http://slimages.macys.com/is/image/MCY/11436902 </v>
      </c>
    </row>
    <row r="650" spans="1:13" ht="84" x14ac:dyDescent="0.25">
      <c r="A650" s="7" t="s">
        <v>7189</v>
      </c>
      <c r="B650" s="2" t="s">
        <v>1263</v>
      </c>
      <c r="C650" s="4">
        <v>1</v>
      </c>
      <c r="D650" s="5">
        <v>2.5499999999999998</v>
      </c>
      <c r="E650" s="5">
        <v>6.99</v>
      </c>
      <c r="F650" s="4" t="s">
        <v>1264</v>
      </c>
      <c r="G650" s="2" t="s">
        <v>1265</v>
      </c>
      <c r="H650" s="7"/>
      <c r="I650" s="2" t="s">
        <v>483</v>
      </c>
      <c r="J650" s="2" t="s">
        <v>536</v>
      </c>
      <c r="K650" s="2" t="s">
        <v>304</v>
      </c>
      <c r="L650" s="2" t="s">
        <v>1266</v>
      </c>
      <c r="M650" s="8" t="str">
        <f>HYPERLINK("http://slimages.macys.com/is/image/MCY/13337503 ")</f>
        <v xml:space="preserve">http://slimages.macys.com/is/image/MCY/13337503 </v>
      </c>
    </row>
    <row r="651" spans="1:13" ht="60" x14ac:dyDescent="0.25">
      <c r="A651" s="7" t="s">
        <v>2288</v>
      </c>
      <c r="B651" s="2" t="s">
        <v>2283</v>
      </c>
      <c r="C651" s="4">
        <v>4</v>
      </c>
      <c r="D651" s="5">
        <v>2.5499999999999998</v>
      </c>
      <c r="E651" s="5">
        <v>5.99</v>
      </c>
      <c r="F651" s="4" t="s">
        <v>2284</v>
      </c>
      <c r="G651" s="2" t="s">
        <v>86</v>
      </c>
      <c r="H651" s="7" t="s">
        <v>442</v>
      </c>
      <c r="I651" s="2" t="s">
        <v>483</v>
      </c>
      <c r="J651" s="2" t="s">
        <v>536</v>
      </c>
      <c r="K651" s="2" t="s">
        <v>304</v>
      </c>
      <c r="L651" s="2" t="s">
        <v>206</v>
      </c>
      <c r="M651" s="8" t="str">
        <f>HYPERLINK("http://slimages.macys.com/is/image/MCY/11436902 ")</f>
        <v xml:space="preserve">http://slimages.macys.com/is/image/MCY/11436902 </v>
      </c>
    </row>
    <row r="652" spans="1:13" ht="60" x14ac:dyDescent="0.25">
      <c r="A652" s="7" t="s">
        <v>6065</v>
      </c>
      <c r="B652" s="2" t="s">
        <v>2283</v>
      </c>
      <c r="C652" s="4">
        <v>2</v>
      </c>
      <c r="D652" s="5">
        <v>2.5499999999999998</v>
      </c>
      <c r="E652" s="5">
        <v>5.99</v>
      </c>
      <c r="F652" s="4" t="s">
        <v>2284</v>
      </c>
      <c r="G652" s="2" t="s">
        <v>86</v>
      </c>
      <c r="H652" s="7" t="s">
        <v>91</v>
      </c>
      <c r="I652" s="2" t="s">
        <v>483</v>
      </c>
      <c r="J652" s="2" t="s">
        <v>536</v>
      </c>
      <c r="K652" s="2" t="s">
        <v>304</v>
      </c>
      <c r="L652" s="2" t="s">
        <v>206</v>
      </c>
      <c r="M652" s="8" t="str">
        <f>HYPERLINK("http://slimages.macys.com/is/image/MCY/11436902 ")</f>
        <v xml:space="preserve">http://slimages.macys.com/is/image/MCY/11436902 </v>
      </c>
    </row>
    <row r="653" spans="1:13" ht="84" x14ac:dyDescent="0.25">
      <c r="A653" s="7" t="s">
        <v>1267</v>
      </c>
      <c r="B653" s="2" t="s">
        <v>1263</v>
      </c>
      <c r="C653" s="4">
        <v>1</v>
      </c>
      <c r="D653" s="5">
        <v>2.5499999999999998</v>
      </c>
      <c r="E653" s="5">
        <v>6.99</v>
      </c>
      <c r="F653" s="4" t="s">
        <v>1264</v>
      </c>
      <c r="G653" s="2" t="s">
        <v>1265</v>
      </c>
      <c r="H653" s="7" t="s">
        <v>482</v>
      </c>
      <c r="I653" s="2" t="s">
        <v>483</v>
      </c>
      <c r="J653" s="2" t="s">
        <v>536</v>
      </c>
      <c r="K653" s="2" t="s">
        <v>304</v>
      </c>
      <c r="L653" s="2" t="s">
        <v>1266</v>
      </c>
      <c r="M653" s="8" t="str">
        <f>HYPERLINK("http://slimages.macys.com/is/image/MCY/13337503 ")</f>
        <v xml:space="preserve">http://slimages.macys.com/is/image/MCY/13337503 </v>
      </c>
    </row>
    <row r="654" spans="1:13" ht="60" x14ac:dyDescent="0.25">
      <c r="A654" s="7" t="s">
        <v>6064</v>
      </c>
      <c r="B654" s="2" t="s">
        <v>2283</v>
      </c>
      <c r="C654" s="4">
        <v>1</v>
      </c>
      <c r="D654" s="5">
        <v>2.5499999999999998</v>
      </c>
      <c r="E654" s="5">
        <v>5.99</v>
      </c>
      <c r="F654" s="4" t="s">
        <v>2284</v>
      </c>
      <c r="G654" s="2" t="s">
        <v>86</v>
      </c>
      <c r="H654" s="7" t="s">
        <v>42</v>
      </c>
      <c r="I654" s="2" t="s">
        <v>483</v>
      </c>
      <c r="J654" s="2" t="s">
        <v>536</v>
      </c>
      <c r="K654" s="2" t="s">
        <v>304</v>
      </c>
      <c r="L654" s="2" t="s">
        <v>206</v>
      </c>
      <c r="M654" s="8" t="str">
        <f>HYPERLINK("http://slimages.macys.com/is/image/MCY/11436902 ")</f>
        <v xml:space="preserve">http://slimages.macys.com/is/image/MCY/11436902 </v>
      </c>
    </row>
    <row r="655" spans="1:13" ht="84" x14ac:dyDescent="0.25">
      <c r="A655" s="7" t="s">
        <v>3518</v>
      </c>
      <c r="B655" s="2" t="s">
        <v>1263</v>
      </c>
      <c r="C655" s="4">
        <v>1</v>
      </c>
      <c r="D655" s="5">
        <v>2.5499999999999998</v>
      </c>
      <c r="E655" s="5">
        <v>6.99</v>
      </c>
      <c r="F655" s="4" t="s">
        <v>1264</v>
      </c>
      <c r="G655" s="2" t="s">
        <v>1265</v>
      </c>
      <c r="H655" s="7" t="s">
        <v>590</v>
      </c>
      <c r="I655" s="2" t="s">
        <v>483</v>
      </c>
      <c r="J655" s="2" t="s">
        <v>536</v>
      </c>
      <c r="K655" s="2" t="s">
        <v>304</v>
      </c>
      <c r="L655" s="2" t="s">
        <v>1266</v>
      </c>
      <c r="M655" s="8" t="str">
        <f>HYPERLINK("http://slimages.macys.com/is/image/MCY/13337503 ")</f>
        <v xml:space="preserve">http://slimages.macys.com/is/image/MCY/13337503 </v>
      </c>
    </row>
    <row r="656" spans="1:13" ht="60" x14ac:dyDescent="0.25">
      <c r="A656" s="7" t="s">
        <v>2282</v>
      </c>
      <c r="B656" s="2" t="s">
        <v>2283</v>
      </c>
      <c r="C656" s="4">
        <v>2</v>
      </c>
      <c r="D656" s="5">
        <v>2.5499999999999998</v>
      </c>
      <c r="E656" s="5">
        <v>5.99</v>
      </c>
      <c r="F656" s="4" t="s">
        <v>2284</v>
      </c>
      <c r="G656" s="2" t="s">
        <v>86</v>
      </c>
      <c r="H656" s="7" t="s">
        <v>149</v>
      </c>
      <c r="I656" s="2" t="s">
        <v>483</v>
      </c>
      <c r="J656" s="2" t="s">
        <v>536</v>
      </c>
      <c r="K656" s="2" t="s">
        <v>304</v>
      </c>
      <c r="L656" s="2" t="s">
        <v>206</v>
      </c>
      <c r="M656" s="8" t="str">
        <f>HYPERLINK("http://slimages.macys.com/is/image/MCY/11436902 ")</f>
        <v xml:space="preserve">http://slimages.macys.com/is/image/MCY/11436902 </v>
      </c>
    </row>
    <row r="657" spans="1:13" ht="60" x14ac:dyDescent="0.25">
      <c r="A657" s="7" t="s">
        <v>6551</v>
      </c>
      <c r="B657" s="2" t="s">
        <v>2722</v>
      </c>
      <c r="C657" s="4">
        <v>2</v>
      </c>
      <c r="D657" s="5">
        <v>2.54</v>
      </c>
      <c r="E657" s="5">
        <v>6.99</v>
      </c>
      <c r="F657" s="4">
        <v>10006317100</v>
      </c>
      <c r="G657" s="2" t="s">
        <v>1302</v>
      </c>
      <c r="H657" s="7"/>
      <c r="I657" s="2" t="s">
        <v>483</v>
      </c>
      <c r="J657" s="2" t="s">
        <v>536</v>
      </c>
      <c r="K657" s="2" t="s">
        <v>304</v>
      </c>
      <c r="L657" s="2" t="s">
        <v>38</v>
      </c>
      <c r="M657" s="8" t="str">
        <f>HYPERLINK("http://slimages.macys.com/is/image/MCY/13987493 ")</f>
        <v xml:space="preserve">http://slimages.macys.com/is/image/MCY/13987493 </v>
      </c>
    </row>
    <row r="658" spans="1:13" ht="60" x14ac:dyDescent="0.25">
      <c r="A658" s="7" t="s">
        <v>7192</v>
      </c>
      <c r="B658" s="2" t="s">
        <v>7193</v>
      </c>
      <c r="C658" s="4">
        <v>1</v>
      </c>
      <c r="D658" s="5">
        <v>2.54</v>
      </c>
      <c r="E658" s="5">
        <v>6.99</v>
      </c>
      <c r="F658" s="4" t="s">
        <v>7194</v>
      </c>
      <c r="G658" s="2" t="s">
        <v>297</v>
      </c>
      <c r="H658" s="7" t="s">
        <v>149</v>
      </c>
      <c r="I658" s="2" t="s">
        <v>483</v>
      </c>
      <c r="J658" s="2" t="s">
        <v>536</v>
      </c>
      <c r="K658" s="2" t="s">
        <v>304</v>
      </c>
      <c r="L658" s="2" t="s">
        <v>206</v>
      </c>
      <c r="M658" s="8" t="str">
        <f>HYPERLINK("http://slimages.macys.com/is/image/MCY/12466227 ")</f>
        <v xml:space="preserve">http://slimages.macys.com/is/image/MCY/12466227 </v>
      </c>
    </row>
    <row r="659" spans="1:13" ht="60" x14ac:dyDescent="0.25">
      <c r="A659" s="7" t="s">
        <v>7197</v>
      </c>
      <c r="B659" s="2" t="s">
        <v>1286</v>
      </c>
      <c r="C659" s="4">
        <v>1</v>
      </c>
      <c r="D659" s="5">
        <v>2.5299999999999998</v>
      </c>
      <c r="E659" s="5">
        <v>5.99</v>
      </c>
      <c r="F659" s="4" t="s">
        <v>1287</v>
      </c>
      <c r="G659" s="2" t="s">
        <v>41</v>
      </c>
      <c r="H659" s="7" t="s">
        <v>91</v>
      </c>
      <c r="I659" s="2" t="s">
        <v>483</v>
      </c>
      <c r="J659" s="2" t="s">
        <v>536</v>
      </c>
      <c r="K659" s="2" t="s">
        <v>304</v>
      </c>
      <c r="L659" s="2" t="s">
        <v>38</v>
      </c>
      <c r="M659" s="8" t="str">
        <f>HYPERLINK("http://slimages.macys.com/is/image/MCY/13987272 ")</f>
        <v xml:space="preserve">http://slimages.macys.com/is/image/MCY/13987272 </v>
      </c>
    </row>
    <row r="660" spans="1:13" ht="60" x14ac:dyDescent="0.25">
      <c r="A660" s="7" t="s">
        <v>11741</v>
      </c>
      <c r="B660" s="2" t="s">
        <v>11742</v>
      </c>
      <c r="C660" s="4">
        <v>1</v>
      </c>
      <c r="D660" s="5">
        <v>2.5299999999999998</v>
      </c>
      <c r="E660" s="5">
        <v>5.99</v>
      </c>
      <c r="F660" s="4" t="s">
        <v>11743</v>
      </c>
      <c r="G660" s="2" t="s">
        <v>41</v>
      </c>
      <c r="H660" s="7" t="s">
        <v>149</v>
      </c>
      <c r="I660" s="2" t="s">
        <v>483</v>
      </c>
      <c r="J660" s="2" t="s">
        <v>536</v>
      </c>
      <c r="K660" s="2" t="s">
        <v>304</v>
      </c>
      <c r="L660" s="2" t="s">
        <v>38</v>
      </c>
      <c r="M660" s="8" t="str">
        <f>HYPERLINK("http://slimages.macys.com/is/image/MCY/13385759 ")</f>
        <v xml:space="preserve">http://slimages.macys.com/is/image/MCY/13385759 </v>
      </c>
    </row>
    <row r="661" spans="1:13" ht="60" x14ac:dyDescent="0.25">
      <c r="A661" s="7" t="s">
        <v>11744</v>
      </c>
      <c r="B661" s="2" t="s">
        <v>11745</v>
      </c>
      <c r="C661" s="4">
        <v>1</v>
      </c>
      <c r="D661" s="5">
        <v>2.5299999999999998</v>
      </c>
      <c r="E661" s="5">
        <v>5.99</v>
      </c>
      <c r="F661" s="4" t="s">
        <v>11746</v>
      </c>
      <c r="G661" s="2" t="s">
        <v>36</v>
      </c>
      <c r="H661" s="7" t="s">
        <v>442</v>
      </c>
      <c r="I661" s="2" t="s">
        <v>483</v>
      </c>
      <c r="J661" s="2" t="s">
        <v>536</v>
      </c>
      <c r="K661" s="2" t="s">
        <v>304</v>
      </c>
      <c r="L661" s="2" t="s">
        <v>100</v>
      </c>
      <c r="M661" s="8" t="str">
        <f>HYPERLINK("http://slimages.macys.com/is/image/MCY/12461721 ")</f>
        <v xml:space="preserve">http://slimages.macys.com/is/image/MCY/12461721 </v>
      </c>
    </row>
    <row r="662" spans="1:13" ht="60" x14ac:dyDescent="0.25">
      <c r="A662" s="7" t="s">
        <v>1285</v>
      </c>
      <c r="B662" s="2" t="s">
        <v>1286</v>
      </c>
      <c r="C662" s="4">
        <v>1</v>
      </c>
      <c r="D662" s="5">
        <v>2.5299999999999998</v>
      </c>
      <c r="E662" s="5">
        <v>5.99</v>
      </c>
      <c r="F662" s="4" t="s">
        <v>1287</v>
      </c>
      <c r="G662" s="2" t="s">
        <v>41</v>
      </c>
      <c r="H662" s="7" t="s">
        <v>442</v>
      </c>
      <c r="I662" s="2" t="s">
        <v>483</v>
      </c>
      <c r="J662" s="2" t="s">
        <v>536</v>
      </c>
      <c r="K662" s="2" t="s">
        <v>304</v>
      </c>
      <c r="L662" s="2" t="s">
        <v>38</v>
      </c>
      <c r="M662" s="8" t="str">
        <f>HYPERLINK("http://slimages.macys.com/is/image/MCY/13987272 ")</f>
        <v xml:space="preserve">http://slimages.macys.com/is/image/MCY/13987272 </v>
      </c>
    </row>
    <row r="663" spans="1:13" ht="60" x14ac:dyDescent="0.25">
      <c r="A663" s="7" t="s">
        <v>11747</v>
      </c>
      <c r="B663" s="2" t="s">
        <v>5715</v>
      </c>
      <c r="C663" s="4">
        <v>1</v>
      </c>
      <c r="D663" s="5">
        <v>2.5299999999999998</v>
      </c>
      <c r="E663" s="5">
        <v>5.99</v>
      </c>
      <c r="F663" s="4" t="s">
        <v>5716</v>
      </c>
      <c r="G663" s="2" t="s">
        <v>657</v>
      </c>
      <c r="H663" s="7" t="s">
        <v>91</v>
      </c>
      <c r="I663" s="2" t="s">
        <v>483</v>
      </c>
      <c r="J663" s="2" t="s">
        <v>536</v>
      </c>
      <c r="K663" s="2" t="s">
        <v>304</v>
      </c>
      <c r="L663" s="2" t="s">
        <v>119</v>
      </c>
      <c r="M663" s="8" t="str">
        <f>HYPERLINK("http://slimages.macys.com/is/image/MCY/12228382 ")</f>
        <v xml:space="preserve">http://slimages.macys.com/is/image/MCY/12228382 </v>
      </c>
    </row>
    <row r="664" spans="1:13" ht="60" x14ac:dyDescent="0.25">
      <c r="A664" s="7" t="s">
        <v>1291</v>
      </c>
      <c r="B664" s="2" t="s">
        <v>1277</v>
      </c>
      <c r="C664" s="4">
        <v>1</v>
      </c>
      <c r="D664" s="5">
        <v>2.5299999999999998</v>
      </c>
      <c r="E664" s="5">
        <v>5.99</v>
      </c>
      <c r="F664" s="4" t="s">
        <v>1278</v>
      </c>
      <c r="G664" s="2" t="s">
        <v>527</v>
      </c>
      <c r="H664" s="7" t="s">
        <v>91</v>
      </c>
      <c r="I664" s="2" t="s">
        <v>483</v>
      </c>
      <c r="J664" s="2" t="s">
        <v>536</v>
      </c>
      <c r="K664" s="2" t="s">
        <v>304</v>
      </c>
      <c r="L664" s="2" t="s">
        <v>119</v>
      </c>
      <c r="M664" s="8" t="str">
        <f>HYPERLINK("http://slimages.macys.com/is/image/MCY/13987179 ")</f>
        <v xml:space="preserve">http://slimages.macys.com/is/image/MCY/13987179 </v>
      </c>
    </row>
    <row r="665" spans="1:13" ht="60" x14ac:dyDescent="0.25">
      <c r="A665" s="7" t="s">
        <v>5711</v>
      </c>
      <c r="B665" s="2" t="s">
        <v>5712</v>
      </c>
      <c r="C665" s="4">
        <v>1</v>
      </c>
      <c r="D665" s="5">
        <v>2.5299999999999998</v>
      </c>
      <c r="E665" s="5">
        <v>5.99</v>
      </c>
      <c r="F665" s="4" t="s">
        <v>5713</v>
      </c>
      <c r="G665" s="2" t="s">
        <v>28</v>
      </c>
      <c r="H665" s="7" t="s">
        <v>590</v>
      </c>
      <c r="I665" s="2" t="s">
        <v>483</v>
      </c>
      <c r="J665" s="2" t="s">
        <v>536</v>
      </c>
      <c r="K665" s="2" t="s">
        <v>304</v>
      </c>
      <c r="L665" s="2" t="s">
        <v>206</v>
      </c>
      <c r="M665" s="8" t="str">
        <f>HYPERLINK("http://slimages.macys.com/is/image/MCY/13386207 ")</f>
        <v xml:space="preserve">http://slimages.macys.com/is/image/MCY/13386207 </v>
      </c>
    </row>
    <row r="666" spans="1:13" ht="60" x14ac:dyDescent="0.25">
      <c r="A666" s="7" t="s">
        <v>11227</v>
      </c>
      <c r="B666" s="2" t="s">
        <v>1283</v>
      </c>
      <c r="C666" s="4">
        <v>1</v>
      </c>
      <c r="D666" s="5">
        <v>2.5299999999999998</v>
      </c>
      <c r="E666" s="5">
        <v>5.99</v>
      </c>
      <c r="F666" s="4" t="s">
        <v>1284</v>
      </c>
      <c r="G666" s="2" t="s">
        <v>41</v>
      </c>
      <c r="H666" s="7" t="s">
        <v>149</v>
      </c>
      <c r="I666" s="2" t="s">
        <v>483</v>
      </c>
      <c r="J666" s="2" t="s">
        <v>536</v>
      </c>
      <c r="K666" s="2" t="s">
        <v>304</v>
      </c>
      <c r="L666" s="2" t="s">
        <v>38</v>
      </c>
      <c r="M666" s="8" t="str">
        <f>HYPERLINK("http://slimages.macys.com/is/image/MCY/13337388 ")</f>
        <v xml:space="preserve">http://slimages.macys.com/is/image/MCY/13337388 </v>
      </c>
    </row>
    <row r="667" spans="1:13" ht="60" x14ac:dyDescent="0.25">
      <c r="A667" s="7" t="s">
        <v>9755</v>
      </c>
      <c r="B667" s="2" t="s">
        <v>1289</v>
      </c>
      <c r="C667" s="4">
        <v>1</v>
      </c>
      <c r="D667" s="5">
        <v>2.5299999999999998</v>
      </c>
      <c r="E667" s="5">
        <v>5.99</v>
      </c>
      <c r="F667" s="4" t="s">
        <v>1290</v>
      </c>
      <c r="G667" s="2" t="s">
        <v>353</v>
      </c>
      <c r="H667" s="7" t="s">
        <v>91</v>
      </c>
      <c r="I667" s="2" t="s">
        <v>483</v>
      </c>
      <c r="J667" s="2" t="s">
        <v>536</v>
      </c>
      <c r="K667" s="2" t="s">
        <v>304</v>
      </c>
      <c r="L667" s="2" t="s">
        <v>206</v>
      </c>
      <c r="M667" s="8" t="str">
        <f>HYPERLINK("http://slimages.macys.com/is/image/MCY/13386702 ")</f>
        <v xml:space="preserve">http://slimages.macys.com/is/image/MCY/13386702 </v>
      </c>
    </row>
    <row r="668" spans="1:13" ht="60" x14ac:dyDescent="0.25">
      <c r="A668" s="7" t="s">
        <v>11748</v>
      </c>
      <c r="B668" s="2" t="s">
        <v>1289</v>
      </c>
      <c r="C668" s="4">
        <v>1</v>
      </c>
      <c r="D668" s="5">
        <v>2.5299999999999998</v>
      </c>
      <c r="E668" s="5">
        <v>5.99</v>
      </c>
      <c r="F668" s="4" t="s">
        <v>1290</v>
      </c>
      <c r="G668" s="2" t="s">
        <v>353</v>
      </c>
      <c r="H668" s="7" t="s">
        <v>442</v>
      </c>
      <c r="I668" s="2" t="s">
        <v>483</v>
      </c>
      <c r="J668" s="2" t="s">
        <v>536</v>
      </c>
      <c r="K668" s="2" t="s">
        <v>304</v>
      </c>
      <c r="L668" s="2" t="s">
        <v>206</v>
      </c>
      <c r="M668" s="8" t="str">
        <f>HYPERLINK("http://slimages.macys.com/is/image/MCY/13386702 ")</f>
        <v xml:space="preserve">http://slimages.macys.com/is/image/MCY/13386702 </v>
      </c>
    </row>
    <row r="669" spans="1:13" ht="60" x14ac:dyDescent="0.25">
      <c r="A669" s="7" t="s">
        <v>11749</v>
      </c>
      <c r="B669" s="2" t="s">
        <v>5712</v>
      </c>
      <c r="C669" s="4">
        <v>1</v>
      </c>
      <c r="D669" s="5">
        <v>2.5299999999999998</v>
      </c>
      <c r="E669" s="5">
        <v>5.99</v>
      </c>
      <c r="F669" s="4" t="s">
        <v>5713</v>
      </c>
      <c r="G669" s="2" t="s">
        <v>28</v>
      </c>
      <c r="H669" s="7" t="s">
        <v>149</v>
      </c>
      <c r="I669" s="2" t="s">
        <v>483</v>
      </c>
      <c r="J669" s="2" t="s">
        <v>536</v>
      </c>
      <c r="K669" s="2" t="s">
        <v>304</v>
      </c>
      <c r="L669" s="2" t="s">
        <v>206</v>
      </c>
      <c r="M669" s="8" t="str">
        <f>HYPERLINK("http://slimages.macys.com/is/image/MCY/13386207 ")</f>
        <v xml:space="preserve">http://slimages.macys.com/is/image/MCY/13386207 </v>
      </c>
    </row>
    <row r="670" spans="1:13" ht="60" x14ac:dyDescent="0.25">
      <c r="A670" s="7" t="s">
        <v>11750</v>
      </c>
      <c r="B670" s="2" t="s">
        <v>3523</v>
      </c>
      <c r="C670" s="4">
        <v>2</v>
      </c>
      <c r="D670" s="5">
        <v>2.5099999999999998</v>
      </c>
      <c r="E670" s="5">
        <v>5.99</v>
      </c>
      <c r="F670" s="4" t="s">
        <v>3524</v>
      </c>
      <c r="G670" s="2" t="s">
        <v>657</v>
      </c>
      <c r="H670" s="7" t="s">
        <v>442</v>
      </c>
      <c r="I670" s="2" t="s">
        <v>483</v>
      </c>
      <c r="J670" s="2" t="s">
        <v>536</v>
      </c>
      <c r="K670" s="2" t="s">
        <v>304</v>
      </c>
      <c r="L670" s="2" t="s">
        <v>119</v>
      </c>
      <c r="M670" s="8" t="str">
        <f>HYPERLINK("http://slimages.macys.com/is/image/MCY/13987476 ")</f>
        <v xml:space="preserve">http://slimages.macys.com/is/image/MCY/13987476 </v>
      </c>
    </row>
    <row r="671" spans="1:13" ht="60" x14ac:dyDescent="0.25">
      <c r="A671" s="7" t="s">
        <v>11751</v>
      </c>
      <c r="B671" s="2" t="s">
        <v>6557</v>
      </c>
      <c r="C671" s="4">
        <v>1</v>
      </c>
      <c r="D671" s="5">
        <v>2.5099999999999998</v>
      </c>
      <c r="E671" s="5">
        <v>5.99</v>
      </c>
      <c r="F671" s="4" t="s">
        <v>6558</v>
      </c>
      <c r="G671" s="2" t="s">
        <v>657</v>
      </c>
      <c r="H671" s="7" t="s">
        <v>91</v>
      </c>
      <c r="I671" s="2" t="s">
        <v>483</v>
      </c>
      <c r="J671" s="2" t="s">
        <v>536</v>
      </c>
      <c r="K671" s="2" t="s">
        <v>304</v>
      </c>
      <c r="L671" s="2" t="s">
        <v>119</v>
      </c>
      <c r="M671" s="8" t="str">
        <f>HYPERLINK("http://slimages.macys.com/is/image/MCY/12644366 ")</f>
        <v xml:space="preserve">http://slimages.macys.com/is/image/MCY/12644366 </v>
      </c>
    </row>
    <row r="672" spans="1:13" ht="60" x14ac:dyDescent="0.25">
      <c r="A672" s="7" t="s">
        <v>11752</v>
      </c>
      <c r="B672" s="2" t="s">
        <v>6557</v>
      </c>
      <c r="C672" s="4">
        <v>1</v>
      </c>
      <c r="D672" s="5">
        <v>2.5099999999999998</v>
      </c>
      <c r="E672" s="5">
        <v>5.99</v>
      </c>
      <c r="F672" s="4" t="s">
        <v>6558</v>
      </c>
      <c r="G672" s="2" t="s">
        <v>657</v>
      </c>
      <c r="H672" s="7" t="s">
        <v>149</v>
      </c>
      <c r="I672" s="2" t="s">
        <v>483</v>
      </c>
      <c r="J672" s="2" t="s">
        <v>536</v>
      </c>
      <c r="K672" s="2" t="s">
        <v>304</v>
      </c>
      <c r="L672" s="2" t="s">
        <v>119</v>
      </c>
      <c r="M672" s="8" t="str">
        <f>HYPERLINK("http://slimages.macys.com/is/image/MCY/12644366 ")</f>
        <v xml:space="preserve">http://slimages.macys.com/is/image/MCY/12644366 </v>
      </c>
    </row>
    <row r="673" spans="1:13" ht="60" x14ac:dyDescent="0.25">
      <c r="A673" s="7" t="s">
        <v>5083</v>
      </c>
      <c r="B673" s="2" t="s">
        <v>3523</v>
      </c>
      <c r="C673" s="4">
        <v>2</v>
      </c>
      <c r="D673" s="5">
        <v>2.5099999999999998</v>
      </c>
      <c r="E673" s="5">
        <v>5.99</v>
      </c>
      <c r="F673" s="4" t="s">
        <v>3524</v>
      </c>
      <c r="G673" s="2" t="s">
        <v>657</v>
      </c>
      <c r="H673" s="7" t="s">
        <v>590</v>
      </c>
      <c r="I673" s="2" t="s">
        <v>483</v>
      </c>
      <c r="J673" s="2" t="s">
        <v>536</v>
      </c>
      <c r="K673" s="2" t="s">
        <v>304</v>
      </c>
      <c r="L673" s="2" t="s">
        <v>119</v>
      </c>
      <c r="M673" s="8" t="str">
        <f>HYPERLINK("http://slimages.macys.com/is/image/MCY/13987476 ")</f>
        <v xml:space="preserve">http://slimages.macys.com/is/image/MCY/13987476 </v>
      </c>
    </row>
    <row r="674" spans="1:13" ht="60" x14ac:dyDescent="0.25">
      <c r="A674" s="7" t="s">
        <v>3522</v>
      </c>
      <c r="B674" s="2" t="s">
        <v>3523</v>
      </c>
      <c r="C674" s="4">
        <v>2</v>
      </c>
      <c r="D674" s="5">
        <v>2.5099999999999998</v>
      </c>
      <c r="E674" s="5">
        <v>5.99</v>
      </c>
      <c r="F674" s="4" t="s">
        <v>3524</v>
      </c>
      <c r="G674" s="2" t="s">
        <v>657</v>
      </c>
      <c r="H674" s="7" t="s">
        <v>42</v>
      </c>
      <c r="I674" s="2" t="s">
        <v>483</v>
      </c>
      <c r="J674" s="2" t="s">
        <v>536</v>
      </c>
      <c r="K674" s="2" t="s">
        <v>304</v>
      </c>
      <c r="L674" s="2" t="s">
        <v>119</v>
      </c>
      <c r="M674" s="8" t="str">
        <f>HYPERLINK("http://slimages.macys.com/is/image/MCY/13987476 ")</f>
        <v xml:space="preserve">http://slimages.macys.com/is/image/MCY/13987476 </v>
      </c>
    </row>
    <row r="675" spans="1:13" ht="60" x14ac:dyDescent="0.25">
      <c r="A675" s="7" t="s">
        <v>7202</v>
      </c>
      <c r="B675" s="2" t="s">
        <v>2299</v>
      </c>
      <c r="C675" s="4">
        <v>1</v>
      </c>
      <c r="D675" s="5">
        <v>2.5099999999999998</v>
      </c>
      <c r="E675" s="5">
        <v>5.99</v>
      </c>
      <c r="F675" s="4" t="s">
        <v>2300</v>
      </c>
      <c r="G675" s="2" t="s">
        <v>28</v>
      </c>
      <c r="H675" s="7" t="s">
        <v>91</v>
      </c>
      <c r="I675" s="2" t="s">
        <v>483</v>
      </c>
      <c r="J675" s="2" t="s">
        <v>536</v>
      </c>
      <c r="K675" s="2" t="s">
        <v>304</v>
      </c>
      <c r="L675" s="2" t="s">
        <v>119</v>
      </c>
      <c r="M675" s="8" t="str">
        <f>HYPERLINK("http://slimages.macys.com/is/image/MCY/13987054 ")</f>
        <v xml:space="preserve">http://slimages.macys.com/is/image/MCY/13987054 </v>
      </c>
    </row>
    <row r="676" spans="1:13" ht="60" x14ac:dyDescent="0.25">
      <c r="A676" s="7" t="s">
        <v>8469</v>
      </c>
      <c r="B676" s="2" t="s">
        <v>3523</v>
      </c>
      <c r="C676" s="4">
        <v>1</v>
      </c>
      <c r="D676" s="5">
        <v>2.5099999999999998</v>
      </c>
      <c r="E676" s="5">
        <v>5.99</v>
      </c>
      <c r="F676" s="4" t="s">
        <v>3524</v>
      </c>
      <c r="G676" s="2" t="s">
        <v>657</v>
      </c>
      <c r="H676" s="7" t="s">
        <v>149</v>
      </c>
      <c r="I676" s="2" t="s">
        <v>483</v>
      </c>
      <c r="J676" s="2" t="s">
        <v>536</v>
      </c>
      <c r="K676" s="2" t="s">
        <v>304</v>
      </c>
      <c r="L676" s="2" t="s">
        <v>119</v>
      </c>
      <c r="M676" s="8" t="str">
        <f>HYPERLINK("http://slimages.macys.com/is/image/MCY/13987476 ")</f>
        <v xml:space="preserve">http://slimages.macys.com/is/image/MCY/13987476 </v>
      </c>
    </row>
    <row r="677" spans="1:13" ht="60" x14ac:dyDescent="0.25">
      <c r="A677" s="7" t="s">
        <v>6074</v>
      </c>
      <c r="B677" s="2" t="s">
        <v>2295</v>
      </c>
      <c r="C677" s="4">
        <v>1</v>
      </c>
      <c r="D677" s="5">
        <v>2.5099999999999998</v>
      </c>
      <c r="E677" s="5">
        <v>5.99</v>
      </c>
      <c r="F677" s="4" t="s">
        <v>2296</v>
      </c>
      <c r="G677" s="2" t="s">
        <v>28</v>
      </c>
      <c r="H677" s="7" t="s">
        <v>42</v>
      </c>
      <c r="I677" s="2" t="s">
        <v>483</v>
      </c>
      <c r="J677" s="2" t="s">
        <v>536</v>
      </c>
      <c r="K677" s="2" t="s">
        <v>304</v>
      </c>
      <c r="L677" s="2" t="s">
        <v>119</v>
      </c>
      <c r="M677" s="8" t="str">
        <f>HYPERLINK("http://slimages.macys.com/is/image/MCY/11436914 ")</f>
        <v xml:space="preserve">http://slimages.macys.com/is/image/MCY/11436914 </v>
      </c>
    </row>
    <row r="678" spans="1:13" ht="60" x14ac:dyDescent="0.25">
      <c r="A678" s="7" t="s">
        <v>6076</v>
      </c>
      <c r="B678" s="2" t="s">
        <v>2295</v>
      </c>
      <c r="C678" s="4">
        <v>3</v>
      </c>
      <c r="D678" s="5">
        <v>2.5099999999999998</v>
      </c>
      <c r="E678" s="5">
        <v>5.99</v>
      </c>
      <c r="F678" s="4" t="s">
        <v>2296</v>
      </c>
      <c r="G678" s="2" t="s">
        <v>28</v>
      </c>
      <c r="H678" s="7" t="s">
        <v>149</v>
      </c>
      <c r="I678" s="2" t="s">
        <v>483</v>
      </c>
      <c r="J678" s="2" t="s">
        <v>536</v>
      </c>
      <c r="K678" s="2" t="s">
        <v>304</v>
      </c>
      <c r="L678" s="2" t="s">
        <v>119</v>
      </c>
      <c r="M678" s="8" t="str">
        <f>HYPERLINK("http://slimages.macys.com/is/image/MCY/11436914 ")</f>
        <v xml:space="preserve">http://slimages.macys.com/is/image/MCY/11436914 </v>
      </c>
    </row>
    <row r="679" spans="1:13" ht="60" x14ac:dyDescent="0.25">
      <c r="A679" s="7" t="s">
        <v>6075</v>
      </c>
      <c r="B679" s="2" t="s">
        <v>2295</v>
      </c>
      <c r="C679" s="4">
        <v>1</v>
      </c>
      <c r="D679" s="5">
        <v>2.5099999999999998</v>
      </c>
      <c r="E679" s="5">
        <v>5.99</v>
      </c>
      <c r="F679" s="4" t="s">
        <v>2296</v>
      </c>
      <c r="G679" s="2" t="s">
        <v>28</v>
      </c>
      <c r="H679" s="7" t="s">
        <v>442</v>
      </c>
      <c r="I679" s="2" t="s">
        <v>483</v>
      </c>
      <c r="J679" s="2" t="s">
        <v>536</v>
      </c>
      <c r="K679" s="2" t="s">
        <v>304</v>
      </c>
      <c r="L679" s="2" t="s">
        <v>119</v>
      </c>
      <c r="M679" s="8" t="str">
        <f>HYPERLINK("http://slimages.macys.com/is/image/MCY/11436914 ")</f>
        <v xml:space="preserve">http://slimages.macys.com/is/image/MCY/11436914 </v>
      </c>
    </row>
    <row r="680" spans="1:13" ht="60" x14ac:dyDescent="0.25">
      <c r="A680" s="7" t="s">
        <v>11753</v>
      </c>
      <c r="B680" s="2" t="s">
        <v>11754</v>
      </c>
      <c r="C680" s="4">
        <v>1</v>
      </c>
      <c r="D680" s="5">
        <v>2.5099999999999998</v>
      </c>
      <c r="E680" s="5">
        <v>6.99</v>
      </c>
      <c r="F680" s="4" t="s">
        <v>11755</v>
      </c>
      <c r="G680" s="2" t="s">
        <v>28</v>
      </c>
      <c r="H680" s="7" t="s">
        <v>442</v>
      </c>
      <c r="I680" s="2" t="s">
        <v>483</v>
      </c>
      <c r="J680" s="2" t="s">
        <v>536</v>
      </c>
      <c r="K680" s="2" t="s">
        <v>304</v>
      </c>
      <c r="L680" s="2" t="s">
        <v>119</v>
      </c>
      <c r="M680" s="8" t="str">
        <f>HYPERLINK("http://slimages.macys.com/is/image/MCY/13987593 ")</f>
        <v xml:space="preserve">http://slimages.macys.com/is/image/MCY/13987593 </v>
      </c>
    </row>
    <row r="681" spans="1:13" ht="60" x14ac:dyDescent="0.25">
      <c r="A681" s="7" t="s">
        <v>11756</v>
      </c>
      <c r="B681" s="2" t="s">
        <v>3523</v>
      </c>
      <c r="C681" s="4">
        <v>3</v>
      </c>
      <c r="D681" s="5">
        <v>2.5099999999999998</v>
      </c>
      <c r="E681" s="5">
        <v>5.99</v>
      </c>
      <c r="F681" s="4" t="s">
        <v>3524</v>
      </c>
      <c r="G681" s="2" t="s">
        <v>657</v>
      </c>
      <c r="H681" s="7" t="s">
        <v>91</v>
      </c>
      <c r="I681" s="2" t="s">
        <v>483</v>
      </c>
      <c r="J681" s="2" t="s">
        <v>536</v>
      </c>
      <c r="K681" s="2" t="s">
        <v>304</v>
      </c>
      <c r="L681" s="2" t="s">
        <v>119</v>
      </c>
      <c r="M681" s="8" t="str">
        <f>HYPERLINK("http://slimages.macys.com/is/image/MCY/13987476 ")</f>
        <v xml:space="preserve">http://slimages.macys.com/is/image/MCY/13987476 </v>
      </c>
    </row>
    <row r="682" spans="1:13" ht="60" x14ac:dyDescent="0.25">
      <c r="A682" s="7" t="s">
        <v>11757</v>
      </c>
      <c r="B682" s="2" t="s">
        <v>2725</v>
      </c>
      <c r="C682" s="4">
        <v>1</v>
      </c>
      <c r="D682" s="5">
        <v>2.5</v>
      </c>
      <c r="E682" s="5">
        <v>5.99</v>
      </c>
      <c r="F682" s="4" t="s">
        <v>2726</v>
      </c>
      <c r="G682" s="2" t="s">
        <v>2107</v>
      </c>
      <c r="H682" s="7" t="s">
        <v>149</v>
      </c>
      <c r="I682" s="2" t="s">
        <v>483</v>
      </c>
      <c r="J682" s="2" t="s">
        <v>536</v>
      </c>
      <c r="K682" s="2" t="s">
        <v>304</v>
      </c>
      <c r="L682" s="2" t="s">
        <v>87</v>
      </c>
      <c r="M682" s="8" t="str">
        <f>HYPERLINK("http://slimages.macys.com/is/image/MCY/11524101 ")</f>
        <v xml:space="preserve">http://slimages.macys.com/is/image/MCY/11524101 </v>
      </c>
    </row>
    <row r="683" spans="1:13" ht="60" x14ac:dyDescent="0.25">
      <c r="A683" s="7" t="s">
        <v>9225</v>
      </c>
      <c r="B683" s="2" t="s">
        <v>2725</v>
      </c>
      <c r="C683" s="4">
        <v>1</v>
      </c>
      <c r="D683" s="5">
        <v>2.5</v>
      </c>
      <c r="E683" s="5">
        <v>5.99</v>
      </c>
      <c r="F683" s="4" t="s">
        <v>2726</v>
      </c>
      <c r="G683" s="2" t="s">
        <v>86</v>
      </c>
      <c r="H683" s="7" t="s">
        <v>590</v>
      </c>
      <c r="I683" s="2" t="s">
        <v>483</v>
      </c>
      <c r="J683" s="2" t="s">
        <v>536</v>
      </c>
      <c r="K683" s="2" t="s">
        <v>304</v>
      </c>
      <c r="L683" s="2" t="s">
        <v>87</v>
      </c>
      <c r="M683" s="8" t="str">
        <f>HYPERLINK("http://slimages.macys.com/is/image/MCY/11524096 ")</f>
        <v xml:space="preserve">http://slimages.macys.com/is/image/MCY/11524096 </v>
      </c>
    </row>
    <row r="684" spans="1:13" ht="60" x14ac:dyDescent="0.25">
      <c r="A684" s="7" t="s">
        <v>11758</v>
      </c>
      <c r="B684" s="2" t="s">
        <v>2725</v>
      </c>
      <c r="C684" s="4">
        <v>1</v>
      </c>
      <c r="D684" s="5">
        <v>2.5</v>
      </c>
      <c r="E684" s="5">
        <v>5.99</v>
      </c>
      <c r="F684" s="4" t="s">
        <v>2726</v>
      </c>
      <c r="G684" s="2" t="s">
        <v>2107</v>
      </c>
      <c r="H684" s="7" t="s">
        <v>442</v>
      </c>
      <c r="I684" s="2" t="s">
        <v>483</v>
      </c>
      <c r="J684" s="2" t="s">
        <v>536</v>
      </c>
      <c r="K684" s="2" t="s">
        <v>304</v>
      </c>
      <c r="L684" s="2" t="s">
        <v>87</v>
      </c>
      <c r="M684" s="8" t="str">
        <f>HYPERLINK("http://slimages.macys.com/is/image/MCY/11524101 ")</f>
        <v xml:space="preserve">http://slimages.macys.com/is/image/MCY/11524101 </v>
      </c>
    </row>
    <row r="685" spans="1:13" ht="60" x14ac:dyDescent="0.25">
      <c r="A685" s="7" t="s">
        <v>1318</v>
      </c>
      <c r="B685" s="2" t="s">
        <v>1300</v>
      </c>
      <c r="C685" s="4">
        <v>3</v>
      </c>
      <c r="D685" s="5">
        <v>2.4900000000000002</v>
      </c>
      <c r="E685" s="5">
        <v>6.99</v>
      </c>
      <c r="F685" s="4" t="s">
        <v>1301</v>
      </c>
      <c r="G685" s="2" t="s">
        <v>1302</v>
      </c>
      <c r="H685" s="7" t="s">
        <v>149</v>
      </c>
      <c r="I685" s="2" t="s">
        <v>483</v>
      </c>
      <c r="J685" s="2" t="s">
        <v>536</v>
      </c>
      <c r="K685" s="2" t="s">
        <v>304</v>
      </c>
      <c r="L685" s="2" t="s">
        <v>596</v>
      </c>
      <c r="M685" s="8" t="str">
        <f>HYPERLINK("http://slimages.macys.com/is/image/MCY/13337498 ")</f>
        <v xml:space="preserve">http://slimages.macys.com/is/image/MCY/13337498 </v>
      </c>
    </row>
    <row r="686" spans="1:13" ht="84" x14ac:dyDescent="0.25">
      <c r="A686" s="7" t="s">
        <v>7209</v>
      </c>
      <c r="B686" s="2" t="s">
        <v>1307</v>
      </c>
      <c r="C686" s="4">
        <v>1</v>
      </c>
      <c r="D686" s="5">
        <v>2.4900000000000002</v>
      </c>
      <c r="E686" s="5">
        <v>6.99</v>
      </c>
      <c r="F686" s="4">
        <v>10006315700</v>
      </c>
      <c r="G686" s="2" t="s">
        <v>41</v>
      </c>
      <c r="H686" s="7" t="s">
        <v>442</v>
      </c>
      <c r="I686" s="2" t="s">
        <v>483</v>
      </c>
      <c r="J686" s="2" t="s">
        <v>536</v>
      </c>
      <c r="K686" s="2" t="s">
        <v>304</v>
      </c>
      <c r="L686" s="2" t="s">
        <v>1308</v>
      </c>
      <c r="M686" s="8" t="str">
        <f>HYPERLINK("http://slimages.macys.com/is/image/MCY/13987457 ")</f>
        <v xml:space="preserve">http://slimages.macys.com/is/image/MCY/13987457 </v>
      </c>
    </row>
    <row r="687" spans="1:13" ht="60" x14ac:dyDescent="0.25">
      <c r="A687" s="7" t="s">
        <v>2729</v>
      </c>
      <c r="B687" s="2" t="s">
        <v>1300</v>
      </c>
      <c r="C687" s="4">
        <v>1</v>
      </c>
      <c r="D687" s="5">
        <v>2.4900000000000002</v>
      </c>
      <c r="E687" s="5">
        <v>6.99</v>
      </c>
      <c r="F687" s="4" t="s">
        <v>1301</v>
      </c>
      <c r="G687" s="2" t="s">
        <v>1302</v>
      </c>
      <c r="H687" s="7" t="s">
        <v>482</v>
      </c>
      <c r="I687" s="2" t="s">
        <v>483</v>
      </c>
      <c r="J687" s="2" t="s">
        <v>536</v>
      </c>
      <c r="K687" s="2" t="s">
        <v>304</v>
      </c>
      <c r="L687" s="2" t="s">
        <v>596</v>
      </c>
      <c r="M687" s="8" t="str">
        <f>HYPERLINK("http://slimages.macys.com/is/image/MCY/13337498 ")</f>
        <v xml:space="preserve">http://slimages.macys.com/is/image/MCY/13337498 </v>
      </c>
    </row>
    <row r="688" spans="1:13" ht="60" x14ac:dyDescent="0.25">
      <c r="A688" s="7" t="s">
        <v>11759</v>
      </c>
      <c r="B688" s="2" t="s">
        <v>1300</v>
      </c>
      <c r="C688" s="4">
        <v>2</v>
      </c>
      <c r="D688" s="5">
        <v>2.4900000000000002</v>
      </c>
      <c r="E688" s="5">
        <v>6.99</v>
      </c>
      <c r="F688" s="4" t="s">
        <v>1301</v>
      </c>
      <c r="G688" s="2" t="s">
        <v>1302</v>
      </c>
      <c r="H688" s="7" t="s">
        <v>442</v>
      </c>
      <c r="I688" s="2" t="s">
        <v>483</v>
      </c>
      <c r="J688" s="2" t="s">
        <v>536</v>
      </c>
      <c r="K688" s="2" t="s">
        <v>304</v>
      </c>
      <c r="L688" s="2" t="s">
        <v>596</v>
      </c>
      <c r="M688" s="8" t="str">
        <f>HYPERLINK("http://slimages.macys.com/is/image/MCY/13337498 ")</f>
        <v xml:space="preserve">http://slimages.macys.com/is/image/MCY/13337498 </v>
      </c>
    </row>
    <row r="689" spans="1:13" ht="60" x14ac:dyDescent="0.25">
      <c r="A689" s="7" t="s">
        <v>1299</v>
      </c>
      <c r="B689" s="2" t="s">
        <v>1300</v>
      </c>
      <c r="C689" s="4">
        <v>2</v>
      </c>
      <c r="D689" s="5">
        <v>2.4900000000000002</v>
      </c>
      <c r="E689" s="5">
        <v>6.99</v>
      </c>
      <c r="F689" s="4" t="s">
        <v>1301</v>
      </c>
      <c r="G689" s="2" t="s">
        <v>1302</v>
      </c>
      <c r="H689" s="7" t="s">
        <v>590</v>
      </c>
      <c r="I689" s="2" t="s">
        <v>483</v>
      </c>
      <c r="J689" s="2" t="s">
        <v>536</v>
      </c>
      <c r="K689" s="2" t="s">
        <v>304</v>
      </c>
      <c r="L689" s="2" t="s">
        <v>596</v>
      </c>
      <c r="M689" s="8" t="str">
        <f>HYPERLINK("http://slimages.macys.com/is/image/MCY/13337498 ")</f>
        <v xml:space="preserve">http://slimages.macys.com/is/image/MCY/13337498 </v>
      </c>
    </row>
    <row r="690" spans="1:13" ht="60" x14ac:dyDescent="0.25">
      <c r="A690" s="7" t="s">
        <v>1309</v>
      </c>
      <c r="B690" s="2" t="s">
        <v>1300</v>
      </c>
      <c r="C690" s="4">
        <v>1</v>
      </c>
      <c r="D690" s="5">
        <v>2.4900000000000002</v>
      </c>
      <c r="E690" s="5">
        <v>6.99</v>
      </c>
      <c r="F690" s="4" t="s">
        <v>1301</v>
      </c>
      <c r="G690" s="2" t="s">
        <v>1302</v>
      </c>
      <c r="H690" s="7"/>
      <c r="I690" s="2" t="s">
        <v>483</v>
      </c>
      <c r="J690" s="2" t="s">
        <v>536</v>
      </c>
      <c r="K690" s="2" t="s">
        <v>304</v>
      </c>
      <c r="L690" s="2" t="s">
        <v>596</v>
      </c>
      <c r="M690" s="8" t="str">
        <f>HYPERLINK("http://slimages.macys.com/is/image/MCY/13337498 ")</f>
        <v xml:space="preserve">http://slimages.macys.com/is/image/MCY/13337498 </v>
      </c>
    </row>
    <row r="691" spans="1:13" ht="60" x14ac:dyDescent="0.25">
      <c r="A691" s="7" t="s">
        <v>7206</v>
      </c>
      <c r="B691" s="2" t="s">
        <v>5731</v>
      </c>
      <c r="C691" s="4">
        <v>1</v>
      </c>
      <c r="D691" s="5">
        <v>2.4900000000000002</v>
      </c>
      <c r="E691" s="5">
        <v>5.99</v>
      </c>
      <c r="F691" s="4" t="s">
        <v>5732</v>
      </c>
      <c r="G691" s="2" t="s">
        <v>657</v>
      </c>
      <c r="H691" s="7" t="s">
        <v>91</v>
      </c>
      <c r="I691" s="2" t="s">
        <v>483</v>
      </c>
      <c r="J691" s="2" t="s">
        <v>536</v>
      </c>
      <c r="K691" s="2" t="s">
        <v>304</v>
      </c>
      <c r="L691" s="2" t="s">
        <v>119</v>
      </c>
      <c r="M691" s="8" t="str">
        <f>HYPERLINK("http://slimages.macys.com/is/image/MCY/13987264 ")</f>
        <v xml:space="preserve">http://slimages.macys.com/is/image/MCY/13987264 </v>
      </c>
    </row>
    <row r="692" spans="1:13" ht="60" x14ac:dyDescent="0.25">
      <c r="A692" s="7" t="s">
        <v>11760</v>
      </c>
      <c r="B692" s="2" t="s">
        <v>7966</v>
      </c>
      <c r="C692" s="4">
        <v>1</v>
      </c>
      <c r="D692" s="5">
        <v>2.4900000000000002</v>
      </c>
      <c r="E692" s="5">
        <v>6.99</v>
      </c>
      <c r="F692" s="4" t="s">
        <v>7967</v>
      </c>
      <c r="G692" s="2" t="s">
        <v>41</v>
      </c>
      <c r="H692" s="7" t="s">
        <v>590</v>
      </c>
      <c r="I692" s="2" t="s">
        <v>483</v>
      </c>
      <c r="J692" s="2" t="s">
        <v>536</v>
      </c>
      <c r="K692" s="2" t="s">
        <v>304</v>
      </c>
      <c r="L692" s="2" t="s">
        <v>100</v>
      </c>
      <c r="M692" s="8" t="str">
        <f>HYPERLINK("http://slimages.macys.com/is/image/MCY/11499902 ")</f>
        <v xml:space="preserve">http://slimages.macys.com/is/image/MCY/11499902 </v>
      </c>
    </row>
    <row r="693" spans="1:13" ht="96" x14ac:dyDescent="0.25">
      <c r="A693" s="7" t="s">
        <v>2301</v>
      </c>
      <c r="B693" s="2" t="s">
        <v>2302</v>
      </c>
      <c r="C693" s="4">
        <v>1</v>
      </c>
      <c r="D693" s="5">
        <v>2.4900000000000002</v>
      </c>
      <c r="E693" s="5">
        <v>6.99</v>
      </c>
      <c r="F693" s="4" t="s">
        <v>2303</v>
      </c>
      <c r="G693" s="2" t="s">
        <v>134</v>
      </c>
      <c r="H693" s="7" t="s">
        <v>149</v>
      </c>
      <c r="I693" s="2" t="s">
        <v>483</v>
      </c>
      <c r="J693" s="2" t="s">
        <v>536</v>
      </c>
      <c r="K693" s="2" t="s">
        <v>304</v>
      </c>
      <c r="L693" s="2" t="s">
        <v>2304</v>
      </c>
      <c r="M693" s="8" t="str">
        <f>HYPERLINK("http://slimages.macys.com/is/image/MCY/13987461 ")</f>
        <v xml:space="preserve">http://slimages.macys.com/is/image/MCY/13987461 </v>
      </c>
    </row>
    <row r="694" spans="1:13" ht="60" x14ac:dyDescent="0.25">
      <c r="A694" s="7" t="s">
        <v>1319</v>
      </c>
      <c r="B694" s="2" t="s">
        <v>1304</v>
      </c>
      <c r="C694" s="4">
        <v>2</v>
      </c>
      <c r="D694" s="5">
        <v>2.4900000000000002</v>
      </c>
      <c r="E694" s="5">
        <v>5.99</v>
      </c>
      <c r="F694" s="4" t="s">
        <v>1305</v>
      </c>
      <c r="G694" s="2" t="s">
        <v>86</v>
      </c>
      <c r="H694" s="7" t="s">
        <v>91</v>
      </c>
      <c r="I694" s="2" t="s">
        <v>483</v>
      </c>
      <c r="J694" s="2" t="s">
        <v>536</v>
      </c>
      <c r="K694" s="2" t="s">
        <v>304</v>
      </c>
      <c r="L694" s="2" t="s">
        <v>38</v>
      </c>
      <c r="M694" s="8" t="str">
        <f>HYPERLINK("http://slimages.macys.com/is/image/MCY/11855486 ")</f>
        <v xml:space="preserve">http://slimages.macys.com/is/image/MCY/11855486 </v>
      </c>
    </row>
    <row r="695" spans="1:13" ht="60" x14ac:dyDescent="0.25">
      <c r="A695" s="7" t="s">
        <v>1316</v>
      </c>
      <c r="B695" s="2" t="s">
        <v>1304</v>
      </c>
      <c r="C695" s="4">
        <v>1</v>
      </c>
      <c r="D695" s="5">
        <v>2.4900000000000002</v>
      </c>
      <c r="E695" s="5">
        <v>5.99</v>
      </c>
      <c r="F695" s="4" t="s">
        <v>1305</v>
      </c>
      <c r="G695" s="2" t="s">
        <v>86</v>
      </c>
      <c r="H695" s="7" t="s">
        <v>149</v>
      </c>
      <c r="I695" s="2" t="s">
        <v>483</v>
      </c>
      <c r="J695" s="2" t="s">
        <v>536</v>
      </c>
      <c r="K695" s="2" t="s">
        <v>304</v>
      </c>
      <c r="L695" s="2" t="s">
        <v>38</v>
      </c>
      <c r="M695" s="8" t="str">
        <f>HYPERLINK("http://slimages.macys.com/is/image/MCY/11855486 ")</f>
        <v xml:space="preserve">http://slimages.macys.com/is/image/MCY/11855486 </v>
      </c>
    </row>
    <row r="696" spans="1:13" ht="60" x14ac:dyDescent="0.25">
      <c r="A696" s="7" t="s">
        <v>1317</v>
      </c>
      <c r="B696" s="2" t="s">
        <v>1304</v>
      </c>
      <c r="C696" s="4">
        <v>9</v>
      </c>
      <c r="D696" s="5">
        <v>2.4900000000000002</v>
      </c>
      <c r="E696" s="5">
        <v>5.99</v>
      </c>
      <c r="F696" s="4" t="s">
        <v>1305</v>
      </c>
      <c r="G696" s="2" t="s">
        <v>86</v>
      </c>
      <c r="H696" s="7" t="s">
        <v>42</v>
      </c>
      <c r="I696" s="2" t="s">
        <v>483</v>
      </c>
      <c r="J696" s="2" t="s">
        <v>536</v>
      </c>
      <c r="K696" s="2" t="s">
        <v>304</v>
      </c>
      <c r="L696" s="2" t="s">
        <v>38</v>
      </c>
      <c r="M696" s="8" t="str">
        <f>HYPERLINK("http://slimages.macys.com/is/image/MCY/11855486 ")</f>
        <v xml:space="preserve">http://slimages.macys.com/is/image/MCY/11855486 </v>
      </c>
    </row>
    <row r="697" spans="1:13" ht="60" x14ac:dyDescent="0.25">
      <c r="A697" s="7" t="s">
        <v>11761</v>
      </c>
      <c r="B697" s="2" t="s">
        <v>1297</v>
      </c>
      <c r="C697" s="4">
        <v>1</v>
      </c>
      <c r="D697" s="5">
        <v>2.4900000000000002</v>
      </c>
      <c r="E697" s="5">
        <v>6.99</v>
      </c>
      <c r="F697" s="4" t="s">
        <v>1298</v>
      </c>
      <c r="G697" s="2" t="s">
        <v>171</v>
      </c>
      <c r="H697" s="7" t="s">
        <v>149</v>
      </c>
      <c r="I697" s="2" t="s">
        <v>483</v>
      </c>
      <c r="J697" s="2" t="s">
        <v>536</v>
      </c>
      <c r="K697" s="2" t="s">
        <v>304</v>
      </c>
      <c r="L697" s="2" t="s">
        <v>100</v>
      </c>
      <c r="M697" s="8" t="str">
        <f>HYPERLINK("http://slimages.macys.com/is/image/MCY/13987459 ")</f>
        <v xml:space="preserve">http://slimages.macys.com/is/image/MCY/13987459 </v>
      </c>
    </row>
    <row r="698" spans="1:13" ht="60" x14ac:dyDescent="0.25">
      <c r="A698" s="7" t="s">
        <v>621</v>
      </c>
      <c r="B698" s="2" t="s">
        <v>622</v>
      </c>
      <c r="C698" s="4">
        <v>1</v>
      </c>
      <c r="D698" s="5">
        <v>2.48</v>
      </c>
      <c r="E698" s="5">
        <v>7.99</v>
      </c>
      <c r="F698" s="4">
        <v>10005379300</v>
      </c>
      <c r="G698" s="2" t="s">
        <v>437</v>
      </c>
      <c r="H698" s="7" t="s">
        <v>590</v>
      </c>
      <c r="I698" s="2" t="s">
        <v>483</v>
      </c>
      <c r="J698" s="2" t="s">
        <v>536</v>
      </c>
      <c r="K698" s="2" t="s">
        <v>304</v>
      </c>
      <c r="L698" s="2" t="s">
        <v>623</v>
      </c>
      <c r="M698" s="8" t="str">
        <f t="shared" ref="M698:M707" si="3">HYPERLINK("http://slimages.macys.com/is/image/MCY/12465415 ")</f>
        <v xml:space="preserve">http://slimages.macys.com/is/image/MCY/12465415 </v>
      </c>
    </row>
    <row r="699" spans="1:13" ht="60" x14ac:dyDescent="0.25">
      <c r="A699" s="7" t="s">
        <v>2315</v>
      </c>
      <c r="B699" s="2" t="s">
        <v>622</v>
      </c>
      <c r="C699" s="4">
        <v>2</v>
      </c>
      <c r="D699" s="5">
        <v>2.48</v>
      </c>
      <c r="E699" s="5">
        <v>7.99</v>
      </c>
      <c r="F699" s="4">
        <v>10005379300</v>
      </c>
      <c r="G699" s="2" t="s">
        <v>62</v>
      </c>
      <c r="H699" s="7" t="s">
        <v>590</v>
      </c>
      <c r="I699" s="2" t="s">
        <v>483</v>
      </c>
      <c r="J699" s="2" t="s">
        <v>536</v>
      </c>
      <c r="K699" s="2" t="s">
        <v>304</v>
      </c>
      <c r="L699" s="2" t="s">
        <v>623</v>
      </c>
      <c r="M699" s="8" t="str">
        <f t="shared" si="3"/>
        <v xml:space="preserve">http://slimages.macys.com/is/image/MCY/12465415 </v>
      </c>
    </row>
    <row r="700" spans="1:13" ht="60" x14ac:dyDescent="0.25">
      <c r="A700" s="7" t="s">
        <v>2316</v>
      </c>
      <c r="B700" s="2" t="s">
        <v>622</v>
      </c>
      <c r="C700" s="4">
        <v>1</v>
      </c>
      <c r="D700" s="5">
        <v>2.48</v>
      </c>
      <c r="E700" s="5">
        <v>7.99</v>
      </c>
      <c r="F700" s="4">
        <v>10005379300</v>
      </c>
      <c r="G700" s="2" t="s">
        <v>437</v>
      </c>
      <c r="H700" s="7" t="s">
        <v>442</v>
      </c>
      <c r="I700" s="2" t="s">
        <v>483</v>
      </c>
      <c r="J700" s="2" t="s">
        <v>536</v>
      </c>
      <c r="K700" s="2" t="s">
        <v>304</v>
      </c>
      <c r="L700" s="2" t="s">
        <v>623</v>
      </c>
      <c r="M700" s="8" t="str">
        <f t="shared" si="3"/>
        <v xml:space="preserve">http://slimages.macys.com/is/image/MCY/12465415 </v>
      </c>
    </row>
    <row r="701" spans="1:13" ht="60" x14ac:dyDescent="0.25">
      <c r="A701" s="7" t="s">
        <v>2312</v>
      </c>
      <c r="B701" s="2" t="s">
        <v>622</v>
      </c>
      <c r="C701" s="4">
        <v>2</v>
      </c>
      <c r="D701" s="5">
        <v>2.48</v>
      </c>
      <c r="E701" s="5">
        <v>7.99</v>
      </c>
      <c r="F701" s="4">
        <v>10005379300</v>
      </c>
      <c r="G701" s="2" t="s">
        <v>62</v>
      </c>
      <c r="H701" s="7" t="s">
        <v>149</v>
      </c>
      <c r="I701" s="2" t="s">
        <v>483</v>
      </c>
      <c r="J701" s="2" t="s">
        <v>536</v>
      </c>
      <c r="K701" s="2" t="s">
        <v>304</v>
      </c>
      <c r="L701" s="2" t="s">
        <v>623</v>
      </c>
      <c r="M701" s="8" t="str">
        <f t="shared" si="3"/>
        <v xml:space="preserve">http://slimages.macys.com/is/image/MCY/12465415 </v>
      </c>
    </row>
    <row r="702" spans="1:13" ht="60" x14ac:dyDescent="0.25">
      <c r="A702" s="7" t="s">
        <v>2310</v>
      </c>
      <c r="B702" s="2" t="s">
        <v>622</v>
      </c>
      <c r="C702" s="4">
        <v>5</v>
      </c>
      <c r="D702" s="5">
        <v>2.48</v>
      </c>
      <c r="E702" s="5">
        <v>7.99</v>
      </c>
      <c r="F702" s="4">
        <v>10005379300</v>
      </c>
      <c r="G702" s="2" t="s">
        <v>62</v>
      </c>
      <c r="H702" s="7"/>
      <c r="I702" s="2" t="s">
        <v>483</v>
      </c>
      <c r="J702" s="2" t="s">
        <v>536</v>
      </c>
      <c r="K702" s="2" t="s">
        <v>304</v>
      </c>
      <c r="L702" s="2" t="s">
        <v>623</v>
      </c>
      <c r="M702" s="8" t="str">
        <f t="shared" si="3"/>
        <v xml:space="preserve">http://slimages.macys.com/is/image/MCY/12465415 </v>
      </c>
    </row>
    <row r="703" spans="1:13" ht="60" x14ac:dyDescent="0.25">
      <c r="A703" s="7" t="s">
        <v>2313</v>
      </c>
      <c r="B703" s="2" t="s">
        <v>622</v>
      </c>
      <c r="C703" s="4">
        <v>5</v>
      </c>
      <c r="D703" s="5">
        <v>2.48</v>
      </c>
      <c r="E703" s="5">
        <v>7.99</v>
      </c>
      <c r="F703" s="4">
        <v>10005379300</v>
      </c>
      <c r="G703" s="2" t="s">
        <v>437</v>
      </c>
      <c r="H703" s="7" t="s">
        <v>149</v>
      </c>
      <c r="I703" s="2" t="s">
        <v>483</v>
      </c>
      <c r="J703" s="2" t="s">
        <v>536</v>
      </c>
      <c r="K703" s="2" t="s">
        <v>304</v>
      </c>
      <c r="L703" s="2" t="s">
        <v>623</v>
      </c>
      <c r="M703" s="8" t="str">
        <f t="shared" si="3"/>
        <v xml:space="preserve">http://slimages.macys.com/is/image/MCY/12465415 </v>
      </c>
    </row>
    <row r="704" spans="1:13" ht="60" x14ac:dyDescent="0.25">
      <c r="A704" s="7" t="s">
        <v>10709</v>
      </c>
      <c r="B704" s="2" t="s">
        <v>622</v>
      </c>
      <c r="C704" s="4">
        <v>1</v>
      </c>
      <c r="D704" s="5">
        <v>2.48</v>
      </c>
      <c r="E704" s="5">
        <v>7.99</v>
      </c>
      <c r="F704" s="4">
        <v>10005379300</v>
      </c>
      <c r="G704" s="2" t="s">
        <v>62</v>
      </c>
      <c r="H704" s="7" t="s">
        <v>442</v>
      </c>
      <c r="I704" s="2" t="s">
        <v>483</v>
      </c>
      <c r="J704" s="2" t="s">
        <v>536</v>
      </c>
      <c r="K704" s="2" t="s">
        <v>304</v>
      </c>
      <c r="L704" s="2" t="s">
        <v>623</v>
      </c>
      <c r="M704" s="8" t="str">
        <f t="shared" si="3"/>
        <v xml:space="preserve">http://slimages.macys.com/is/image/MCY/12465415 </v>
      </c>
    </row>
    <row r="705" spans="1:13" ht="60" x14ac:dyDescent="0.25">
      <c r="A705" s="7" t="s">
        <v>2309</v>
      </c>
      <c r="B705" s="2" t="s">
        <v>622</v>
      </c>
      <c r="C705" s="4">
        <v>4</v>
      </c>
      <c r="D705" s="5">
        <v>2.48</v>
      </c>
      <c r="E705" s="5">
        <v>7.99</v>
      </c>
      <c r="F705" s="4">
        <v>10005379300</v>
      </c>
      <c r="G705" s="2" t="s">
        <v>437</v>
      </c>
      <c r="H705" s="7" t="s">
        <v>482</v>
      </c>
      <c r="I705" s="2" t="s">
        <v>483</v>
      </c>
      <c r="J705" s="2" t="s">
        <v>536</v>
      </c>
      <c r="K705" s="2" t="s">
        <v>304</v>
      </c>
      <c r="L705" s="2" t="s">
        <v>623</v>
      </c>
      <c r="M705" s="8" t="str">
        <f t="shared" si="3"/>
        <v xml:space="preserve">http://slimages.macys.com/is/image/MCY/12465415 </v>
      </c>
    </row>
    <row r="706" spans="1:13" ht="60" x14ac:dyDescent="0.25">
      <c r="A706" s="7" t="s">
        <v>2311</v>
      </c>
      <c r="B706" s="2" t="s">
        <v>622</v>
      </c>
      <c r="C706" s="4">
        <v>3</v>
      </c>
      <c r="D706" s="5">
        <v>2.48</v>
      </c>
      <c r="E706" s="5">
        <v>7.99</v>
      </c>
      <c r="F706" s="4">
        <v>10005379300</v>
      </c>
      <c r="G706" s="2" t="s">
        <v>62</v>
      </c>
      <c r="H706" s="7" t="s">
        <v>482</v>
      </c>
      <c r="I706" s="2" t="s">
        <v>483</v>
      </c>
      <c r="J706" s="2" t="s">
        <v>536</v>
      </c>
      <c r="K706" s="2" t="s">
        <v>304</v>
      </c>
      <c r="L706" s="2" t="s">
        <v>623</v>
      </c>
      <c r="M706" s="8" t="str">
        <f t="shared" si="3"/>
        <v xml:space="preserve">http://slimages.macys.com/is/image/MCY/12465415 </v>
      </c>
    </row>
    <row r="707" spans="1:13" ht="60" x14ac:dyDescent="0.25">
      <c r="A707" s="7" t="s">
        <v>2314</v>
      </c>
      <c r="B707" s="2" t="s">
        <v>622</v>
      </c>
      <c r="C707" s="4">
        <v>6</v>
      </c>
      <c r="D707" s="5">
        <v>2.48</v>
      </c>
      <c r="E707" s="5">
        <v>7.99</v>
      </c>
      <c r="F707" s="4">
        <v>10005379300</v>
      </c>
      <c r="G707" s="2" t="s">
        <v>437</v>
      </c>
      <c r="H707" s="7"/>
      <c r="I707" s="2" t="s">
        <v>483</v>
      </c>
      <c r="J707" s="2" t="s">
        <v>536</v>
      </c>
      <c r="K707" s="2" t="s">
        <v>304</v>
      </c>
      <c r="L707" s="2" t="s">
        <v>623</v>
      </c>
      <c r="M707" s="8" t="str">
        <f t="shared" si="3"/>
        <v xml:space="preserve">http://slimages.macys.com/is/image/MCY/12465415 </v>
      </c>
    </row>
    <row r="708" spans="1:13" ht="60" x14ac:dyDescent="0.25">
      <c r="A708" s="7" t="s">
        <v>1323</v>
      </c>
      <c r="B708" s="2" t="s">
        <v>1324</v>
      </c>
      <c r="C708" s="4">
        <v>1</v>
      </c>
      <c r="D708" s="5">
        <v>2.4700000000000002</v>
      </c>
      <c r="E708" s="5">
        <v>4.99</v>
      </c>
      <c r="F708" s="4" t="s">
        <v>1325</v>
      </c>
      <c r="G708" s="2" t="s">
        <v>86</v>
      </c>
      <c r="H708" s="7" t="s">
        <v>228</v>
      </c>
      <c r="I708" s="2" t="s">
        <v>523</v>
      </c>
      <c r="J708" s="2" t="s">
        <v>921</v>
      </c>
      <c r="K708" s="2" t="s">
        <v>304</v>
      </c>
      <c r="L708" s="2" t="s">
        <v>323</v>
      </c>
      <c r="M708" s="8" t="str">
        <f>HYPERLINK("http://slimages.macys.com/is/image/MCY/11722365 ")</f>
        <v xml:space="preserve">http://slimages.macys.com/is/image/MCY/11722365 </v>
      </c>
    </row>
    <row r="709" spans="1:13" ht="60" x14ac:dyDescent="0.25">
      <c r="A709" s="7" t="s">
        <v>2320</v>
      </c>
      <c r="B709" s="2" t="s">
        <v>1327</v>
      </c>
      <c r="C709" s="4">
        <v>1</v>
      </c>
      <c r="D709" s="5">
        <v>2.44</v>
      </c>
      <c r="E709" s="5">
        <v>5.99</v>
      </c>
      <c r="F709" s="4" t="s">
        <v>1328</v>
      </c>
      <c r="G709" s="2" t="s">
        <v>41</v>
      </c>
      <c r="H709" s="7" t="s">
        <v>149</v>
      </c>
      <c r="I709" s="2" t="s">
        <v>483</v>
      </c>
      <c r="J709" s="2" t="s">
        <v>536</v>
      </c>
      <c r="K709" s="2" t="s">
        <v>304</v>
      </c>
      <c r="L709" s="2" t="s">
        <v>119</v>
      </c>
      <c r="M709" s="8" t="str">
        <f>HYPERLINK("http://slimages.macys.com/is/image/MCY/12466322 ")</f>
        <v xml:space="preserve">http://slimages.macys.com/is/image/MCY/12466322 </v>
      </c>
    </row>
    <row r="710" spans="1:13" ht="60" x14ac:dyDescent="0.25">
      <c r="A710" s="7" t="s">
        <v>7216</v>
      </c>
      <c r="B710" s="2" t="s">
        <v>1327</v>
      </c>
      <c r="C710" s="4">
        <v>2</v>
      </c>
      <c r="D710" s="5">
        <v>2.44</v>
      </c>
      <c r="E710" s="5">
        <v>5.99</v>
      </c>
      <c r="F710" s="4" t="s">
        <v>1328</v>
      </c>
      <c r="G710" s="2" t="s">
        <v>41</v>
      </c>
      <c r="H710" s="7" t="s">
        <v>42</v>
      </c>
      <c r="I710" s="2" t="s">
        <v>483</v>
      </c>
      <c r="J710" s="2" t="s">
        <v>536</v>
      </c>
      <c r="K710" s="2" t="s">
        <v>304</v>
      </c>
      <c r="L710" s="2" t="s">
        <v>119</v>
      </c>
      <c r="M710" s="8" t="str">
        <f>HYPERLINK("http://slimages.macys.com/is/image/MCY/12466322 ")</f>
        <v xml:space="preserve">http://slimages.macys.com/is/image/MCY/12466322 </v>
      </c>
    </row>
    <row r="711" spans="1:13" ht="108" x14ac:dyDescent="0.25">
      <c r="A711" s="7" t="s">
        <v>2326</v>
      </c>
      <c r="B711" s="2" t="s">
        <v>2322</v>
      </c>
      <c r="C711" s="4">
        <v>2</v>
      </c>
      <c r="D711" s="5">
        <v>2.4300000000000002</v>
      </c>
      <c r="E711" s="5">
        <v>7.99</v>
      </c>
      <c r="F711" s="4" t="s">
        <v>2323</v>
      </c>
      <c r="G711" s="2" t="s">
        <v>41</v>
      </c>
      <c r="H711" s="7" t="s">
        <v>149</v>
      </c>
      <c r="I711" s="2" t="s">
        <v>483</v>
      </c>
      <c r="J711" s="2" t="s">
        <v>536</v>
      </c>
      <c r="K711" s="2" t="s">
        <v>304</v>
      </c>
      <c r="L711" s="2" t="s">
        <v>2324</v>
      </c>
      <c r="M711" s="8" t="str">
        <f>HYPERLINK("http://slimages.macys.com/is/image/MCY/14384998 ")</f>
        <v xml:space="preserve">http://slimages.macys.com/is/image/MCY/14384998 </v>
      </c>
    </row>
    <row r="712" spans="1:13" ht="108" x14ac:dyDescent="0.25">
      <c r="A712" s="7" t="s">
        <v>2321</v>
      </c>
      <c r="B712" s="2" t="s">
        <v>2322</v>
      </c>
      <c r="C712" s="4">
        <v>2</v>
      </c>
      <c r="D712" s="5">
        <v>2.4300000000000002</v>
      </c>
      <c r="E712" s="5">
        <v>7.99</v>
      </c>
      <c r="F712" s="4" t="s">
        <v>2323</v>
      </c>
      <c r="G712" s="2" t="s">
        <v>41</v>
      </c>
      <c r="H712" s="7"/>
      <c r="I712" s="2" t="s">
        <v>483</v>
      </c>
      <c r="J712" s="2" t="s">
        <v>536</v>
      </c>
      <c r="K712" s="2" t="s">
        <v>304</v>
      </c>
      <c r="L712" s="2" t="s">
        <v>2324</v>
      </c>
      <c r="M712" s="8" t="str">
        <f>HYPERLINK("http://slimages.macys.com/is/image/MCY/14384998 ")</f>
        <v xml:space="preserve">http://slimages.macys.com/is/image/MCY/14384998 </v>
      </c>
    </row>
    <row r="713" spans="1:13" ht="108" x14ac:dyDescent="0.25">
      <c r="A713" s="7" t="s">
        <v>5736</v>
      </c>
      <c r="B713" s="2" t="s">
        <v>2322</v>
      </c>
      <c r="C713" s="4">
        <v>1</v>
      </c>
      <c r="D713" s="5">
        <v>2.4300000000000002</v>
      </c>
      <c r="E713" s="5">
        <v>7.99</v>
      </c>
      <c r="F713" s="4" t="s">
        <v>2323</v>
      </c>
      <c r="G713" s="2" t="s">
        <v>41</v>
      </c>
      <c r="H713" s="7" t="s">
        <v>442</v>
      </c>
      <c r="I713" s="2" t="s">
        <v>483</v>
      </c>
      <c r="J713" s="2" t="s">
        <v>536</v>
      </c>
      <c r="K713" s="2" t="s">
        <v>304</v>
      </c>
      <c r="L713" s="2" t="s">
        <v>2324</v>
      </c>
      <c r="M713" s="8" t="str">
        <f>HYPERLINK("http://slimages.macys.com/is/image/MCY/14384998 ")</f>
        <v xml:space="preserve">http://slimages.macys.com/is/image/MCY/14384998 </v>
      </c>
    </row>
    <row r="714" spans="1:13" ht="60" x14ac:dyDescent="0.25">
      <c r="A714" s="7" t="s">
        <v>11762</v>
      </c>
      <c r="B714" s="2" t="s">
        <v>11763</v>
      </c>
      <c r="C714" s="4">
        <v>1</v>
      </c>
      <c r="D714" s="5">
        <v>2.42</v>
      </c>
      <c r="E714" s="5">
        <v>4.99</v>
      </c>
      <c r="F714" s="4">
        <v>307161</v>
      </c>
      <c r="G714" s="2"/>
      <c r="H714" s="7" t="s">
        <v>394</v>
      </c>
      <c r="I714" s="2" t="s">
        <v>43</v>
      </c>
      <c r="J714" s="2" t="s">
        <v>3537</v>
      </c>
      <c r="K714" s="2" t="s">
        <v>304</v>
      </c>
      <c r="L714" s="2" t="s">
        <v>125</v>
      </c>
      <c r="M714" s="8" t="str">
        <f>HYPERLINK("http://slimages.macys.com/is/image/MCY/10381160 ")</f>
        <v xml:space="preserve">http://slimages.macys.com/is/image/MCY/10381160 </v>
      </c>
    </row>
    <row r="715" spans="1:13" ht="96" x14ac:dyDescent="0.25">
      <c r="A715" s="7" t="s">
        <v>7981</v>
      </c>
      <c r="B715" s="2" t="s">
        <v>6587</v>
      </c>
      <c r="C715" s="4">
        <v>1</v>
      </c>
      <c r="D715" s="5">
        <v>2.41</v>
      </c>
      <c r="E715" s="5">
        <v>5.99</v>
      </c>
      <c r="F715" s="4" t="s">
        <v>6588</v>
      </c>
      <c r="G715" s="2" t="s">
        <v>28</v>
      </c>
      <c r="H715" s="7" t="s">
        <v>590</v>
      </c>
      <c r="I715" s="2" t="s">
        <v>483</v>
      </c>
      <c r="J715" s="2" t="s">
        <v>536</v>
      </c>
      <c r="K715" s="2" t="s">
        <v>304</v>
      </c>
      <c r="L715" s="2" t="s">
        <v>4455</v>
      </c>
      <c r="M715" s="8" t="str">
        <f>HYPERLINK("http://slimages.macys.com/is/image/MCY/12642198 ")</f>
        <v xml:space="preserve">http://slimages.macys.com/is/image/MCY/12642198 </v>
      </c>
    </row>
    <row r="716" spans="1:13" ht="60" x14ac:dyDescent="0.25">
      <c r="A716" s="7" t="s">
        <v>11764</v>
      </c>
      <c r="B716" s="2" t="s">
        <v>10315</v>
      </c>
      <c r="C716" s="4">
        <v>1</v>
      </c>
      <c r="D716" s="5">
        <v>2.41</v>
      </c>
      <c r="E716" s="5">
        <v>5.99</v>
      </c>
      <c r="F716" s="4" t="s">
        <v>10316</v>
      </c>
      <c r="G716" s="2" t="s">
        <v>41</v>
      </c>
      <c r="H716" s="7" t="s">
        <v>91</v>
      </c>
      <c r="I716" s="2" t="s">
        <v>483</v>
      </c>
      <c r="J716" s="2" t="s">
        <v>536</v>
      </c>
      <c r="K716" s="2" t="s">
        <v>304</v>
      </c>
      <c r="L716" s="2" t="s">
        <v>38</v>
      </c>
      <c r="M716" s="8" t="str">
        <f>HYPERLINK("http://slimages.macys.com/is/image/MCY/11857512 ")</f>
        <v xml:space="preserve">http://slimages.macys.com/is/image/MCY/11857512 </v>
      </c>
    </row>
    <row r="717" spans="1:13" ht="60" x14ac:dyDescent="0.25">
      <c r="A717" s="7" t="s">
        <v>7978</v>
      </c>
      <c r="B717" s="2" t="s">
        <v>7979</v>
      </c>
      <c r="C717" s="4">
        <v>1</v>
      </c>
      <c r="D717" s="5">
        <v>2.41</v>
      </c>
      <c r="E717" s="5">
        <v>5.99</v>
      </c>
      <c r="F717" s="4" t="s">
        <v>7980</v>
      </c>
      <c r="G717" s="2" t="s">
        <v>353</v>
      </c>
      <c r="H717" s="7" t="s">
        <v>149</v>
      </c>
      <c r="I717" s="2" t="s">
        <v>483</v>
      </c>
      <c r="J717" s="2" t="s">
        <v>536</v>
      </c>
      <c r="K717" s="2" t="s">
        <v>304</v>
      </c>
      <c r="L717" s="2" t="s">
        <v>100</v>
      </c>
      <c r="M717" s="8" t="str">
        <f>HYPERLINK("http://slimages.macys.com/is/image/MCY/12466328 ")</f>
        <v xml:space="preserve">http://slimages.macys.com/is/image/MCY/12466328 </v>
      </c>
    </row>
    <row r="718" spans="1:13" ht="96" x14ac:dyDescent="0.25">
      <c r="A718" s="7" t="s">
        <v>6586</v>
      </c>
      <c r="B718" s="2" t="s">
        <v>6587</v>
      </c>
      <c r="C718" s="4">
        <v>2</v>
      </c>
      <c r="D718" s="5">
        <v>2.41</v>
      </c>
      <c r="E718" s="5">
        <v>5.99</v>
      </c>
      <c r="F718" s="4" t="s">
        <v>6588</v>
      </c>
      <c r="G718" s="2" t="s">
        <v>28</v>
      </c>
      <c r="H718" s="7" t="s">
        <v>42</v>
      </c>
      <c r="I718" s="2" t="s">
        <v>483</v>
      </c>
      <c r="J718" s="2" t="s">
        <v>536</v>
      </c>
      <c r="K718" s="2" t="s">
        <v>304</v>
      </c>
      <c r="L718" s="2" t="s">
        <v>4455</v>
      </c>
      <c r="M718" s="8" t="str">
        <f>HYPERLINK("http://slimages.macys.com/is/image/MCY/12642198 ")</f>
        <v xml:space="preserve">http://slimages.macys.com/is/image/MCY/12642198 </v>
      </c>
    </row>
    <row r="719" spans="1:13" ht="60" x14ac:dyDescent="0.25">
      <c r="A719" s="7" t="s">
        <v>1335</v>
      </c>
      <c r="B719" s="2" t="s">
        <v>1336</v>
      </c>
      <c r="C719" s="4">
        <v>1</v>
      </c>
      <c r="D719" s="5">
        <v>2.4</v>
      </c>
      <c r="E719" s="5">
        <v>5.99</v>
      </c>
      <c r="F719" s="4" t="s">
        <v>1337</v>
      </c>
      <c r="G719" s="2" t="s">
        <v>657</v>
      </c>
      <c r="H719" s="7" t="s">
        <v>149</v>
      </c>
      <c r="I719" s="2" t="s">
        <v>483</v>
      </c>
      <c r="J719" s="2" t="s">
        <v>536</v>
      </c>
      <c r="K719" s="2" t="s">
        <v>304</v>
      </c>
      <c r="L719" s="2" t="s">
        <v>119</v>
      </c>
      <c r="M719" s="8" t="str">
        <f>HYPERLINK("http://slimages.macys.com/is/image/MCY/13987252 ")</f>
        <v xml:space="preserve">http://slimages.macys.com/is/image/MCY/13987252 </v>
      </c>
    </row>
    <row r="720" spans="1:13" ht="60" x14ac:dyDescent="0.25">
      <c r="A720" s="7" t="s">
        <v>7224</v>
      </c>
      <c r="B720" s="2" t="s">
        <v>1336</v>
      </c>
      <c r="C720" s="4">
        <v>1</v>
      </c>
      <c r="D720" s="5">
        <v>2.4</v>
      </c>
      <c r="E720" s="5">
        <v>5.99</v>
      </c>
      <c r="F720" s="4" t="s">
        <v>1337</v>
      </c>
      <c r="G720" s="2" t="s">
        <v>657</v>
      </c>
      <c r="H720" s="7" t="s">
        <v>42</v>
      </c>
      <c r="I720" s="2" t="s">
        <v>483</v>
      </c>
      <c r="J720" s="2" t="s">
        <v>536</v>
      </c>
      <c r="K720" s="2" t="s">
        <v>304</v>
      </c>
      <c r="L720" s="2" t="s">
        <v>119</v>
      </c>
      <c r="M720" s="8" t="str">
        <f>HYPERLINK("http://slimages.macys.com/is/image/MCY/13987252 ")</f>
        <v xml:space="preserve">http://slimages.macys.com/is/image/MCY/13987252 </v>
      </c>
    </row>
    <row r="721" spans="1:13" ht="60" x14ac:dyDescent="0.25">
      <c r="A721" s="7" t="s">
        <v>7226</v>
      </c>
      <c r="B721" s="2" t="s">
        <v>7227</v>
      </c>
      <c r="C721" s="4">
        <v>2</v>
      </c>
      <c r="D721" s="5">
        <v>2.4</v>
      </c>
      <c r="E721" s="5">
        <v>5.99</v>
      </c>
      <c r="F721" s="4" t="s">
        <v>7228</v>
      </c>
      <c r="G721" s="2" t="s">
        <v>28</v>
      </c>
      <c r="H721" s="7" t="s">
        <v>42</v>
      </c>
      <c r="I721" s="2" t="s">
        <v>483</v>
      </c>
      <c r="J721" s="2" t="s">
        <v>536</v>
      </c>
      <c r="K721" s="2" t="s">
        <v>304</v>
      </c>
      <c r="L721" s="2" t="s">
        <v>38</v>
      </c>
      <c r="M721" s="8" t="str">
        <f>HYPERLINK("http://slimages.macys.com/is/image/MCY/11953879 ")</f>
        <v xml:space="preserve">http://slimages.macys.com/is/image/MCY/11953879 </v>
      </c>
    </row>
    <row r="722" spans="1:13" ht="60" x14ac:dyDescent="0.25">
      <c r="A722" s="7" t="s">
        <v>11765</v>
      </c>
      <c r="B722" s="2" t="s">
        <v>1342</v>
      </c>
      <c r="C722" s="4">
        <v>1</v>
      </c>
      <c r="D722" s="5">
        <v>2.4</v>
      </c>
      <c r="E722" s="5">
        <v>5.99</v>
      </c>
      <c r="F722" s="4" t="s">
        <v>1343</v>
      </c>
      <c r="G722" s="2" t="s">
        <v>41</v>
      </c>
      <c r="H722" s="7" t="s">
        <v>149</v>
      </c>
      <c r="I722" s="2" t="s">
        <v>483</v>
      </c>
      <c r="J722" s="2" t="s">
        <v>536</v>
      </c>
      <c r="K722" s="2" t="s">
        <v>304</v>
      </c>
      <c r="L722" s="2" t="s">
        <v>206</v>
      </c>
      <c r="M722" s="8" t="str">
        <f>HYPERLINK("http://slimages.macys.com/is/image/MCY/13337389 ")</f>
        <v xml:space="preserve">http://slimages.macys.com/is/image/MCY/13337389 </v>
      </c>
    </row>
    <row r="723" spans="1:13" ht="60" x14ac:dyDescent="0.25">
      <c r="A723" s="7" t="s">
        <v>11766</v>
      </c>
      <c r="B723" s="2" t="s">
        <v>1333</v>
      </c>
      <c r="C723" s="4">
        <v>1</v>
      </c>
      <c r="D723" s="5">
        <v>2.4</v>
      </c>
      <c r="E723" s="5">
        <v>4.99</v>
      </c>
      <c r="F723" s="4" t="s">
        <v>1325</v>
      </c>
      <c r="G723" s="2" t="s">
        <v>36</v>
      </c>
      <c r="H723" s="7" t="s">
        <v>228</v>
      </c>
      <c r="I723" s="2" t="s">
        <v>523</v>
      </c>
      <c r="J723" s="2" t="s">
        <v>921</v>
      </c>
      <c r="K723" s="2" t="s">
        <v>304</v>
      </c>
      <c r="L723" s="2" t="s">
        <v>1334</v>
      </c>
      <c r="M723" s="8" t="str">
        <f>HYPERLINK("http://slimages.macys.com/is/image/MCY/8345543 ")</f>
        <v xml:space="preserve">http://slimages.macys.com/is/image/MCY/8345543 </v>
      </c>
    </row>
    <row r="724" spans="1:13" ht="60" x14ac:dyDescent="0.25">
      <c r="A724" s="7" t="s">
        <v>11767</v>
      </c>
      <c r="B724" s="2" t="s">
        <v>1339</v>
      </c>
      <c r="C724" s="4">
        <v>2</v>
      </c>
      <c r="D724" s="5">
        <v>2.4</v>
      </c>
      <c r="E724" s="5">
        <v>4.99</v>
      </c>
      <c r="F724" s="4" t="s">
        <v>1340</v>
      </c>
      <c r="G724" s="2" t="s">
        <v>41</v>
      </c>
      <c r="H724" s="7" t="s">
        <v>196</v>
      </c>
      <c r="I724" s="2" t="s">
        <v>523</v>
      </c>
      <c r="J724" s="2" t="s">
        <v>921</v>
      </c>
      <c r="K724" s="2" t="s">
        <v>304</v>
      </c>
      <c r="L724" s="2" t="s">
        <v>1334</v>
      </c>
      <c r="M724" s="8" t="str">
        <f>HYPERLINK("http://slimages.macys.com/is/image/MCY/11722337 ")</f>
        <v xml:space="preserve">http://slimages.macys.com/is/image/MCY/11722337 </v>
      </c>
    </row>
    <row r="725" spans="1:13" ht="60" x14ac:dyDescent="0.25">
      <c r="A725" s="7" t="s">
        <v>8476</v>
      </c>
      <c r="B725" s="2" t="s">
        <v>7984</v>
      </c>
      <c r="C725" s="4">
        <v>1</v>
      </c>
      <c r="D725" s="5">
        <v>2.4</v>
      </c>
      <c r="E725" s="5">
        <v>5.99</v>
      </c>
      <c r="F725" s="4" t="s">
        <v>7985</v>
      </c>
      <c r="G725" s="2" t="s">
        <v>41</v>
      </c>
      <c r="H725" s="7" t="s">
        <v>149</v>
      </c>
      <c r="I725" s="2" t="s">
        <v>483</v>
      </c>
      <c r="J725" s="2" t="s">
        <v>536</v>
      </c>
      <c r="K725" s="2"/>
      <c r="L725" s="2"/>
      <c r="M725" s="8" t="str">
        <f>HYPERLINK("http://slimages.macys.com/is/image/MCY/11525783 ")</f>
        <v xml:space="preserve">http://slimages.macys.com/is/image/MCY/11525783 </v>
      </c>
    </row>
    <row r="726" spans="1:13" ht="60" x14ac:dyDescent="0.25">
      <c r="A726" s="7" t="s">
        <v>11768</v>
      </c>
      <c r="B726" s="2" t="s">
        <v>7232</v>
      </c>
      <c r="C726" s="4">
        <v>2</v>
      </c>
      <c r="D726" s="5">
        <v>2.38</v>
      </c>
      <c r="E726" s="5">
        <v>5.99</v>
      </c>
      <c r="F726" s="4" t="s">
        <v>7233</v>
      </c>
      <c r="G726" s="2" t="s">
        <v>28</v>
      </c>
      <c r="H726" s="7" t="s">
        <v>149</v>
      </c>
      <c r="I726" s="2" t="s">
        <v>483</v>
      </c>
      <c r="J726" s="2" t="s">
        <v>536</v>
      </c>
      <c r="K726" s="2" t="s">
        <v>304</v>
      </c>
      <c r="L726" s="2" t="s">
        <v>119</v>
      </c>
      <c r="M726" s="8" t="str">
        <f>HYPERLINK("http://slimages.macys.com/is/image/MCY/13987615 ")</f>
        <v xml:space="preserve">http://slimages.macys.com/is/image/MCY/13987615 </v>
      </c>
    </row>
    <row r="727" spans="1:13" ht="60" x14ac:dyDescent="0.25">
      <c r="A727" s="7" t="s">
        <v>10317</v>
      </c>
      <c r="B727" s="2" t="s">
        <v>1348</v>
      </c>
      <c r="C727" s="4">
        <v>1</v>
      </c>
      <c r="D727" s="5">
        <v>2.36</v>
      </c>
      <c r="E727" s="5">
        <v>5.99</v>
      </c>
      <c r="F727" s="4" t="s">
        <v>1349</v>
      </c>
      <c r="G727" s="2" t="s">
        <v>62</v>
      </c>
      <c r="H727" s="7" t="s">
        <v>91</v>
      </c>
      <c r="I727" s="2" t="s">
        <v>483</v>
      </c>
      <c r="J727" s="2" t="s">
        <v>536</v>
      </c>
      <c r="K727" s="2" t="s">
        <v>304</v>
      </c>
      <c r="L727" s="2" t="s">
        <v>38</v>
      </c>
      <c r="M727" s="8" t="str">
        <f>HYPERLINK("http://slimages.macys.com/is/image/MCY/13337362 ")</f>
        <v xml:space="preserve">http://slimages.macys.com/is/image/MCY/13337362 </v>
      </c>
    </row>
    <row r="728" spans="1:13" ht="60" x14ac:dyDescent="0.25">
      <c r="A728" s="7" t="s">
        <v>9237</v>
      </c>
      <c r="B728" s="2" t="s">
        <v>1348</v>
      </c>
      <c r="C728" s="4">
        <v>1</v>
      </c>
      <c r="D728" s="5">
        <v>2.36</v>
      </c>
      <c r="E728" s="5">
        <v>5.99</v>
      </c>
      <c r="F728" s="4" t="s">
        <v>1349</v>
      </c>
      <c r="G728" s="2" t="s">
        <v>62</v>
      </c>
      <c r="H728" s="7" t="s">
        <v>42</v>
      </c>
      <c r="I728" s="2" t="s">
        <v>483</v>
      </c>
      <c r="J728" s="2" t="s">
        <v>536</v>
      </c>
      <c r="K728" s="2" t="s">
        <v>304</v>
      </c>
      <c r="L728" s="2" t="s">
        <v>38</v>
      </c>
      <c r="M728" s="8" t="str">
        <f>HYPERLINK("http://slimages.macys.com/is/image/MCY/13337362 ")</f>
        <v xml:space="preserve">http://slimages.macys.com/is/image/MCY/13337362 </v>
      </c>
    </row>
    <row r="729" spans="1:13" ht="60" x14ac:dyDescent="0.25">
      <c r="A729" s="7" t="s">
        <v>2333</v>
      </c>
      <c r="B729" s="2" t="s">
        <v>2330</v>
      </c>
      <c r="C729" s="4">
        <v>1</v>
      </c>
      <c r="D729" s="5">
        <v>2.35</v>
      </c>
      <c r="E729" s="5">
        <v>5.99</v>
      </c>
      <c r="F729" s="4" t="s">
        <v>2331</v>
      </c>
      <c r="G729" s="2" t="s">
        <v>36</v>
      </c>
      <c r="H729" s="7" t="s">
        <v>590</v>
      </c>
      <c r="I729" s="2" t="s">
        <v>483</v>
      </c>
      <c r="J729" s="2" t="s">
        <v>536</v>
      </c>
      <c r="K729" s="2" t="s">
        <v>304</v>
      </c>
      <c r="L729" s="2" t="s">
        <v>596</v>
      </c>
      <c r="M729" s="8" t="str">
        <f>HYPERLINK("http://slimages.macys.com/is/image/MCY/12466357 ")</f>
        <v xml:space="preserve">http://slimages.macys.com/is/image/MCY/12466357 </v>
      </c>
    </row>
    <row r="730" spans="1:13" ht="60" x14ac:dyDescent="0.25">
      <c r="A730" s="7" t="s">
        <v>2340</v>
      </c>
      <c r="B730" s="2" t="s">
        <v>2338</v>
      </c>
      <c r="C730" s="4">
        <v>1</v>
      </c>
      <c r="D730" s="5">
        <v>2.34</v>
      </c>
      <c r="E730" s="5">
        <v>5.99</v>
      </c>
      <c r="F730" s="4" t="s">
        <v>2339</v>
      </c>
      <c r="G730" s="2" t="s">
        <v>41</v>
      </c>
      <c r="H730" s="7" t="s">
        <v>42</v>
      </c>
      <c r="I730" s="2" t="s">
        <v>483</v>
      </c>
      <c r="J730" s="2" t="s">
        <v>536</v>
      </c>
      <c r="K730" s="2" t="s">
        <v>304</v>
      </c>
      <c r="L730" s="2" t="s">
        <v>38</v>
      </c>
      <c r="M730" s="8" t="str">
        <f>HYPERLINK("http://slimages.macys.com/is/image/MCY/13386590 ")</f>
        <v xml:space="preserve">http://slimages.macys.com/is/image/MCY/13386590 </v>
      </c>
    </row>
    <row r="731" spans="1:13" ht="60" x14ac:dyDescent="0.25">
      <c r="A731" s="7" t="s">
        <v>8005</v>
      </c>
      <c r="B731" s="2" t="s">
        <v>8002</v>
      </c>
      <c r="C731" s="4">
        <v>1</v>
      </c>
      <c r="D731" s="5">
        <v>2.34</v>
      </c>
      <c r="E731" s="5">
        <v>5.99</v>
      </c>
      <c r="F731" s="4" t="s">
        <v>8003</v>
      </c>
      <c r="G731" s="2" t="s">
        <v>388</v>
      </c>
      <c r="H731" s="7" t="s">
        <v>442</v>
      </c>
      <c r="I731" s="2" t="s">
        <v>483</v>
      </c>
      <c r="J731" s="2" t="s">
        <v>536</v>
      </c>
      <c r="K731" s="2" t="s">
        <v>304</v>
      </c>
      <c r="L731" s="2" t="s">
        <v>206</v>
      </c>
      <c r="M731" s="8" t="str">
        <f>HYPERLINK("http://slimages.macys.com/is/image/MCY/13386727 ")</f>
        <v xml:space="preserve">http://slimages.macys.com/is/image/MCY/13386727 </v>
      </c>
    </row>
    <row r="732" spans="1:13" ht="60" x14ac:dyDescent="0.25">
      <c r="A732" s="7" t="s">
        <v>2334</v>
      </c>
      <c r="B732" s="2" t="s">
        <v>2335</v>
      </c>
      <c r="C732" s="4">
        <v>1</v>
      </c>
      <c r="D732" s="5">
        <v>2.34</v>
      </c>
      <c r="E732" s="5">
        <v>5.99</v>
      </c>
      <c r="F732" s="4" t="s">
        <v>2336</v>
      </c>
      <c r="G732" s="2" t="s">
        <v>41</v>
      </c>
      <c r="H732" s="7" t="s">
        <v>42</v>
      </c>
      <c r="I732" s="2" t="s">
        <v>483</v>
      </c>
      <c r="J732" s="2" t="s">
        <v>536</v>
      </c>
      <c r="K732" s="2" t="s">
        <v>304</v>
      </c>
      <c r="L732" s="2" t="s">
        <v>100</v>
      </c>
      <c r="M732" s="8" t="str">
        <f>HYPERLINK("http://slimages.macys.com/is/image/MCY/12466329 ")</f>
        <v xml:space="preserve">http://slimages.macys.com/is/image/MCY/12466329 </v>
      </c>
    </row>
    <row r="733" spans="1:13" ht="60" x14ac:dyDescent="0.25">
      <c r="A733" s="7" t="s">
        <v>6602</v>
      </c>
      <c r="B733" s="2" t="s">
        <v>2335</v>
      </c>
      <c r="C733" s="4">
        <v>1</v>
      </c>
      <c r="D733" s="5">
        <v>2.34</v>
      </c>
      <c r="E733" s="5">
        <v>5.99</v>
      </c>
      <c r="F733" s="4" t="s">
        <v>2336</v>
      </c>
      <c r="G733" s="2" t="s">
        <v>41</v>
      </c>
      <c r="H733" s="7" t="s">
        <v>590</v>
      </c>
      <c r="I733" s="2" t="s">
        <v>483</v>
      </c>
      <c r="J733" s="2" t="s">
        <v>536</v>
      </c>
      <c r="K733" s="2" t="s">
        <v>304</v>
      </c>
      <c r="L733" s="2" t="s">
        <v>100</v>
      </c>
      <c r="M733" s="8" t="str">
        <f>HYPERLINK("http://slimages.macys.com/is/image/MCY/12466329 ")</f>
        <v xml:space="preserve">http://slimages.macys.com/is/image/MCY/12466329 </v>
      </c>
    </row>
    <row r="734" spans="1:13" ht="60" x14ac:dyDescent="0.25">
      <c r="A734" s="7" t="s">
        <v>1357</v>
      </c>
      <c r="B734" s="2" t="s">
        <v>1351</v>
      </c>
      <c r="C734" s="4">
        <v>2</v>
      </c>
      <c r="D734" s="5">
        <v>2.34</v>
      </c>
      <c r="E734" s="5">
        <v>5.99</v>
      </c>
      <c r="F734" s="4" t="s">
        <v>1352</v>
      </c>
      <c r="G734" s="2" t="s">
        <v>41</v>
      </c>
      <c r="H734" s="7" t="s">
        <v>590</v>
      </c>
      <c r="I734" s="2" t="s">
        <v>483</v>
      </c>
      <c r="J734" s="2" t="s">
        <v>536</v>
      </c>
      <c r="K734" s="2" t="s">
        <v>304</v>
      </c>
      <c r="L734" s="2" t="s">
        <v>38</v>
      </c>
      <c r="M734" s="8" t="str">
        <f>HYPERLINK("http://slimages.macys.com/is/image/MCY/13385985 ")</f>
        <v xml:space="preserve">http://slimages.macys.com/is/image/MCY/13385985 </v>
      </c>
    </row>
    <row r="735" spans="1:13" ht="60" x14ac:dyDescent="0.25">
      <c r="A735" s="7" t="s">
        <v>4572</v>
      </c>
      <c r="B735" s="2" t="s">
        <v>4573</v>
      </c>
      <c r="C735" s="4">
        <v>1</v>
      </c>
      <c r="D735" s="5">
        <v>2.34</v>
      </c>
      <c r="E735" s="5">
        <v>5.99</v>
      </c>
      <c r="F735" s="4" t="s">
        <v>4574</v>
      </c>
      <c r="G735" s="2" t="s">
        <v>1360</v>
      </c>
      <c r="H735" s="7" t="s">
        <v>91</v>
      </c>
      <c r="I735" s="2" t="s">
        <v>483</v>
      </c>
      <c r="J735" s="2" t="s">
        <v>536</v>
      </c>
      <c r="K735" s="2" t="s">
        <v>304</v>
      </c>
      <c r="L735" s="2" t="s">
        <v>38</v>
      </c>
      <c r="M735" s="8" t="str">
        <f>HYPERLINK("http://slimages.macys.com/is/image/MCY/13987605 ")</f>
        <v xml:space="preserve">http://slimages.macys.com/is/image/MCY/13987605 </v>
      </c>
    </row>
    <row r="736" spans="1:13" ht="60" x14ac:dyDescent="0.25">
      <c r="A736" s="7" t="s">
        <v>11769</v>
      </c>
      <c r="B736" s="2" t="s">
        <v>7236</v>
      </c>
      <c r="C736" s="4">
        <v>1</v>
      </c>
      <c r="D736" s="5">
        <v>2.34</v>
      </c>
      <c r="E736" s="5">
        <v>5.99</v>
      </c>
      <c r="F736" s="4" t="s">
        <v>7237</v>
      </c>
      <c r="G736" s="2" t="s">
        <v>103</v>
      </c>
      <c r="H736" s="7" t="s">
        <v>149</v>
      </c>
      <c r="I736" s="2" t="s">
        <v>483</v>
      </c>
      <c r="J736" s="2" t="s">
        <v>536</v>
      </c>
      <c r="K736" s="2" t="s">
        <v>304</v>
      </c>
      <c r="L736" s="2" t="s">
        <v>87</v>
      </c>
      <c r="M736" s="8" t="str">
        <f>HYPERLINK("http://slimages.macys.com/is/image/MCY/12466358 ")</f>
        <v xml:space="preserve">http://slimages.macys.com/is/image/MCY/12466358 </v>
      </c>
    </row>
    <row r="737" spans="1:13" ht="60" x14ac:dyDescent="0.25">
      <c r="A737" s="7" t="s">
        <v>4571</v>
      </c>
      <c r="B737" s="2" t="s">
        <v>1354</v>
      </c>
      <c r="C737" s="4">
        <v>1</v>
      </c>
      <c r="D737" s="5">
        <v>2.34</v>
      </c>
      <c r="E737" s="5">
        <v>5.99</v>
      </c>
      <c r="F737" s="4" t="s">
        <v>1355</v>
      </c>
      <c r="G737" s="2" t="s">
        <v>643</v>
      </c>
      <c r="H737" s="7" t="s">
        <v>42</v>
      </c>
      <c r="I737" s="2" t="s">
        <v>483</v>
      </c>
      <c r="J737" s="2" t="s">
        <v>536</v>
      </c>
      <c r="K737" s="2" t="s">
        <v>304</v>
      </c>
      <c r="L737" s="2" t="s">
        <v>38</v>
      </c>
      <c r="M737" s="8" t="str">
        <f>HYPERLINK("http://slimages.macys.com/is/image/MCY/13337390 ")</f>
        <v xml:space="preserve">http://slimages.macys.com/is/image/MCY/13337390 </v>
      </c>
    </row>
    <row r="738" spans="1:13" ht="96" x14ac:dyDescent="0.25">
      <c r="A738" s="7" t="s">
        <v>11770</v>
      </c>
      <c r="B738" s="2" t="s">
        <v>11771</v>
      </c>
      <c r="C738" s="4">
        <v>1</v>
      </c>
      <c r="D738" s="5">
        <v>2.34</v>
      </c>
      <c r="E738" s="5">
        <v>5.99</v>
      </c>
      <c r="F738" s="4" t="s">
        <v>11772</v>
      </c>
      <c r="G738" s="2" t="s">
        <v>28</v>
      </c>
      <c r="H738" s="7" t="s">
        <v>442</v>
      </c>
      <c r="I738" s="2" t="s">
        <v>483</v>
      </c>
      <c r="J738" s="2" t="s">
        <v>536</v>
      </c>
      <c r="K738" s="2" t="s">
        <v>304</v>
      </c>
      <c r="L738" s="2" t="s">
        <v>4455</v>
      </c>
      <c r="M738" s="8" t="str">
        <f>HYPERLINK("http://slimages.macys.com/is/image/MCY/12642881 ")</f>
        <v xml:space="preserve">http://slimages.macys.com/is/image/MCY/12642881 </v>
      </c>
    </row>
    <row r="739" spans="1:13" ht="60" x14ac:dyDescent="0.25">
      <c r="A739" s="7" t="s">
        <v>8012</v>
      </c>
      <c r="B739" s="2" t="s">
        <v>2335</v>
      </c>
      <c r="C739" s="4">
        <v>2</v>
      </c>
      <c r="D739" s="5">
        <v>2.34</v>
      </c>
      <c r="E739" s="5">
        <v>5.99</v>
      </c>
      <c r="F739" s="4" t="s">
        <v>2336</v>
      </c>
      <c r="G739" s="2" t="s">
        <v>41</v>
      </c>
      <c r="H739" s="7" t="s">
        <v>91</v>
      </c>
      <c r="I739" s="2" t="s">
        <v>483</v>
      </c>
      <c r="J739" s="2" t="s">
        <v>536</v>
      </c>
      <c r="K739" s="2" t="s">
        <v>304</v>
      </c>
      <c r="L739" s="2" t="s">
        <v>100</v>
      </c>
      <c r="M739" s="8" t="str">
        <f>HYPERLINK("http://slimages.macys.com/is/image/MCY/12466329 ")</f>
        <v xml:space="preserve">http://slimages.macys.com/is/image/MCY/12466329 </v>
      </c>
    </row>
    <row r="740" spans="1:13" ht="60" x14ac:dyDescent="0.25">
      <c r="A740" s="7" t="s">
        <v>11773</v>
      </c>
      <c r="B740" s="2" t="s">
        <v>9790</v>
      </c>
      <c r="C740" s="4">
        <v>1</v>
      </c>
      <c r="D740" s="5">
        <v>2.34</v>
      </c>
      <c r="E740" s="5">
        <v>6.99</v>
      </c>
      <c r="F740" s="4" t="s">
        <v>9791</v>
      </c>
      <c r="G740" s="2" t="s">
        <v>129</v>
      </c>
      <c r="H740" s="7" t="s">
        <v>442</v>
      </c>
      <c r="I740" s="2" t="s">
        <v>483</v>
      </c>
      <c r="J740" s="2" t="s">
        <v>536</v>
      </c>
      <c r="K740" s="2" t="s">
        <v>304</v>
      </c>
      <c r="L740" s="2" t="s">
        <v>38</v>
      </c>
      <c r="M740" s="8" t="str">
        <f>HYPERLINK("http://slimages.macys.com/is/image/MCY/13987591 ")</f>
        <v xml:space="preserve">http://slimages.macys.com/is/image/MCY/13987591 </v>
      </c>
    </row>
    <row r="741" spans="1:13" ht="60" x14ac:dyDescent="0.25">
      <c r="A741" s="7" t="s">
        <v>1358</v>
      </c>
      <c r="B741" s="2" t="s">
        <v>1359</v>
      </c>
      <c r="C741" s="4">
        <v>3</v>
      </c>
      <c r="D741" s="5">
        <v>2.33</v>
      </c>
      <c r="E741" s="5">
        <v>7.99</v>
      </c>
      <c r="F741" s="4">
        <v>10004191800</v>
      </c>
      <c r="G741" s="2" t="s">
        <v>1360</v>
      </c>
      <c r="H741" s="7" t="s">
        <v>531</v>
      </c>
      <c r="I741" s="2" t="s">
        <v>483</v>
      </c>
      <c r="J741" s="2" t="s">
        <v>536</v>
      </c>
      <c r="K741" s="2" t="s">
        <v>304</v>
      </c>
      <c r="L741" s="2" t="s">
        <v>38</v>
      </c>
      <c r="M741" s="8" t="str">
        <f>HYPERLINK("http://slimages.macys.com/is/image/MCY/11520378 ")</f>
        <v xml:space="preserve">http://slimages.macys.com/is/image/MCY/11520378 </v>
      </c>
    </row>
    <row r="742" spans="1:13" ht="60" x14ac:dyDescent="0.25">
      <c r="A742" s="7" t="s">
        <v>11774</v>
      </c>
      <c r="B742" s="2" t="s">
        <v>6607</v>
      </c>
      <c r="C742" s="4">
        <v>1</v>
      </c>
      <c r="D742" s="5">
        <v>2.33</v>
      </c>
      <c r="E742" s="5">
        <v>6.99</v>
      </c>
      <c r="F742" s="4" t="s">
        <v>6608</v>
      </c>
      <c r="G742" s="2" t="s">
        <v>2107</v>
      </c>
      <c r="H742" s="7" t="s">
        <v>482</v>
      </c>
      <c r="I742" s="2" t="s">
        <v>483</v>
      </c>
      <c r="J742" s="2" t="s">
        <v>536</v>
      </c>
      <c r="K742" s="2"/>
      <c r="L742" s="2" t="s">
        <v>100</v>
      </c>
      <c r="M742" s="8" t="str">
        <f>HYPERLINK("http://slimages.macys.com/is/image/MCY/12466261 ")</f>
        <v xml:space="preserve">http://slimages.macys.com/is/image/MCY/12466261 </v>
      </c>
    </row>
    <row r="743" spans="1:13" ht="60" x14ac:dyDescent="0.25">
      <c r="A743" s="7" t="s">
        <v>2342</v>
      </c>
      <c r="B743" s="2" t="s">
        <v>2343</v>
      </c>
      <c r="C743" s="4">
        <v>1</v>
      </c>
      <c r="D743" s="5">
        <v>2.33</v>
      </c>
      <c r="E743" s="5">
        <v>7.99</v>
      </c>
      <c r="F743" s="4">
        <v>10005049200</v>
      </c>
      <c r="G743" s="2" t="s">
        <v>527</v>
      </c>
      <c r="H743" s="7" t="s">
        <v>531</v>
      </c>
      <c r="I743" s="2" t="s">
        <v>483</v>
      </c>
      <c r="J743" s="2" t="s">
        <v>536</v>
      </c>
      <c r="K743" s="2" t="s">
        <v>304</v>
      </c>
      <c r="L743" s="2" t="s">
        <v>75</v>
      </c>
      <c r="M743" s="8" t="str">
        <f>HYPERLINK("http://slimages.macys.com/is/image/MCY/11520401 ")</f>
        <v xml:space="preserve">http://slimages.macys.com/is/image/MCY/11520401 </v>
      </c>
    </row>
    <row r="744" spans="1:13" ht="60" x14ac:dyDescent="0.25">
      <c r="A744" s="7" t="s">
        <v>5765</v>
      </c>
      <c r="B744" s="2" t="s">
        <v>2353</v>
      </c>
      <c r="C744" s="4">
        <v>1</v>
      </c>
      <c r="D744" s="5">
        <v>2.31</v>
      </c>
      <c r="E744" s="5">
        <v>7.99</v>
      </c>
      <c r="F744" s="4" t="s">
        <v>2354</v>
      </c>
      <c r="G744" s="2" t="s">
        <v>657</v>
      </c>
      <c r="H744" s="7" t="s">
        <v>514</v>
      </c>
      <c r="I744" s="2" t="s">
        <v>483</v>
      </c>
      <c r="J744" s="2" t="s">
        <v>536</v>
      </c>
      <c r="K744" s="2" t="s">
        <v>304</v>
      </c>
      <c r="L744" s="2" t="s">
        <v>119</v>
      </c>
      <c r="M744" s="8" t="str">
        <f>HYPERLINK("http://slimages.macys.com/is/image/MCY/13987628 ")</f>
        <v xml:space="preserve">http://slimages.macys.com/is/image/MCY/13987628 </v>
      </c>
    </row>
    <row r="745" spans="1:13" ht="60" x14ac:dyDescent="0.25">
      <c r="A745" s="7" t="s">
        <v>4578</v>
      </c>
      <c r="B745" s="2" t="s">
        <v>4579</v>
      </c>
      <c r="C745" s="4">
        <v>1</v>
      </c>
      <c r="D745" s="5">
        <v>2.31</v>
      </c>
      <c r="E745" s="5">
        <v>7.99</v>
      </c>
      <c r="F745" s="4">
        <v>10004192100</v>
      </c>
      <c r="G745" s="2" t="s">
        <v>297</v>
      </c>
      <c r="H745" s="7" t="s">
        <v>531</v>
      </c>
      <c r="I745" s="2" t="s">
        <v>483</v>
      </c>
      <c r="J745" s="2" t="s">
        <v>536</v>
      </c>
      <c r="K745" s="2" t="s">
        <v>304</v>
      </c>
      <c r="L745" s="2" t="s">
        <v>75</v>
      </c>
      <c r="M745" s="8" t="str">
        <f>HYPERLINK("http://slimages.macys.com/is/image/MCY/11519987 ")</f>
        <v xml:space="preserve">http://slimages.macys.com/is/image/MCY/11519987 </v>
      </c>
    </row>
    <row r="746" spans="1:13" ht="60" x14ac:dyDescent="0.25">
      <c r="A746" s="7" t="s">
        <v>2347</v>
      </c>
      <c r="B746" s="2" t="s">
        <v>2348</v>
      </c>
      <c r="C746" s="4">
        <v>5</v>
      </c>
      <c r="D746" s="5">
        <v>2.31</v>
      </c>
      <c r="E746" s="5">
        <v>7.99</v>
      </c>
      <c r="F746" s="4">
        <v>10005380100</v>
      </c>
      <c r="G746" s="2" t="s">
        <v>1360</v>
      </c>
      <c r="H746" s="7" t="s">
        <v>531</v>
      </c>
      <c r="I746" s="2" t="s">
        <v>483</v>
      </c>
      <c r="J746" s="2" t="s">
        <v>536</v>
      </c>
      <c r="K746" s="2" t="s">
        <v>304</v>
      </c>
      <c r="L746" s="2" t="s">
        <v>87</v>
      </c>
      <c r="M746" s="8" t="str">
        <f>HYPERLINK("http://slimages.macys.com/is/image/MCY/12466174 ")</f>
        <v xml:space="preserve">http://slimages.macys.com/is/image/MCY/12466174 </v>
      </c>
    </row>
    <row r="747" spans="1:13" ht="60" x14ac:dyDescent="0.25">
      <c r="A747" s="7" t="s">
        <v>4581</v>
      </c>
      <c r="B747" s="2" t="s">
        <v>2350</v>
      </c>
      <c r="C747" s="4">
        <v>2</v>
      </c>
      <c r="D747" s="5">
        <v>2.31</v>
      </c>
      <c r="E747" s="5">
        <v>7.99</v>
      </c>
      <c r="F747" s="4" t="s">
        <v>2351</v>
      </c>
      <c r="G747" s="2" t="s">
        <v>657</v>
      </c>
      <c r="H747" s="7" t="s">
        <v>578</v>
      </c>
      <c r="I747" s="2" t="s">
        <v>483</v>
      </c>
      <c r="J747" s="2" t="s">
        <v>536</v>
      </c>
      <c r="K747" s="2" t="s">
        <v>304</v>
      </c>
      <c r="L747" s="2" t="s">
        <v>38</v>
      </c>
      <c r="M747" s="8" t="str">
        <f>HYPERLINK("http://slimages.macys.com/is/image/MCY/13987607 ")</f>
        <v xml:space="preserve">http://slimages.macys.com/is/image/MCY/13987607 </v>
      </c>
    </row>
    <row r="748" spans="1:13" ht="60" x14ac:dyDescent="0.25">
      <c r="A748" s="7" t="s">
        <v>2352</v>
      </c>
      <c r="B748" s="2" t="s">
        <v>2353</v>
      </c>
      <c r="C748" s="4">
        <v>1</v>
      </c>
      <c r="D748" s="5">
        <v>2.31</v>
      </c>
      <c r="E748" s="5">
        <v>7.99</v>
      </c>
      <c r="F748" s="4" t="s">
        <v>2354</v>
      </c>
      <c r="G748" s="2" t="s">
        <v>657</v>
      </c>
      <c r="H748" s="7" t="s">
        <v>1151</v>
      </c>
      <c r="I748" s="2" t="s">
        <v>483</v>
      </c>
      <c r="J748" s="2" t="s">
        <v>536</v>
      </c>
      <c r="K748" s="2" t="s">
        <v>304</v>
      </c>
      <c r="L748" s="2" t="s">
        <v>119</v>
      </c>
      <c r="M748" s="8" t="str">
        <f>HYPERLINK("http://slimages.macys.com/is/image/MCY/13987628 ")</f>
        <v xml:space="preserve">http://slimages.macys.com/is/image/MCY/13987628 </v>
      </c>
    </row>
    <row r="749" spans="1:13" ht="60" x14ac:dyDescent="0.25">
      <c r="A749" s="7" t="s">
        <v>2349</v>
      </c>
      <c r="B749" s="2" t="s">
        <v>2350</v>
      </c>
      <c r="C749" s="4">
        <v>1</v>
      </c>
      <c r="D749" s="5">
        <v>2.31</v>
      </c>
      <c r="E749" s="5">
        <v>7.99</v>
      </c>
      <c r="F749" s="4" t="s">
        <v>2351</v>
      </c>
      <c r="G749" s="2" t="s">
        <v>657</v>
      </c>
      <c r="H749" s="7" t="s">
        <v>1151</v>
      </c>
      <c r="I749" s="2" t="s">
        <v>483</v>
      </c>
      <c r="J749" s="2" t="s">
        <v>536</v>
      </c>
      <c r="K749" s="2" t="s">
        <v>304</v>
      </c>
      <c r="L749" s="2" t="s">
        <v>38</v>
      </c>
      <c r="M749" s="8" t="str">
        <f>HYPERLINK("http://slimages.macys.com/is/image/MCY/13987607 ")</f>
        <v xml:space="preserve">http://slimages.macys.com/is/image/MCY/13987607 </v>
      </c>
    </row>
    <row r="750" spans="1:13" ht="108" x14ac:dyDescent="0.25">
      <c r="A750" s="7" t="s">
        <v>5086</v>
      </c>
      <c r="B750" s="2" t="s">
        <v>5087</v>
      </c>
      <c r="C750" s="4">
        <v>1</v>
      </c>
      <c r="D750" s="5">
        <v>2.2999999999999998</v>
      </c>
      <c r="E750" s="5">
        <v>6.99</v>
      </c>
      <c r="F750" s="4">
        <v>10004350400</v>
      </c>
      <c r="G750" s="2" t="s">
        <v>134</v>
      </c>
      <c r="H750" s="7" t="s">
        <v>531</v>
      </c>
      <c r="I750" s="2" t="s">
        <v>483</v>
      </c>
      <c r="J750" s="2" t="s">
        <v>536</v>
      </c>
      <c r="K750" s="2" t="s">
        <v>304</v>
      </c>
      <c r="L750" s="2" t="s">
        <v>5088</v>
      </c>
      <c r="M750" s="8" t="str">
        <f>HYPERLINK("http://slimages.macys.com/is/image/MCY/11437055 ")</f>
        <v xml:space="preserve">http://slimages.macys.com/is/image/MCY/11437055 </v>
      </c>
    </row>
    <row r="751" spans="1:13" ht="60" x14ac:dyDescent="0.25">
      <c r="A751" s="7" t="s">
        <v>10726</v>
      </c>
      <c r="B751" s="2" t="s">
        <v>10727</v>
      </c>
      <c r="C751" s="4">
        <v>1</v>
      </c>
      <c r="D751" s="5">
        <v>2.2999999999999998</v>
      </c>
      <c r="E751" s="5">
        <v>5.35</v>
      </c>
      <c r="F751" s="4">
        <v>16605811</v>
      </c>
      <c r="G751" s="2" t="s">
        <v>48</v>
      </c>
      <c r="H751" s="7" t="s">
        <v>531</v>
      </c>
      <c r="I751" s="2" t="s">
        <v>153</v>
      </c>
      <c r="J751" s="2" t="s">
        <v>154</v>
      </c>
      <c r="K751" s="2" t="s">
        <v>304</v>
      </c>
      <c r="L751" s="2" t="s">
        <v>206</v>
      </c>
      <c r="M751" s="8" t="str">
        <f>HYPERLINK("http://slimages.macys.com/is/image/MCY/12740783 ")</f>
        <v xml:space="preserve">http://slimages.macys.com/is/image/MCY/12740783 </v>
      </c>
    </row>
    <row r="752" spans="1:13" ht="60" x14ac:dyDescent="0.25">
      <c r="A752" s="7" t="s">
        <v>4585</v>
      </c>
      <c r="B752" s="2" t="s">
        <v>2359</v>
      </c>
      <c r="C752" s="4">
        <v>2</v>
      </c>
      <c r="D752" s="5">
        <v>2.29</v>
      </c>
      <c r="E752" s="5">
        <v>5.99</v>
      </c>
      <c r="F752" s="4" t="s">
        <v>2360</v>
      </c>
      <c r="G752" s="2" t="s">
        <v>28</v>
      </c>
      <c r="H752" s="7" t="s">
        <v>590</v>
      </c>
      <c r="I752" s="2" t="s">
        <v>483</v>
      </c>
      <c r="J752" s="2" t="s">
        <v>536</v>
      </c>
      <c r="K752" s="2" t="s">
        <v>304</v>
      </c>
      <c r="L752" s="2" t="s">
        <v>119</v>
      </c>
      <c r="M752" s="8" t="str">
        <f>HYPERLINK("http://slimages.macys.com/is/image/MCY/12644507 ")</f>
        <v xml:space="preserve">http://slimages.macys.com/is/image/MCY/12644507 </v>
      </c>
    </row>
    <row r="753" spans="1:13" ht="60" x14ac:dyDescent="0.25">
      <c r="A753" s="7" t="s">
        <v>6624</v>
      </c>
      <c r="B753" s="2" t="s">
        <v>1365</v>
      </c>
      <c r="C753" s="4">
        <v>1</v>
      </c>
      <c r="D753" s="5">
        <v>2.29</v>
      </c>
      <c r="E753" s="5">
        <v>5.99</v>
      </c>
      <c r="F753" s="4" t="s">
        <v>1366</v>
      </c>
      <c r="G753" s="2" t="s">
        <v>62</v>
      </c>
      <c r="H753" s="7" t="s">
        <v>442</v>
      </c>
      <c r="I753" s="2" t="s">
        <v>483</v>
      </c>
      <c r="J753" s="2" t="s">
        <v>536</v>
      </c>
      <c r="K753" s="2" t="s">
        <v>304</v>
      </c>
      <c r="L753" s="2" t="s">
        <v>206</v>
      </c>
      <c r="M753" s="8" t="str">
        <f>HYPERLINK("http://slimages.macys.com/is/image/MCY/12463166 ")</f>
        <v xml:space="preserve">http://slimages.macys.com/is/image/MCY/12463166 </v>
      </c>
    </row>
    <row r="754" spans="1:13" ht="60" x14ac:dyDescent="0.25">
      <c r="A754" s="7" t="s">
        <v>2361</v>
      </c>
      <c r="B754" s="2" t="s">
        <v>1365</v>
      </c>
      <c r="C754" s="4">
        <v>1</v>
      </c>
      <c r="D754" s="5">
        <v>2.29</v>
      </c>
      <c r="E754" s="5">
        <v>5.99</v>
      </c>
      <c r="F754" s="4" t="s">
        <v>1366</v>
      </c>
      <c r="G754" s="2" t="s">
        <v>62</v>
      </c>
      <c r="H754" s="7" t="s">
        <v>149</v>
      </c>
      <c r="I754" s="2" t="s">
        <v>483</v>
      </c>
      <c r="J754" s="2" t="s">
        <v>536</v>
      </c>
      <c r="K754" s="2" t="s">
        <v>304</v>
      </c>
      <c r="L754" s="2" t="s">
        <v>206</v>
      </c>
      <c r="M754" s="8" t="str">
        <f>HYPERLINK("http://slimages.macys.com/is/image/MCY/12463166 ")</f>
        <v xml:space="preserve">http://slimages.macys.com/is/image/MCY/12463166 </v>
      </c>
    </row>
    <row r="755" spans="1:13" ht="60" x14ac:dyDescent="0.25">
      <c r="A755" s="7" t="s">
        <v>6625</v>
      </c>
      <c r="B755" s="2" t="s">
        <v>2359</v>
      </c>
      <c r="C755" s="4">
        <v>1</v>
      </c>
      <c r="D755" s="5">
        <v>2.29</v>
      </c>
      <c r="E755" s="5">
        <v>5.99</v>
      </c>
      <c r="F755" s="4" t="s">
        <v>2360</v>
      </c>
      <c r="G755" s="2" t="s">
        <v>28</v>
      </c>
      <c r="H755" s="7" t="s">
        <v>149</v>
      </c>
      <c r="I755" s="2" t="s">
        <v>483</v>
      </c>
      <c r="J755" s="2" t="s">
        <v>536</v>
      </c>
      <c r="K755" s="2" t="s">
        <v>304</v>
      </c>
      <c r="L755" s="2" t="s">
        <v>119</v>
      </c>
      <c r="M755" s="8" t="str">
        <f>HYPERLINK("http://slimages.macys.com/is/image/MCY/12644507 ")</f>
        <v xml:space="preserve">http://slimages.macys.com/is/image/MCY/12644507 </v>
      </c>
    </row>
    <row r="756" spans="1:13" ht="60" x14ac:dyDescent="0.25">
      <c r="A756" s="7" t="s">
        <v>1364</v>
      </c>
      <c r="B756" s="2" t="s">
        <v>1365</v>
      </c>
      <c r="C756" s="4">
        <v>2</v>
      </c>
      <c r="D756" s="5">
        <v>2.29</v>
      </c>
      <c r="E756" s="5">
        <v>5.99</v>
      </c>
      <c r="F756" s="4" t="s">
        <v>1366</v>
      </c>
      <c r="G756" s="2" t="s">
        <v>62</v>
      </c>
      <c r="H756" s="7" t="s">
        <v>590</v>
      </c>
      <c r="I756" s="2" t="s">
        <v>483</v>
      </c>
      <c r="J756" s="2" t="s">
        <v>536</v>
      </c>
      <c r="K756" s="2" t="s">
        <v>304</v>
      </c>
      <c r="L756" s="2" t="s">
        <v>206</v>
      </c>
      <c r="M756" s="8" t="str">
        <f>HYPERLINK("http://slimages.macys.com/is/image/MCY/12463166 ")</f>
        <v xml:space="preserve">http://slimages.macys.com/is/image/MCY/12463166 </v>
      </c>
    </row>
    <row r="757" spans="1:13" ht="60" x14ac:dyDescent="0.25">
      <c r="A757" s="7" t="s">
        <v>8027</v>
      </c>
      <c r="B757" s="2" t="s">
        <v>1365</v>
      </c>
      <c r="C757" s="4">
        <v>1</v>
      </c>
      <c r="D757" s="5">
        <v>2.29</v>
      </c>
      <c r="E757" s="5">
        <v>5.99</v>
      </c>
      <c r="F757" s="4" t="s">
        <v>1366</v>
      </c>
      <c r="G757" s="2" t="s">
        <v>62</v>
      </c>
      <c r="H757" s="7" t="s">
        <v>42</v>
      </c>
      <c r="I757" s="2" t="s">
        <v>483</v>
      </c>
      <c r="J757" s="2" t="s">
        <v>536</v>
      </c>
      <c r="K757" s="2" t="s">
        <v>304</v>
      </c>
      <c r="L757" s="2" t="s">
        <v>206</v>
      </c>
      <c r="M757" s="8" t="str">
        <f>HYPERLINK("http://slimages.macys.com/is/image/MCY/12463166 ")</f>
        <v xml:space="preserve">http://slimages.macys.com/is/image/MCY/12463166 </v>
      </c>
    </row>
    <row r="758" spans="1:13" ht="60" x14ac:dyDescent="0.25">
      <c r="A758" s="7" t="s">
        <v>5769</v>
      </c>
      <c r="B758" s="2" t="s">
        <v>1365</v>
      </c>
      <c r="C758" s="4">
        <v>2</v>
      </c>
      <c r="D758" s="5">
        <v>2.29</v>
      </c>
      <c r="E758" s="5">
        <v>5.99</v>
      </c>
      <c r="F758" s="4" t="s">
        <v>1366</v>
      </c>
      <c r="G758" s="2" t="s">
        <v>62</v>
      </c>
      <c r="H758" s="7" t="s">
        <v>91</v>
      </c>
      <c r="I758" s="2" t="s">
        <v>483</v>
      </c>
      <c r="J758" s="2" t="s">
        <v>536</v>
      </c>
      <c r="K758" s="2" t="s">
        <v>304</v>
      </c>
      <c r="L758" s="2" t="s">
        <v>206</v>
      </c>
      <c r="M758" s="8" t="str">
        <f>HYPERLINK("http://slimages.macys.com/is/image/MCY/12463166 ")</f>
        <v xml:space="preserve">http://slimages.macys.com/is/image/MCY/12463166 </v>
      </c>
    </row>
    <row r="759" spans="1:13" ht="60" x14ac:dyDescent="0.25">
      <c r="A759" s="7" t="s">
        <v>1367</v>
      </c>
      <c r="B759" s="2" t="s">
        <v>1368</v>
      </c>
      <c r="C759" s="4">
        <v>2</v>
      </c>
      <c r="D759" s="5">
        <v>2.2799999999999998</v>
      </c>
      <c r="E759" s="5">
        <v>5.99</v>
      </c>
      <c r="F759" s="4" t="s">
        <v>1369</v>
      </c>
      <c r="G759" s="2" t="s">
        <v>41</v>
      </c>
      <c r="H759" s="7" t="s">
        <v>442</v>
      </c>
      <c r="I759" s="2" t="s">
        <v>483</v>
      </c>
      <c r="J759" s="2" t="s">
        <v>536</v>
      </c>
      <c r="K759" s="2" t="s">
        <v>304</v>
      </c>
      <c r="L759" s="2" t="s">
        <v>38</v>
      </c>
      <c r="M759" s="8" t="str">
        <f>HYPERLINK("http://slimages.macys.com/is/image/MCY/13987603 ")</f>
        <v xml:space="preserve">http://slimages.macys.com/is/image/MCY/13987603 </v>
      </c>
    </row>
    <row r="760" spans="1:13" ht="60" x14ac:dyDescent="0.25">
      <c r="A760" s="7" t="s">
        <v>2368</v>
      </c>
      <c r="B760" s="2" t="s">
        <v>1368</v>
      </c>
      <c r="C760" s="4">
        <v>2</v>
      </c>
      <c r="D760" s="5">
        <v>2.2799999999999998</v>
      </c>
      <c r="E760" s="5">
        <v>5.99</v>
      </c>
      <c r="F760" s="4" t="s">
        <v>1369</v>
      </c>
      <c r="G760" s="2" t="s">
        <v>41</v>
      </c>
      <c r="H760" s="7" t="s">
        <v>590</v>
      </c>
      <c r="I760" s="2" t="s">
        <v>483</v>
      </c>
      <c r="J760" s="2" t="s">
        <v>536</v>
      </c>
      <c r="K760" s="2" t="s">
        <v>304</v>
      </c>
      <c r="L760" s="2" t="s">
        <v>38</v>
      </c>
      <c r="M760" s="8" t="str">
        <f>HYPERLINK("http://slimages.macys.com/is/image/MCY/13987603 ")</f>
        <v xml:space="preserve">http://slimages.macys.com/is/image/MCY/13987603 </v>
      </c>
    </row>
    <row r="761" spans="1:13" ht="60" x14ac:dyDescent="0.25">
      <c r="A761" s="7" t="s">
        <v>2367</v>
      </c>
      <c r="B761" s="2" t="s">
        <v>1368</v>
      </c>
      <c r="C761" s="4">
        <v>4</v>
      </c>
      <c r="D761" s="5">
        <v>2.2799999999999998</v>
      </c>
      <c r="E761" s="5">
        <v>5.99</v>
      </c>
      <c r="F761" s="4" t="s">
        <v>1369</v>
      </c>
      <c r="G761" s="2" t="s">
        <v>41</v>
      </c>
      <c r="H761" s="7" t="s">
        <v>91</v>
      </c>
      <c r="I761" s="2" t="s">
        <v>483</v>
      </c>
      <c r="J761" s="2" t="s">
        <v>536</v>
      </c>
      <c r="K761" s="2" t="s">
        <v>304</v>
      </c>
      <c r="L761" s="2" t="s">
        <v>38</v>
      </c>
      <c r="M761" s="8" t="str">
        <f>HYPERLINK("http://slimages.macys.com/is/image/MCY/13987603 ")</f>
        <v xml:space="preserve">http://slimages.macys.com/is/image/MCY/13987603 </v>
      </c>
    </row>
    <row r="762" spans="1:13" ht="60" x14ac:dyDescent="0.25">
      <c r="A762" s="7" t="s">
        <v>1370</v>
      </c>
      <c r="B762" s="2" t="s">
        <v>1368</v>
      </c>
      <c r="C762" s="4">
        <v>1</v>
      </c>
      <c r="D762" s="5">
        <v>2.2799999999999998</v>
      </c>
      <c r="E762" s="5">
        <v>5.99</v>
      </c>
      <c r="F762" s="4" t="s">
        <v>1369</v>
      </c>
      <c r="G762" s="2" t="s">
        <v>41</v>
      </c>
      <c r="H762" s="7" t="s">
        <v>42</v>
      </c>
      <c r="I762" s="2" t="s">
        <v>483</v>
      </c>
      <c r="J762" s="2" t="s">
        <v>536</v>
      </c>
      <c r="K762" s="2" t="s">
        <v>304</v>
      </c>
      <c r="L762" s="2" t="s">
        <v>38</v>
      </c>
      <c r="M762" s="8" t="str">
        <f>HYPERLINK("http://slimages.macys.com/is/image/MCY/13987603 ")</f>
        <v xml:space="preserve">http://slimages.macys.com/is/image/MCY/13987603 </v>
      </c>
    </row>
    <row r="763" spans="1:13" ht="60" x14ac:dyDescent="0.25">
      <c r="A763" s="7" t="s">
        <v>8028</v>
      </c>
      <c r="B763" s="2" t="s">
        <v>1368</v>
      </c>
      <c r="C763" s="4">
        <v>1</v>
      </c>
      <c r="D763" s="5">
        <v>2.2799999999999998</v>
      </c>
      <c r="E763" s="5">
        <v>5.99</v>
      </c>
      <c r="F763" s="4" t="s">
        <v>1369</v>
      </c>
      <c r="G763" s="2" t="s">
        <v>41</v>
      </c>
      <c r="H763" s="7" t="s">
        <v>149</v>
      </c>
      <c r="I763" s="2" t="s">
        <v>483</v>
      </c>
      <c r="J763" s="2" t="s">
        <v>536</v>
      </c>
      <c r="K763" s="2" t="s">
        <v>304</v>
      </c>
      <c r="L763" s="2" t="s">
        <v>38</v>
      </c>
      <c r="M763" s="8" t="str">
        <f>HYPERLINK("http://slimages.macys.com/is/image/MCY/13987603 ")</f>
        <v xml:space="preserve">http://slimages.macys.com/is/image/MCY/13987603 </v>
      </c>
    </row>
    <row r="764" spans="1:13" ht="60" x14ac:dyDescent="0.25">
      <c r="A764" s="7" t="s">
        <v>11775</v>
      </c>
      <c r="B764" s="2" t="s">
        <v>5718</v>
      </c>
      <c r="C764" s="4">
        <v>3</v>
      </c>
      <c r="D764" s="5">
        <v>2.27</v>
      </c>
      <c r="E764" s="5">
        <v>5.99</v>
      </c>
      <c r="F764" s="4" t="s">
        <v>7248</v>
      </c>
      <c r="G764" s="2" t="s">
        <v>41</v>
      </c>
      <c r="H764" s="7" t="s">
        <v>442</v>
      </c>
      <c r="I764" s="2" t="s">
        <v>483</v>
      </c>
      <c r="J764" s="2" t="s">
        <v>536</v>
      </c>
      <c r="K764" s="2" t="s">
        <v>304</v>
      </c>
      <c r="L764" s="2" t="s">
        <v>87</v>
      </c>
      <c r="M764" s="8" t="str">
        <f>HYPERLINK("http://slimages.macys.com/is/image/MCY/12466263 ")</f>
        <v xml:space="preserve">http://slimages.macys.com/is/image/MCY/12466263 </v>
      </c>
    </row>
    <row r="765" spans="1:13" ht="60" x14ac:dyDescent="0.25">
      <c r="A765" s="7" t="s">
        <v>11776</v>
      </c>
      <c r="B765" s="2" t="s">
        <v>6631</v>
      </c>
      <c r="C765" s="4">
        <v>2</v>
      </c>
      <c r="D765" s="5">
        <v>2.27</v>
      </c>
      <c r="E765" s="5">
        <v>5.99</v>
      </c>
      <c r="F765" s="4" t="s">
        <v>6632</v>
      </c>
      <c r="G765" s="2" t="s">
        <v>353</v>
      </c>
      <c r="H765" s="7" t="s">
        <v>590</v>
      </c>
      <c r="I765" s="2" t="s">
        <v>483</v>
      </c>
      <c r="J765" s="2" t="s">
        <v>536</v>
      </c>
      <c r="K765" s="2" t="s">
        <v>304</v>
      </c>
      <c r="L765" s="2" t="s">
        <v>38</v>
      </c>
      <c r="M765" s="8" t="str">
        <f>HYPERLINK("http://slimages.macys.com/is/image/MCY/12466331 ")</f>
        <v xml:space="preserve">http://slimages.macys.com/is/image/MCY/12466331 </v>
      </c>
    </row>
    <row r="766" spans="1:13" ht="60" x14ac:dyDescent="0.25">
      <c r="A766" s="7" t="s">
        <v>11777</v>
      </c>
      <c r="B766" s="2" t="s">
        <v>5718</v>
      </c>
      <c r="C766" s="4">
        <v>1</v>
      </c>
      <c r="D766" s="5">
        <v>2.27</v>
      </c>
      <c r="E766" s="5">
        <v>5.99</v>
      </c>
      <c r="F766" s="4" t="s">
        <v>7248</v>
      </c>
      <c r="G766" s="2" t="s">
        <v>41</v>
      </c>
      <c r="H766" s="7" t="s">
        <v>590</v>
      </c>
      <c r="I766" s="2" t="s">
        <v>483</v>
      </c>
      <c r="J766" s="2" t="s">
        <v>536</v>
      </c>
      <c r="K766" s="2" t="s">
        <v>304</v>
      </c>
      <c r="L766" s="2" t="s">
        <v>87</v>
      </c>
      <c r="M766" s="8" t="str">
        <f>HYPERLINK("http://slimages.macys.com/is/image/MCY/12466263 ")</f>
        <v xml:space="preserve">http://slimages.macys.com/is/image/MCY/12466263 </v>
      </c>
    </row>
    <row r="767" spans="1:13" ht="60" x14ac:dyDescent="0.25">
      <c r="A767" s="7" t="s">
        <v>1374</v>
      </c>
      <c r="B767" s="2" t="s">
        <v>1372</v>
      </c>
      <c r="C767" s="4">
        <v>2</v>
      </c>
      <c r="D767" s="5">
        <v>2.27</v>
      </c>
      <c r="E767" s="5">
        <v>5.99</v>
      </c>
      <c r="F767" s="4" t="s">
        <v>1373</v>
      </c>
      <c r="G767" s="2" t="s">
        <v>134</v>
      </c>
      <c r="H767" s="7" t="s">
        <v>590</v>
      </c>
      <c r="I767" s="2" t="s">
        <v>483</v>
      </c>
      <c r="J767" s="2" t="s">
        <v>536</v>
      </c>
      <c r="K767" s="2" t="s">
        <v>304</v>
      </c>
      <c r="L767" s="2" t="s">
        <v>119</v>
      </c>
      <c r="M767" s="8" t="str">
        <f>HYPERLINK("http://slimages.macys.com/is/image/MCY/12642166 ")</f>
        <v xml:space="preserve">http://slimages.macys.com/is/image/MCY/12642166 </v>
      </c>
    </row>
    <row r="768" spans="1:13" ht="60" x14ac:dyDescent="0.25">
      <c r="A768" s="7" t="s">
        <v>1377</v>
      </c>
      <c r="B768" s="2" t="s">
        <v>1372</v>
      </c>
      <c r="C768" s="4">
        <v>1</v>
      </c>
      <c r="D768" s="5">
        <v>2.27</v>
      </c>
      <c r="E768" s="5">
        <v>5.99</v>
      </c>
      <c r="F768" s="4" t="s">
        <v>1373</v>
      </c>
      <c r="G768" s="2" t="s">
        <v>134</v>
      </c>
      <c r="H768" s="7" t="s">
        <v>91</v>
      </c>
      <c r="I768" s="2" t="s">
        <v>483</v>
      </c>
      <c r="J768" s="2" t="s">
        <v>536</v>
      </c>
      <c r="K768" s="2" t="s">
        <v>304</v>
      </c>
      <c r="L768" s="2" t="s">
        <v>119</v>
      </c>
      <c r="M768" s="8" t="str">
        <f>HYPERLINK("http://slimages.macys.com/is/image/MCY/12642166 ")</f>
        <v xml:space="preserve">http://slimages.macys.com/is/image/MCY/12642166 </v>
      </c>
    </row>
    <row r="769" spans="1:13" ht="60" x14ac:dyDescent="0.25">
      <c r="A769" s="7" t="s">
        <v>10319</v>
      </c>
      <c r="B769" s="2" t="s">
        <v>4594</v>
      </c>
      <c r="C769" s="4">
        <v>1</v>
      </c>
      <c r="D769" s="5">
        <v>2.27</v>
      </c>
      <c r="E769" s="5">
        <v>5.99</v>
      </c>
      <c r="F769" s="4" t="s">
        <v>4595</v>
      </c>
      <c r="G769" s="2" t="s">
        <v>41</v>
      </c>
      <c r="H769" s="7" t="s">
        <v>590</v>
      </c>
      <c r="I769" s="2" t="s">
        <v>483</v>
      </c>
      <c r="J769" s="2" t="s">
        <v>536</v>
      </c>
      <c r="K769" s="2" t="s">
        <v>304</v>
      </c>
      <c r="L769" s="2" t="s">
        <v>87</v>
      </c>
      <c r="M769" s="8" t="str">
        <f>HYPERLINK("http://slimages.macys.com/is/image/MCY/12466281 ")</f>
        <v xml:space="preserve">http://slimages.macys.com/is/image/MCY/12466281 </v>
      </c>
    </row>
    <row r="770" spans="1:13" ht="60" x14ac:dyDescent="0.25">
      <c r="A770" s="7" t="s">
        <v>4596</v>
      </c>
      <c r="B770" s="2" t="s">
        <v>4594</v>
      </c>
      <c r="C770" s="4">
        <v>2</v>
      </c>
      <c r="D770" s="5">
        <v>2.27</v>
      </c>
      <c r="E770" s="5">
        <v>5.99</v>
      </c>
      <c r="F770" s="4" t="s">
        <v>4595</v>
      </c>
      <c r="G770" s="2" t="s">
        <v>41</v>
      </c>
      <c r="H770" s="7" t="s">
        <v>149</v>
      </c>
      <c r="I770" s="2" t="s">
        <v>483</v>
      </c>
      <c r="J770" s="2" t="s">
        <v>536</v>
      </c>
      <c r="K770" s="2" t="s">
        <v>304</v>
      </c>
      <c r="L770" s="2" t="s">
        <v>87</v>
      </c>
      <c r="M770" s="8" t="str">
        <f>HYPERLINK("http://slimages.macys.com/is/image/MCY/12466281 ")</f>
        <v xml:space="preserve">http://slimages.macys.com/is/image/MCY/12466281 </v>
      </c>
    </row>
    <row r="771" spans="1:13" ht="60" x14ac:dyDescent="0.25">
      <c r="A771" s="7" t="s">
        <v>7246</v>
      </c>
      <c r="B771" s="2" t="s">
        <v>4594</v>
      </c>
      <c r="C771" s="4">
        <v>1</v>
      </c>
      <c r="D771" s="5">
        <v>2.27</v>
      </c>
      <c r="E771" s="5">
        <v>5.99</v>
      </c>
      <c r="F771" s="4" t="s">
        <v>4595</v>
      </c>
      <c r="G771" s="2" t="s">
        <v>41</v>
      </c>
      <c r="H771" s="7" t="s">
        <v>91</v>
      </c>
      <c r="I771" s="2" t="s">
        <v>483</v>
      </c>
      <c r="J771" s="2" t="s">
        <v>536</v>
      </c>
      <c r="K771" s="2" t="s">
        <v>304</v>
      </c>
      <c r="L771" s="2" t="s">
        <v>87</v>
      </c>
      <c r="M771" s="8" t="str">
        <f>HYPERLINK("http://slimages.macys.com/is/image/MCY/12466281 ")</f>
        <v xml:space="preserve">http://slimages.macys.com/is/image/MCY/12466281 </v>
      </c>
    </row>
    <row r="772" spans="1:13" ht="60" x14ac:dyDescent="0.25">
      <c r="A772" s="7" t="s">
        <v>7247</v>
      </c>
      <c r="B772" s="2" t="s">
        <v>5718</v>
      </c>
      <c r="C772" s="4">
        <v>1</v>
      </c>
      <c r="D772" s="5">
        <v>2.27</v>
      </c>
      <c r="E772" s="5">
        <v>5.99</v>
      </c>
      <c r="F772" s="4" t="s">
        <v>7248</v>
      </c>
      <c r="G772" s="2" t="s">
        <v>41</v>
      </c>
      <c r="H772" s="7" t="s">
        <v>91</v>
      </c>
      <c r="I772" s="2" t="s">
        <v>483</v>
      </c>
      <c r="J772" s="2" t="s">
        <v>536</v>
      </c>
      <c r="K772" s="2" t="s">
        <v>304</v>
      </c>
      <c r="L772" s="2" t="s">
        <v>87</v>
      </c>
      <c r="M772" s="8" t="str">
        <f>HYPERLINK("http://slimages.macys.com/is/image/MCY/12466263 ")</f>
        <v xml:space="preserve">http://slimages.macys.com/is/image/MCY/12466263 </v>
      </c>
    </row>
    <row r="773" spans="1:13" ht="60" x14ac:dyDescent="0.25">
      <c r="A773" s="7" t="s">
        <v>11778</v>
      </c>
      <c r="B773" s="2" t="s">
        <v>7254</v>
      </c>
      <c r="C773" s="4">
        <v>1</v>
      </c>
      <c r="D773" s="5">
        <v>2.25</v>
      </c>
      <c r="E773" s="5">
        <v>4.99</v>
      </c>
      <c r="F773" s="4" t="s">
        <v>1384</v>
      </c>
      <c r="G773" s="2" t="s">
        <v>41</v>
      </c>
      <c r="H773" s="7" t="s">
        <v>159</v>
      </c>
      <c r="I773" s="2" t="s">
        <v>523</v>
      </c>
      <c r="J773" s="2" t="s">
        <v>921</v>
      </c>
      <c r="K773" s="2" t="s">
        <v>304</v>
      </c>
      <c r="L773" s="2" t="s">
        <v>358</v>
      </c>
      <c r="M773" s="8" t="str">
        <f>HYPERLINK("http://slimages.macys.com/is/image/MCY/9356496 ")</f>
        <v xml:space="preserve">http://slimages.macys.com/is/image/MCY/9356496 </v>
      </c>
    </row>
    <row r="774" spans="1:13" ht="60" x14ac:dyDescent="0.25">
      <c r="A774" s="7" t="s">
        <v>1382</v>
      </c>
      <c r="B774" s="2" t="s">
        <v>1383</v>
      </c>
      <c r="C774" s="4">
        <v>1</v>
      </c>
      <c r="D774" s="5">
        <v>2.25</v>
      </c>
      <c r="E774" s="5">
        <v>4.99</v>
      </c>
      <c r="F774" s="4" t="s">
        <v>1384</v>
      </c>
      <c r="G774" s="2" t="s">
        <v>28</v>
      </c>
      <c r="H774" s="7" t="s">
        <v>228</v>
      </c>
      <c r="I774" s="2" t="s">
        <v>523</v>
      </c>
      <c r="J774" s="2" t="s">
        <v>921</v>
      </c>
      <c r="K774" s="2" t="s">
        <v>304</v>
      </c>
      <c r="L774" s="2" t="s">
        <v>358</v>
      </c>
      <c r="M774" s="8" t="str">
        <f>HYPERLINK("http://slimages.macys.com/is/image/MCY/9356496 ")</f>
        <v xml:space="preserve">http://slimages.macys.com/is/image/MCY/9356496 </v>
      </c>
    </row>
    <row r="775" spans="1:13" ht="60" x14ac:dyDescent="0.25">
      <c r="A775" s="7" t="s">
        <v>1381</v>
      </c>
      <c r="B775" s="2" t="s">
        <v>1379</v>
      </c>
      <c r="C775" s="4">
        <v>2</v>
      </c>
      <c r="D775" s="5">
        <v>2.25</v>
      </c>
      <c r="E775" s="5">
        <v>5.99</v>
      </c>
      <c r="F775" s="4" t="s">
        <v>1380</v>
      </c>
      <c r="G775" s="2" t="s">
        <v>41</v>
      </c>
      <c r="H775" s="7" t="s">
        <v>42</v>
      </c>
      <c r="I775" s="2" t="s">
        <v>483</v>
      </c>
      <c r="J775" s="2" t="s">
        <v>536</v>
      </c>
      <c r="K775" s="2" t="s">
        <v>304</v>
      </c>
      <c r="L775" s="2" t="s">
        <v>206</v>
      </c>
      <c r="M775" s="8" t="str">
        <f>HYPERLINK("http://slimages.macys.com/is/image/MCY/13386152 ")</f>
        <v xml:space="preserve">http://slimages.macys.com/is/image/MCY/13386152 </v>
      </c>
    </row>
    <row r="776" spans="1:13" ht="60" x14ac:dyDescent="0.25">
      <c r="A776" s="7" t="s">
        <v>8032</v>
      </c>
      <c r="B776" s="2" t="s">
        <v>1379</v>
      </c>
      <c r="C776" s="4">
        <v>1</v>
      </c>
      <c r="D776" s="5">
        <v>2.25</v>
      </c>
      <c r="E776" s="5">
        <v>5.99</v>
      </c>
      <c r="F776" s="4" t="s">
        <v>1380</v>
      </c>
      <c r="G776" s="2" t="s">
        <v>41</v>
      </c>
      <c r="H776" s="7" t="s">
        <v>590</v>
      </c>
      <c r="I776" s="2" t="s">
        <v>483</v>
      </c>
      <c r="J776" s="2" t="s">
        <v>536</v>
      </c>
      <c r="K776" s="2" t="s">
        <v>304</v>
      </c>
      <c r="L776" s="2" t="s">
        <v>206</v>
      </c>
      <c r="M776" s="8" t="str">
        <f>HYPERLINK("http://slimages.macys.com/is/image/MCY/13386152 ")</f>
        <v xml:space="preserve">http://slimages.macys.com/is/image/MCY/13386152 </v>
      </c>
    </row>
    <row r="777" spans="1:13" ht="60" x14ac:dyDescent="0.25">
      <c r="A777" s="7" t="s">
        <v>7258</v>
      </c>
      <c r="B777" s="2" t="s">
        <v>7259</v>
      </c>
      <c r="C777" s="4">
        <v>1</v>
      </c>
      <c r="D777" s="5">
        <v>2.2400000000000002</v>
      </c>
      <c r="E777" s="5">
        <v>5.99</v>
      </c>
      <c r="F777" s="4" t="s">
        <v>7260</v>
      </c>
      <c r="G777" s="2" t="s">
        <v>353</v>
      </c>
      <c r="H777" s="7" t="s">
        <v>442</v>
      </c>
      <c r="I777" s="2" t="s">
        <v>483</v>
      </c>
      <c r="J777" s="2" t="s">
        <v>536</v>
      </c>
      <c r="K777" s="2" t="s">
        <v>304</v>
      </c>
      <c r="L777" s="2" t="s">
        <v>206</v>
      </c>
      <c r="M777" s="8" t="str">
        <f>HYPERLINK("http://slimages.macys.com/is/image/MCY/12644528 ")</f>
        <v xml:space="preserve">http://slimages.macys.com/is/image/MCY/12644528 </v>
      </c>
    </row>
    <row r="778" spans="1:13" ht="60" x14ac:dyDescent="0.25">
      <c r="A778" s="7" t="s">
        <v>8044</v>
      </c>
      <c r="B778" s="2" t="s">
        <v>6080</v>
      </c>
      <c r="C778" s="4">
        <v>1</v>
      </c>
      <c r="D778" s="5">
        <v>2.2200000000000002</v>
      </c>
      <c r="E778" s="5">
        <v>5.99</v>
      </c>
      <c r="F778" s="4" t="s">
        <v>6081</v>
      </c>
      <c r="G778" s="2" t="s">
        <v>28</v>
      </c>
      <c r="H778" s="7" t="s">
        <v>149</v>
      </c>
      <c r="I778" s="2" t="s">
        <v>483</v>
      </c>
      <c r="J778" s="2" t="s">
        <v>536</v>
      </c>
      <c r="K778" s="2" t="s">
        <v>304</v>
      </c>
      <c r="L778" s="2" t="s">
        <v>206</v>
      </c>
      <c r="M778" s="8" t="str">
        <f>HYPERLINK("http://slimages.macys.com/is/image/MCY/12644529 ")</f>
        <v xml:space="preserve">http://slimages.macys.com/is/image/MCY/12644529 </v>
      </c>
    </row>
    <row r="779" spans="1:13" ht="60" x14ac:dyDescent="0.25">
      <c r="A779" s="7" t="s">
        <v>7272</v>
      </c>
      <c r="B779" s="2" t="s">
        <v>5100</v>
      </c>
      <c r="C779" s="4">
        <v>1</v>
      </c>
      <c r="D779" s="5">
        <v>2.2200000000000002</v>
      </c>
      <c r="E779" s="5">
        <v>5.99</v>
      </c>
      <c r="F779" s="4" t="s">
        <v>5101</v>
      </c>
      <c r="G779" s="2" t="s">
        <v>657</v>
      </c>
      <c r="H779" s="7" t="s">
        <v>442</v>
      </c>
      <c r="I779" s="2" t="s">
        <v>483</v>
      </c>
      <c r="J779" s="2" t="s">
        <v>536</v>
      </c>
      <c r="K779" s="2" t="s">
        <v>304</v>
      </c>
      <c r="L779" s="2" t="s">
        <v>119</v>
      </c>
      <c r="M779" s="8" t="str">
        <f>HYPERLINK("http://slimages.macys.com/is/image/MCY/13987611 ")</f>
        <v xml:space="preserve">http://slimages.macys.com/is/image/MCY/13987611 </v>
      </c>
    </row>
    <row r="780" spans="1:13" ht="60" x14ac:dyDescent="0.25">
      <c r="A780" s="7" t="s">
        <v>7273</v>
      </c>
      <c r="B780" s="2" t="s">
        <v>5100</v>
      </c>
      <c r="C780" s="4">
        <v>1</v>
      </c>
      <c r="D780" s="5">
        <v>2.2200000000000002</v>
      </c>
      <c r="E780" s="5">
        <v>5.99</v>
      </c>
      <c r="F780" s="4" t="s">
        <v>5101</v>
      </c>
      <c r="G780" s="2" t="s">
        <v>657</v>
      </c>
      <c r="H780" s="7" t="s">
        <v>149</v>
      </c>
      <c r="I780" s="2" t="s">
        <v>483</v>
      </c>
      <c r="J780" s="2" t="s">
        <v>536</v>
      </c>
      <c r="K780" s="2" t="s">
        <v>304</v>
      </c>
      <c r="L780" s="2" t="s">
        <v>119</v>
      </c>
      <c r="M780" s="8" t="str">
        <f>HYPERLINK("http://slimages.macys.com/is/image/MCY/13987611 ")</f>
        <v xml:space="preserve">http://slimages.macys.com/is/image/MCY/13987611 </v>
      </c>
    </row>
    <row r="781" spans="1:13" ht="60" x14ac:dyDescent="0.25">
      <c r="A781" s="7" t="s">
        <v>9253</v>
      </c>
      <c r="B781" s="2" t="s">
        <v>2380</v>
      </c>
      <c r="C781" s="4">
        <v>3</v>
      </c>
      <c r="D781" s="5">
        <v>2.2200000000000002</v>
      </c>
      <c r="E781" s="5">
        <v>5.99</v>
      </c>
      <c r="F781" s="4" t="s">
        <v>2381</v>
      </c>
      <c r="G781" s="2" t="s">
        <v>28</v>
      </c>
      <c r="H781" s="7" t="s">
        <v>91</v>
      </c>
      <c r="I781" s="2" t="s">
        <v>483</v>
      </c>
      <c r="J781" s="2" t="s">
        <v>536</v>
      </c>
      <c r="K781" s="2" t="s">
        <v>304</v>
      </c>
      <c r="L781" s="2" t="s">
        <v>119</v>
      </c>
      <c r="M781" s="8" t="str">
        <f>HYPERLINK("http://slimages.macys.com/is/image/MCY/12462743 ")</f>
        <v xml:space="preserve">http://slimages.macys.com/is/image/MCY/12462743 </v>
      </c>
    </row>
    <row r="782" spans="1:13" ht="60" x14ac:dyDescent="0.25">
      <c r="A782" s="7" t="s">
        <v>11779</v>
      </c>
      <c r="B782" s="2" t="s">
        <v>2385</v>
      </c>
      <c r="C782" s="4">
        <v>1</v>
      </c>
      <c r="D782" s="5">
        <v>2.2200000000000002</v>
      </c>
      <c r="E782" s="5">
        <v>5.99</v>
      </c>
      <c r="F782" s="4" t="s">
        <v>2386</v>
      </c>
      <c r="G782" s="2" t="s">
        <v>129</v>
      </c>
      <c r="H782" s="7" t="s">
        <v>42</v>
      </c>
      <c r="I782" s="2" t="s">
        <v>483</v>
      </c>
      <c r="J782" s="2" t="s">
        <v>536</v>
      </c>
      <c r="K782" s="2" t="s">
        <v>304</v>
      </c>
      <c r="L782" s="2" t="s">
        <v>206</v>
      </c>
      <c r="M782" s="8" t="str">
        <f>HYPERLINK("http://slimages.macys.com/is/image/MCY/12644557 ")</f>
        <v xml:space="preserve">http://slimages.macys.com/is/image/MCY/12644557 </v>
      </c>
    </row>
    <row r="783" spans="1:13" ht="60" x14ac:dyDescent="0.25">
      <c r="A783" s="7" t="s">
        <v>7274</v>
      </c>
      <c r="B783" s="2" t="s">
        <v>634</v>
      </c>
      <c r="C783" s="4">
        <v>1</v>
      </c>
      <c r="D783" s="5">
        <v>2.2200000000000002</v>
      </c>
      <c r="E783" s="5">
        <v>5.99</v>
      </c>
      <c r="F783" s="4" t="s">
        <v>635</v>
      </c>
      <c r="G783" s="2" t="s">
        <v>28</v>
      </c>
      <c r="H783" s="7" t="s">
        <v>91</v>
      </c>
      <c r="I783" s="2" t="s">
        <v>483</v>
      </c>
      <c r="J783" s="2" t="s">
        <v>536</v>
      </c>
      <c r="K783" s="2" t="s">
        <v>304</v>
      </c>
      <c r="L783" s="2" t="s">
        <v>100</v>
      </c>
      <c r="M783" s="8" t="str">
        <f>HYPERLINK("http://slimages.macys.com/is/image/MCY/11856941 ")</f>
        <v xml:space="preserve">http://slimages.macys.com/is/image/MCY/11856941 </v>
      </c>
    </row>
    <row r="784" spans="1:13" ht="60" x14ac:dyDescent="0.25">
      <c r="A784" s="7" t="s">
        <v>9793</v>
      </c>
      <c r="B784" s="2" t="s">
        <v>9794</v>
      </c>
      <c r="C784" s="4">
        <v>1</v>
      </c>
      <c r="D784" s="5">
        <v>2.2200000000000002</v>
      </c>
      <c r="E784" s="5">
        <v>5.99</v>
      </c>
      <c r="F784" s="4" t="s">
        <v>9795</v>
      </c>
      <c r="G784" s="2" t="s">
        <v>262</v>
      </c>
      <c r="H784" s="7" t="s">
        <v>149</v>
      </c>
      <c r="I784" s="2" t="s">
        <v>483</v>
      </c>
      <c r="J784" s="2" t="s">
        <v>536</v>
      </c>
      <c r="K784" s="2" t="s">
        <v>304</v>
      </c>
      <c r="L784" s="2" t="s">
        <v>100</v>
      </c>
      <c r="M784" s="8" t="str">
        <f>HYPERLINK("http://slimages.macys.com/is/image/MCY/11793352 ")</f>
        <v xml:space="preserve">http://slimages.macys.com/is/image/MCY/11793352 </v>
      </c>
    </row>
    <row r="785" spans="1:13" ht="60" x14ac:dyDescent="0.25">
      <c r="A785" s="7" t="s">
        <v>7271</v>
      </c>
      <c r="B785" s="2" t="s">
        <v>2380</v>
      </c>
      <c r="C785" s="4">
        <v>2</v>
      </c>
      <c r="D785" s="5">
        <v>2.2200000000000002</v>
      </c>
      <c r="E785" s="5">
        <v>5.99</v>
      </c>
      <c r="F785" s="4" t="s">
        <v>2381</v>
      </c>
      <c r="G785" s="2" t="s">
        <v>28</v>
      </c>
      <c r="H785" s="7" t="s">
        <v>590</v>
      </c>
      <c r="I785" s="2" t="s">
        <v>483</v>
      </c>
      <c r="J785" s="2" t="s">
        <v>536</v>
      </c>
      <c r="K785" s="2" t="s">
        <v>304</v>
      </c>
      <c r="L785" s="2" t="s">
        <v>119</v>
      </c>
      <c r="M785" s="8" t="str">
        <f>HYPERLINK("http://slimages.macys.com/is/image/MCY/12462743 ")</f>
        <v xml:space="preserve">http://slimages.macys.com/is/image/MCY/12462743 </v>
      </c>
    </row>
    <row r="786" spans="1:13" ht="60" x14ac:dyDescent="0.25">
      <c r="A786" s="7" t="s">
        <v>7270</v>
      </c>
      <c r="B786" s="2" t="s">
        <v>2380</v>
      </c>
      <c r="C786" s="4">
        <v>3</v>
      </c>
      <c r="D786" s="5">
        <v>2.2200000000000002</v>
      </c>
      <c r="E786" s="5">
        <v>5.99</v>
      </c>
      <c r="F786" s="4" t="s">
        <v>2381</v>
      </c>
      <c r="G786" s="2" t="s">
        <v>28</v>
      </c>
      <c r="H786" s="7" t="s">
        <v>442</v>
      </c>
      <c r="I786" s="2" t="s">
        <v>483</v>
      </c>
      <c r="J786" s="2" t="s">
        <v>536</v>
      </c>
      <c r="K786" s="2" t="s">
        <v>304</v>
      </c>
      <c r="L786" s="2" t="s">
        <v>119</v>
      </c>
      <c r="M786" s="8" t="str">
        <f>HYPERLINK("http://slimages.macys.com/is/image/MCY/12462743 ")</f>
        <v xml:space="preserve">http://slimages.macys.com/is/image/MCY/12462743 </v>
      </c>
    </row>
    <row r="787" spans="1:13" ht="72" x14ac:dyDescent="0.25">
      <c r="A787" s="7" t="s">
        <v>4610</v>
      </c>
      <c r="B787" s="2" t="s">
        <v>4607</v>
      </c>
      <c r="C787" s="4">
        <v>1</v>
      </c>
      <c r="D787" s="5">
        <v>2.21</v>
      </c>
      <c r="E787" s="5">
        <v>6.99</v>
      </c>
      <c r="F787" s="4" t="s">
        <v>4608</v>
      </c>
      <c r="G787" s="2" t="s">
        <v>41</v>
      </c>
      <c r="H787" s="7" t="s">
        <v>586</v>
      </c>
      <c r="I787" s="2" t="s">
        <v>483</v>
      </c>
      <c r="J787" s="2" t="s">
        <v>536</v>
      </c>
      <c r="K787" s="2" t="s">
        <v>304</v>
      </c>
      <c r="L787" s="2" t="s">
        <v>4609</v>
      </c>
      <c r="M787" s="8" t="str">
        <f>HYPERLINK("http://slimages.macys.com/is/image/MCY/13987511 ")</f>
        <v xml:space="preserve">http://slimages.macys.com/is/image/MCY/13987511 </v>
      </c>
    </row>
    <row r="788" spans="1:13" ht="84" x14ac:dyDescent="0.25">
      <c r="A788" s="7" t="s">
        <v>636</v>
      </c>
      <c r="B788" s="2" t="s">
        <v>637</v>
      </c>
      <c r="C788" s="4">
        <v>1</v>
      </c>
      <c r="D788" s="5">
        <v>2.21</v>
      </c>
      <c r="E788" s="5">
        <v>6.99</v>
      </c>
      <c r="F788" s="4" t="s">
        <v>638</v>
      </c>
      <c r="G788" s="2" t="s">
        <v>171</v>
      </c>
      <c r="H788" s="7" t="s">
        <v>604</v>
      </c>
      <c r="I788" s="2" t="s">
        <v>483</v>
      </c>
      <c r="J788" s="2" t="s">
        <v>536</v>
      </c>
      <c r="K788" s="2" t="s">
        <v>304</v>
      </c>
      <c r="L788" s="2" t="s">
        <v>639</v>
      </c>
      <c r="M788" s="8" t="str">
        <f>HYPERLINK("http://slimages.macys.com/is/image/MCY/13987507 ")</f>
        <v xml:space="preserve">http://slimages.macys.com/is/image/MCY/13987507 </v>
      </c>
    </row>
    <row r="789" spans="1:13" ht="60" x14ac:dyDescent="0.25">
      <c r="A789" s="7" t="s">
        <v>1387</v>
      </c>
      <c r="B789" s="2" t="s">
        <v>1388</v>
      </c>
      <c r="C789" s="4">
        <v>2</v>
      </c>
      <c r="D789" s="5">
        <v>2.21</v>
      </c>
      <c r="E789" s="5">
        <v>5.99</v>
      </c>
      <c r="F789" s="4" t="s">
        <v>1389</v>
      </c>
      <c r="G789" s="2" t="s">
        <v>129</v>
      </c>
      <c r="H789" s="7" t="s">
        <v>91</v>
      </c>
      <c r="I789" s="2" t="s">
        <v>483</v>
      </c>
      <c r="J789" s="2" t="s">
        <v>536</v>
      </c>
      <c r="K789" s="2" t="s">
        <v>304</v>
      </c>
      <c r="L789" s="2" t="s">
        <v>38</v>
      </c>
      <c r="M789" s="8" t="str">
        <f>HYPERLINK("http://slimages.macys.com/is/image/MCY/13987618 ")</f>
        <v xml:space="preserve">http://slimages.macys.com/is/image/MCY/13987618 </v>
      </c>
    </row>
    <row r="790" spans="1:13" ht="60" x14ac:dyDescent="0.25">
      <c r="A790" s="7" t="s">
        <v>9256</v>
      </c>
      <c r="B790" s="2" t="s">
        <v>1391</v>
      </c>
      <c r="C790" s="4">
        <v>2</v>
      </c>
      <c r="D790" s="5">
        <v>2.21</v>
      </c>
      <c r="E790" s="5">
        <v>5.99</v>
      </c>
      <c r="F790" s="4" t="s">
        <v>1392</v>
      </c>
      <c r="G790" s="2" t="s">
        <v>41</v>
      </c>
      <c r="H790" s="7" t="s">
        <v>442</v>
      </c>
      <c r="I790" s="2" t="s">
        <v>483</v>
      </c>
      <c r="J790" s="2" t="s">
        <v>536</v>
      </c>
      <c r="K790" s="2" t="s">
        <v>304</v>
      </c>
      <c r="L790" s="2" t="s">
        <v>100</v>
      </c>
      <c r="M790" s="8" t="str">
        <f>HYPERLINK("http://slimages.macys.com/is/image/MCY/12466361 ")</f>
        <v xml:space="preserve">http://slimages.macys.com/is/image/MCY/12466361 </v>
      </c>
    </row>
    <row r="791" spans="1:13" ht="60" x14ac:dyDescent="0.25">
      <c r="A791" s="7" t="s">
        <v>7278</v>
      </c>
      <c r="B791" s="2" t="s">
        <v>641</v>
      </c>
      <c r="C791" s="4">
        <v>1</v>
      </c>
      <c r="D791" s="5">
        <v>2.21</v>
      </c>
      <c r="E791" s="5">
        <v>5.99</v>
      </c>
      <c r="F791" s="4" t="s">
        <v>642</v>
      </c>
      <c r="G791" s="2" t="s">
        <v>643</v>
      </c>
      <c r="H791" s="7" t="s">
        <v>91</v>
      </c>
      <c r="I791" s="2" t="s">
        <v>483</v>
      </c>
      <c r="J791" s="2" t="s">
        <v>536</v>
      </c>
      <c r="K791" s="2" t="s">
        <v>304</v>
      </c>
      <c r="L791" s="2" t="s">
        <v>38</v>
      </c>
      <c r="M791" s="8" t="str">
        <f>HYPERLINK("http://slimages.macys.com/is/image/MCY/13987601 ")</f>
        <v xml:space="preserve">http://slimages.macys.com/is/image/MCY/13987601 </v>
      </c>
    </row>
    <row r="792" spans="1:13" ht="60" x14ac:dyDescent="0.25">
      <c r="A792" s="7" t="s">
        <v>7276</v>
      </c>
      <c r="B792" s="2" t="s">
        <v>1388</v>
      </c>
      <c r="C792" s="4">
        <v>1</v>
      </c>
      <c r="D792" s="5">
        <v>2.21</v>
      </c>
      <c r="E792" s="5">
        <v>5.99</v>
      </c>
      <c r="F792" s="4" t="s">
        <v>1389</v>
      </c>
      <c r="G792" s="2" t="s">
        <v>129</v>
      </c>
      <c r="H792" s="7" t="s">
        <v>442</v>
      </c>
      <c r="I792" s="2" t="s">
        <v>483</v>
      </c>
      <c r="J792" s="2" t="s">
        <v>536</v>
      </c>
      <c r="K792" s="2" t="s">
        <v>304</v>
      </c>
      <c r="L792" s="2" t="s">
        <v>38</v>
      </c>
      <c r="M792" s="8" t="str">
        <f>HYPERLINK("http://slimages.macys.com/is/image/MCY/13987618 ")</f>
        <v xml:space="preserve">http://slimages.macys.com/is/image/MCY/13987618 </v>
      </c>
    </row>
    <row r="793" spans="1:13" ht="60" x14ac:dyDescent="0.25">
      <c r="A793" s="7" t="s">
        <v>9257</v>
      </c>
      <c r="B793" s="2" t="s">
        <v>1388</v>
      </c>
      <c r="C793" s="4">
        <v>1</v>
      </c>
      <c r="D793" s="5">
        <v>2.21</v>
      </c>
      <c r="E793" s="5">
        <v>5.99</v>
      </c>
      <c r="F793" s="4" t="s">
        <v>1389</v>
      </c>
      <c r="G793" s="2" t="s">
        <v>129</v>
      </c>
      <c r="H793" s="7" t="s">
        <v>590</v>
      </c>
      <c r="I793" s="2" t="s">
        <v>483</v>
      </c>
      <c r="J793" s="2" t="s">
        <v>536</v>
      </c>
      <c r="K793" s="2" t="s">
        <v>304</v>
      </c>
      <c r="L793" s="2" t="s">
        <v>38</v>
      </c>
      <c r="M793" s="8" t="str">
        <f>HYPERLINK("http://slimages.macys.com/is/image/MCY/13987618 ")</f>
        <v xml:space="preserve">http://slimages.macys.com/is/image/MCY/13987618 </v>
      </c>
    </row>
    <row r="794" spans="1:13" ht="60" x14ac:dyDescent="0.25">
      <c r="A794" s="7" t="s">
        <v>9798</v>
      </c>
      <c r="B794" s="2" t="s">
        <v>641</v>
      </c>
      <c r="C794" s="4">
        <v>1</v>
      </c>
      <c r="D794" s="5">
        <v>2.21</v>
      </c>
      <c r="E794" s="5">
        <v>5.99</v>
      </c>
      <c r="F794" s="4" t="s">
        <v>642</v>
      </c>
      <c r="G794" s="2" t="s">
        <v>643</v>
      </c>
      <c r="H794" s="7" t="s">
        <v>149</v>
      </c>
      <c r="I794" s="2" t="s">
        <v>483</v>
      </c>
      <c r="J794" s="2" t="s">
        <v>536</v>
      </c>
      <c r="K794" s="2" t="s">
        <v>304</v>
      </c>
      <c r="L794" s="2" t="s">
        <v>38</v>
      </c>
      <c r="M794" s="8" t="str">
        <f>HYPERLINK("http://slimages.macys.com/is/image/MCY/13987601 ")</f>
        <v xml:space="preserve">http://slimages.macys.com/is/image/MCY/13987601 </v>
      </c>
    </row>
    <row r="795" spans="1:13" ht="72" x14ac:dyDescent="0.25">
      <c r="A795" s="7" t="s">
        <v>4606</v>
      </c>
      <c r="B795" s="2" t="s">
        <v>4607</v>
      </c>
      <c r="C795" s="4">
        <v>2</v>
      </c>
      <c r="D795" s="5">
        <v>2.21</v>
      </c>
      <c r="E795" s="5">
        <v>6.99</v>
      </c>
      <c r="F795" s="4" t="s">
        <v>4608</v>
      </c>
      <c r="G795" s="2" t="s">
        <v>41</v>
      </c>
      <c r="H795" s="7" t="s">
        <v>604</v>
      </c>
      <c r="I795" s="2" t="s">
        <v>483</v>
      </c>
      <c r="J795" s="2" t="s">
        <v>536</v>
      </c>
      <c r="K795" s="2" t="s">
        <v>304</v>
      </c>
      <c r="L795" s="2" t="s">
        <v>4609</v>
      </c>
      <c r="M795" s="8" t="str">
        <f>HYPERLINK("http://slimages.macys.com/is/image/MCY/13987511 ")</f>
        <v xml:space="preserve">http://slimages.macys.com/is/image/MCY/13987511 </v>
      </c>
    </row>
    <row r="796" spans="1:13" ht="60" x14ac:dyDescent="0.25">
      <c r="A796" s="7" t="s">
        <v>11780</v>
      </c>
      <c r="B796" s="2" t="s">
        <v>9260</v>
      </c>
      <c r="C796" s="4">
        <v>1</v>
      </c>
      <c r="D796" s="5">
        <v>2.19</v>
      </c>
      <c r="E796" s="5">
        <v>5.99</v>
      </c>
      <c r="F796" s="4" t="s">
        <v>9261</v>
      </c>
      <c r="G796" s="2" t="s">
        <v>657</v>
      </c>
      <c r="H796" s="7" t="s">
        <v>590</v>
      </c>
      <c r="I796" s="2" t="s">
        <v>483</v>
      </c>
      <c r="J796" s="2" t="s">
        <v>536</v>
      </c>
      <c r="K796" s="2" t="s">
        <v>304</v>
      </c>
      <c r="L796" s="2" t="s">
        <v>206</v>
      </c>
      <c r="M796" s="8" t="str">
        <f>HYPERLINK("http://slimages.macys.com/is/image/MCY/12644514 ")</f>
        <v xml:space="preserve">http://slimages.macys.com/is/image/MCY/12644514 </v>
      </c>
    </row>
    <row r="797" spans="1:13" ht="60" x14ac:dyDescent="0.25">
      <c r="A797" s="7" t="s">
        <v>7279</v>
      </c>
      <c r="B797" s="2" t="s">
        <v>3556</v>
      </c>
      <c r="C797" s="4">
        <v>1</v>
      </c>
      <c r="D797" s="5">
        <v>2.19</v>
      </c>
      <c r="E797" s="5">
        <v>5.99</v>
      </c>
      <c r="F797" s="4" t="s">
        <v>3557</v>
      </c>
      <c r="G797" s="2" t="s">
        <v>41</v>
      </c>
      <c r="H797" s="7" t="s">
        <v>442</v>
      </c>
      <c r="I797" s="2" t="s">
        <v>483</v>
      </c>
      <c r="J797" s="2" t="s">
        <v>536</v>
      </c>
      <c r="K797" s="2" t="s">
        <v>304</v>
      </c>
      <c r="L797" s="2" t="s">
        <v>100</v>
      </c>
      <c r="M797" s="8" t="str">
        <f>HYPERLINK("http://slimages.macys.com/is/image/MCY/11855683 ")</f>
        <v xml:space="preserve">http://slimages.macys.com/is/image/MCY/11855683 </v>
      </c>
    </row>
    <row r="798" spans="1:13" ht="60" x14ac:dyDescent="0.25">
      <c r="A798" s="7" t="s">
        <v>8059</v>
      </c>
      <c r="B798" s="2" t="s">
        <v>2398</v>
      </c>
      <c r="C798" s="4">
        <v>1</v>
      </c>
      <c r="D798" s="5">
        <v>2.17</v>
      </c>
      <c r="E798" s="5">
        <v>5.99</v>
      </c>
      <c r="F798" s="4" t="s">
        <v>2399</v>
      </c>
      <c r="G798" s="2" t="s">
        <v>41</v>
      </c>
      <c r="H798" s="7" t="s">
        <v>442</v>
      </c>
      <c r="I798" s="2" t="s">
        <v>483</v>
      </c>
      <c r="J798" s="2" t="s">
        <v>536</v>
      </c>
      <c r="K798" s="2" t="s">
        <v>304</v>
      </c>
      <c r="L798" s="2" t="s">
        <v>87</v>
      </c>
      <c r="M798" s="8" t="str">
        <f>HYPERLINK("http://slimages.macys.com/is/image/MCY/12644613 ")</f>
        <v xml:space="preserve">http://slimages.macys.com/is/image/MCY/12644613 </v>
      </c>
    </row>
    <row r="799" spans="1:13" ht="60" x14ac:dyDescent="0.25">
      <c r="A799" s="7" t="s">
        <v>9263</v>
      </c>
      <c r="B799" s="2" t="s">
        <v>2398</v>
      </c>
      <c r="C799" s="4">
        <v>1</v>
      </c>
      <c r="D799" s="5">
        <v>2.17</v>
      </c>
      <c r="E799" s="5">
        <v>5.99</v>
      </c>
      <c r="F799" s="4" t="s">
        <v>2399</v>
      </c>
      <c r="G799" s="2" t="s">
        <v>41</v>
      </c>
      <c r="H799" s="7" t="s">
        <v>149</v>
      </c>
      <c r="I799" s="2" t="s">
        <v>483</v>
      </c>
      <c r="J799" s="2" t="s">
        <v>536</v>
      </c>
      <c r="K799" s="2" t="s">
        <v>304</v>
      </c>
      <c r="L799" s="2" t="s">
        <v>87</v>
      </c>
      <c r="M799" s="8" t="str">
        <f>HYPERLINK("http://slimages.macys.com/is/image/MCY/12644613 ")</f>
        <v xml:space="preserve">http://slimages.macys.com/is/image/MCY/12644613 </v>
      </c>
    </row>
    <row r="800" spans="1:13" ht="60" x14ac:dyDescent="0.25">
      <c r="A800" s="7" t="s">
        <v>11781</v>
      </c>
      <c r="B800" s="2" t="s">
        <v>7292</v>
      </c>
      <c r="C800" s="4">
        <v>1</v>
      </c>
      <c r="D800" s="5">
        <v>2.14</v>
      </c>
      <c r="E800" s="5">
        <v>5.99</v>
      </c>
      <c r="F800" s="4" t="s">
        <v>7293</v>
      </c>
      <c r="G800" s="2" t="s">
        <v>28</v>
      </c>
      <c r="H800" s="7" t="s">
        <v>149</v>
      </c>
      <c r="I800" s="2" t="s">
        <v>483</v>
      </c>
      <c r="J800" s="2" t="s">
        <v>536</v>
      </c>
      <c r="K800" s="2" t="s">
        <v>304</v>
      </c>
      <c r="L800" s="2" t="s">
        <v>87</v>
      </c>
      <c r="M800" s="8" t="str">
        <f>HYPERLINK("http://slimages.macys.com/is/image/MCY/11855913 ")</f>
        <v xml:space="preserve">http://slimages.macys.com/is/image/MCY/11855913 </v>
      </c>
    </row>
    <row r="801" spans="1:13" ht="60" x14ac:dyDescent="0.25">
      <c r="A801" s="7" t="s">
        <v>11782</v>
      </c>
      <c r="B801" s="2" t="s">
        <v>1396</v>
      </c>
      <c r="C801" s="4">
        <v>1</v>
      </c>
      <c r="D801" s="5">
        <v>2.1</v>
      </c>
      <c r="E801" s="5">
        <v>5.99</v>
      </c>
      <c r="F801" s="4" t="s">
        <v>1397</v>
      </c>
      <c r="G801" s="2" t="s">
        <v>41</v>
      </c>
      <c r="H801" s="7" t="s">
        <v>442</v>
      </c>
      <c r="I801" s="2" t="s">
        <v>483</v>
      </c>
      <c r="J801" s="2" t="s">
        <v>536</v>
      </c>
      <c r="K801" s="2" t="s">
        <v>304</v>
      </c>
      <c r="L801" s="2" t="s">
        <v>206</v>
      </c>
      <c r="M801" s="8" t="str">
        <f>HYPERLINK("http://slimages.macys.com/is/image/MCY/12466330 ")</f>
        <v xml:space="preserve">http://slimages.macys.com/is/image/MCY/12466330 </v>
      </c>
    </row>
    <row r="802" spans="1:13" ht="60" x14ac:dyDescent="0.25">
      <c r="A802" s="7" t="s">
        <v>6652</v>
      </c>
      <c r="B802" s="2" t="s">
        <v>1333</v>
      </c>
      <c r="C802" s="4">
        <v>2</v>
      </c>
      <c r="D802" s="5">
        <v>2.0299999999999998</v>
      </c>
      <c r="E802" s="5">
        <v>4.99</v>
      </c>
      <c r="F802" s="4" t="s">
        <v>1325</v>
      </c>
      <c r="G802" s="2" t="s">
        <v>28</v>
      </c>
      <c r="H802" s="7" t="s">
        <v>228</v>
      </c>
      <c r="I802" s="2" t="s">
        <v>523</v>
      </c>
      <c r="J802" s="2" t="s">
        <v>921</v>
      </c>
      <c r="K802" s="2" t="s">
        <v>304</v>
      </c>
      <c r="L802" s="2" t="s">
        <v>323</v>
      </c>
      <c r="M802" s="8" t="str">
        <f>HYPERLINK("http://slimages.macys.com/is/image/MCY/8345548 ")</f>
        <v xml:space="preserve">http://slimages.macys.com/is/image/MCY/8345548 </v>
      </c>
    </row>
    <row r="803" spans="1:13" ht="60" x14ac:dyDescent="0.25">
      <c r="A803" s="7" t="s">
        <v>6654</v>
      </c>
      <c r="B803" s="2" t="s">
        <v>1333</v>
      </c>
      <c r="C803" s="4">
        <v>6</v>
      </c>
      <c r="D803" s="5">
        <v>2.0299999999999998</v>
      </c>
      <c r="E803" s="5">
        <v>4.99</v>
      </c>
      <c r="F803" s="4" t="s">
        <v>1325</v>
      </c>
      <c r="G803" s="2" t="s">
        <v>28</v>
      </c>
      <c r="H803" s="7" t="s">
        <v>284</v>
      </c>
      <c r="I803" s="2" t="s">
        <v>523</v>
      </c>
      <c r="J803" s="2" t="s">
        <v>921</v>
      </c>
      <c r="K803" s="2" t="s">
        <v>304</v>
      </c>
      <c r="L803" s="2" t="s">
        <v>323</v>
      </c>
      <c r="M803" s="8" t="str">
        <f>HYPERLINK("http://slimages.macys.com/is/image/MCY/8345548 ")</f>
        <v xml:space="preserve">http://slimages.macys.com/is/image/MCY/8345548 </v>
      </c>
    </row>
    <row r="804" spans="1:13" ht="60" x14ac:dyDescent="0.25">
      <c r="A804" s="7" t="s">
        <v>6653</v>
      </c>
      <c r="B804" s="2" t="s">
        <v>1333</v>
      </c>
      <c r="C804" s="4">
        <v>3</v>
      </c>
      <c r="D804" s="5">
        <v>2.0299999999999998</v>
      </c>
      <c r="E804" s="5">
        <v>4.99</v>
      </c>
      <c r="F804" s="4" t="s">
        <v>1325</v>
      </c>
      <c r="G804" s="2" t="s">
        <v>28</v>
      </c>
      <c r="H804" s="7" t="s">
        <v>159</v>
      </c>
      <c r="I804" s="2" t="s">
        <v>523</v>
      </c>
      <c r="J804" s="2" t="s">
        <v>921</v>
      </c>
      <c r="K804" s="2" t="s">
        <v>304</v>
      </c>
      <c r="L804" s="2" t="s">
        <v>323</v>
      </c>
      <c r="M804" s="8" t="str">
        <f>HYPERLINK("http://slimages.macys.com/is/image/MCY/8345548 ")</f>
        <v xml:space="preserve">http://slimages.macys.com/is/image/MCY/8345548 </v>
      </c>
    </row>
    <row r="805" spans="1:13" ht="60" x14ac:dyDescent="0.25">
      <c r="A805" s="7" t="s">
        <v>2406</v>
      </c>
      <c r="B805" s="2" t="s">
        <v>2407</v>
      </c>
      <c r="C805" s="4">
        <v>1</v>
      </c>
      <c r="D805" s="5">
        <v>2.02</v>
      </c>
      <c r="E805" s="5">
        <v>5.99</v>
      </c>
      <c r="F805" s="4" t="s">
        <v>2408</v>
      </c>
      <c r="G805" s="2" t="s">
        <v>657</v>
      </c>
      <c r="H805" s="7" t="s">
        <v>149</v>
      </c>
      <c r="I805" s="2" t="s">
        <v>483</v>
      </c>
      <c r="J805" s="2" t="s">
        <v>536</v>
      </c>
      <c r="K805" s="2" t="s">
        <v>304</v>
      </c>
      <c r="L805" s="2" t="s">
        <v>206</v>
      </c>
      <c r="M805" s="8" t="str">
        <f>HYPERLINK("http://slimages.macys.com/is/image/MCY/12464674 ")</f>
        <v xml:space="preserve">http://slimages.macys.com/is/image/MCY/12464674 </v>
      </c>
    </row>
    <row r="806" spans="1:13" ht="60" x14ac:dyDescent="0.25">
      <c r="A806" s="7" t="s">
        <v>7295</v>
      </c>
      <c r="B806" s="2" t="s">
        <v>2407</v>
      </c>
      <c r="C806" s="4">
        <v>1</v>
      </c>
      <c r="D806" s="5">
        <v>2.02</v>
      </c>
      <c r="E806" s="5">
        <v>5.99</v>
      </c>
      <c r="F806" s="4" t="s">
        <v>2408</v>
      </c>
      <c r="G806" s="2" t="s">
        <v>657</v>
      </c>
      <c r="H806" s="7" t="s">
        <v>42</v>
      </c>
      <c r="I806" s="2" t="s">
        <v>483</v>
      </c>
      <c r="J806" s="2" t="s">
        <v>536</v>
      </c>
      <c r="K806" s="2" t="s">
        <v>304</v>
      </c>
      <c r="L806" s="2" t="s">
        <v>206</v>
      </c>
      <c r="M806" s="8" t="str">
        <f>HYPERLINK("http://slimages.macys.com/is/image/MCY/12464674 ")</f>
        <v xml:space="preserve">http://slimages.macys.com/is/image/MCY/12464674 </v>
      </c>
    </row>
    <row r="807" spans="1:13" ht="60" x14ac:dyDescent="0.25">
      <c r="A807" s="7" t="s">
        <v>1398</v>
      </c>
      <c r="B807" s="2" t="s">
        <v>1399</v>
      </c>
      <c r="C807" s="4">
        <v>1</v>
      </c>
      <c r="D807" s="5">
        <v>1.97</v>
      </c>
      <c r="E807" s="5">
        <v>5.99</v>
      </c>
      <c r="F807" s="4" t="s">
        <v>1400</v>
      </c>
      <c r="G807" s="2" t="s">
        <v>657</v>
      </c>
      <c r="H807" s="7" t="s">
        <v>590</v>
      </c>
      <c r="I807" s="2" t="s">
        <v>483</v>
      </c>
      <c r="J807" s="2" t="s">
        <v>536</v>
      </c>
      <c r="K807" s="2" t="s">
        <v>304</v>
      </c>
      <c r="L807" s="2" t="s">
        <v>119</v>
      </c>
      <c r="M807" s="8" t="str">
        <f>HYPERLINK("http://slimages.macys.com/is/image/MCY/13987628 ")</f>
        <v xml:space="preserve">http://slimages.macys.com/is/image/MCY/13987628 </v>
      </c>
    </row>
    <row r="808" spans="1:13" ht="60" x14ac:dyDescent="0.25">
      <c r="A808" s="7" t="s">
        <v>5797</v>
      </c>
      <c r="B808" s="2" t="s">
        <v>1399</v>
      </c>
      <c r="C808" s="4">
        <v>1</v>
      </c>
      <c r="D808" s="5">
        <v>1.97</v>
      </c>
      <c r="E808" s="5">
        <v>5.99</v>
      </c>
      <c r="F808" s="4" t="s">
        <v>1400</v>
      </c>
      <c r="G808" s="2" t="s">
        <v>657</v>
      </c>
      <c r="H808" s="7" t="s">
        <v>442</v>
      </c>
      <c r="I808" s="2" t="s">
        <v>483</v>
      </c>
      <c r="J808" s="2" t="s">
        <v>536</v>
      </c>
      <c r="K808" s="2" t="s">
        <v>304</v>
      </c>
      <c r="L808" s="2" t="s">
        <v>119</v>
      </c>
      <c r="M808" s="8" t="str">
        <f>HYPERLINK("http://slimages.macys.com/is/image/MCY/13987628 ")</f>
        <v xml:space="preserve">http://slimages.macys.com/is/image/MCY/13987628 </v>
      </c>
    </row>
    <row r="809" spans="1:13" ht="60" x14ac:dyDescent="0.25">
      <c r="A809" s="7" t="s">
        <v>6656</v>
      </c>
      <c r="B809" s="2" t="s">
        <v>1399</v>
      </c>
      <c r="C809" s="4">
        <v>3</v>
      </c>
      <c r="D809" s="5">
        <v>1.97</v>
      </c>
      <c r="E809" s="5">
        <v>5.99</v>
      </c>
      <c r="F809" s="4" t="s">
        <v>1400</v>
      </c>
      <c r="G809" s="2" t="s">
        <v>657</v>
      </c>
      <c r="H809" s="7" t="s">
        <v>149</v>
      </c>
      <c r="I809" s="2" t="s">
        <v>483</v>
      </c>
      <c r="J809" s="2" t="s">
        <v>536</v>
      </c>
      <c r="K809" s="2" t="s">
        <v>304</v>
      </c>
      <c r="L809" s="2" t="s">
        <v>119</v>
      </c>
      <c r="M809" s="8" t="str">
        <f>HYPERLINK("http://slimages.macys.com/is/image/MCY/13987628 ")</f>
        <v xml:space="preserve">http://slimages.macys.com/is/image/MCY/13987628 </v>
      </c>
    </row>
    <row r="810" spans="1:13" ht="60" x14ac:dyDescent="0.25">
      <c r="A810" s="7" t="s">
        <v>7299</v>
      </c>
      <c r="B810" s="2" t="s">
        <v>1399</v>
      </c>
      <c r="C810" s="4">
        <v>5</v>
      </c>
      <c r="D810" s="5">
        <v>1.97</v>
      </c>
      <c r="E810" s="5">
        <v>5.99</v>
      </c>
      <c r="F810" s="4" t="s">
        <v>1400</v>
      </c>
      <c r="G810" s="2" t="s">
        <v>657</v>
      </c>
      <c r="H810" s="7" t="s">
        <v>42</v>
      </c>
      <c r="I810" s="2" t="s">
        <v>483</v>
      </c>
      <c r="J810" s="2" t="s">
        <v>536</v>
      </c>
      <c r="K810" s="2" t="s">
        <v>304</v>
      </c>
      <c r="L810" s="2" t="s">
        <v>119</v>
      </c>
      <c r="M810" s="8" t="str">
        <f>HYPERLINK("http://slimages.macys.com/is/image/MCY/13987628 ")</f>
        <v xml:space="preserve">http://slimages.macys.com/is/image/MCY/13987628 </v>
      </c>
    </row>
    <row r="811" spans="1:13" ht="60" x14ac:dyDescent="0.25">
      <c r="A811" s="7" t="s">
        <v>7300</v>
      </c>
      <c r="B811" s="2" t="s">
        <v>1399</v>
      </c>
      <c r="C811" s="4">
        <v>6</v>
      </c>
      <c r="D811" s="5">
        <v>1.97</v>
      </c>
      <c r="E811" s="5">
        <v>5.99</v>
      </c>
      <c r="F811" s="4" t="s">
        <v>1400</v>
      </c>
      <c r="G811" s="2" t="s">
        <v>657</v>
      </c>
      <c r="H811" s="7" t="s">
        <v>91</v>
      </c>
      <c r="I811" s="2" t="s">
        <v>483</v>
      </c>
      <c r="J811" s="2" t="s">
        <v>536</v>
      </c>
      <c r="K811" s="2" t="s">
        <v>304</v>
      </c>
      <c r="L811" s="2" t="s">
        <v>119</v>
      </c>
      <c r="M811" s="8" t="str">
        <f>HYPERLINK("http://slimages.macys.com/is/image/MCY/13987628 ")</f>
        <v xml:space="preserve">http://slimages.macys.com/is/image/MCY/13987628 </v>
      </c>
    </row>
    <row r="812" spans="1:13" ht="60" x14ac:dyDescent="0.25">
      <c r="A812" s="7" t="s">
        <v>5111</v>
      </c>
      <c r="B812" s="2" t="s">
        <v>2410</v>
      </c>
      <c r="C812" s="4">
        <v>1</v>
      </c>
      <c r="D812" s="5">
        <v>1.97</v>
      </c>
      <c r="E812" s="5">
        <v>5.99</v>
      </c>
      <c r="F812" s="4" t="s">
        <v>2411</v>
      </c>
      <c r="G812" s="2" t="s">
        <v>41</v>
      </c>
      <c r="H812" s="7" t="s">
        <v>590</v>
      </c>
      <c r="I812" s="2" t="s">
        <v>483</v>
      </c>
      <c r="J812" s="2" t="s">
        <v>536</v>
      </c>
      <c r="K812" s="2" t="s">
        <v>304</v>
      </c>
      <c r="L812" s="2" t="s">
        <v>206</v>
      </c>
      <c r="M812" s="8" t="str">
        <f>HYPERLINK("http://slimages.macys.com/is/image/MCY/12644612 ")</f>
        <v xml:space="preserve">http://slimages.macys.com/is/image/MCY/12644612 </v>
      </c>
    </row>
    <row r="813" spans="1:13" ht="60" x14ac:dyDescent="0.25">
      <c r="A813" s="7" t="s">
        <v>9268</v>
      </c>
      <c r="B813" s="2" t="s">
        <v>7297</v>
      </c>
      <c r="C813" s="4">
        <v>1</v>
      </c>
      <c r="D813" s="5">
        <v>1.97</v>
      </c>
      <c r="E813" s="5">
        <v>5.99</v>
      </c>
      <c r="F813" s="4" t="s">
        <v>7298</v>
      </c>
      <c r="G813" s="2" t="s">
        <v>657</v>
      </c>
      <c r="H813" s="7" t="s">
        <v>91</v>
      </c>
      <c r="I813" s="2" t="s">
        <v>483</v>
      </c>
      <c r="J813" s="2" t="s">
        <v>536</v>
      </c>
      <c r="K813" s="2" t="s">
        <v>304</v>
      </c>
      <c r="L813" s="2" t="s">
        <v>119</v>
      </c>
      <c r="M813" s="8" t="str">
        <f>HYPERLINK("http://slimages.macys.com/is/image/MCY/12636887 ")</f>
        <v xml:space="preserve">http://slimages.macys.com/is/image/MCY/12636887 </v>
      </c>
    </row>
    <row r="814" spans="1:13" ht="60" x14ac:dyDescent="0.25">
      <c r="A814" s="7" t="s">
        <v>11783</v>
      </c>
      <c r="B814" s="2" t="s">
        <v>5802</v>
      </c>
      <c r="C814" s="4">
        <v>1</v>
      </c>
      <c r="D814" s="5">
        <v>1.95</v>
      </c>
      <c r="E814" s="5">
        <v>5.99</v>
      </c>
      <c r="F814" s="4" t="s">
        <v>5803</v>
      </c>
      <c r="G814" s="2" t="s">
        <v>657</v>
      </c>
      <c r="H814" s="7" t="s">
        <v>42</v>
      </c>
      <c r="I814" s="2" t="s">
        <v>483</v>
      </c>
      <c r="J814" s="2" t="s">
        <v>536</v>
      </c>
      <c r="K814" s="2" t="s">
        <v>304</v>
      </c>
      <c r="L814" s="2" t="s">
        <v>119</v>
      </c>
      <c r="M814" s="8" t="str">
        <f>HYPERLINK("http://slimages.macys.com/is/image/MCY/11856984 ")</f>
        <v xml:space="preserve">http://slimages.macys.com/is/image/MCY/11856984 </v>
      </c>
    </row>
    <row r="815" spans="1:13" ht="60" x14ac:dyDescent="0.25">
      <c r="A815" s="7" t="s">
        <v>11784</v>
      </c>
      <c r="B815" s="2" t="s">
        <v>11785</v>
      </c>
      <c r="C815" s="4">
        <v>1</v>
      </c>
      <c r="D815" s="5">
        <v>1.89</v>
      </c>
      <c r="E815" s="5">
        <v>5.99</v>
      </c>
      <c r="F815" s="4" t="s">
        <v>11786</v>
      </c>
      <c r="G815" s="2" t="s">
        <v>28</v>
      </c>
      <c r="H815" s="7" t="s">
        <v>149</v>
      </c>
      <c r="I815" s="2" t="s">
        <v>483</v>
      </c>
      <c r="J815" s="2" t="s">
        <v>536</v>
      </c>
      <c r="K815" s="2" t="s">
        <v>304</v>
      </c>
      <c r="L815" s="2" t="s">
        <v>206</v>
      </c>
      <c r="M815" s="8" t="str">
        <f>HYPERLINK("http://slimages.macys.com/is/image/MCY/10633169 ")</f>
        <v xml:space="preserve">http://slimages.macys.com/is/image/MCY/10633169 </v>
      </c>
    </row>
    <row r="816" spans="1:13" ht="132" x14ac:dyDescent="0.25">
      <c r="A816" s="7" t="s">
        <v>11787</v>
      </c>
      <c r="B816" s="2" t="s">
        <v>10330</v>
      </c>
      <c r="C816" s="4">
        <v>1</v>
      </c>
      <c r="D816" s="5">
        <v>1.75</v>
      </c>
      <c r="E816" s="5">
        <v>4.99</v>
      </c>
      <c r="F816" s="4" t="s">
        <v>10331</v>
      </c>
      <c r="G816" s="2" t="s">
        <v>41</v>
      </c>
      <c r="H816" s="7" t="s">
        <v>284</v>
      </c>
      <c r="I816" s="2" t="s">
        <v>523</v>
      </c>
      <c r="J816" s="2" t="s">
        <v>921</v>
      </c>
      <c r="K816" s="2" t="s">
        <v>304</v>
      </c>
      <c r="L816" s="2" t="s">
        <v>10332</v>
      </c>
      <c r="M816" s="8" t="str">
        <f>HYPERLINK("http://slimages.macys.com/is/image/MCY/8345554 ")</f>
        <v xml:space="preserve">http://slimages.macys.com/is/image/MCY/8345554 </v>
      </c>
    </row>
    <row r="817" spans="1:13" ht="132" x14ac:dyDescent="0.25">
      <c r="A817" s="7" t="s">
        <v>11788</v>
      </c>
      <c r="B817" s="2" t="s">
        <v>10330</v>
      </c>
      <c r="C817" s="4">
        <v>1</v>
      </c>
      <c r="D817" s="5">
        <v>1.75</v>
      </c>
      <c r="E817" s="5">
        <v>4.99</v>
      </c>
      <c r="F817" s="4" t="s">
        <v>10331</v>
      </c>
      <c r="G817" s="2" t="s">
        <v>41</v>
      </c>
      <c r="H817" s="7" t="s">
        <v>228</v>
      </c>
      <c r="I817" s="2" t="s">
        <v>523</v>
      </c>
      <c r="J817" s="2" t="s">
        <v>921</v>
      </c>
      <c r="K817" s="2" t="s">
        <v>304</v>
      </c>
      <c r="L817" s="2" t="s">
        <v>10332</v>
      </c>
      <c r="M817" s="8" t="str">
        <f>HYPERLINK("http://slimages.macys.com/is/image/MCY/8345554 ")</f>
        <v xml:space="preserve">http://slimages.macys.com/is/image/MCY/8345554 </v>
      </c>
    </row>
    <row r="818" spans="1:13" ht="60" x14ac:dyDescent="0.25">
      <c r="A818" s="7" t="s">
        <v>2415</v>
      </c>
      <c r="B818" s="2" t="s">
        <v>2416</v>
      </c>
      <c r="C818" s="4">
        <v>9</v>
      </c>
      <c r="D818" s="5">
        <v>1.47</v>
      </c>
      <c r="E818" s="5">
        <v>3.99</v>
      </c>
      <c r="F818" s="4" t="s">
        <v>2417</v>
      </c>
      <c r="G818" s="2" t="s">
        <v>297</v>
      </c>
      <c r="H818" s="7" t="s">
        <v>531</v>
      </c>
      <c r="I818" s="2" t="s">
        <v>483</v>
      </c>
      <c r="J818" s="2" t="s">
        <v>536</v>
      </c>
      <c r="K818" s="2" t="s">
        <v>304</v>
      </c>
      <c r="L818" s="2" t="s">
        <v>206</v>
      </c>
      <c r="M818" s="8" t="str">
        <f>HYPERLINK("http://slimages.macys.com/is/image/MCY/13987503 ")</f>
        <v xml:space="preserve">http://slimages.macys.com/is/image/MCY/13987503 </v>
      </c>
    </row>
    <row r="819" spans="1:13" ht="60" x14ac:dyDescent="0.25">
      <c r="A819" s="7" t="s">
        <v>2418</v>
      </c>
      <c r="B819" s="2" t="s">
        <v>2419</v>
      </c>
      <c r="C819" s="4">
        <v>7</v>
      </c>
      <c r="D819" s="5">
        <v>1.42</v>
      </c>
      <c r="E819" s="5">
        <v>3.99</v>
      </c>
      <c r="F819" s="4" t="s">
        <v>2420</v>
      </c>
      <c r="G819" s="2" t="s">
        <v>134</v>
      </c>
      <c r="H819" s="7" t="s">
        <v>531</v>
      </c>
      <c r="I819" s="2" t="s">
        <v>483</v>
      </c>
      <c r="J819" s="2" t="s">
        <v>536</v>
      </c>
      <c r="K819" s="2" t="s">
        <v>304</v>
      </c>
      <c r="L819" s="2" t="s">
        <v>2421</v>
      </c>
      <c r="M819" s="8" t="str">
        <f>HYPERLINK("http://slimages.macys.com/is/image/MCY/13987505 ")</f>
        <v xml:space="preserve">http://slimages.macys.com/is/image/MCY/13987505 </v>
      </c>
    </row>
    <row r="820" spans="1:13" ht="36" x14ac:dyDescent="0.25">
      <c r="A820" s="7" t="s">
        <v>3562</v>
      </c>
      <c r="B820" s="2" t="s">
        <v>3563</v>
      </c>
      <c r="C820" s="4">
        <v>1</v>
      </c>
      <c r="D820" s="5">
        <v>11</v>
      </c>
      <c r="E820" s="5">
        <v>34</v>
      </c>
      <c r="F820" s="4" t="s">
        <v>3563</v>
      </c>
      <c r="G820" s="2" t="s">
        <v>41</v>
      </c>
      <c r="H820" s="7" t="s">
        <v>166</v>
      </c>
      <c r="I820" s="2" t="s">
        <v>50</v>
      </c>
      <c r="J820" s="2" t="s">
        <v>650</v>
      </c>
      <c r="K820" s="2"/>
      <c r="L820" s="2"/>
      <c r="M820" s="8"/>
    </row>
    <row r="821" spans="1:13" ht="36" x14ac:dyDescent="0.25">
      <c r="A821" s="7" t="s">
        <v>3566</v>
      </c>
      <c r="B821" s="2" t="s">
        <v>3565</v>
      </c>
      <c r="C821" s="4">
        <v>2</v>
      </c>
      <c r="D821" s="5">
        <v>10.75</v>
      </c>
      <c r="E821" s="5">
        <v>34</v>
      </c>
      <c r="F821" s="4" t="s">
        <v>3565</v>
      </c>
      <c r="G821" s="2" t="s">
        <v>62</v>
      </c>
      <c r="H821" s="7" t="s">
        <v>166</v>
      </c>
      <c r="I821" s="2" t="s">
        <v>50</v>
      </c>
      <c r="J821" s="2" t="s">
        <v>650</v>
      </c>
      <c r="K821" s="2"/>
      <c r="L821" s="2"/>
      <c r="M821" s="8"/>
    </row>
    <row r="822" spans="1:13" ht="36" x14ac:dyDescent="0.25">
      <c r="A822" s="7" t="s">
        <v>3564</v>
      </c>
      <c r="B822" s="2" t="s">
        <v>3565</v>
      </c>
      <c r="C822" s="4">
        <v>1</v>
      </c>
      <c r="D822" s="5">
        <v>10.75</v>
      </c>
      <c r="E822" s="5">
        <v>34</v>
      </c>
      <c r="F822" s="4" t="s">
        <v>3565</v>
      </c>
      <c r="G822" s="2" t="s">
        <v>62</v>
      </c>
      <c r="H822" s="7" t="s">
        <v>179</v>
      </c>
      <c r="I822" s="2" t="s">
        <v>50</v>
      </c>
      <c r="J822" s="2" t="s">
        <v>650</v>
      </c>
      <c r="K822" s="2"/>
      <c r="L822" s="2"/>
      <c r="M822" s="8"/>
    </row>
    <row r="823" spans="1:13" ht="36" x14ac:dyDescent="0.25">
      <c r="A823" s="7" t="s">
        <v>11789</v>
      </c>
      <c r="B823" s="2" t="s">
        <v>4053</v>
      </c>
      <c r="C823" s="4">
        <v>1</v>
      </c>
      <c r="D823" s="5">
        <v>10.5</v>
      </c>
      <c r="E823" s="5">
        <v>36</v>
      </c>
      <c r="F823" s="4" t="s">
        <v>11790</v>
      </c>
      <c r="G823" s="2" t="s">
        <v>353</v>
      </c>
      <c r="H823" s="7" t="s">
        <v>311</v>
      </c>
      <c r="I823" s="2" t="s">
        <v>50</v>
      </c>
      <c r="J823" s="2" t="s">
        <v>650</v>
      </c>
      <c r="K823" s="2"/>
      <c r="L823" s="2"/>
      <c r="M823" s="8"/>
    </row>
    <row r="824" spans="1:13" ht="36" x14ac:dyDescent="0.25">
      <c r="A824" s="7" t="s">
        <v>11791</v>
      </c>
      <c r="B824" s="2" t="s">
        <v>6097</v>
      </c>
      <c r="C824" s="4">
        <v>1</v>
      </c>
      <c r="D824" s="5">
        <v>10.5</v>
      </c>
      <c r="E824" s="5">
        <v>36</v>
      </c>
      <c r="F824" s="4" t="s">
        <v>6098</v>
      </c>
      <c r="G824" s="2" t="s">
        <v>657</v>
      </c>
      <c r="H824" s="7" t="s">
        <v>961</v>
      </c>
      <c r="I824" s="2" t="s">
        <v>50</v>
      </c>
      <c r="J824" s="2" t="s">
        <v>650</v>
      </c>
      <c r="K824" s="2"/>
      <c r="L824" s="2"/>
      <c r="M824" s="8"/>
    </row>
    <row r="825" spans="1:13" ht="36" x14ac:dyDescent="0.25">
      <c r="A825" s="7" t="s">
        <v>3573</v>
      </c>
      <c r="B825" s="2" t="s">
        <v>3571</v>
      </c>
      <c r="C825" s="4">
        <v>1</v>
      </c>
      <c r="D825" s="5">
        <v>10.5</v>
      </c>
      <c r="E825" s="5">
        <v>34</v>
      </c>
      <c r="F825" s="4" t="s">
        <v>3572</v>
      </c>
      <c r="G825" s="2" t="s">
        <v>455</v>
      </c>
      <c r="H825" s="7" t="s">
        <v>2740</v>
      </c>
      <c r="I825" s="2" t="s">
        <v>50</v>
      </c>
      <c r="J825" s="2" t="s">
        <v>650</v>
      </c>
      <c r="K825" s="2"/>
      <c r="L825" s="2"/>
      <c r="M825" s="8"/>
    </row>
    <row r="826" spans="1:13" ht="36" x14ac:dyDescent="0.25">
      <c r="A826" s="7" t="s">
        <v>6660</v>
      </c>
      <c r="B826" s="2" t="s">
        <v>6097</v>
      </c>
      <c r="C826" s="4">
        <v>2</v>
      </c>
      <c r="D826" s="5">
        <v>10.5</v>
      </c>
      <c r="E826" s="5">
        <v>36</v>
      </c>
      <c r="F826" s="4" t="s">
        <v>6098</v>
      </c>
      <c r="G826" s="2" t="s">
        <v>657</v>
      </c>
      <c r="H826" s="7" t="s">
        <v>166</v>
      </c>
      <c r="I826" s="2" t="s">
        <v>50</v>
      </c>
      <c r="J826" s="2" t="s">
        <v>650</v>
      </c>
      <c r="K826" s="2"/>
      <c r="L826" s="2"/>
      <c r="M826" s="8"/>
    </row>
    <row r="827" spans="1:13" ht="36" x14ac:dyDescent="0.25">
      <c r="A827" s="7" t="s">
        <v>11792</v>
      </c>
      <c r="B827" s="2" t="s">
        <v>3571</v>
      </c>
      <c r="C827" s="4">
        <v>1</v>
      </c>
      <c r="D827" s="5">
        <v>10.5</v>
      </c>
      <c r="E827" s="5">
        <v>34</v>
      </c>
      <c r="F827" s="4" t="s">
        <v>3572</v>
      </c>
      <c r="G827" s="2" t="s">
        <v>455</v>
      </c>
      <c r="H827" s="7" t="s">
        <v>2872</v>
      </c>
      <c r="I827" s="2" t="s">
        <v>50</v>
      </c>
      <c r="J827" s="2" t="s">
        <v>650</v>
      </c>
      <c r="K827" s="2"/>
      <c r="L827" s="2"/>
      <c r="M827" s="8"/>
    </row>
    <row r="828" spans="1:13" ht="48" x14ac:dyDescent="0.25">
      <c r="A828" s="7" t="s">
        <v>11793</v>
      </c>
      <c r="B828" s="2" t="s">
        <v>5806</v>
      </c>
      <c r="C828" s="4">
        <v>2</v>
      </c>
      <c r="D828" s="5">
        <v>8.1</v>
      </c>
      <c r="E828" s="5">
        <v>16.2</v>
      </c>
      <c r="F828" s="4">
        <v>27863610</v>
      </c>
      <c r="G828" s="2"/>
      <c r="H828" s="7" t="s">
        <v>68</v>
      </c>
      <c r="I828" s="2" t="s">
        <v>487</v>
      </c>
      <c r="J828" s="2" t="s">
        <v>488</v>
      </c>
      <c r="K828" s="2"/>
      <c r="L828" s="2"/>
      <c r="M828" s="8"/>
    </row>
    <row r="829" spans="1:13" ht="36" x14ac:dyDescent="0.25">
      <c r="A829" s="7" t="s">
        <v>11794</v>
      </c>
      <c r="B829" s="2" t="s">
        <v>11795</v>
      </c>
      <c r="C829" s="4">
        <v>1</v>
      </c>
      <c r="D829" s="5">
        <v>7.6</v>
      </c>
      <c r="E829" s="5">
        <v>17.28</v>
      </c>
      <c r="F829" s="4">
        <v>17878810</v>
      </c>
      <c r="G829" s="2"/>
      <c r="H829" s="7" t="s">
        <v>675</v>
      </c>
      <c r="I829" s="2" t="s">
        <v>153</v>
      </c>
      <c r="J829" s="2" t="s">
        <v>154</v>
      </c>
      <c r="K829" s="2"/>
      <c r="L829" s="2"/>
      <c r="M829" s="8"/>
    </row>
    <row r="830" spans="1:13" ht="36" x14ac:dyDescent="0.25">
      <c r="A830" s="7" t="s">
        <v>11796</v>
      </c>
      <c r="B830" s="2" t="s">
        <v>6103</v>
      </c>
      <c r="C830" s="4">
        <v>1</v>
      </c>
      <c r="D830" s="5">
        <v>6.4</v>
      </c>
      <c r="E830" s="5">
        <v>14.55</v>
      </c>
      <c r="F830" s="4">
        <v>17889610</v>
      </c>
      <c r="G830" s="2" t="s">
        <v>48</v>
      </c>
      <c r="H830" s="7" t="s">
        <v>91</v>
      </c>
      <c r="I830" s="2" t="s">
        <v>153</v>
      </c>
      <c r="J830" s="2" t="s">
        <v>154</v>
      </c>
      <c r="K830" s="2"/>
      <c r="L830" s="2"/>
      <c r="M830" s="8"/>
    </row>
    <row r="831" spans="1:13" ht="36" x14ac:dyDescent="0.25">
      <c r="A831" s="7" t="s">
        <v>11797</v>
      </c>
      <c r="B831" s="2" t="s">
        <v>11798</v>
      </c>
      <c r="C831" s="4">
        <v>1</v>
      </c>
      <c r="D831" s="5">
        <v>6.4</v>
      </c>
      <c r="E831" s="5">
        <v>14.55</v>
      </c>
      <c r="F831" s="4">
        <v>17889810</v>
      </c>
      <c r="G831" s="2" t="s">
        <v>129</v>
      </c>
      <c r="H831" s="7" t="s">
        <v>675</v>
      </c>
      <c r="I831" s="2" t="s">
        <v>153</v>
      </c>
      <c r="J831" s="2" t="s">
        <v>154</v>
      </c>
      <c r="K831" s="2"/>
      <c r="L831" s="2"/>
      <c r="M831" s="8"/>
    </row>
    <row r="832" spans="1:13" ht="36" x14ac:dyDescent="0.25">
      <c r="A832" s="7" t="s">
        <v>8517</v>
      </c>
      <c r="B832" s="2" t="s">
        <v>8518</v>
      </c>
      <c r="C832" s="4">
        <v>1</v>
      </c>
      <c r="D832" s="5">
        <v>6.4</v>
      </c>
      <c r="E832" s="5">
        <v>14.55</v>
      </c>
      <c r="F832" s="4">
        <v>17891610</v>
      </c>
      <c r="G832" s="2"/>
      <c r="H832" s="7" t="s">
        <v>233</v>
      </c>
      <c r="I832" s="2" t="s">
        <v>153</v>
      </c>
      <c r="J832" s="2" t="s">
        <v>154</v>
      </c>
      <c r="K832" s="2"/>
      <c r="L832" s="2"/>
      <c r="M832" s="8"/>
    </row>
    <row r="833" spans="1:13" ht="36" x14ac:dyDescent="0.25">
      <c r="A833" s="7" t="s">
        <v>11799</v>
      </c>
      <c r="B833" s="2" t="s">
        <v>11800</v>
      </c>
      <c r="C833" s="4">
        <v>1</v>
      </c>
      <c r="D833" s="5">
        <v>1.58</v>
      </c>
      <c r="E833" s="5">
        <v>3.5</v>
      </c>
      <c r="F833" s="4">
        <v>12886</v>
      </c>
      <c r="G833" s="2"/>
      <c r="H833" s="7"/>
      <c r="I833" s="2" t="s">
        <v>815</v>
      </c>
      <c r="J833" s="2" t="s">
        <v>11801</v>
      </c>
      <c r="K833" s="2"/>
      <c r="L833" s="2"/>
      <c r="M833" s="8"/>
    </row>
  </sheetData>
  <pageMargins left="0.5" right="0.5" top="0.25" bottom="0.25" header="0.3" footer="0.3"/>
  <pageSetup scale="65" orientation="landscape" horizontalDpi="0" verticalDpi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525"/>
  <sheetViews>
    <sheetView workbookViewId="0">
      <selection activeCell="M5" sqref="M5"/>
    </sheetView>
  </sheetViews>
  <sheetFormatPr defaultRowHeight="15" x14ac:dyDescent="0.25"/>
  <cols>
    <col min="1" max="1" width="14.28515625" customWidth="1"/>
    <col min="2" max="2" width="40.5703125" customWidth="1"/>
    <col min="3" max="3" width="15" customWidth="1"/>
    <col min="4" max="4" width="10.85546875" customWidth="1"/>
    <col min="5" max="6" width="15" customWidth="1"/>
    <col min="7" max="7" width="10.28515625" customWidth="1"/>
    <col min="8" max="8" width="12.5703125" customWidth="1"/>
    <col min="9" max="11" width="11.42578125" customWidth="1"/>
    <col min="12" max="12" width="7.42578125" customWidth="1"/>
    <col min="13" max="13" width="10.85546875" customWidth="1"/>
    <col min="14" max="14" width="12.140625" customWidth="1"/>
    <col min="15" max="15" width="36.5703125" bestFit="1" customWidth="1"/>
    <col min="16" max="17" width="20.7109375" customWidth="1"/>
    <col min="18" max="18" width="64.28515625" customWidth="1"/>
  </cols>
  <sheetData>
    <row r="1" spans="1:13" ht="36" x14ac:dyDescent="0.25">
      <c r="A1" s="26" t="s">
        <v>0</v>
      </c>
      <c r="B1" s="26" t="s">
        <v>1</v>
      </c>
      <c r="C1" s="26" t="s">
        <v>2</v>
      </c>
      <c r="D1" s="26" t="s">
        <v>3</v>
      </c>
      <c r="E1" s="26" t="s">
        <v>4</v>
      </c>
      <c r="F1" s="26" t="s">
        <v>5</v>
      </c>
      <c r="G1" s="26" t="s">
        <v>6</v>
      </c>
      <c r="H1" s="26" t="s">
        <v>7</v>
      </c>
      <c r="I1" s="26" t="s">
        <v>8</v>
      </c>
      <c r="J1" s="26" t="s">
        <v>9</v>
      </c>
    </row>
    <row r="2" spans="1:13" ht="36" x14ac:dyDescent="0.25">
      <c r="A2" s="2" t="s">
        <v>10</v>
      </c>
      <c r="B2" s="3">
        <v>12413919</v>
      </c>
      <c r="C2" s="2" t="s">
        <v>11</v>
      </c>
      <c r="D2" s="2" t="s">
        <v>12</v>
      </c>
      <c r="E2" s="4">
        <v>1</v>
      </c>
      <c r="F2" s="4">
        <v>18</v>
      </c>
      <c r="G2" s="2">
        <v>354</v>
      </c>
      <c r="H2" s="5">
        <v>5532.18</v>
      </c>
      <c r="I2" s="5">
        <v>13735.78</v>
      </c>
      <c r="J2" s="2">
        <v>820</v>
      </c>
    </row>
    <row r="4" spans="1:13" s="6" customFormat="1" x14ac:dyDescent="0.25"/>
    <row r="7" spans="1:13" s="6" customFormat="1" x14ac:dyDescent="0.25"/>
    <row r="8" spans="1:13" ht="36" x14ac:dyDescent="0.25">
      <c r="A8" s="26" t="s">
        <v>13</v>
      </c>
      <c r="B8" s="26" t="s">
        <v>14</v>
      </c>
      <c r="C8" s="26" t="s">
        <v>15</v>
      </c>
      <c r="D8" s="26" t="s">
        <v>16</v>
      </c>
      <c r="E8" s="26" t="s">
        <v>17</v>
      </c>
      <c r="F8" s="26" t="s">
        <v>18</v>
      </c>
      <c r="G8" s="26" t="s">
        <v>19</v>
      </c>
      <c r="H8" s="26" t="s">
        <v>20</v>
      </c>
      <c r="I8" s="26" t="s">
        <v>21</v>
      </c>
      <c r="J8" s="26" t="s">
        <v>22</v>
      </c>
      <c r="K8" s="26" t="s">
        <v>2737</v>
      </c>
      <c r="L8" s="26" t="s">
        <v>23</v>
      </c>
      <c r="M8" s="26" t="s">
        <v>24</v>
      </c>
    </row>
    <row r="9" spans="1:13" ht="60" x14ac:dyDescent="0.25">
      <c r="A9" s="7" t="s">
        <v>10764</v>
      </c>
      <c r="B9" s="2" t="s">
        <v>10765</v>
      </c>
      <c r="C9" s="4">
        <v>1</v>
      </c>
      <c r="D9" s="5">
        <v>26.78</v>
      </c>
      <c r="E9" s="5">
        <v>59.5</v>
      </c>
      <c r="F9" s="4">
        <v>323750024001</v>
      </c>
      <c r="G9" s="2" t="s">
        <v>310</v>
      </c>
      <c r="H9" s="7" t="s">
        <v>228</v>
      </c>
      <c r="I9" s="2" t="s">
        <v>204</v>
      </c>
      <c r="J9" s="2" t="s">
        <v>205</v>
      </c>
      <c r="K9" s="2" t="s">
        <v>304</v>
      </c>
      <c r="L9" s="2" t="s">
        <v>206</v>
      </c>
      <c r="M9" s="8" t="str">
        <f>HYPERLINK("http://slimages.macys.com/is/image/MCY/14816618 ")</f>
        <v xml:space="preserve">http://slimages.macys.com/is/image/MCY/14816618 </v>
      </c>
    </row>
    <row r="10" spans="1:13" ht="60" x14ac:dyDescent="0.25">
      <c r="A10" s="7" t="s">
        <v>3610</v>
      </c>
      <c r="B10" s="2" t="s">
        <v>3611</v>
      </c>
      <c r="C10" s="4">
        <v>1</v>
      </c>
      <c r="D10" s="5">
        <v>24.75</v>
      </c>
      <c r="E10" s="5">
        <v>65</v>
      </c>
      <c r="F10" s="4">
        <v>1437</v>
      </c>
      <c r="G10" s="2" t="s">
        <v>41</v>
      </c>
      <c r="H10" s="7"/>
      <c r="I10" s="2" t="s">
        <v>43</v>
      </c>
      <c r="J10" s="2" t="s">
        <v>44</v>
      </c>
      <c r="K10" s="2" t="s">
        <v>304</v>
      </c>
      <c r="L10" s="2" t="s">
        <v>87</v>
      </c>
      <c r="M10" s="8" t="str">
        <f>HYPERLINK("http://slimages.macys.com/is/image/MCY/796474 ")</f>
        <v xml:space="preserve">http://slimages.macys.com/is/image/MCY/796474 </v>
      </c>
    </row>
    <row r="11" spans="1:13" ht="60" x14ac:dyDescent="0.25">
      <c r="A11" s="7" t="s">
        <v>10766</v>
      </c>
      <c r="B11" s="2" t="s">
        <v>10767</v>
      </c>
      <c r="C11" s="4">
        <v>1</v>
      </c>
      <c r="D11" s="5">
        <v>22.28</v>
      </c>
      <c r="E11" s="5">
        <v>49.5</v>
      </c>
      <c r="F11" s="4">
        <v>323742583002</v>
      </c>
      <c r="G11" s="2" t="s">
        <v>129</v>
      </c>
      <c r="H11" s="7" t="s">
        <v>228</v>
      </c>
      <c r="I11" s="2" t="s">
        <v>204</v>
      </c>
      <c r="J11" s="2" t="s">
        <v>205</v>
      </c>
      <c r="K11" s="2" t="s">
        <v>304</v>
      </c>
      <c r="L11" s="2" t="s">
        <v>87</v>
      </c>
      <c r="M11" s="8" t="str">
        <f>HYPERLINK("http://slimages.macys.com/is/image/MCY/13727402 ")</f>
        <v xml:space="preserve">http://slimages.macys.com/is/image/MCY/13727402 </v>
      </c>
    </row>
    <row r="12" spans="1:13" ht="60" x14ac:dyDescent="0.25">
      <c r="A12" s="7" t="s">
        <v>10768</v>
      </c>
      <c r="B12" s="2" t="s">
        <v>10769</v>
      </c>
      <c r="C12" s="4">
        <v>1</v>
      </c>
      <c r="D12" s="5">
        <v>22.28</v>
      </c>
      <c r="E12" s="5">
        <v>49.5</v>
      </c>
      <c r="F12" s="4">
        <v>322750032001</v>
      </c>
      <c r="G12" s="2" t="s">
        <v>28</v>
      </c>
      <c r="H12" s="7" t="s">
        <v>311</v>
      </c>
      <c r="I12" s="2" t="s">
        <v>204</v>
      </c>
      <c r="J12" s="2" t="s">
        <v>205</v>
      </c>
      <c r="K12" s="2" t="s">
        <v>304</v>
      </c>
      <c r="L12" s="2" t="s">
        <v>38</v>
      </c>
      <c r="M12" s="8" t="str">
        <f>HYPERLINK("http://slimages.macys.com/is/image/MCY/14413102 ")</f>
        <v xml:space="preserve">http://slimages.macys.com/is/image/MCY/14413102 </v>
      </c>
    </row>
    <row r="13" spans="1:13" ht="60" x14ac:dyDescent="0.25">
      <c r="A13" s="7" t="s">
        <v>10770</v>
      </c>
      <c r="B13" s="2" t="s">
        <v>40</v>
      </c>
      <c r="C13" s="4">
        <v>1</v>
      </c>
      <c r="D13" s="5">
        <v>21</v>
      </c>
      <c r="E13" s="5">
        <v>55</v>
      </c>
      <c r="F13" s="4">
        <v>1201</v>
      </c>
      <c r="G13" s="2" t="s">
        <v>41</v>
      </c>
      <c r="H13" s="7"/>
      <c r="I13" s="2" t="s">
        <v>43</v>
      </c>
      <c r="J13" s="2" t="s">
        <v>44</v>
      </c>
      <c r="K13" s="2" t="s">
        <v>2746</v>
      </c>
      <c r="L13" s="2" t="s">
        <v>125</v>
      </c>
      <c r="M13" s="8" t="str">
        <f>HYPERLINK("http://slimages.macys.com/is/image/MCY/1087909 ")</f>
        <v xml:space="preserve">http://slimages.macys.com/is/image/MCY/1087909 </v>
      </c>
    </row>
    <row r="14" spans="1:13" ht="84" x14ac:dyDescent="0.25">
      <c r="A14" s="7" t="s">
        <v>10771</v>
      </c>
      <c r="B14" s="2" t="s">
        <v>10772</v>
      </c>
      <c r="C14" s="4">
        <v>1</v>
      </c>
      <c r="D14" s="5">
        <v>21</v>
      </c>
      <c r="E14" s="5">
        <v>59.99</v>
      </c>
      <c r="F14" s="4" t="s">
        <v>10773</v>
      </c>
      <c r="G14" s="2" t="s">
        <v>103</v>
      </c>
      <c r="H14" s="7" t="s">
        <v>177</v>
      </c>
      <c r="I14" s="2" t="s">
        <v>668</v>
      </c>
      <c r="J14" s="2" t="s">
        <v>1506</v>
      </c>
      <c r="K14" s="2" t="s">
        <v>304</v>
      </c>
      <c r="L14" s="2" t="s">
        <v>10774</v>
      </c>
      <c r="M14" s="8" t="str">
        <f>HYPERLINK("http://slimages.macys.com/is/image/MCY/12853697 ")</f>
        <v xml:space="preserve">http://slimages.macys.com/is/image/MCY/12853697 </v>
      </c>
    </row>
    <row r="15" spans="1:13" ht="60" x14ac:dyDescent="0.25">
      <c r="A15" s="7" t="s">
        <v>10775</v>
      </c>
      <c r="B15" s="2" t="s">
        <v>10776</v>
      </c>
      <c r="C15" s="4">
        <v>1</v>
      </c>
      <c r="D15" s="5">
        <v>20.25</v>
      </c>
      <c r="E15" s="5">
        <v>45</v>
      </c>
      <c r="F15" s="4">
        <v>323712271002</v>
      </c>
      <c r="G15" s="2" t="s">
        <v>353</v>
      </c>
      <c r="H15" s="7" t="s">
        <v>228</v>
      </c>
      <c r="I15" s="2" t="s">
        <v>204</v>
      </c>
      <c r="J15" s="2" t="s">
        <v>205</v>
      </c>
      <c r="K15" s="2" t="s">
        <v>304</v>
      </c>
      <c r="L15" s="2" t="s">
        <v>206</v>
      </c>
      <c r="M15" s="8" t="str">
        <f>HYPERLINK("http://slimages.macys.com/is/image/MCY/10218754 ")</f>
        <v xml:space="preserve">http://slimages.macys.com/is/image/MCY/10218754 </v>
      </c>
    </row>
    <row r="16" spans="1:13" ht="72" x14ac:dyDescent="0.25">
      <c r="A16" s="7" t="s">
        <v>10777</v>
      </c>
      <c r="B16" s="2" t="s">
        <v>10778</v>
      </c>
      <c r="C16" s="4">
        <v>1</v>
      </c>
      <c r="D16" s="5">
        <v>20.25</v>
      </c>
      <c r="E16" s="5">
        <v>45</v>
      </c>
      <c r="F16" s="4">
        <v>320737531001</v>
      </c>
      <c r="G16" s="2" t="s">
        <v>28</v>
      </c>
      <c r="H16" s="7" t="s">
        <v>42</v>
      </c>
      <c r="I16" s="2" t="s">
        <v>676</v>
      </c>
      <c r="J16" s="2" t="s">
        <v>677</v>
      </c>
      <c r="K16" s="2" t="s">
        <v>304</v>
      </c>
      <c r="L16" s="2" t="s">
        <v>10779</v>
      </c>
      <c r="M16" s="8" t="str">
        <f>HYPERLINK("http://slimages.macys.com/is/image/MCY/12260302 ")</f>
        <v xml:space="preserve">http://slimages.macys.com/is/image/MCY/12260302 </v>
      </c>
    </row>
    <row r="17" spans="1:13" ht="60" x14ac:dyDescent="0.25">
      <c r="A17" s="7" t="s">
        <v>10780</v>
      </c>
      <c r="B17" s="2" t="s">
        <v>10781</v>
      </c>
      <c r="C17" s="4">
        <v>1</v>
      </c>
      <c r="D17" s="5">
        <v>20.25</v>
      </c>
      <c r="E17" s="5">
        <v>45</v>
      </c>
      <c r="F17" s="4">
        <v>320712247002</v>
      </c>
      <c r="G17" s="2" t="s">
        <v>129</v>
      </c>
      <c r="H17" s="7" t="s">
        <v>42</v>
      </c>
      <c r="I17" s="2" t="s">
        <v>676</v>
      </c>
      <c r="J17" s="2" t="s">
        <v>677</v>
      </c>
      <c r="K17" s="2" t="s">
        <v>304</v>
      </c>
      <c r="L17" s="2" t="s">
        <v>125</v>
      </c>
      <c r="M17" s="8" t="str">
        <f>HYPERLINK("http://slimages.macys.com/is/image/MCY/11210111 ")</f>
        <v xml:space="preserve">http://slimages.macys.com/is/image/MCY/11210111 </v>
      </c>
    </row>
    <row r="18" spans="1:13" ht="60" x14ac:dyDescent="0.25">
      <c r="A18" s="7" t="s">
        <v>5155</v>
      </c>
      <c r="B18" s="2" t="s">
        <v>3616</v>
      </c>
      <c r="C18" s="4">
        <v>1</v>
      </c>
      <c r="D18" s="5">
        <v>20.02</v>
      </c>
      <c r="E18" s="5">
        <v>40.99</v>
      </c>
      <c r="F18" s="4" t="s">
        <v>3617</v>
      </c>
      <c r="G18" s="2" t="s">
        <v>892</v>
      </c>
      <c r="H18" s="7" t="s">
        <v>159</v>
      </c>
      <c r="I18" s="2" t="s">
        <v>73</v>
      </c>
      <c r="J18" s="2" t="s">
        <v>160</v>
      </c>
      <c r="K18" s="2" t="s">
        <v>304</v>
      </c>
      <c r="L18" s="2" t="s">
        <v>119</v>
      </c>
      <c r="M18" s="8" t="str">
        <f>HYPERLINK("http://slimages.macys.com/is/image/MCY/12875354 ")</f>
        <v xml:space="preserve">http://slimages.macys.com/is/image/MCY/12875354 </v>
      </c>
    </row>
    <row r="19" spans="1:13" ht="156" x14ac:dyDescent="0.25">
      <c r="A19" s="7" t="s">
        <v>10782</v>
      </c>
      <c r="B19" s="2" t="s">
        <v>10783</v>
      </c>
      <c r="C19" s="4">
        <v>1</v>
      </c>
      <c r="D19" s="5">
        <v>20.02</v>
      </c>
      <c r="E19" s="5">
        <v>40.99</v>
      </c>
      <c r="F19" s="4" t="s">
        <v>10784</v>
      </c>
      <c r="G19" s="2" t="s">
        <v>41</v>
      </c>
      <c r="H19" s="7" t="s">
        <v>228</v>
      </c>
      <c r="I19" s="2" t="s">
        <v>73</v>
      </c>
      <c r="J19" s="2" t="s">
        <v>160</v>
      </c>
      <c r="K19" s="2" t="s">
        <v>304</v>
      </c>
      <c r="L19" s="2" t="s">
        <v>10785</v>
      </c>
      <c r="M19" s="8" t="str">
        <f>HYPERLINK("http://slimages.macys.com/is/image/MCY/12874957 ")</f>
        <v xml:space="preserve">http://slimages.macys.com/is/image/MCY/12874957 </v>
      </c>
    </row>
    <row r="20" spans="1:13" ht="60" x14ac:dyDescent="0.25">
      <c r="A20" s="7" t="s">
        <v>10786</v>
      </c>
      <c r="B20" s="2" t="s">
        <v>6698</v>
      </c>
      <c r="C20" s="4">
        <v>1</v>
      </c>
      <c r="D20" s="5">
        <v>19.8</v>
      </c>
      <c r="E20" s="5">
        <v>49.5</v>
      </c>
      <c r="F20" s="4" t="s">
        <v>10787</v>
      </c>
      <c r="G20" s="2" t="s">
        <v>79</v>
      </c>
      <c r="H20" s="7"/>
      <c r="I20" s="2" t="s">
        <v>57</v>
      </c>
      <c r="J20" s="2" t="s">
        <v>58</v>
      </c>
      <c r="K20" s="2" t="s">
        <v>304</v>
      </c>
      <c r="L20" s="2" t="s">
        <v>38</v>
      </c>
      <c r="M20" s="8" t="str">
        <f>HYPERLINK("http://slimages.macys.com/is/image/MCY/13049212 ")</f>
        <v xml:space="preserve">http://slimages.macys.com/is/image/MCY/13049212 </v>
      </c>
    </row>
    <row r="21" spans="1:13" ht="84" x14ac:dyDescent="0.25">
      <c r="A21" s="7" t="s">
        <v>10788</v>
      </c>
      <c r="B21" s="2" t="s">
        <v>10789</v>
      </c>
      <c r="C21" s="4">
        <v>1</v>
      </c>
      <c r="D21" s="5">
        <v>19.5</v>
      </c>
      <c r="E21" s="5">
        <v>39</v>
      </c>
      <c r="F21" s="4">
        <v>252494</v>
      </c>
      <c r="G21" s="2" t="s">
        <v>814</v>
      </c>
      <c r="H21" s="7" t="s">
        <v>10790</v>
      </c>
      <c r="I21" s="2" t="s">
        <v>50</v>
      </c>
      <c r="J21" s="2" t="s">
        <v>51</v>
      </c>
      <c r="K21" s="2" t="s">
        <v>304</v>
      </c>
      <c r="L21" s="2" t="s">
        <v>10791</v>
      </c>
      <c r="M21" s="8" t="str">
        <f>HYPERLINK("http://slimages.macys.com/is/image/MCY/8930974 ")</f>
        <v xml:space="preserve">http://slimages.macys.com/is/image/MCY/8930974 </v>
      </c>
    </row>
    <row r="22" spans="1:13" ht="108" x14ac:dyDescent="0.25">
      <c r="A22" s="7" t="s">
        <v>9808</v>
      </c>
      <c r="B22" s="2" t="s">
        <v>9809</v>
      </c>
      <c r="C22" s="4">
        <v>1</v>
      </c>
      <c r="D22" s="5">
        <v>19</v>
      </c>
      <c r="E22" s="5">
        <v>35.99</v>
      </c>
      <c r="F22" s="4" t="s">
        <v>9810</v>
      </c>
      <c r="G22" s="2" t="s">
        <v>48</v>
      </c>
      <c r="H22" s="7" t="s">
        <v>159</v>
      </c>
      <c r="I22" s="2" t="s">
        <v>73</v>
      </c>
      <c r="J22" s="2" t="s">
        <v>160</v>
      </c>
      <c r="K22" s="2" t="s">
        <v>304</v>
      </c>
      <c r="L22" s="2" t="s">
        <v>9811</v>
      </c>
      <c r="M22" s="8" t="str">
        <f>HYPERLINK("http://slimages.macys.com/is/image/MCY/12337164 ")</f>
        <v xml:space="preserve">http://slimages.macys.com/is/image/MCY/12337164 </v>
      </c>
    </row>
    <row r="23" spans="1:13" ht="108" x14ac:dyDescent="0.25">
      <c r="A23" s="7" t="s">
        <v>10792</v>
      </c>
      <c r="B23" s="2" t="s">
        <v>9809</v>
      </c>
      <c r="C23" s="4">
        <v>1</v>
      </c>
      <c r="D23" s="5">
        <v>19</v>
      </c>
      <c r="E23" s="5">
        <v>35.99</v>
      </c>
      <c r="F23" s="4" t="s">
        <v>9810</v>
      </c>
      <c r="G23" s="2" t="s">
        <v>48</v>
      </c>
      <c r="H23" s="7" t="s">
        <v>196</v>
      </c>
      <c r="I23" s="2" t="s">
        <v>73</v>
      </c>
      <c r="J23" s="2" t="s">
        <v>160</v>
      </c>
      <c r="K23" s="2" t="s">
        <v>304</v>
      </c>
      <c r="L23" s="2" t="s">
        <v>9811</v>
      </c>
      <c r="M23" s="8" t="str">
        <f>HYPERLINK("http://slimages.macys.com/is/image/MCY/12337164 ")</f>
        <v xml:space="preserve">http://slimages.macys.com/is/image/MCY/12337164 </v>
      </c>
    </row>
    <row r="24" spans="1:13" ht="156" x14ac:dyDescent="0.25">
      <c r="A24" s="7" t="s">
        <v>10793</v>
      </c>
      <c r="B24" s="2" t="s">
        <v>10794</v>
      </c>
      <c r="C24" s="4">
        <v>1</v>
      </c>
      <c r="D24" s="5">
        <v>18</v>
      </c>
      <c r="E24" s="5">
        <v>49.99</v>
      </c>
      <c r="F24" s="4" t="s">
        <v>10795</v>
      </c>
      <c r="G24" s="2" t="s">
        <v>41</v>
      </c>
      <c r="H24" s="7" t="s">
        <v>209</v>
      </c>
      <c r="I24" s="2" t="s">
        <v>64</v>
      </c>
      <c r="J24" s="2" t="s">
        <v>239</v>
      </c>
      <c r="K24" s="2" t="s">
        <v>304</v>
      </c>
      <c r="L24" s="2" t="s">
        <v>10796</v>
      </c>
      <c r="M24" s="8" t="str">
        <f>HYPERLINK("http://slimages.macys.com/is/image/MCY/12257598 ")</f>
        <v xml:space="preserve">http://slimages.macys.com/is/image/MCY/12257598 </v>
      </c>
    </row>
    <row r="25" spans="1:13" ht="60" x14ac:dyDescent="0.25">
      <c r="A25" s="7" t="s">
        <v>10797</v>
      </c>
      <c r="B25" s="2" t="s">
        <v>10798</v>
      </c>
      <c r="C25" s="4">
        <v>1</v>
      </c>
      <c r="D25" s="5">
        <v>17.8</v>
      </c>
      <c r="E25" s="5">
        <v>44.5</v>
      </c>
      <c r="F25" s="4" t="s">
        <v>10799</v>
      </c>
      <c r="G25" s="2" t="s">
        <v>79</v>
      </c>
      <c r="H25" s="7"/>
      <c r="I25" s="2" t="s">
        <v>57</v>
      </c>
      <c r="J25" s="2" t="s">
        <v>58</v>
      </c>
      <c r="K25" s="2" t="s">
        <v>304</v>
      </c>
      <c r="L25" s="2" t="s">
        <v>206</v>
      </c>
      <c r="M25" s="8" t="str">
        <f>HYPERLINK("http://slimages.macys.com/is/image/MCY/12355317 ")</f>
        <v xml:space="preserve">http://slimages.macys.com/is/image/MCY/12355317 </v>
      </c>
    </row>
    <row r="26" spans="1:13" ht="60" x14ac:dyDescent="0.25">
      <c r="A26" s="7" t="s">
        <v>83</v>
      </c>
      <c r="B26" s="2" t="s">
        <v>84</v>
      </c>
      <c r="C26" s="4">
        <v>2</v>
      </c>
      <c r="D26" s="5">
        <v>17.8</v>
      </c>
      <c r="E26" s="5">
        <v>44.5</v>
      </c>
      <c r="F26" s="4" t="s">
        <v>85</v>
      </c>
      <c r="G26" s="2" t="s">
        <v>86</v>
      </c>
      <c r="H26" s="7"/>
      <c r="I26" s="2" t="s">
        <v>57</v>
      </c>
      <c r="J26" s="2" t="s">
        <v>58</v>
      </c>
      <c r="K26" s="2" t="s">
        <v>304</v>
      </c>
      <c r="L26" s="2" t="s">
        <v>87</v>
      </c>
      <c r="M26" s="8" t="str">
        <f>HYPERLINK("http://slimages.macys.com/is/image/MCY/13043471 ")</f>
        <v xml:space="preserve">http://slimages.macys.com/is/image/MCY/13043471 </v>
      </c>
    </row>
    <row r="27" spans="1:13" ht="60" x14ac:dyDescent="0.25">
      <c r="A27" s="7" t="s">
        <v>10800</v>
      </c>
      <c r="B27" s="2" t="s">
        <v>6698</v>
      </c>
      <c r="C27" s="4">
        <v>1</v>
      </c>
      <c r="D27" s="5">
        <v>17.8</v>
      </c>
      <c r="E27" s="5">
        <v>44.5</v>
      </c>
      <c r="F27" s="4" t="s">
        <v>6699</v>
      </c>
      <c r="G27" s="2" t="s">
        <v>79</v>
      </c>
      <c r="H27" s="7" t="s">
        <v>317</v>
      </c>
      <c r="I27" s="2" t="s">
        <v>690</v>
      </c>
      <c r="J27" s="2" t="s">
        <v>58</v>
      </c>
      <c r="K27" s="2" t="s">
        <v>304</v>
      </c>
      <c r="L27" s="2" t="s">
        <v>87</v>
      </c>
      <c r="M27" s="8" t="str">
        <f>HYPERLINK("http://slimages.macys.com/is/image/MCY/13049212 ")</f>
        <v xml:space="preserve">http://slimages.macys.com/is/image/MCY/13049212 </v>
      </c>
    </row>
    <row r="28" spans="1:13" ht="60" x14ac:dyDescent="0.25">
      <c r="A28" s="7" t="s">
        <v>9301</v>
      </c>
      <c r="B28" s="2" t="s">
        <v>6698</v>
      </c>
      <c r="C28" s="4">
        <v>1</v>
      </c>
      <c r="D28" s="5">
        <v>17.8</v>
      </c>
      <c r="E28" s="5">
        <v>44.5</v>
      </c>
      <c r="F28" s="4" t="s">
        <v>6699</v>
      </c>
      <c r="G28" s="2" t="s">
        <v>79</v>
      </c>
      <c r="H28" s="7" t="s">
        <v>123</v>
      </c>
      <c r="I28" s="2" t="s">
        <v>690</v>
      </c>
      <c r="J28" s="2" t="s">
        <v>58</v>
      </c>
      <c r="K28" s="2" t="s">
        <v>304</v>
      </c>
      <c r="L28" s="2" t="s">
        <v>87</v>
      </c>
      <c r="M28" s="8" t="str">
        <f>HYPERLINK("http://slimages.macys.com/is/image/MCY/13049212 ")</f>
        <v xml:space="preserve">http://slimages.macys.com/is/image/MCY/13049212 </v>
      </c>
    </row>
    <row r="29" spans="1:13" ht="60" x14ac:dyDescent="0.25">
      <c r="A29" s="7" t="s">
        <v>1441</v>
      </c>
      <c r="B29" s="2" t="s">
        <v>84</v>
      </c>
      <c r="C29" s="4">
        <v>1</v>
      </c>
      <c r="D29" s="5">
        <v>17.8</v>
      </c>
      <c r="E29" s="5">
        <v>44.5</v>
      </c>
      <c r="F29" s="4" t="s">
        <v>85</v>
      </c>
      <c r="G29" s="2" t="s">
        <v>86</v>
      </c>
      <c r="H29" s="7"/>
      <c r="I29" s="2" t="s">
        <v>57</v>
      </c>
      <c r="J29" s="2" t="s">
        <v>58</v>
      </c>
      <c r="K29" s="2" t="s">
        <v>304</v>
      </c>
      <c r="L29" s="2" t="s">
        <v>87</v>
      </c>
      <c r="M29" s="8" t="str">
        <f>HYPERLINK("http://slimages.macys.com/is/image/MCY/13043471 ")</f>
        <v xml:space="preserve">http://slimages.macys.com/is/image/MCY/13043471 </v>
      </c>
    </row>
    <row r="30" spans="1:13" ht="60" x14ac:dyDescent="0.25">
      <c r="A30" s="7" t="s">
        <v>10801</v>
      </c>
      <c r="B30" s="2" t="s">
        <v>8667</v>
      </c>
      <c r="C30" s="4">
        <v>1</v>
      </c>
      <c r="D30" s="5">
        <v>17.78</v>
      </c>
      <c r="E30" s="5">
        <v>39.5</v>
      </c>
      <c r="F30" s="4">
        <v>323703635032</v>
      </c>
      <c r="G30" s="2" t="s">
        <v>28</v>
      </c>
      <c r="H30" s="7" t="s">
        <v>159</v>
      </c>
      <c r="I30" s="2" t="s">
        <v>204</v>
      </c>
      <c r="J30" s="2" t="s">
        <v>205</v>
      </c>
      <c r="K30" s="2" t="s">
        <v>304</v>
      </c>
      <c r="L30" s="2" t="s">
        <v>206</v>
      </c>
      <c r="M30" s="8" t="str">
        <f>HYPERLINK("http://slimages.macys.com/is/image/MCY/16412417 ")</f>
        <v xml:space="preserve">http://slimages.macys.com/is/image/MCY/16412417 </v>
      </c>
    </row>
    <row r="31" spans="1:13" ht="60" x14ac:dyDescent="0.25">
      <c r="A31" s="7" t="s">
        <v>10802</v>
      </c>
      <c r="B31" s="2" t="s">
        <v>10803</v>
      </c>
      <c r="C31" s="4">
        <v>1</v>
      </c>
      <c r="D31" s="5">
        <v>17.5</v>
      </c>
      <c r="E31" s="5">
        <v>36.99</v>
      </c>
      <c r="F31" s="4" t="s">
        <v>10804</v>
      </c>
      <c r="G31" s="2" t="s">
        <v>297</v>
      </c>
      <c r="H31" s="7" t="s">
        <v>311</v>
      </c>
      <c r="I31" s="2" t="s">
        <v>73</v>
      </c>
      <c r="J31" s="2" t="s">
        <v>778</v>
      </c>
      <c r="K31" s="2" t="s">
        <v>304</v>
      </c>
      <c r="L31" s="2" t="s">
        <v>119</v>
      </c>
      <c r="M31" s="8" t="str">
        <f>HYPERLINK("http://slimages.macys.com/is/image/MCY/11646032 ")</f>
        <v xml:space="preserve">http://slimages.macys.com/is/image/MCY/11646032 </v>
      </c>
    </row>
    <row r="32" spans="1:13" ht="60" x14ac:dyDescent="0.25">
      <c r="A32" s="7" t="s">
        <v>10805</v>
      </c>
      <c r="B32" s="2" t="s">
        <v>5845</v>
      </c>
      <c r="C32" s="4">
        <v>1</v>
      </c>
      <c r="D32" s="5">
        <v>15.8</v>
      </c>
      <c r="E32" s="5">
        <v>39.5</v>
      </c>
      <c r="F32" s="4" t="s">
        <v>5846</v>
      </c>
      <c r="G32" s="2" t="s">
        <v>86</v>
      </c>
      <c r="H32" s="7"/>
      <c r="I32" s="2" t="s">
        <v>57</v>
      </c>
      <c r="J32" s="2" t="s">
        <v>58</v>
      </c>
      <c r="K32" s="2" t="s">
        <v>304</v>
      </c>
      <c r="L32" s="2" t="s">
        <v>100</v>
      </c>
      <c r="M32" s="8" t="str">
        <f>HYPERLINK("http://slimages.macys.com/is/image/MCY/13815553 ")</f>
        <v xml:space="preserve">http://slimages.macys.com/is/image/MCY/13815553 </v>
      </c>
    </row>
    <row r="33" spans="1:13" ht="60" x14ac:dyDescent="0.25">
      <c r="A33" s="7" t="s">
        <v>10806</v>
      </c>
      <c r="B33" s="2" t="s">
        <v>5845</v>
      </c>
      <c r="C33" s="4">
        <v>2</v>
      </c>
      <c r="D33" s="5">
        <v>15.8</v>
      </c>
      <c r="E33" s="5">
        <v>39.5</v>
      </c>
      <c r="F33" s="4" t="s">
        <v>5846</v>
      </c>
      <c r="G33" s="2" t="s">
        <v>86</v>
      </c>
      <c r="H33" s="7"/>
      <c r="I33" s="2" t="s">
        <v>57</v>
      </c>
      <c r="J33" s="2" t="s">
        <v>58</v>
      </c>
      <c r="K33" s="2" t="s">
        <v>304</v>
      </c>
      <c r="L33" s="2" t="s">
        <v>100</v>
      </c>
      <c r="M33" s="8" t="str">
        <f>HYPERLINK("http://slimages.macys.com/is/image/MCY/13815553 ")</f>
        <v xml:space="preserve">http://slimages.macys.com/is/image/MCY/13815553 </v>
      </c>
    </row>
    <row r="34" spans="1:13" ht="60" x14ac:dyDescent="0.25">
      <c r="A34" s="7" t="s">
        <v>730</v>
      </c>
      <c r="B34" s="2" t="s">
        <v>110</v>
      </c>
      <c r="C34" s="4">
        <v>1</v>
      </c>
      <c r="D34" s="5">
        <v>15.8</v>
      </c>
      <c r="E34" s="5">
        <v>39.5</v>
      </c>
      <c r="F34" s="4" t="s">
        <v>111</v>
      </c>
      <c r="G34" s="2" t="s">
        <v>41</v>
      </c>
      <c r="H34" s="7"/>
      <c r="I34" s="2" t="s">
        <v>57</v>
      </c>
      <c r="J34" s="2" t="s">
        <v>58</v>
      </c>
      <c r="K34" s="2" t="s">
        <v>304</v>
      </c>
      <c r="L34" s="2" t="s">
        <v>100</v>
      </c>
      <c r="M34" s="8" t="str">
        <f>HYPERLINK("http://slimages.macys.com/is/image/MCY/13049173 ")</f>
        <v xml:space="preserve">http://slimages.macys.com/is/image/MCY/13049173 </v>
      </c>
    </row>
    <row r="35" spans="1:13" ht="60" x14ac:dyDescent="0.25">
      <c r="A35" s="7" t="s">
        <v>10807</v>
      </c>
      <c r="B35" s="2" t="s">
        <v>10360</v>
      </c>
      <c r="C35" s="4">
        <v>1</v>
      </c>
      <c r="D35" s="5">
        <v>15.8</v>
      </c>
      <c r="E35" s="5">
        <v>39.5</v>
      </c>
      <c r="F35" s="4" t="s">
        <v>10361</v>
      </c>
      <c r="G35" s="2" t="s">
        <v>41</v>
      </c>
      <c r="H35" s="7"/>
      <c r="I35" s="2" t="s">
        <v>57</v>
      </c>
      <c r="J35" s="2" t="s">
        <v>58</v>
      </c>
      <c r="K35" s="2" t="s">
        <v>304</v>
      </c>
      <c r="L35" s="2" t="s">
        <v>38</v>
      </c>
      <c r="M35" s="8" t="str">
        <f>HYPERLINK("http://slimages.macys.com/is/image/MCY/13802820 ")</f>
        <v xml:space="preserve">http://slimages.macys.com/is/image/MCY/13802820 </v>
      </c>
    </row>
    <row r="36" spans="1:13" ht="60" x14ac:dyDescent="0.25">
      <c r="A36" s="7" t="s">
        <v>10808</v>
      </c>
      <c r="B36" s="2" t="s">
        <v>1467</v>
      </c>
      <c r="C36" s="4">
        <v>1</v>
      </c>
      <c r="D36" s="5">
        <v>15.8</v>
      </c>
      <c r="E36" s="5">
        <v>39.5</v>
      </c>
      <c r="F36" s="4" t="s">
        <v>1468</v>
      </c>
      <c r="G36" s="2" t="s">
        <v>437</v>
      </c>
      <c r="H36" s="7"/>
      <c r="I36" s="2" t="s">
        <v>57</v>
      </c>
      <c r="J36" s="2" t="s">
        <v>58</v>
      </c>
      <c r="K36" s="2" t="s">
        <v>304</v>
      </c>
      <c r="L36" s="2" t="s">
        <v>100</v>
      </c>
      <c r="M36" s="8" t="str">
        <f>HYPERLINK("http://slimages.macys.com/is/image/MCY/13043447 ")</f>
        <v xml:space="preserve">http://slimages.macys.com/is/image/MCY/13043447 </v>
      </c>
    </row>
    <row r="37" spans="1:13" ht="60" x14ac:dyDescent="0.25">
      <c r="A37" s="7" t="s">
        <v>10809</v>
      </c>
      <c r="B37" s="2" t="s">
        <v>5845</v>
      </c>
      <c r="C37" s="4">
        <v>2</v>
      </c>
      <c r="D37" s="5">
        <v>15.8</v>
      </c>
      <c r="E37" s="5">
        <v>39.5</v>
      </c>
      <c r="F37" s="4" t="s">
        <v>5846</v>
      </c>
      <c r="G37" s="2" t="s">
        <v>86</v>
      </c>
      <c r="H37" s="7"/>
      <c r="I37" s="2" t="s">
        <v>57</v>
      </c>
      <c r="J37" s="2" t="s">
        <v>58</v>
      </c>
      <c r="K37" s="2" t="s">
        <v>304</v>
      </c>
      <c r="L37" s="2" t="s">
        <v>100</v>
      </c>
      <c r="M37" s="8" t="str">
        <f>HYPERLINK("http://slimages.macys.com/is/image/MCY/13815553 ")</f>
        <v xml:space="preserve">http://slimages.macys.com/is/image/MCY/13815553 </v>
      </c>
    </row>
    <row r="38" spans="1:13" ht="60" x14ac:dyDescent="0.25">
      <c r="A38" s="7" t="s">
        <v>10810</v>
      </c>
      <c r="B38" s="2" t="s">
        <v>8667</v>
      </c>
      <c r="C38" s="4">
        <v>1</v>
      </c>
      <c r="D38" s="5">
        <v>15.75</v>
      </c>
      <c r="E38" s="5">
        <v>35</v>
      </c>
      <c r="F38" s="4">
        <v>323703632027</v>
      </c>
      <c r="G38" s="2" t="s">
        <v>28</v>
      </c>
      <c r="H38" s="7" t="s">
        <v>217</v>
      </c>
      <c r="I38" s="2" t="s">
        <v>204</v>
      </c>
      <c r="J38" s="2" t="s">
        <v>205</v>
      </c>
      <c r="K38" s="2" t="s">
        <v>304</v>
      </c>
      <c r="L38" s="2" t="s">
        <v>87</v>
      </c>
      <c r="M38" s="8" t="str">
        <f>HYPERLINK("http://slimages.macys.com/is/image/MCY/13746691 ")</f>
        <v xml:space="preserve">http://slimages.macys.com/is/image/MCY/13746691 </v>
      </c>
    </row>
    <row r="39" spans="1:13" ht="60" x14ac:dyDescent="0.25">
      <c r="A39" s="7" t="s">
        <v>10811</v>
      </c>
      <c r="B39" s="2" t="s">
        <v>8609</v>
      </c>
      <c r="C39" s="4">
        <v>1</v>
      </c>
      <c r="D39" s="5">
        <v>15.68</v>
      </c>
      <c r="E39" s="5">
        <v>49</v>
      </c>
      <c r="F39" s="4" t="s">
        <v>8610</v>
      </c>
      <c r="G39" s="2" t="s">
        <v>892</v>
      </c>
      <c r="H39" s="7" t="s">
        <v>172</v>
      </c>
      <c r="I39" s="2" t="s">
        <v>3685</v>
      </c>
      <c r="J39" s="2" t="s">
        <v>3686</v>
      </c>
      <c r="K39" s="2" t="s">
        <v>304</v>
      </c>
      <c r="L39" s="2" t="s">
        <v>596</v>
      </c>
      <c r="M39" s="8" t="str">
        <f>HYPERLINK("http://slimages.macys.com/is/image/MCY/13384405 ")</f>
        <v xml:space="preserve">http://slimages.macys.com/is/image/MCY/13384405 </v>
      </c>
    </row>
    <row r="40" spans="1:13" ht="84" x14ac:dyDescent="0.25">
      <c r="A40" s="7" t="s">
        <v>10812</v>
      </c>
      <c r="B40" s="2" t="s">
        <v>10813</v>
      </c>
      <c r="C40" s="4">
        <v>1</v>
      </c>
      <c r="D40" s="5">
        <v>15</v>
      </c>
      <c r="E40" s="5">
        <v>44.99</v>
      </c>
      <c r="F40" s="4" t="s">
        <v>10814</v>
      </c>
      <c r="G40" s="2"/>
      <c r="H40" s="7" t="s">
        <v>179</v>
      </c>
      <c r="I40" s="2" t="s">
        <v>668</v>
      </c>
      <c r="J40" s="2" t="s">
        <v>1437</v>
      </c>
      <c r="K40" s="2" t="s">
        <v>304</v>
      </c>
      <c r="L40" s="2" t="s">
        <v>1117</v>
      </c>
      <c r="M40" s="8" t="str">
        <f>HYPERLINK("http://slimages.macys.com/is/image/MCY/12257782 ")</f>
        <v xml:space="preserve">http://slimages.macys.com/is/image/MCY/12257782 </v>
      </c>
    </row>
    <row r="41" spans="1:13" ht="60" x14ac:dyDescent="0.25">
      <c r="A41" s="7" t="s">
        <v>10815</v>
      </c>
      <c r="B41" s="2" t="s">
        <v>1477</v>
      </c>
      <c r="C41" s="4">
        <v>1</v>
      </c>
      <c r="D41" s="5">
        <v>15</v>
      </c>
      <c r="E41" s="5">
        <v>39.99</v>
      </c>
      <c r="F41" s="4" t="s">
        <v>1478</v>
      </c>
      <c r="G41" s="2" t="s">
        <v>36</v>
      </c>
      <c r="H41" s="7" t="s">
        <v>442</v>
      </c>
      <c r="I41" s="2" t="s">
        <v>92</v>
      </c>
      <c r="J41" s="2" t="s">
        <v>187</v>
      </c>
      <c r="K41" s="2" t="s">
        <v>304</v>
      </c>
      <c r="L41" s="2" t="s">
        <v>1479</v>
      </c>
      <c r="M41" s="8" t="str">
        <f>HYPERLINK("http://slimages.macys.com/is/image/MCY/13310887 ")</f>
        <v xml:space="preserve">http://slimages.macys.com/is/image/MCY/13310887 </v>
      </c>
    </row>
    <row r="42" spans="1:13" ht="60" x14ac:dyDescent="0.25">
      <c r="A42" s="7" t="s">
        <v>9840</v>
      </c>
      <c r="B42" s="2" t="s">
        <v>8592</v>
      </c>
      <c r="C42" s="4">
        <v>1</v>
      </c>
      <c r="D42" s="5">
        <v>14.7</v>
      </c>
      <c r="E42" s="5">
        <v>35</v>
      </c>
      <c r="F42" s="4" t="s">
        <v>8593</v>
      </c>
      <c r="G42" s="2" t="s">
        <v>28</v>
      </c>
      <c r="H42" s="7"/>
      <c r="I42" s="2" t="s">
        <v>80</v>
      </c>
      <c r="J42" s="2" t="s">
        <v>74</v>
      </c>
      <c r="K42" s="2" t="s">
        <v>304</v>
      </c>
      <c r="L42" s="2" t="s">
        <v>8594</v>
      </c>
      <c r="M42" s="8" t="str">
        <f>HYPERLINK("http://slimages.macys.com/is/image/MCY/11949466 ")</f>
        <v xml:space="preserve">http://slimages.macys.com/is/image/MCY/11949466 </v>
      </c>
    </row>
    <row r="43" spans="1:13" ht="60" x14ac:dyDescent="0.25">
      <c r="A43" s="7" t="s">
        <v>1487</v>
      </c>
      <c r="B43" s="2" t="s">
        <v>1488</v>
      </c>
      <c r="C43" s="4">
        <v>1</v>
      </c>
      <c r="D43" s="5">
        <v>14.62</v>
      </c>
      <c r="E43" s="5">
        <v>39.5</v>
      </c>
      <c r="F43" s="4" t="s">
        <v>1489</v>
      </c>
      <c r="G43" s="2" t="s">
        <v>28</v>
      </c>
      <c r="H43" s="7" t="s">
        <v>172</v>
      </c>
      <c r="I43" s="2" t="s">
        <v>880</v>
      </c>
      <c r="J43" s="2" t="s">
        <v>881</v>
      </c>
      <c r="K43" s="2" t="s">
        <v>304</v>
      </c>
      <c r="L43" s="2" t="s">
        <v>119</v>
      </c>
      <c r="M43" s="8" t="str">
        <f>HYPERLINK("http://slimages.macys.com/is/image/MCY/12051814 ")</f>
        <v xml:space="preserve">http://slimages.macys.com/is/image/MCY/12051814 </v>
      </c>
    </row>
    <row r="44" spans="1:13" ht="60" x14ac:dyDescent="0.25">
      <c r="A44" s="7" t="s">
        <v>5188</v>
      </c>
      <c r="B44" s="2" t="s">
        <v>1488</v>
      </c>
      <c r="C44" s="4">
        <v>1</v>
      </c>
      <c r="D44" s="5">
        <v>14.62</v>
      </c>
      <c r="E44" s="5">
        <v>39.5</v>
      </c>
      <c r="F44" s="4" t="s">
        <v>1489</v>
      </c>
      <c r="G44" s="2" t="s">
        <v>28</v>
      </c>
      <c r="H44" s="7" t="s">
        <v>248</v>
      </c>
      <c r="I44" s="2" t="s">
        <v>880</v>
      </c>
      <c r="J44" s="2" t="s">
        <v>881</v>
      </c>
      <c r="K44" s="2" t="s">
        <v>304</v>
      </c>
      <c r="L44" s="2" t="s">
        <v>119</v>
      </c>
      <c r="M44" s="8" t="str">
        <f>HYPERLINK("http://slimages.macys.com/is/image/MCY/12051814 ")</f>
        <v xml:space="preserve">http://slimages.macys.com/is/image/MCY/12051814 </v>
      </c>
    </row>
    <row r="45" spans="1:13" ht="108" x14ac:dyDescent="0.25">
      <c r="A45" s="7" t="s">
        <v>8629</v>
      </c>
      <c r="B45" s="2" t="s">
        <v>8630</v>
      </c>
      <c r="C45" s="4">
        <v>1</v>
      </c>
      <c r="D45" s="5">
        <v>14.5</v>
      </c>
      <c r="E45" s="5">
        <v>39.99</v>
      </c>
      <c r="F45" s="4" t="s">
        <v>8631</v>
      </c>
      <c r="G45" s="2" t="s">
        <v>103</v>
      </c>
      <c r="H45" s="7" t="s">
        <v>590</v>
      </c>
      <c r="I45" s="2" t="s">
        <v>92</v>
      </c>
      <c r="J45" s="2" t="s">
        <v>65</v>
      </c>
      <c r="K45" s="2" t="s">
        <v>304</v>
      </c>
      <c r="L45" s="2" t="s">
        <v>8632</v>
      </c>
      <c r="M45" s="8" t="str">
        <f>HYPERLINK("http://slimages.macys.com/is/image/MCY/13965166 ")</f>
        <v xml:space="preserve">http://slimages.macys.com/is/image/MCY/13965166 </v>
      </c>
    </row>
    <row r="46" spans="1:13" ht="60" x14ac:dyDescent="0.25">
      <c r="A46" s="7" t="s">
        <v>2983</v>
      </c>
      <c r="B46" s="2" t="s">
        <v>2984</v>
      </c>
      <c r="C46" s="4">
        <v>2</v>
      </c>
      <c r="D46" s="5">
        <v>14.5</v>
      </c>
      <c r="E46" s="5">
        <v>29.99</v>
      </c>
      <c r="F46" s="4" t="s">
        <v>2985</v>
      </c>
      <c r="G46" s="2" t="s">
        <v>262</v>
      </c>
      <c r="H46" s="7" t="s">
        <v>179</v>
      </c>
      <c r="I46" s="2" t="s">
        <v>30</v>
      </c>
      <c r="J46" s="2" t="s">
        <v>2986</v>
      </c>
      <c r="K46" s="2" t="s">
        <v>304</v>
      </c>
      <c r="L46" s="2" t="s">
        <v>712</v>
      </c>
      <c r="M46" s="8" t="str">
        <f>HYPERLINK("http://slimages.macys.com/is/image/MCY/11603525 ")</f>
        <v xml:space="preserve">http://slimages.macys.com/is/image/MCY/11603525 </v>
      </c>
    </row>
    <row r="47" spans="1:13" ht="60" x14ac:dyDescent="0.25">
      <c r="A47" s="7" t="s">
        <v>10816</v>
      </c>
      <c r="B47" s="2" t="s">
        <v>2984</v>
      </c>
      <c r="C47" s="4">
        <v>1</v>
      </c>
      <c r="D47" s="5">
        <v>14.5</v>
      </c>
      <c r="E47" s="5">
        <v>29.99</v>
      </c>
      <c r="F47" s="4" t="s">
        <v>2985</v>
      </c>
      <c r="G47" s="2" t="s">
        <v>262</v>
      </c>
      <c r="H47" s="7"/>
      <c r="I47" s="2" t="s">
        <v>30</v>
      </c>
      <c r="J47" s="2" t="s">
        <v>2986</v>
      </c>
      <c r="K47" s="2" t="s">
        <v>304</v>
      </c>
      <c r="L47" s="2" t="s">
        <v>712</v>
      </c>
      <c r="M47" s="8" t="str">
        <f>HYPERLINK("http://slimages.macys.com/is/image/MCY/11603525 ")</f>
        <v xml:space="preserve">http://slimages.macys.com/is/image/MCY/11603525 </v>
      </c>
    </row>
    <row r="48" spans="1:13" ht="60" x14ac:dyDescent="0.25">
      <c r="A48" s="7" t="s">
        <v>10817</v>
      </c>
      <c r="B48" s="2" t="s">
        <v>10818</v>
      </c>
      <c r="C48" s="4">
        <v>1</v>
      </c>
      <c r="D48" s="5">
        <v>14.25</v>
      </c>
      <c r="E48" s="5">
        <v>26.99</v>
      </c>
      <c r="F48" s="4" t="s">
        <v>10819</v>
      </c>
      <c r="G48" s="2" t="s">
        <v>297</v>
      </c>
      <c r="H48" s="7" t="s">
        <v>196</v>
      </c>
      <c r="I48" s="2" t="s">
        <v>73</v>
      </c>
      <c r="J48" s="2" t="s">
        <v>160</v>
      </c>
      <c r="K48" s="2" t="s">
        <v>304</v>
      </c>
      <c r="L48" s="2" t="s">
        <v>358</v>
      </c>
      <c r="M48" s="8" t="str">
        <f>HYPERLINK("http://slimages.macys.com/is/image/MCY/12835624 ")</f>
        <v xml:space="preserve">http://slimages.macys.com/is/image/MCY/12835624 </v>
      </c>
    </row>
    <row r="49" spans="1:13" ht="132" x14ac:dyDescent="0.25">
      <c r="A49" s="7" t="s">
        <v>10820</v>
      </c>
      <c r="B49" s="2" t="s">
        <v>10821</v>
      </c>
      <c r="C49" s="4">
        <v>1</v>
      </c>
      <c r="D49" s="5">
        <v>14</v>
      </c>
      <c r="E49" s="5">
        <v>39.99</v>
      </c>
      <c r="F49" s="4" t="s">
        <v>10822</v>
      </c>
      <c r="G49" s="2" t="s">
        <v>36</v>
      </c>
      <c r="H49" s="7" t="s">
        <v>144</v>
      </c>
      <c r="I49" s="2" t="s">
        <v>64</v>
      </c>
      <c r="J49" s="2" t="s">
        <v>239</v>
      </c>
      <c r="K49" s="2" t="s">
        <v>304</v>
      </c>
      <c r="L49" s="2" t="s">
        <v>10823</v>
      </c>
      <c r="M49" s="8" t="str">
        <f>HYPERLINK("http://slimages.macys.com/is/image/MCY/11952940 ")</f>
        <v xml:space="preserve">http://slimages.macys.com/is/image/MCY/11952940 </v>
      </c>
    </row>
    <row r="50" spans="1:13" ht="60" x14ac:dyDescent="0.25">
      <c r="A50" s="7" t="s">
        <v>10824</v>
      </c>
      <c r="B50" s="2" t="s">
        <v>7347</v>
      </c>
      <c r="C50" s="4">
        <v>1</v>
      </c>
      <c r="D50" s="5">
        <v>14</v>
      </c>
      <c r="E50" s="5">
        <v>27.99</v>
      </c>
      <c r="F50" s="4" t="s">
        <v>7348</v>
      </c>
      <c r="G50" s="2" t="s">
        <v>79</v>
      </c>
      <c r="H50" s="7" t="s">
        <v>2791</v>
      </c>
      <c r="I50" s="2" t="s">
        <v>30</v>
      </c>
      <c r="J50" s="2" t="s">
        <v>31</v>
      </c>
      <c r="K50" s="2" t="s">
        <v>304</v>
      </c>
      <c r="L50" s="2" t="s">
        <v>119</v>
      </c>
      <c r="M50" s="8" t="str">
        <f>HYPERLINK("http://slimages.macys.com/is/image/MCY/9314817 ")</f>
        <v xml:space="preserve">http://slimages.macys.com/is/image/MCY/9314817 </v>
      </c>
    </row>
    <row r="51" spans="1:13" ht="60" x14ac:dyDescent="0.25">
      <c r="A51" s="7" t="s">
        <v>9324</v>
      </c>
      <c r="B51" s="2" t="s">
        <v>750</v>
      </c>
      <c r="C51" s="4">
        <v>1</v>
      </c>
      <c r="D51" s="5">
        <v>14</v>
      </c>
      <c r="E51" s="5">
        <v>32.99</v>
      </c>
      <c r="F51" s="4" t="s">
        <v>751</v>
      </c>
      <c r="G51" s="2" t="s">
        <v>752</v>
      </c>
      <c r="H51" s="7" t="s">
        <v>311</v>
      </c>
      <c r="I51" s="2" t="s">
        <v>80</v>
      </c>
      <c r="J51" s="2" t="s">
        <v>145</v>
      </c>
      <c r="K51" s="2" t="s">
        <v>304</v>
      </c>
      <c r="L51" s="2" t="s">
        <v>125</v>
      </c>
      <c r="M51" s="8" t="str">
        <f>HYPERLINK("http://slimages.macys.com/is/image/MCY/13356716 ")</f>
        <v xml:space="preserve">http://slimages.macys.com/is/image/MCY/13356716 </v>
      </c>
    </row>
    <row r="52" spans="1:13" ht="60" x14ac:dyDescent="0.25">
      <c r="A52" s="7" t="s">
        <v>1507</v>
      </c>
      <c r="B52" s="2" t="s">
        <v>1491</v>
      </c>
      <c r="C52" s="4">
        <v>1</v>
      </c>
      <c r="D52" s="5">
        <v>13.88</v>
      </c>
      <c r="E52" s="5">
        <v>37.5</v>
      </c>
      <c r="F52" s="4" t="s">
        <v>1508</v>
      </c>
      <c r="G52" s="2" t="s">
        <v>800</v>
      </c>
      <c r="H52" s="7" t="s">
        <v>144</v>
      </c>
      <c r="I52" s="2" t="s">
        <v>880</v>
      </c>
      <c r="J52" s="2" t="s">
        <v>881</v>
      </c>
      <c r="K52" s="2" t="s">
        <v>304</v>
      </c>
      <c r="L52" s="2" t="s">
        <v>119</v>
      </c>
      <c r="M52" s="8" t="str">
        <f>HYPERLINK("http://slimages.macys.com/is/image/MCY/13358906 ")</f>
        <v xml:space="preserve">http://slimages.macys.com/is/image/MCY/13358906 </v>
      </c>
    </row>
    <row r="53" spans="1:13" ht="60" x14ac:dyDescent="0.25">
      <c r="A53" s="7" t="s">
        <v>10825</v>
      </c>
      <c r="B53" s="2" t="s">
        <v>10826</v>
      </c>
      <c r="C53" s="4">
        <v>1</v>
      </c>
      <c r="D53" s="5">
        <v>13.83</v>
      </c>
      <c r="E53" s="5">
        <v>39.5</v>
      </c>
      <c r="F53" s="4" t="s">
        <v>10827</v>
      </c>
      <c r="G53" s="2" t="s">
        <v>62</v>
      </c>
      <c r="H53" s="7" t="s">
        <v>266</v>
      </c>
      <c r="I53" s="2" t="s">
        <v>298</v>
      </c>
      <c r="J53" s="2" t="s">
        <v>99</v>
      </c>
      <c r="K53" s="2" t="s">
        <v>304</v>
      </c>
      <c r="L53" s="2" t="s">
        <v>119</v>
      </c>
      <c r="M53" s="8" t="str">
        <f>HYPERLINK("http://slimages.macys.com/is/image/MCY/13742699 ")</f>
        <v xml:space="preserve">http://slimages.macys.com/is/image/MCY/13742699 </v>
      </c>
    </row>
    <row r="54" spans="1:13" ht="60" x14ac:dyDescent="0.25">
      <c r="A54" s="7" t="s">
        <v>10828</v>
      </c>
      <c r="B54" s="2" t="s">
        <v>10829</v>
      </c>
      <c r="C54" s="4">
        <v>1</v>
      </c>
      <c r="D54" s="5">
        <v>13.83</v>
      </c>
      <c r="E54" s="5">
        <v>39.5</v>
      </c>
      <c r="F54" s="4" t="s">
        <v>10830</v>
      </c>
      <c r="G54" s="2" t="s">
        <v>165</v>
      </c>
      <c r="H54" s="7" t="s">
        <v>266</v>
      </c>
      <c r="I54" s="2" t="s">
        <v>298</v>
      </c>
      <c r="J54" s="2" t="s">
        <v>99</v>
      </c>
      <c r="K54" s="2" t="s">
        <v>304</v>
      </c>
      <c r="L54" s="2" t="s">
        <v>712</v>
      </c>
      <c r="M54" s="8" t="str">
        <f>HYPERLINK("http://slimages.macys.com/is/image/MCY/13801813 ")</f>
        <v xml:space="preserve">http://slimages.macys.com/is/image/MCY/13801813 </v>
      </c>
    </row>
    <row r="55" spans="1:13" ht="84" x14ac:dyDescent="0.25">
      <c r="A55" s="7" t="s">
        <v>8652</v>
      </c>
      <c r="B55" s="2" t="s">
        <v>1510</v>
      </c>
      <c r="C55" s="4">
        <v>1</v>
      </c>
      <c r="D55" s="5">
        <v>13.8</v>
      </c>
      <c r="E55" s="5">
        <v>33.99</v>
      </c>
      <c r="F55" s="4" t="s">
        <v>1511</v>
      </c>
      <c r="G55" s="2" t="s">
        <v>698</v>
      </c>
      <c r="H55" s="7" t="s">
        <v>196</v>
      </c>
      <c r="I55" s="2" t="s">
        <v>321</v>
      </c>
      <c r="J55" s="2" t="s">
        <v>1512</v>
      </c>
      <c r="K55" s="2" t="s">
        <v>304</v>
      </c>
      <c r="L55" s="2" t="s">
        <v>1117</v>
      </c>
      <c r="M55" s="8" t="str">
        <f>HYPERLINK("http://slimages.macys.com/is/image/MCY/10750360 ")</f>
        <v xml:space="preserve">http://slimages.macys.com/is/image/MCY/10750360 </v>
      </c>
    </row>
    <row r="56" spans="1:13" ht="84" x14ac:dyDescent="0.25">
      <c r="A56" s="7" t="s">
        <v>8648</v>
      </c>
      <c r="B56" s="2" t="s">
        <v>1510</v>
      </c>
      <c r="C56" s="4">
        <v>1</v>
      </c>
      <c r="D56" s="5">
        <v>13.8</v>
      </c>
      <c r="E56" s="5">
        <v>33.99</v>
      </c>
      <c r="F56" s="4" t="s">
        <v>1511</v>
      </c>
      <c r="G56" s="2" t="s">
        <v>698</v>
      </c>
      <c r="H56" s="7" t="s">
        <v>228</v>
      </c>
      <c r="I56" s="2" t="s">
        <v>321</v>
      </c>
      <c r="J56" s="2" t="s">
        <v>1512</v>
      </c>
      <c r="K56" s="2" t="s">
        <v>304</v>
      </c>
      <c r="L56" s="2" t="s">
        <v>1117</v>
      </c>
      <c r="M56" s="8" t="str">
        <f>HYPERLINK("http://slimages.macys.com/is/image/MCY/10750360 ")</f>
        <v xml:space="preserve">http://slimages.macys.com/is/image/MCY/10750360 </v>
      </c>
    </row>
    <row r="57" spans="1:13" ht="84" x14ac:dyDescent="0.25">
      <c r="A57" s="7" t="s">
        <v>8647</v>
      </c>
      <c r="B57" s="2" t="s">
        <v>1510</v>
      </c>
      <c r="C57" s="4">
        <v>2</v>
      </c>
      <c r="D57" s="5">
        <v>13.8</v>
      </c>
      <c r="E57" s="5">
        <v>33.99</v>
      </c>
      <c r="F57" s="4" t="s">
        <v>1511</v>
      </c>
      <c r="G57" s="2" t="s">
        <v>103</v>
      </c>
      <c r="H57" s="7" t="s">
        <v>196</v>
      </c>
      <c r="I57" s="2" t="s">
        <v>321</v>
      </c>
      <c r="J57" s="2" t="s">
        <v>1512</v>
      </c>
      <c r="K57" s="2" t="s">
        <v>304</v>
      </c>
      <c r="L57" s="2" t="s">
        <v>1117</v>
      </c>
      <c r="M57" s="8" t="str">
        <f>HYPERLINK("http://slimages.macys.com/is/image/MCY/10750360 ")</f>
        <v xml:space="preserve">http://slimages.macys.com/is/image/MCY/10750360 </v>
      </c>
    </row>
    <row r="58" spans="1:13" ht="84" x14ac:dyDescent="0.25">
      <c r="A58" s="7" t="s">
        <v>10831</v>
      </c>
      <c r="B58" s="2" t="s">
        <v>10832</v>
      </c>
      <c r="C58" s="4">
        <v>1</v>
      </c>
      <c r="D58" s="5">
        <v>13.5</v>
      </c>
      <c r="E58" s="5">
        <v>33.99</v>
      </c>
      <c r="F58" s="4" t="s">
        <v>10833</v>
      </c>
      <c r="G58" s="2" t="s">
        <v>1147</v>
      </c>
      <c r="H58" s="7" t="s">
        <v>144</v>
      </c>
      <c r="I58" s="2" t="s">
        <v>321</v>
      </c>
      <c r="J58" s="2" t="s">
        <v>4829</v>
      </c>
      <c r="K58" s="2" t="s">
        <v>304</v>
      </c>
      <c r="L58" s="2" t="s">
        <v>8157</v>
      </c>
      <c r="M58" s="8" t="str">
        <f>HYPERLINK("http://slimages.macys.com/is/image/MCY/11545238 ")</f>
        <v xml:space="preserve">http://slimages.macys.com/is/image/MCY/11545238 </v>
      </c>
    </row>
    <row r="59" spans="1:13" ht="72" x14ac:dyDescent="0.25">
      <c r="A59" s="7" t="s">
        <v>10834</v>
      </c>
      <c r="B59" s="2" t="s">
        <v>10835</v>
      </c>
      <c r="C59" s="4">
        <v>1</v>
      </c>
      <c r="D59" s="5">
        <v>13.35</v>
      </c>
      <c r="E59" s="5">
        <v>26.99</v>
      </c>
      <c r="F59" s="4" t="s">
        <v>10836</v>
      </c>
      <c r="G59" s="2" t="s">
        <v>165</v>
      </c>
      <c r="H59" s="7" t="s">
        <v>284</v>
      </c>
      <c r="I59" s="2" t="s">
        <v>80</v>
      </c>
      <c r="J59" s="2" t="s">
        <v>160</v>
      </c>
      <c r="K59" s="2" t="s">
        <v>304</v>
      </c>
      <c r="L59" s="2" t="s">
        <v>10837</v>
      </c>
      <c r="M59" s="8" t="str">
        <f>HYPERLINK("http://slimages.macys.com/is/image/MCY/11486489 ")</f>
        <v xml:space="preserve">http://slimages.macys.com/is/image/MCY/11486489 </v>
      </c>
    </row>
    <row r="60" spans="1:13" ht="60" x14ac:dyDescent="0.25">
      <c r="A60" s="7" t="s">
        <v>10838</v>
      </c>
      <c r="B60" s="2" t="s">
        <v>5217</v>
      </c>
      <c r="C60" s="4">
        <v>1</v>
      </c>
      <c r="D60" s="5">
        <v>13.35</v>
      </c>
      <c r="E60" s="5">
        <v>26.99</v>
      </c>
      <c r="F60" s="4" t="s">
        <v>5218</v>
      </c>
      <c r="G60" s="2" t="s">
        <v>698</v>
      </c>
      <c r="H60" s="7" t="s">
        <v>228</v>
      </c>
      <c r="I60" s="2" t="s">
        <v>80</v>
      </c>
      <c r="J60" s="2" t="s">
        <v>160</v>
      </c>
      <c r="K60" s="2" t="s">
        <v>304</v>
      </c>
      <c r="L60" s="2" t="s">
        <v>38</v>
      </c>
      <c r="M60" s="8" t="str">
        <f>HYPERLINK("http://slimages.macys.com/is/image/MCY/11485815 ")</f>
        <v xml:space="preserve">http://slimages.macys.com/is/image/MCY/11485815 </v>
      </c>
    </row>
    <row r="61" spans="1:13" ht="60" x14ac:dyDescent="0.25">
      <c r="A61" s="7" t="s">
        <v>10839</v>
      </c>
      <c r="B61" s="2" t="s">
        <v>10840</v>
      </c>
      <c r="C61" s="4">
        <v>1</v>
      </c>
      <c r="D61" s="5">
        <v>13.28</v>
      </c>
      <c r="E61" s="5">
        <v>29.5</v>
      </c>
      <c r="F61" s="4">
        <v>323756711001</v>
      </c>
      <c r="G61" s="2" t="s">
        <v>476</v>
      </c>
      <c r="H61" s="7" t="s">
        <v>159</v>
      </c>
      <c r="I61" s="2" t="s">
        <v>204</v>
      </c>
      <c r="J61" s="2" t="s">
        <v>205</v>
      </c>
      <c r="K61" s="2" t="s">
        <v>304</v>
      </c>
      <c r="L61" s="2" t="s">
        <v>38</v>
      </c>
      <c r="M61" s="8" t="str">
        <f>HYPERLINK("http://slimages.macys.com/is/image/MCY/13055097 ")</f>
        <v xml:space="preserve">http://slimages.macys.com/is/image/MCY/13055097 </v>
      </c>
    </row>
    <row r="62" spans="1:13" ht="60" x14ac:dyDescent="0.25">
      <c r="A62" s="7" t="s">
        <v>10841</v>
      </c>
      <c r="B62" s="2" t="s">
        <v>10842</v>
      </c>
      <c r="C62" s="4">
        <v>1</v>
      </c>
      <c r="D62" s="5">
        <v>13.28</v>
      </c>
      <c r="E62" s="5">
        <v>29.5</v>
      </c>
      <c r="F62" s="4">
        <v>323761644003</v>
      </c>
      <c r="G62" s="2" t="s">
        <v>28</v>
      </c>
      <c r="H62" s="7" t="s">
        <v>284</v>
      </c>
      <c r="I62" s="2" t="s">
        <v>204</v>
      </c>
      <c r="J62" s="2" t="s">
        <v>205</v>
      </c>
      <c r="K62" s="2" t="s">
        <v>304</v>
      </c>
      <c r="L62" s="2" t="s">
        <v>87</v>
      </c>
      <c r="M62" s="8" t="str">
        <f>HYPERLINK("http://slimages.macys.com/is/image/MCY/13967095 ")</f>
        <v xml:space="preserve">http://slimages.macys.com/is/image/MCY/13967095 </v>
      </c>
    </row>
    <row r="63" spans="1:13" ht="72" x14ac:dyDescent="0.25">
      <c r="A63" s="7" t="s">
        <v>10843</v>
      </c>
      <c r="B63" s="2" t="s">
        <v>8163</v>
      </c>
      <c r="C63" s="4">
        <v>1</v>
      </c>
      <c r="D63" s="5">
        <v>13.2</v>
      </c>
      <c r="E63" s="5">
        <v>33.99</v>
      </c>
      <c r="F63" s="4" t="s">
        <v>8164</v>
      </c>
      <c r="G63" s="2" t="s">
        <v>103</v>
      </c>
      <c r="H63" s="7" t="s">
        <v>196</v>
      </c>
      <c r="I63" s="2" t="s">
        <v>321</v>
      </c>
      <c r="J63" s="2" t="s">
        <v>1512</v>
      </c>
      <c r="K63" s="2" t="s">
        <v>304</v>
      </c>
      <c r="L63" s="2" t="s">
        <v>1520</v>
      </c>
      <c r="M63" s="8" t="str">
        <f>HYPERLINK("http://slimages.macys.com/is/image/MCY/10945450 ")</f>
        <v xml:space="preserve">http://slimages.macys.com/is/image/MCY/10945450 </v>
      </c>
    </row>
    <row r="64" spans="1:13" ht="72" x14ac:dyDescent="0.25">
      <c r="A64" s="7" t="s">
        <v>10844</v>
      </c>
      <c r="B64" s="2" t="s">
        <v>10845</v>
      </c>
      <c r="C64" s="4">
        <v>1</v>
      </c>
      <c r="D64" s="5">
        <v>13</v>
      </c>
      <c r="E64" s="5">
        <v>32.99</v>
      </c>
      <c r="F64" s="4" t="s">
        <v>10846</v>
      </c>
      <c r="G64" s="2" t="s">
        <v>582</v>
      </c>
      <c r="H64" s="7" t="s">
        <v>442</v>
      </c>
      <c r="I64" s="2" t="s">
        <v>92</v>
      </c>
      <c r="J64" s="2" t="s">
        <v>65</v>
      </c>
      <c r="K64" s="2" t="s">
        <v>304</v>
      </c>
      <c r="L64" s="2" t="s">
        <v>5235</v>
      </c>
      <c r="M64" s="8" t="str">
        <f>HYPERLINK("http://slimages.macys.com/is/image/MCY/13782956 ")</f>
        <v xml:space="preserve">http://slimages.macys.com/is/image/MCY/13782956 </v>
      </c>
    </row>
    <row r="65" spans="1:13" ht="60" x14ac:dyDescent="0.25">
      <c r="A65" s="7" t="s">
        <v>5858</v>
      </c>
      <c r="B65" s="2" t="s">
        <v>3760</v>
      </c>
      <c r="C65" s="4">
        <v>1</v>
      </c>
      <c r="D65" s="5">
        <v>12.92</v>
      </c>
      <c r="E65" s="5">
        <v>34.99</v>
      </c>
      <c r="F65" s="4" t="s">
        <v>3761</v>
      </c>
      <c r="G65" s="2" t="s">
        <v>62</v>
      </c>
      <c r="H65" s="7" t="s">
        <v>284</v>
      </c>
      <c r="I65" s="2" t="s">
        <v>218</v>
      </c>
      <c r="J65" s="2" t="s">
        <v>1740</v>
      </c>
      <c r="K65" s="2" t="s">
        <v>304</v>
      </c>
      <c r="L65" s="2" t="s">
        <v>3452</v>
      </c>
      <c r="M65" s="8" t="str">
        <f>HYPERLINK("http://slimages.macys.com/is/image/MCY/11946901 ")</f>
        <v xml:space="preserve">http://slimages.macys.com/is/image/MCY/11946901 </v>
      </c>
    </row>
    <row r="66" spans="1:13" ht="60" x14ac:dyDescent="0.25">
      <c r="A66" s="7" t="s">
        <v>3759</v>
      </c>
      <c r="B66" s="2" t="s">
        <v>3760</v>
      </c>
      <c r="C66" s="4">
        <v>2</v>
      </c>
      <c r="D66" s="5">
        <v>12.92</v>
      </c>
      <c r="E66" s="5">
        <v>34.99</v>
      </c>
      <c r="F66" s="4" t="s">
        <v>3761</v>
      </c>
      <c r="G66" s="2" t="s">
        <v>62</v>
      </c>
      <c r="H66" s="7" t="s">
        <v>228</v>
      </c>
      <c r="I66" s="2" t="s">
        <v>218</v>
      </c>
      <c r="J66" s="2" t="s">
        <v>1740</v>
      </c>
      <c r="K66" s="2" t="s">
        <v>304</v>
      </c>
      <c r="L66" s="2" t="s">
        <v>3452</v>
      </c>
      <c r="M66" s="8" t="str">
        <f>HYPERLINK("http://slimages.macys.com/is/image/MCY/11946901 ")</f>
        <v xml:space="preserve">http://slimages.macys.com/is/image/MCY/11946901 </v>
      </c>
    </row>
    <row r="67" spans="1:13" ht="60" x14ac:dyDescent="0.25">
      <c r="A67" s="7" t="s">
        <v>6148</v>
      </c>
      <c r="B67" s="2" t="s">
        <v>3760</v>
      </c>
      <c r="C67" s="4">
        <v>2</v>
      </c>
      <c r="D67" s="5">
        <v>12.92</v>
      </c>
      <c r="E67" s="5">
        <v>34.99</v>
      </c>
      <c r="F67" s="4" t="s">
        <v>3761</v>
      </c>
      <c r="G67" s="2" t="s">
        <v>62</v>
      </c>
      <c r="H67" s="7" t="s">
        <v>159</v>
      </c>
      <c r="I67" s="2" t="s">
        <v>218</v>
      </c>
      <c r="J67" s="2" t="s">
        <v>1740</v>
      </c>
      <c r="K67" s="2" t="s">
        <v>304</v>
      </c>
      <c r="L67" s="2" t="s">
        <v>3452</v>
      </c>
      <c r="M67" s="8" t="str">
        <f>HYPERLINK("http://slimages.macys.com/is/image/MCY/11946901 ")</f>
        <v xml:space="preserve">http://slimages.macys.com/is/image/MCY/11946901 </v>
      </c>
    </row>
    <row r="68" spans="1:13" ht="60" x14ac:dyDescent="0.25">
      <c r="A68" s="7" t="s">
        <v>6733</v>
      </c>
      <c r="B68" s="2" t="s">
        <v>3766</v>
      </c>
      <c r="C68" s="4">
        <v>1</v>
      </c>
      <c r="D68" s="5">
        <v>12.76</v>
      </c>
      <c r="E68" s="5">
        <v>34.99</v>
      </c>
      <c r="F68" s="4" t="s">
        <v>3767</v>
      </c>
      <c r="G68" s="2" t="s">
        <v>62</v>
      </c>
      <c r="H68" s="7" t="s">
        <v>228</v>
      </c>
      <c r="I68" s="2" t="s">
        <v>218</v>
      </c>
      <c r="J68" s="2" t="s">
        <v>1740</v>
      </c>
      <c r="K68" s="2" t="s">
        <v>304</v>
      </c>
      <c r="L68" s="2" t="s">
        <v>125</v>
      </c>
      <c r="M68" s="8" t="str">
        <f>HYPERLINK("http://slimages.macys.com/is/image/MCY/11946585 ")</f>
        <v xml:space="preserve">http://slimages.macys.com/is/image/MCY/11946585 </v>
      </c>
    </row>
    <row r="69" spans="1:13" ht="132" x14ac:dyDescent="0.25">
      <c r="A69" s="7" t="s">
        <v>10847</v>
      </c>
      <c r="B69" s="2" t="s">
        <v>8687</v>
      </c>
      <c r="C69" s="4">
        <v>1</v>
      </c>
      <c r="D69" s="5">
        <v>12.5</v>
      </c>
      <c r="E69" s="5">
        <v>29.99</v>
      </c>
      <c r="F69" s="4" t="s">
        <v>8688</v>
      </c>
      <c r="G69" s="2" t="s">
        <v>253</v>
      </c>
      <c r="H69" s="7" t="s">
        <v>442</v>
      </c>
      <c r="I69" s="2" t="s">
        <v>135</v>
      </c>
      <c r="J69" s="2" t="s">
        <v>258</v>
      </c>
      <c r="K69" s="2" t="s">
        <v>304</v>
      </c>
      <c r="L69" s="2" t="s">
        <v>8689</v>
      </c>
      <c r="M69" s="8" t="str">
        <f>HYPERLINK("http://slimages.macys.com/is/image/MCY/11859047 ")</f>
        <v xml:space="preserve">http://slimages.macys.com/is/image/MCY/11859047 </v>
      </c>
    </row>
    <row r="70" spans="1:13" ht="168" x14ac:dyDescent="0.25">
      <c r="A70" s="7" t="s">
        <v>10848</v>
      </c>
      <c r="B70" s="2" t="s">
        <v>1550</v>
      </c>
      <c r="C70" s="4">
        <v>1</v>
      </c>
      <c r="D70" s="5">
        <v>12.5</v>
      </c>
      <c r="E70" s="5">
        <v>32.99</v>
      </c>
      <c r="F70" s="4" t="s">
        <v>1551</v>
      </c>
      <c r="G70" s="2" t="s">
        <v>582</v>
      </c>
      <c r="H70" s="7" t="s">
        <v>42</v>
      </c>
      <c r="I70" s="2" t="s">
        <v>92</v>
      </c>
      <c r="J70" s="2" t="s">
        <v>65</v>
      </c>
      <c r="K70" s="2" t="s">
        <v>304</v>
      </c>
      <c r="L70" s="2" t="s">
        <v>1552</v>
      </c>
      <c r="M70" s="8" t="str">
        <f>HYPERLINK("http://slimages.macys.com/is/image/MCY/13782957 ")</f>
        <v xml:space="preserve">http://slimages.macys.com/is/image/MCY/13782957 </v>
      </c>
    </row>
    <row r="71" spans="1:13" ht="120" x14ac:dyDescent="0.25">
      <c r="A71" s="7" t="s">
        <v>10849</v>
      </c>
      <c r="B71" s="2" t="s">
        <v>5307</v>
      </c>
      <c r="C71" s="4">
        <v>1</v>
      </c>
      <c r="D71" s="5">
        <v>12.46</v>
      </c>
      <c r="E71" s="5">
        <v>24.99</v>
      </c>
      <c r="F71" s="4" t="s">
        <v>1563</v>
      </c>
      <c r="G71" s="2" t="s">
        <v>388</v>
      </c>
      <c r="H71" s="7" t="s">
        <v>159</v>
      </c>
      <c r="I71" s="2" t="s">
        <v>73</v>
      </c>
      <c r="J71" s="2" t="s">
        <v>160</v>
      </c>
      <c r="K71" s="2" t="s">
        <v>304</v>
      </c>
      <c r="L71" s="2" t="s">
        <v>1564</v>
      </c>
      <c r="M71" s="8" t="str">
        <f>HYPERLINK("http://slimages.macys.com/is/image/MCY/11973367 ")</f>
        <v xml:space="preserve">http://slimages.macys.com/is/image/MCY/11973367 </v>
      </c>
    </row>
    <row r="72" spans="1:13" ht="60" x14ac:dyDescent="0.25">
      <c r="A72" s="7" t="s">
        <v>5237</v>
      </c>
      <c r="B72" s="2" t="s">
        <v>203</v>
      </c>
      <c r="C72" s="4">
        <v>1</v>
      </c>
      <c r="D72" s="5">
        <v>12.38</v>
      </c>
      <c r="E72" s="5">
        <v>27.5</v>
      </c>
      <c r="F72" s="4">
        <v>321750963002</v>
      </c>
      <c r="G72" s="2" t="s">
        <v>353</v>
      </c>
      <c r="H72" s="7" t="s">
        <v>68</v>
      </c>
      <c r="I72" s="2" t="s">
        <v>204</v>
      </c>
      <c r="J72" s="2" t="s">
        <v>205</v>
      </c>
      <c r="K72" s="2" t="s">
        <v>304</v>
      </c>
      <c r="L72" s="2" t="s">
        <v>206</v>
      </c>
      <c r="M72" s="8" t="str">
        <f>HYPERLINK("http://slimages.macys.com/is/image/MCY/14633997 ")</f>
        <v xml:space="preserve">http://slimages.macys.com/is/image/MCY/14633997 </v>
      </c>
    </row>
    <row r="73" spans="1:13" ht="60" x14ac:dyDescent="0.25">
      <c r="A73" s="7" t="s">
        <v>10850</v>
      </c>
      <c r="B73" s="2" t="s">
        <v>203</v>
      </c>
      <c r="C73" s="4">
        <v>1</v>
      </c>
      <c r="D73" s="5">
        <v>12.38</v>
      </c>
      <c r="E73" s="5">
        <v>27.5</v>
      </c>
      <c r="F73" s="4">
        <v>322750963003</v>
      </c>
      <c r="G73" s="2" t="s">
        <v>129</v>
      </c>
      <c r="H73" s="7" t="s">
        <v>311</v>
      </c>
      <c r="I73" s="2" t="s">
        <v>204</v>
      </c>
      <c r="J73" s="2" t="s">
        <v>205</v>
      </c>
      <c r="K73" s="2" t="s">
        <v>304</v>
      </c>
      <c r="L73" s="2" t="s">
        <v>206</v>
      </c>
      <c r="M73" s="8" t="str">
        <f>HYPERLINK("http://slimages.macys.com/is/image/MCY/13743640 ")</f>
        <v xml:space="preserve">http://slimages.macys.com/is/image/MCY/13743640 </v>
      </c>
    </row>
    <row r="74" spans="1:13" ht="60" x14ac:dyDescent="0.25">
      <c r="A74" s="7" t="s">
        <v>10851</v>
      </c>
      <c r="B74" s="2" t="s">
        <v>10389</v>
      </c>
      <c r="C74" s="4">
        <v>1</v>
      </c>
      <c r="D74" s="5">
        <v>12.25</v>
      </c>
      <c r="E74" s="5">
        <v>27.22</v>
      </c>
      <c r="F74" s="4" t="s">
        <v>10390</v>
      </c>
      <c r="G74" s="2" t="s">
        <v>62</v>
      </c>
      <c r="H74" s="7" t="s">
        <v>284</v>
      </c>
      <c r="I74" s="2" t="s">
        <v>700</v>
      </c>
      <c r="J74" s="2" t="s">
        <v>2123</v>
      </c>
      <c r="K74" s="2" t="s">
        <v>304</v>
      </c>
      <c r="L74" s="2" t="s">
        <v>75</v>
      </c>
      <c r="M74" s="8" t="str">
        <f>HYPERLINK("http://slimages.macys.com/is/image/MCY/12465361 ")</f>
        <v xml:space="preserve">http://slimages.macys.com/is/image/MCY/12465361 </v>
      </c>
    </row>
    <row r="75" spans="1:13" ht="60" x14ac:dyDescent="0.25">
      <c r="A75" s="7" t="s">
        <v>9352</v>
      </c>
      <c r="B75" s="2" t="s">
        <v>3784</v>
      </c>
      <c r="C75" s="4">
        <v>1</v>
      </c>
      <c r="D75" s="5">
        <v>12.25</v>
      </c>
      <c r="E75" s="5">
        <v>27.22</v>
      </c>
      <c r="F75" s="4" t="s">
        <v>3785</v>
      </c>
      <c r="G75" s="2" t="s">
        <v>62</v>
      </c>
      <c r="H75" s="7" t="s">
        <v>228</v>
      </c>
      <c r="I75" s="2" t="s">
        <v>700</v>
      </c>
      <c r="J75" s="2" t="s">
        <v>2123</v>
      </c>
      <c r="K75" s="2" t="s">
        <v>304</v>
      </c>
      <c r="L75" s="2" t="s">
        <v>75</v>
      </c>
      <c r="M75" s="8" t="str">
        <f>HYPERLINK("http://slimages.macys.com/is/image/MCY/12465343 ")</f>
        <v xml:space="preserve">http://slimages.macys.com/is/image/MCY/12465343 </v>
      </c>
    </row>
    <row r="76" spans="1:13" ht="60" x14ac:dyDescent="0.25">
      <c r="A76" s="7" t="s">
        <v>10852</v>
      </c>
      <c r="B76" s="2" t="s">
        <v>10389</v>
      </c>
      <c r="C76" s="4">
        <v>1</v>
      </c>
      <c r="D76" s="5">
        <v>12.25</v>
      </c>
      <c r="E76" s="5">
        <v>27.22</v>
      </c>
      <c r="F76" s="4" t="s">
        <v>10390</v>
      </c>
      <c r="G76" s="2" t="s">
        <v>62</v>
      </c>
      <c r="H76" s="7" t="s">
        <v>228</v>
      </c>
      <c r="I76" s="2" t="s">
        <v>700</v>
      </c>
      <c r="J76" s="2" t="s">
        <v>2123</v>
      </c>
      <c r="K76" s="2" t="s">
        <v>304</v>
      </c>
      <c r="L76" s="2" t="s">
        <v>75</v>
      </c>
      <c r="M76" s="8" t="str">
        <f>HYPERLINK("http://slimages.macys.com/is/image/MCY/12465361 ")</f>
        <v xml:space="preserve">http://slimages.macys.com/is/image/MCY/12465361 </v>
      </c>
    </row>
    <row r="77" spans="1:13" ht="60" x14ac:dyDescent="0.25">
      <c r="A77" s="7" t="s">
        <v>4817</v>
      </c>
      <c r="B77" s="2" t="s">
        <v>4818</v>
      </c>
      <c r="C77" s="4">
        <v>1</v>
      </c>
      <c r="D77" s="5">
        <v>12.25</v>
      </c>
      <c r="E77" s="5">
        <v>26.99</v>
      </c>
      <c r="F77" s="4" t="s">
        <v>4819</v>
      </c>
      <c r="G77" s="2" t="s">
        <v>165</v>
      </c>
      <c r="H77" s="7" t="s">
        <v>159</v>
      </c>
      <c r="I77" s="2" t="s">
        <v>80</v>
      </c>
      <c r="J77" s="2" t="s">
        <v>2967</v>
      </c>
      <c r="K77" s="2" t="s">
        <v>304</v>
      </c>
      <c r="L77" s="2" t="s">
        <v>125</v>
      </c>
      <c r="M77" s="8" t="str">
        <f>HYPERLINK("http://slimages.macys.com/is/image/MCY/13318382 ")</f>
        <v xml:space="preserve">http://slimages.macys.com/is/image/MCY/13318382 </v>
      </c>
    </row>
    <row r="78" spans="1:13" ht="60" x14ac:dyDescent="0.25">
      <c r="A78" s="7" t="s">
        <v>10853</v>
      </c>
      <c r="B78" s="2" t="s">
        <v>10854</v>
      </c>
      <c r="C78" s="4">
        <v>1</v>
      </c>
      <c r="D78" s="5">
        <v>12.25</v>
      </c>
      <c r="E78" s="5">
        <v>29.99</v>
      </c>
      <c r="F78" s="4" t="s">
        <v>10855</v>
      </c>
      <c r="G78" s="2" t="s">
        <v>41</v>
      </c>
      <c r="H78" s="7" t="s">
        <v>228</v>
      </c>
      <c r="I78" s="2" t="s">
        <v>80</v>
      </c>
      <c r="J78" s="2" t="s">
        <v>2967</v>
      </c>
      <c r="K78" s="2" t="s">
        <v>304</v>
      </c>
      <c r="L78" s="2" t="s">
        <v>125</v>
      </c>
      <c r="M78" s="8" t="str">
        <f>HYPERLINK("http://slimages.macys.com/is/image/MCY/12336377 ")</f>
        <v xml:space="preserve">http://slimages.macys.com/is/image/MCY/12336377 </v>
      </c>
    </row>
    <row r="79" spans="1:13" ht="168" x14ac:dyDescent="0.25">
      <c r="A79" s="7" t="s">
        <v>10856</v>
      </c>
      <c r="B79" s="2" t="s">
        <v>10857</v>
      </c>
      <c r="C79" s="4">
        <v>1</v>
      </c>
      <c r="D79" s="5">
        <v>12</v>
      </c>
      <c r="E79" s="5">
        <v>26.99</v>
      </c>
      <c r="F79" s="4" t="s">
        <v>10858</v>
      </c>
      <c r="G79" s="2" t="s">
        <v>310</v>
      </c>
      <c r="H79" s="7" t="s">
        <v>91</v>
      </c>
      <c r="I79" s="2" t="s">
        <v>92</v>
      </c>
      <c r="J79" s="2" t="s">
        <v>430</v>
      </c>
      <c r="K79" s="2" t="s">
        <v>304</v>
      </c>
      <c r="L79" s="2" t="s">
        <v>10859</v>
      </c>
      <c r="M79" s="8" t="str">
        <f>HYPERLINK("http://slimages.macys.com/is/image/MCY/10467809 ")</f>
        <v xml:space="preserve">http://slimages.macys.com/is/image/MCY/10467809 </v>
      </c>
    </row>
    <row r="80" spans="1:13" ht="60" x14ac:dyDescent="0.25">
      <c r="A80" s="7" t="s">
        <v>10860</v>
      </c>
      <c r="B80" s="2" t="s">
        <v>10861</v>
      </c>
      <c r="C80" s="4">
        <v>1</v>
      </c>
      <c r="D80" s="5">
        <v>12</v>
      </c>
      <c r="E80" s="5">
        <v>26.99</v>
      </c>
      <c r="F80" s="4" t="s">
        <v>10862</v>
      </c>
      <c r="G80" s="2" t="s">
        <v>41</v>
      </c>
      <c r="H80" s="7" t="s">
        <v>144</v>
      </c>
      <c r="I80" s="2" t="s">
        <v>80</v>
      </c>
      <c r="J80" s="2" t="s">
        <v>167</v>
      </c>
      <c r="K80" s="2" t="s">
        <v>304</v>
      </c>
      <c r="L80" s="2" t="s">
        <v>125</v>
      </c>
      <c r="M80" s="8" t="str">
        <f>HYPERLINK("http://slimages.macys.com/is/image/MCY/11644195 ")</f>
        <v xml:space="preserve">http://slimages.macys.com/is/image/MCY/11644195 </v>
      </c>
    </row>
    <row r="81" spans="1:13" ht="60" x14ac:dyDescent="0.25">
      <c r="A81" s="7" t="s">
        <v>10863</v>
      </c>
      <c r="B81" s="2" t="s">
        <v>4824</v>
      </c>
      <c r="C81" s="4">
        <v>1</v>
      </c>
      <c r="D81" s="5">
        <v>11.75</v>
      </c>
      <c r="E81" s="5">
        <v>28.99</v>
      </c>
      <c r="F81" s="4" t="s">
        <v>4825</v>
      </c>
      <c r="G81" s="2" t="s">
        <v>129</v>
      </c>
      <c r="H81" s="7" t="s">
        <v>217</v>
      </c>
      <c r="I81" s="2" t="s">
        <v>321</v>
      </c>
      <c r="J81" s="2" t="s">
        <v>3099</v>
      </c>
      <c r="K81" s="2" t="s">
        <v>304</v>
      </c>
      <c r="L81" s="2" t="s">
        <v>125</v>
      </c>
      <c r="M81" s="8" t="str">
        <f>HYPERLINK("http://slimages.macys.com/is/image/MCY/11641256 ")</f>
        <v xml:space="preserve">http://slimages.macys.com/is/image/MCY/11641256 </v>
      </c>
    </row>
    <row r="82" spans="1:13" ht="60" x14ac:dyDescent="0.25">
      <c r="A82" s="7" t="s">
        <v>10864</v>
      </c>
      <c r="B82" s="2" t="s">
        <v>10865</v>
      </c>
      <c r="C82" s="4">
        <v>2</v>
      </c>
      <c r="D82" s="5">
        <v>11.75</v>
      </c>
      <c r="E82" s="5">
        <v>28.99</v>
      </c>
      <c r="F82" s="4" t="s">
        <v>10866</v>
      </c>
      <c r="G82" s="2" t="s">
        <v>28</v>
      </c>
      <c r="H82" s="7" t="s">
        <v>284</v>
      </c>
      <c r="I82" s="2" t="s">
        <v>321</v>
      </c>
      <c r="J82" s="2" t="s">
        <v>3099</v>
      </c>
      <c r="K82" s="2" t="s">
        <v>304</v>
      </c>
      <c r="L82" s="2" t="s">
        <v>125</v>
      </c>
      <c r="M82" s="8" t="str">
        <f>HYPERLINK("http://slimages.macys.com/is/image/MCY/11641279 ")</f>
        <v xml:space="preserve">http://slimages.macys.com/is/image/MCY/11641279 </v>
      </c>
    </row>
    <row r="83" spans="1:13" ht="60" x14ac:dyDescent="0.25">
      <c r="A83" s="7" t="s">
        <v>10867</v>
      </c>
      <c r="B83" s="2" t="s">
        <v>10865</v>
      </c>
      <c r="C83" s="4">
        <v>3</v>
      </c>
      <c r="D83" s="5">
        <v>11.75</v>
      </c>
      <c r="E83" s="5">
        <v>28.99</v>
      </c>
      <c r="F83" s="4" t="s">
        <v>10866</v>
      </c>
      <c r="G83" s="2" t="s">
        <v>28</v>
      </c>
      <c r="H83" s="7" t="s">
        <v>159</v>
      </c>
      <c r="I83" s="2" t="s">
        <v>321</v>
      </c>
      <c r="J83" s="2" t="s">
        <v>3099</v>
      </c>
      <c r="K83" s="2" t="s">
        <v>304</v>
      </c>
      <c r="L83" s="2" t="s">
        <v>125</v>
      </c>
      <c r="M83" s="8" t="str">
        <f>HYPERLINK("http://slimages.macys.com/is/image/MCY/11641279 ")</f>
        <v xml:space="preserve">http://slimages.macys.com/is/image/MCY/11641279 </v>
      </c>
    </row>
    <row r="84" spans="1:13" ht="60" x14ac:dyDescent="0.25">
      <c r="A84" s="7" t="s">
        <v>10868</v>
      </c>
      <c r="B84" s="2" t="s">
        <v>215</v>
      </c>
      <c r="C84" s="4">
        <v>2</v>
      </c>
      <c r="D84" s="5">
        <v>11.73</v>
      </c>
      <c r="E84" s="5">
        <v>32.99</v>
      </c>
      <c r="F84" s="4" t="s">
        <v>216</v>
      </c>
      <c r="G84" s="2" t="s">
        <v>62</v>
      </c>
      <c r="H84" s="7" t="s">
        <v>159</v>
      </c>
      <c r="I84" s="2" t="s">
        <v>218</v>
      </c>
      <c r="J84" s="2" t="s">
        <v>219</v>
      </c>
      <c r="K84" s="2" t="s">
        <v>304</v>
      </c>
      <c r="L84" s="2" t="s">
        <v>125</v>
      </c>
      <c r="M84" s="8" t="str">
        <f>HYPERLINK("http://slimages.macys.com/is/image/MCY/11526462 ")</f>
        <v xml:space="preserve">http://slimages.macys.com/is/image/MCY/11526462 </v>
      </c>
    </row>
    <row r="85" spans="1:13" ht="60" x14ac:dyDescent="0.25">
      <c r="A85" s="7" t="s">
        <v>10869</v>
      </c>
      <c r="B85" s="2" t="s">
        <v>4827</v>
      </c>
      <c r="C85" s="4">
        <v>1</v>
      </c>
      <c r="D85" s="5">
        <v>11.5</v>
      </c>
      <c r="E85" s="5">
        <v>27.99</v>
      </c>
      <c r="F85" s="4" t="s">
        <v>4828</v>
      </c>
      <c r="G85" s="2" t="s">
        <v>1147</v>
      </c>
      <c r="H85" s="7" t="s">
        <v>228</v>
      </c>
      <c r="I85" s="2" t="s">
        <v>321</v>
      </c>
      <c r="J85" s="2" t="s">
        <v>4829</v>
      </c>
      <c r="K85" s="2" t="s">
        <v>304</v>
      </c>
      <c r="L85" s="2" t="s">
        <v>125</v>
      </c>
      <c r="M85" s="8" t="str">
        <f>HYPERLINK("http://slimages.macys.com/is/image/MCY/12339182 ")</f>
        <v xml:space="preserve">http://slimages.macys.com/is/image/MCY/12339182 </v>
      </c>
    </row>
    <row r="86" spans="1:13" ht="60" x14ac:dyDescent="0.25">
      <c r="A86" s="7" t="s">
        <v>10870</v>
      </c>
      <c r="B86" s="2" t="s">
        <v>4827</v>
      </c>
      <c r="C86" s="4">
        <v>1</v>
      </c>
      <c r="D86" s="5">
        <v>11.5</v>
      </c>
      <c r="E86" s="5">
        <v>27.99</v>
      </c>
      <c r="F86" s="4" t="s">
        <v>10871</v>
      </c>
      <c r="G86" s="2" t="s">
        <v>262</v>
      </c>
      <c r="H86" s="7" t="s">
        <v>228</v>
      </c>
      <c r="I86" s="2" t="s">
        <v>321</v>
      </c>
      <c r="J86" s="2" t="s">
        <v>4829</v>
      </c>
      <c r="K86" s="2" t="s">
        <v>304</v>
      </c>
      <c r="L86" s="2" t="s">
        <v>125</v>
      </c>
      <c r="M86" s="8" t="str">
        <f>HYPERLINK("http://slimages.macys.com/is/image/MCY/12339182 ")</f>
        <v xml:space="preserve">http://slimages.macys.com/is/image/MCY/12339182 </v>
      </c>
    </row>
    <row r="87" spans="1:13" ht="60" x14ac:dyDescent="0.25">
      <c r="A87" s="7" t="s">
        <v>10872</v>
      </c>
      <c r="B87" s="2" t="s">
        <v>4827</v>
      </c>
      <c r="C87" s="4">
        <v>1</v>
      </c>
      <c r="D87" s="5">
        <v>11.5</v>
      </c>
      <c r="E87" s="5">
        <v>27.99</v>
      </c>
      <c r="F87" s="4" t="s">
        <v>10871</v>
      </c>
      <c r="G87" s="2" t="s">
        <v>262</v>
      </c>
      <c r="H87" s="7" t="s">
        <v>217</v>
      </c>
      <c r="I87" s="2" t="s">
        <v>321</v>
      </c>
      <c r="J87" s="2" t="s">
        <v>4829</v>
      </c>
      <c r="K87" s="2" t="s">
        <v>304</v>
      </c>
      <c r="L87" s="2" t="s">
        <v>125</v>
      </c>
      <c r="M87" s="8" t="str">
        <f>HYPERLINK("http://slimages.macys.com/is/image/MCY/12339182 ")</f>
        <v xml:space="preserve">http://slimages.macys.com/is/image/MCY/12339182 </v>
      </c>
    </row>
    <row r="88" spans="1:13" ht="60" x14ac:dyDescent="0.25">
      <c r="A88" s="7" t="s">
        <v>10873</v>
      </c>
      <c r="B88" s="2" t="s">
        <v>10874</v>
      </c>
      <c r="C88" s="4">
        <v>4</v>
      </c>
      <c r="D88" s="5">
        <v>11.5</v>
      </c>
      <c r="E88" s="5">
        <v>27.99</v>
      </c>
      <c r="F88" s="4" t="s">
        <v>10875</v>
      </c>
      <c r="G88" s="2" t="s">
        <v>1747</v>
      </c>
      <c r="H88" s="7"/>
      <c r="I88" s="2" t="s">
        <v>321</v>
      </c>
      <c r="J88" s="2" t="s">
        <v>4829</v>
      </c>
      <c r="K88" s="2" t="s">
        <v>304</v>
      </c>
      <c r="L88" s="2" t="s">
        <v>125</v>
      </c>
      <c r="M88" s="8" t="str">
        <f>HYPERLINK("http://slimages.macys.com/is/image/MCY/12339200 ")</f>
        <v xml:space="preserve">http://slimages.macys.com/is/image/MCY/12339200 </v>
      </c>
    </row>
    <row r="89" spans="1:13" ht="60" x14ac:dyDescent="0.25">
      <c r="A89" s="7" t="s">
        <v>8179</v>
      </c>
      <c r="B89" s="2" t="s">
        <v>6755</v>
      </c>
      <c r="C89" s="4">
        <v>1</v>
      </c>
      <c r="D89" s="5">
        <v>11.5</v>
      </c>
      <c r="E89" s="5">
        <v>32.99</v>
      </c>
      <c r="F89" s="4" t="s">
        <v>6756</v>
      </c>
      <c r="G89" s="2" t="s">
        <v>62</v>
      </c>
      <c r="H89" s="7" t="s">
        <v>228</v>
      </c>
      <c r="I89" s="2" t="s">
        <v>218</v>
      </c>
      <c r="J89" s="2" t="s">
        <v>1740</v>
      </c>
      <c r="K89" s="2" t="s">
        <v>304</v>
      </c>
      <c r="L89" s="2" t="s">
        <v>2469</v>
      </c>
      <c r="M89" s="8" t="str">
        <f>HYPERLINK("http://slimages.macys.com/is/image/MCY/11946903 ")</f>
        <v xml:space="preserve">http://slimages.macys.com/is/image/MCY/11946903 </v>
      </c>
    </row>
    <row r="90" spans="1:13" ht="60" x14ac:dyDescent="0.25">
      <c r="A90" s="7" t="s">
        <v>10876</v>
      </c>
      <c r="B90" s="2" t="s">
        <v>10874</v>
      </c>
      <c r="C90" s="4">
        <v>2</v>
      </c>
      <c r="D90" s="5">
        <v>11.5</v>
      </c>
      <c r="E90" s="5">
        <v>27.99</v>
      </c>
      <c r="F90" s="4" t="s">
        <v>10875</v>
      </c>
      <c r="G90" s="2" t="s">
        <v>1747</v>
      </c>
      <c r="H90" s="7" t="s">
        <v>217</v>
      </c>
      <c r="I90" s="2" t="s">
        <v>321</v>
      </c>
      <c r="J90" s="2" t="s">
        <v>4829</v>
      </c>
      <c r="K90" s="2" t="s">
        <v>304</v>
      </c>
      <c r="L90" s="2" t="s">
        <v>125</v>
      </c>
      <c r="M90" s="8" t="str">
        <f>HYPERLINK("http://slimages.macys.com/is/image/MCY/12339200 ")</f>
        <v xml:space="preserve">http://slimages.macys.com/is/image/MCY/12339200 </v>
      </c>
    </row>
    <row r="91" spans="1:13" ht="60" x14ac:dyDescent="0.25">
      <c r="A91" s="7" t="s">
        <v>10877</v>
      </c>
      <c r="B91" s="2" t="s">
        <v>10874</v>
      </c>
      <c r="C91" s="4">
        <v>2</v>
      </c>
      <c r="D91" s="5">
        <v>11.5</v>
      </c>
      <c r="E91" s="5">
        <v>27.99</v>
      </c>
      <c r="F91" s="4" t="s">
        <v>10875</v>
      </c>
      <c r="G91" s="2" t="s">
        <v>1747</v>
      </c>
      <c r="H91" s="7" t="s">
        <v>228</v>
      </c>
      <c r="I91" s="2" t="s">
        <v>321</v>
      </c>
      <c r="J91" s="2" t="s">
        <v>4829</v>
      </c>
      <c r="K91" s="2" t="s">
        <v>304</v>
      </c>
      <c r="L91" s="2" t="s">
        <v>125</v>
      </c>
      <c r="M91" s="8" t="str">
        <f>HYPERLINK("http://slimages.macys.com/is/image/MCY/12339200 ")</f>
        <v xml:space="preserve">http://slimages.macys.com/is/image/MCY/12339200 </v>
      </c>
    </row>
    <row r="92" spans="1:13" ht="60" x14ac:dyDescent="0.25">
      <c r="A92" s="7" t="s">
        <v>10878</v>
      </c>
      <c r="B92" s="2" t="s">
        <v>6755</v>
      </c>
      <c r="C92" s="4">
        <v>2</v>
      </c>
      <c r="D92" s="5">
        <v>11.5</v>
      </c>
      <c r="E92" s="5">
        <v>32.99</v>
      </c>
      <c r="F92" s="4" t="s">
        <v>6756</v>
      </c>
      <c r="G92" s="2" t="s">
        <v>62</v>
      </c>
      <c r="H92" s="7" t="s">
        <v>284</v>
      </c>
      <c r="I92" s="2" t="s">
        <v>218</v>
      </c>
      <c r="J92" s="2" t="s">
        <v>1740</v>
      </c>
      <c r="K92" s="2" t="s">
        <v>304</v>
      </c>
      <c r="L92" s="2" t="s">
        <v>2469</v>
      </c>
      <c r="M92" s="8" t="str">
        <f>HYPERLINK("http://slimages.macys.com/is/image/MCY/11946903 ")</f>
        <v xml:space="preserve">http://slimages.macys.com/is/image/MCY/11946903 </v>
      </c>
    </row>
    <row r="93" spans="1:13" ht="60" x14ac:dyDescent="0.25">
      <c r="A93" s="7" t="s">
        <v>6757</v>
      </c>
      <c r="B93" s="2" t="s">
        <v>6755</v>
      </c>
      <c r="C93" s="4">
        <v>3</v>
      </c>
      <c r="D93" s="5">
        <v>11.5</v>
      </c>
      <c r="E93" s="5">
        <v>32.99</v>
      </c>
      <c r="F93" s="4" t="s">
        <v>6756</v>
      </c>
      <c r="G93" s="2" t="s">
        <v>62</v>
      </c>
      <c r="H93" s="7" t="s">
        <v>217</v>
      </c>
      <c r="I93" s="2" t="s">
        <v>218</v>
      </c>
      <c r="J93" s="2" t="s">
        <v>1740</v>
      </c>
      <c r="K93" s="2" t="s">
        <v>304</v>
      </c>
      <c r="L93" s="2" t="s">
        <v>2469</v>
      </c>
      <c r="M93" s="8" t="str">
        <f>HYPERLINK("http://slimages.macys.com/is/image/MCY/11946903 ")</f>
        <v xml:space="preserve">http://slimages.macys.com/is/image/MCY/11946903 </v>
      </c>
    </row>
    <row r="94" spans="1:13" ht="60" x14ac:dyDescent="0.25">
      <c r="A94" s="7" t="s">
        <v>9884</v>
      </c>
      <c r="B94" s="2" t="s">
        <v>9885</v>
      </c>
      <c r="C94" s="4">
        <v>1</v>
      </c>
      <c r="D94" s="5">
        <v>11.5</v>
      </c>
      <c r="E94" s="5">
        <v>25.99</v>
      </c>
      <c r="F94" s="4" t="s">
        <v>9886</v>
      </c>
      <c r="G94" s="2" t="s">
        <v>79</v>
      </c>
      <c r="H94" s="7" t="s">
        <v>228</v>
      </c>
      <c r="I94" s="2" t="s">
        <v>80</v>
      </c>
      <c r="J94" s="2" t="s">
        <v>694</v>
      </c>
      <c r="K94" s="2" t="s">
        <v>304</v>
      </c>
      <c r="L94" s="2" t="s">
        <v>125</v>
      </c>
      <c r="M94" s="8" t="str">
        <f>HYPERLINK("http://slimages.macys.com/is/image/MCY/12226818 ")</f>
        <v xml:space="preserve">http://slimages.macys.com/is/image/MCY/12226818 </v>
      </c>
    </row>
    <row r="95" spans="1:13" ht="60" x14ac:dyDescent="0.25">
      <c r="A95" s="7" t="s">
        <v>10879</v>
      </c>
      <c r="B95" s="2" t="s">
        <v>5250</v>
      </c>
      <c r="C95" s="4">
        <v>3</v>
      </c>
      <c r="D95" s="5">
        <v>11.4</v>
      </c>
      <c r="E95" s="5">
        <v>27.99</v>
      </c>
      <c r="F95" s="4" t="s">
        <v>5251</v>
      </c>
      <c r="G95" s="2" t="s">
        <v>892</v>
      </c>
      <c r="H95" s="7" t="s">
        <v>217</v>
      </c>
      <c r="I95" s="2" t="s">
        <v>321</v>
      </c>
      <c r="J95" s="2" t="s">
        <v>4833</v>
      </c>
      <c r="K95" s="2" t="s">
        <v>304</v>
      </c>
      <c r="L95" s="2" t="s">
        <v>125</v>
      </c>
      <c r="M95" s="8" t="str">
        <f>HYPERLINK("http://slimages.macys.com/is/image/MCY/11390931 ")</f>
        <v xml:space="preserve">http://slimages.macys.com/is/image/MCY/11390931 </v>
      </c>
    </row>
    <row r="96" spans="1:13" ht="60" x14ac:dyDescent="0.25">
      <c r="A96" s="7" t="s">
        <v>10880</v>
      </c>
      <c r="B96" s="2" t="s">
        <v>5250</v>
      </c>
      <c r="C96" s="4">
        <v>2</v>
      </c>
      <c r="D96" s="5">
        <v>11.4</v>
      </c>
      <c r="E96" s="5">
        <v>27.99</v>
      </c>
      <c r="F96" s="4" t="s">
        <v>5251</v>
      </c>
      <c r="G96" s="2" t="s">
        <v>892</v>
      </c>
      <c r="H96" s="7" t="s">
        <v>228</v>
      </c>
      <c r="I96" s="2" t="s">
        <v>321</v>
      </c>
      <c r="J96" s="2" t="s">
        <v>4833</v>
      </c>
      <c r="K96" s="2" t="s">
        <v>304</v>
      </c>
      <c r="L96" s="2" t="s">
        <v>125</v>
      </c>
      <c r="M96" s="8" t="str">
        <f>HYPERLINK("http://slimages.macys.com/is/image/MCY/11390931 ")</f>
        <v xml:space="preserve">http://slimages.macys.com/is/image/MCY/11390931 </v>
      </c>
    </row>
    <row r="97" spans="1:13" ht="60" x14ac:dyDescent="0.25">
      <c r="A97" s="7" t="s">
        <v>10881</v>
      </c>
      <c r="B97" s="2" t="s">
        <v>7368</v>
      </c>
      <c r="C97" s="4">
        <v>1</v>
      </c>
      <c r="D97" s="5">
        <v>11.4</v>
      </c>
      <c r="E97" s="5">
        <v>27.99</v>
      </c>
      <c r="F97" s="4" t="s">
        <v>7369</v>
      </c>
      <c r="G97" s="2" t="s">
        <v>62</v>
      </c>
      <c r="H97" s="7" t="s">
        <v>217</v>
      </c>
      <c r="I97" s="2" t="s">
        <v>321</v>
      </c>
      <c r="J97" s="2" t="s">
        <v>4833</v>
      </c>
      <c r="K97" s="2" t="s">
        <v>304</v>
      </c>
      <c r="L97" s="2" t="s">
        <v>125</v>
      </c>
      <c r="M97" s="8" t="str">
        <f>HYPERLINK("http://slimages.macys.com/is/image/MCY/10944764 ")</f>
        <v xml:space="preserve">http://slimages.macys.com/is/image/MCY/10944764 </v>
      </c>
    </row>
    <row r="98" spans="1:13" ht="60" x14ac:dyDescent="0.25">
      <c r="A98" s="7" t="s">
        <v>1582</v>
      </c>
      <c r="B98" s="2" t="s">
        <v>1583</v>
      </c>
      <c r="C98" s="4">
        <v>1</v>
      </c>
      <c r="D98" s="5">
        <v>11.12</v>
      </c>
      <c r="E98" s="5">
        <v>22.99</v>
      </c>
      <c r="F98" s="4" t="s">
        <v>1584</v>
      </c>
      <c r="G98" s="2" t="s">
        <v>643</v>
      </c>
      <c r="H98" s="7" t="s">
        <v>228</v>
      </c>
      <c r="I98" s="2" t="s">
        <v>73</v>
      </c>
      <c r="J98" s="2" t="s">
        <v>160</v>
      </c>
      <c r="K98" s="2" t="s">
        <v>304</v>
      </c>
      <c r="L98" s="2" t="s">
        <v>125</v>
      </c>
      <c r="M98" s="8" t="str">
        <f>HYPERLINK("http://slimages.macys.com/is/image/MCY/12874624 ")</f>
        <v xml:space="preserve">http://slimages.macys.com/is/image/MCY/12874624 </v>
      </c>
    </row>
    <row r="99" spans="1:13" ht="60" x14ac:dyDescent="0.25">
      <c r="A99" s="7" t="s">
        <v>10882</v>
      </c>
      <c r="B99" s="2" t="s">
        <v>7372</v>
      </c>
      <c r="C99" s="4">
        <v>1</v>
      </c>
      <c r="D99" s="5">
        <v>11.12</v>
      </c>
      <c r="E99" s="5">
        <v>22.99</v>
      </c>
      <c r="F99" s="4" t="s">
        <v>7373</v>
      </c>
      <c r="G99" s="2" t="s">
        <v>892</v>
      </c>
      <c r="H99" s="7" t="s">
        <v>228</v>
      </c>
      <c r="I99" s="2" t="s">
        <v>73</v>
      </c>
      <c r="J99" s="2" t="s">
        <v>160</v>
      </c>
      <c r="K99" s="2" t="s">
        <v>304</v>
      </c>
      <c r="L99" s="2" t="s">
        <v>596</v>
      </c>
      <c r="M99" s="8" t="str">
        <f>HYPERLINK("http://slimages.macys.com/is/image/MCY/12337156 ")</f>
        <v xml:space="preserve">http://slimages.macys.com/is/image/MCY/12337156 </v>
      </c>
    </row>
    <row r="100" spans="1:13" ht="108" x14ac:dyDescent="0.25">
      <c r="A100" s="7" t="s">
        <v>10883</v>
      </c>
      <c r="B100" s="2" t="s">
        <v>9374</v>
      </c>
      <c r="C100" s="4">
        <v>1</v>
      </c>
      <c r="D100" s="5">
        <v>11</v>
      </c>
      <c r="E100" s="5">
        <v>28.99</v>
      </c>
      <c r="F100" s="4" t="s">
        <v>9375</v>
      </c>
      <c r="G100" s="2" t="s">
        <v>310</v>
      </c>
      <c r="H100" s="7" t="s">
        <v>311</v>
      </c>
      <c r="I100" s="2" t="s">
        <v>966</v>
      </c>
      <c r="J100" s="2" t="s">
        <v>5315</v>
      </c>
      <c r="K100" s="2" t="s">
        <v>304</v>
      </c>
      <c r="L100" s="2" t="s">
        <v>9376</v>
      </c>
      <c r="M100" s="8" t="str">
        <f>HYPERLINK("http://slimages.macys.com/is/image/MCY/13611733 ")</f>
        <v xml:space="preserve">http://slimages.macys.com/is/image/MCY/13611733 </v>
      </c>
    </row>
    <row r="101" spans="1:13" ht="60" x14ac:dyDescent="0.25">
      <c r="A101" s="7" t="s">
        <v>10884</v>
      </c>
      <c r="B101" s="2" t="s">
        <v>10885</v>
      </c>
      <c r="C101" s="4">
        <v>1</v>
      </c>
      <c r="D101" s="5">
        <v>11</v>
      </c>
      <c r="E101" s="5">
        <v>28.99</v>
      </c>
      <c r="F101" s="4" t="s">
        <v>10886</v>
      </c>
      <c r="G101" s="2" t="s">
        <v>310</v>
      </c>
      <c r="H101" s="7" t="s">
        <v>123</v>
      </c>
      <c r="I101" s="2" t="s">
        <v>966</v>
      </c>
      <c r="J101" s="2" t="s">
        <v>99</v>
      </c>
      <c r="K101" s="2" t="s">
        <v>304</v>
      </c>
      <c r="L101" s="2" t="s">
        <v>10887</v>
      </c>
      <c r="M101" s="8" t="str">
        <f>HYPERLINK("http://slimages.macys.com/is/image/MCY/11682607 ")</f>
        <v xml:space="preserve">http://slimages.macys.com/is/image/MCY/11682607 </v>
      </c>
    </row>
    <row r="102" spans="1:13" ht="60" x14ac:dyDescent="0.25">
      <c r="A102" s="7" t="s">
        <v>10888</v>
      </c>
      <c r="B102" s="2" t="s">
        <v>10889</v>
      </c>
      <c r="C102" s="4">
        <v>1</v>
      </c>
      <c r="D102" s="5">
        <v>10.9</v>
      </c>
      <c r="E102" s="5">
        <v>29.99</v>
      </c>
      <c r="F102" s="4" t="s">
        <v>10890</v>
      </c>
      <c r="G102" s="2" t="s">
        <v>41</v>
      </c>
      <c r="H102" s="7" t="s">
        <v>123</v>
      </c>
      <c r="I102" s="2" t="s">
        <v>218</v>
      </c>
      <c r="J102" s="2" t="s">
        <v>2008</v>
      </c>
      <c r="K102" s="2" t="s">
        <v>304</v>
      </c>
      <c r="L102" s="2" t="s">
        <v>125</v>
      </c>
      <c r="M102" s="8" t="str">
        <f>HYPERLINK("http://slimages.macys.com/is/image/MCY/11640002 ")</f>
        <v xml:space="preserve">http://slimages.macys.com/is/image/MCY/11640002 </v>
      </c>
    </row>
    <row r="103" spans="1:13" ht="60" x14ac:dyDescent="0.25">
      <c r="A103" s="7" t="s">
        <v>7384</v>
      </c>
      <c r="B103" s="2" t="s">
        <v>7385</v>
      </c>
      <c r="C103" s="4">
        <v>2</v>
      </c>
      <c r="D103" s="5">
        <v>10.5</v>
      </c>
      <c r="E103" s="5">
        <v>23.99</v>
      </c>
      <c r="F103" s="4" t="s">
        <v>7386</v>
      </c>
      <c r="G103" s="2" t="s">
        <v>195</v>
      </c>
      <c r="H103" s="7" t="s">
        <v>284</v>
      </c>
      <c r="I103" s="2" t="s">
        <v>73</v>
      </c>
      <c r="J103" s="2" t="s">
        <v>223</v>
      </c>
      <c r="K103" s="2" t="s">
        <v>304</v>
      </c>
      <c r="L103" s="2" t="s">
        <v>119</v>
      </c>
      <c r="M103" s="8" t="str">
        <f>HYPERLINK("http://slimages.macys.com/is/image/MCY/12953055 ")</f>
        <v xml:space="preserve">http://slimages.macys.com/is/image/MCY/12953055 </v>
      </c>
    </row>
    <row r="104" spans="1:13" ht="120" x14ac:dyDescent="0.25">
      <c r="A104" s="7" t="s">
        <v>10891</v>
      </c>
      <c r="B104" s="2" t="s">
        <v>10892</v>
      </c>
      <c r="C104" s="4">
        <v>1</v>
      </c>
      <c r="D104" s="5">
        <v>10.5</v>
      </c>
      <c r="E104" s="5">
        <v>27.99</v>
      </c>
      <c r="F104" s="4" t="s">
        <v>10893</v>
      </c>
      <c r="G104" s="2" t="s">
        <v>657</v>
      </c>
      <c r="H104" s="7" t="s">
        <v>91</v>
      </c>
      <c r="I104" s="2" t="s">
        <v>92</v>
      </c>
      <c r="J104" s="2" t="s">
        <v>187</v>
      </c>
      <c r="K104" s="2" t="s">
        <v>304</v>
      </c>
      <c r="L104" s="2" t="s">
        <v>10894</v>
      </c>
      <c r="M104" s="8" t="str">
        <f>HYPERLINK("http://slimages.macys.com/is/image/MCY/13311684 ")</f>
        <v xml:space="preserve">http://slimages.macys.com/is/image/MCY/13311684 </v>
      </c>
    </row>
    <row r="105" spans="1:13" ht="60" x14ac:dyDescent="0.25">
      <c r="A105" s="7" t="s">
        <v>821</v>
      </c>
      <c r="B105" s="2" t="s">
        <v>255</v>
      </c>
      <c r="C105" s="4">
        <v>1</v>
      </c>
      <c r="D105" s="5">
        <v>10.5</v>
      </c>
      <c r="E105" s="5">
        <v>24.99</v>
      </c>
      <c r="F105" s="4" t="s">
        <v>256</v>
      </c>
      <c r="G105" s="2" t="s">
        <v>262</v>
      </c>
      <c r="H105" s="7" t="s">
        <v>177</v>
      </c>
      <c r="I105" s="2" t="s">
        <v>257</v>
      </c>
      <c r="J105" s="2" t="s">
        <v>258</v>
      </c>
      <c r="K105" s="2" t="s">
        <v>304</v>
      </c>
      <c r="L105" s="2" t="s">
        <v>206</v>
      </c>
      <c r="M105" s="8" t="str">
        <f>HYPERLINK("http://slimages.macys.com/is/image/MCY/11722982 ")</f>
        <v xml:space="preserve">http://slimages.macys.com/is/image/MCY/11722982 </v>
      </c>
    </row>
    <row r="106" spans="1:13" ht="60" x14ac:dyDescent="0.25">
      <c r="A106" s="7" t="s">
        <v>819</v>
      </c>
      <c r="B106" s="2" t="s">
        <v>255</v>
      </c>
      <c r="C106" s="4">
        <v>1</v>
      </c>
      <c r="D106" s="5">
        <v>10.5</v>
      </c>
      <c r="E106" s="5">
        <v>24.99</v>
      </c>
      <c r="F106" s="4" t="s">
        <v>256</v>
      </c>
      <c r="G106" s="2" t="s">
        <v>262</v>
      </c>
      <c r="H106" s="7" t="s">
        <v>172</v>
      </c>
      <c r="I106" s="2" t="s">
        <v>257</v>
      </c>
      <c r="J106" s="2" t="s">
        <v>258</v>
      </c>
      <c r="K106" s="2" t="s">
        <v>304</v>
      </c>
      <c r="L106" s="2" t="s">
        <v>206</v>
      </c>
      <c r="M106" s="8" t="str">
        <f>HYPERLINK("http://slimages.macys.com/is/image/MCY/11722982 ")</f>
        <v xml:space="preserve">http://slimages.macys.com/is/image/MCY/11722982 </v>
      </c>
    </row>
    <row r="107" spans="1:13" ht="60" x14ac:dyDescent="0.25">
      <c r="A107" s="7" t="s">
        <v>10895</v>
      </c>
      <c r="B107" s="2" t="s">
        <v>255</v>
      </c>
      <c r="C107" s="4">
        <v>1</v>
      </c>
      <c r="D107" s="5">
        <v>10.5</v>
      </c>
      <c r="E107" s="5">
        <v>24.99</v>
      </c>
      <c r="F107" s="4" t="s">
        <v>256</v>
      </c>
      <c r="G107" s="2" t="s">
        <v>262</v>
      </c>
      <c r="H107" s="7" t="s">
        <v>56</v>
      </c>
      <c r="I107" s="2" t="s">
        <v>257</v>
      </c>
      <c r="J107" s="2" t="s">
        <v>258</v>
      </c>
      <c r="K107" s="2" t="s">
        <v>304</v>
      </c>
      <c r="L107" s="2" t="s">
        <v>206</v>
      </c>
      <c r="M107" s="8" t="str">
        <f>HYPERLINK("http://slimages.macys.com/is/image/MCY/11722983 ")</f>
        <v xml:space="preserve">http://slimages.macys.com/is/image/MCY/11722983 </v>
      </c>
    </row>
    <row r="108" spans="1:13" ht="60" x14ac:dyDescent="0.25">
      <c r="A108" s="7" t="s">
        <v>8722</v>
      </c>
      <c r="B108" s="2" t="s">
        <v>7385</v>
      </c>
      <c r="C108" s="4">
        <v>1</v>
      </c>
      <c r="D108" s="5">
        <v>10.5</v>
      </c>
      <c r="E108" s="5">
        <v>23.99</v>
      </c>
      <c r="F108" s="4" t="s">
        <v>7386</v>
      </c>
      <c r="G108" s="2" t="s">
        <v>195</v>
      </c>
      <c r="H108" s="7" t="s">
        <v>159</v>
      </c>
      <c r="I108" s="2" t="s">
        <v>73</v>
      </c>
      <c r="J108" s="2" t="s">
        <v>223</v>
      </c>
      <c r="K108" s="2" t="s">
        <v>304</v>
      </c>
      <c r="L108" s="2" t="s">
        <v>119</v>
      </c>
      <c r="M108" s="8" t="str">
        <f>HYPERLINK("http://slimages.macys.com/is/image/MCY/12953055 ")</f>
        <v xml:space="preserve">http://slimages.macys.com/is/image/MCY/12953055 </v>
      </c>
    </row>
    <row r="109" spans="1:13" ht="60" x14ac:dyDescent="0.25">
      <c r="A109" s="7" t="s">
        <v>1608</v>
      </c>
      <c r="B109" s="2" t="s">
        <v>1605</v>
      </c>
      <c r="C109" s="4">
        <v>1</v>
      </c>
      <c r="D109" s="5">
        <v>10.35</v>
      </c>
      <c r="E109" s="5">
        <v>24.99</v>
      </c>
      <c r="F109" s="4" t="s">
        <v>1606</v>
      </c>
      <c r="G109" s="2" t="s">
        <v>28</v>
      </c>
      <c r="H109" s="7" t="s">
        <v>228</v>
      </c>
      <c r="I109" s="2" t="s">
        <v>389</v>
      </c>
      <c r="J109" s="2" t="s">
        <v>354</v>
      </c>
      <c r="K109" s="2" t="s">
        <v>304</v>
      </c>
      <c r="L109" s="2" t="s">
        <v>1607</v>
      </c>
      <c r="M109" s="8" t="str">
        <f>HYPERLINK("http://slimages.macys.com/is/image/MCY/12000846 ")</f>
        <v xml:space="preserve">http://slimages.macys.com/is/image/MCY/12000846 </v>
      </c>
    </row>
    <row r="110" spans="1:13" ht="60" x14ac:dyDescent="0.25">
      <c r="A110" s="7" t="s">
        <v>1609</v>
      </c>
      <c r="B110" s="2" t="s">
        <v>1605</v>
      </c>
      <c r="C110" s="4">
        <v>2</v>
      </c>
      <c r="D110" s="5">
        <v>10.35</v>
      </c>
      <c r="E110" s="5">
        <v>24.99</v>
      </c>
      <c r="F110" s="4" t="s">
        <v>1606</v>
      </c>
      <c r="G110" s="2" t="s">
        <v>582</v>
      </c>
      <c r="H110" s="7" t="s">
        <v>196</v>
      </c>
      <c r="I110" s="2" t="s">
        <v>389</v>
      </c>
      <c r="J110" s="2" t="s">
        <v>354</v>
      </c>
      <c r="K110" s="2" t="s">
        <v>304</v>
      </c>
      <c r="L110" s="2" t="s">
        <v>1607</v>
      </c>
      <c r="M110" s="8" t="str">
        <f>HYPERLINK("http://slimages.macys.com/is/image/MCY/12000846 ")</f>
        <v xml:space="preserve">http://slimages.macys.com/is/image/MCY/12000846 </v>
      </c>
    </row>
    <row r="111" spans="1:13" ht="60" x14ac:dyDescent="0.25">
      <c r="A111" s="7" t="s">
        <v>10896</v>
      </c>
      <c r="B111" s="2" t="s">
        <v>10897</v>
      </c>
      <c r="C111" s="4">
        <v>1</v>
      </c>
      <c r="D111" s="5">
        <v>10.35</v>
      </c>
      <c r="E111" s="5">
        <v>29.99</v>
      </c>
      <c r="F111" s="4" t="s">
        <v>10898</v>
      </c>
      <c r="G111" s="2" t="s">
        <v>582</v>
      </c>
      <c r="H111" s="7" t="s">
        <v>166</v>
      </c>
      <c r="I111" s="2" t="s">
        <v>389</v>
      </c>
      <c r="J111" s="2" t="s">
        <v>354</v>
      </c>
      <c r="K111" s="2" t="s">
        <v>304</v>
      </c>
      <c r="L111" s="2" t="s">
        <v>206</v>
      </c>
      <c r="M111" s="8" t="str">
        <f>HYPERLINK("http://slimages.macys.com/is/image/MCY/11855488 ")</f>
        <v xml:space="preserve">http://slimages.macys.com/is/image/MCY/11855488 </v>
      </c>
    </row>
    <row r="112" spans="1:13" ht="60" x14ac:dyDescent="0.25">
      <c r="A112" s="7" t="s">
        <v>10899</v>
      </c>
      <c r="B112" s="2" t="s">
        <v>10900</v>
      </c>
      <c r="C112" s="4">
        <v>1</v>
      </c>
      <c r="D112" s="5">
        <v>10.3</v>
      </c>
      <c r="E112" s="5">
        <v>25.05</v>
      </c>
      <c r="F112" s="4">
        <v>18010110</v>
      </c>
      <c r="G112" s="2"/>
      <c r="H112" s="7" t="s">
        <v>442</v>
      </c>
      <c r="I112" s="2" t="s">
        <v>153</v>
      </c>
      <c r="J112" s="2" t="s">
        <v>3580</v>
      </c>
      <c r="K112" s="2" t="s">
        <v>304</v>
      </c>
      <c r="L112" s="2" t="s">
        <v>87</v>
      </c>
      <c r="M112" s="8" t="str">
        <f>HYPERLINK("http://slimages.macys.com/is/image/MCY/13852851 ")</f>
        <v xml:space="preserve">http://slimages.macys.com/is/image/MCY/13852851 </v>
      </c>
    </row>
    <row r="113" spans="1:13" ht="108" x14ac:dyDescent="0.25">
      <c r="A113" s="7" t="s">
        <v>10901</v>
      </c>
      <c r="B113" s="2" t="s">
        <v>10902</v>
      </c>
      <c r="C113" s="4">
        <v>1</v>
      </c>
      <c r="D113" s="5">
        <v>10.199999999999999</v>
      </c>
      <c r="E113" s="5">
        <v>21.99</v>
      </c>
      <c r="F113" s="4" t="s">
        <v>10903</v>
      </c>
      <c r="G113" s="2" t="s">
        <v>283</v>
      </c>
      <c r="H113" s="7" t="s">
        <v>42</v>
      </c>
      <c r="I113" s="2" t="s">
        <v>92</v>
      </c>
      <c r="J113" s="2" t="s">
        <v>778</v>
      </c>
      <c r="K113" s="2" t="s">
        <v>304</v>
      </c>
      <c r="L113" s="2" t="s">
        <v>10904</v>
      </c>
      <c r="M113" s="8" t="str">
        <f>HYPERLINK("http://slimages.macys.com/is/image/MCY/12735241 ")</f>
        <v xml:space="preserve">http://slimages.macys.com/is/image/MCY/12735241 </v>
      </c>
    </row>
    <row r="114" spans="1:13" ht="60" x14ac:dyDescent="0.25">
      <c r="A114" s="7" t="s">
        <v>9920</v>
      </c>
      <c r="B114" s="2" t="s">
        <v>4847</v>
      </c>
      <c r="C114" s="4">
        <v>1</v>
      </c>
      <c r="D114" s="5">
        <v>10.09</v>
      </c>
      <c r="E114" s="5">
        <v>24.99</v>
      </c>
      <c r="F114" s="4" t="s">
        <v>4848</v>
      </c>
      <c r="G114" s="2" t="s">
        <v>62</v>
      </c>
      <c r="H114" s="7" t="s">
        <v>217</v>
      </c>
      <c r="I114" s="2" t="s">
        <v>218</v>
      </c>
      <c r="J114" s="2" t="s">
        <v>219</v>
      </c>
      <c r="K114" s="2" t="s">
        <v>304</v>
      </c>
      <c r="L114" s="2" t="s">
        <v>119</v>
      </c>
      <c r="M114" s="8" t="str">
        <f>HYPERLINK("http://slimages.macys.com/is/image/MCY/9275149 ")</f>
        <v xml:space="preserve">http://slimages.macys.com/is/image/MCY/9275149 </v>
      </c>
    </row>
    <row r="115" spans="1:13" ht="60" x14ac:dyDescent="0.25">
      <c r="A115" s="7" t="s">
        <v>10905</v>
      </c>
      <c r="B115" s="2" t="s">
        <v>1620</v>
      </c>
      <c r="C115" s="4">
        <v>1</v>
      </c>
      <c r="D115" s="5">
        <v>10.06</v>
      </c>
      <c r="E115" s="5">
        <v>22.99</v>
      </c>
      <c r="F115" s="4" t="s">
        <v>1621</v>
      </c>
      <c r="G115" s="2" t="s">
        <v>171</v>
      </c>
      <c r="H115" s="7" t="s">
        <v>311</v>
      </c>
      <c r="I115" s="2" t="s">
        <v>515</v>
      </c>
      <c r="J115" s="2" t="s">
        <v>516</v>
      </c>
      <c r="K115" s="2" t="s">
        <v>304</v>
      </c>
      <c r="L115" s="2" t="s">
        <v>358</v>
      </c>
      <c r="M115" s="8" t="str">
        <f>HYPERLINK("http://slimages.macys.com/is/image/MCY/11606059 ")</f>
        <v xml:space="preserve">http://slimages.macys.com/is/image/MCY/11606059 </v>
      </c>
    </row>
    <row r="116" spans="1:13" ht="60" x14ac:dyDescent="0.25">
      <c r="A116" s="7" t="s">
        <v>10428</v>
      </c>
      <c r="B116" s="2" t="s">
        <v>928</v>
      </c>
      <c r="C116" s="4">
        <v>1</v>
      </c>
      <c r="D116" s="5">
        <v>10</v>
      </c>
      <c r="E116" s="5">
        <v>22.99</v>
      </c>
      <c r="F116" s="4" t="s">
        <v>10426</v>
      </c>
      <c r="G116" s="2" t="s">
        <v>657</v>
      </c>
      <c r="H116" s="7" t="s">
        <v>217</v>
      </c>
      <c r="I116" s="2" t="s">
        <v>80</v>
      </c>
      <c r="J116" s="2" t="s">
        <v>694</v>
      </c>
      <c r="K116" s="2" t="s">
        <v>304</v>
      </c>
      <c r="L116" s="2" t="s">
        <v>125</v>
      </c>
      <c r="M116" s="8" t="str">
        <f>HYPERLINK("http://slimages.macys.com/is/image/MCY/11647335 ")</f>
        <v xml:space="preserve">http://slimages.macys.com/is/image/MCY/11647335 </v>
      </c>
    </row>
    <row r="117" spans="1:13" ht="60" x14ac:dyDescent="0.25">
      <c r="A117" s="7" t="s">
        <v>10906</v>
      </c>
      <c r="B117" s="2" t="s">
        <v>928</v>
      </c>
      <c r="C117" s="4">
        <v>2</v>
      </c>
      <c r="D117" s="5">
        <v>10</v>
      </c>
      <c r="E117" s="5">
        <v>22.99</v>
      </c>
      <c r="F117" s="4" t="s">
        <v>10426</v>
      </c>
      <c r="G117" s="2" t="s">
        <v>657</v>
      </c>
      <c r="H117" s="7" t="s">
        <v>284</v>
      </c>
      <c r="I117" s="2" t="s">
        <v>80</v>
      </c>
      <c r="J117" s="2" t="s">
        <v>694</v>
      </c>
      <c r="K117" s="2" t="s">
        <v>304</v>
      </c>
      <c r="L117" s="2" t="s">
        <v>125</v>
      </c>
      <c r="M117" s="8" t="str">
        <f>HYPERLINK("http://slimages.macys.com/is/image/MCY/11647335 ")</f>
        <v xml:space="preserve">http://slimages.macys.com/is/image/MCY/11647335 </v>
      </c>
    </row>
    <row r="118" spans="1:13" ht="60" x14ac:dyDescent="0.25">
      <c r="A118" s="7" t="s">
        <v>10907</v>
      </c>
      <c r="B118" s="2" t="s">
        <v>5288</v>
      </c>
      <c r="C118" s="4">
        <v>1</v>
      </c>
      <c r="D118" s="5">
        <v>9.9499999999999993</v>
      </c>
      <c r="E118" s="5">
        <v>24.99</v>
      </c>
      <c r="F118" s="4" t="s">
        <v>5289</v>
      </c>
      <c r="G118" s="2" t="s">
        <v>310</v>
      </c>
      <c r="H118" s="7" t="s">
        <v>311</v>
      </c>
      <c r="I118" s="2" t="s">
        <v>312</v>
      </c>
      <c r="J118" s="2" t="s">
        <v>313</v>
      </c>
      <c r="K118" s="2" t="s">
        <v>304</v>
      </c>
      <c r="L118" s="2" t="s">
        <v>125</v>
      </c>
      <c r="M118" s="8" t="str">
        <f>HYPERLINK("http://slimages.macys.com/is/image/MCY/11488749 ")</f>
        <v xml:space="preserve">http://slimages.macys.com/is/image/MCY/11488749 </v>
      </c>
    </row>
    <row r="119" spans="1:13" ht="132" x14ac:dyDescent="0.25">
      <c r="A119" s="7" t="s">
        <v>10908</v>
      </c>
      <c r="B119" s="2" t="s">
        <v>830</v>
      </c>
      <c r="C119" s="4">
        <v>3</v>
      </c>
      <c r="D119" s="5">
        <v>9.9</v>
      </c>
      <c r="E119" s="5">
        <v>22.52</v>
      </c>
      <c r="F119" s="4">
        <v>18505910</v>
      </c>
      <c r="G119" s="2" t="s">
        <v>36</v>
      </c>
      <c r="H119" s="7" t="s">
        <v>482</v>
      </c>
      <c r="I119" s="2" t="s">
        <v>153</v>
      </c>
      <c r="J119" s="2" t="s">
        <v>154</v>
      </c>
      <c r="K119" s="2" t="s">
        <v>304</v>
      </c>
      <c r="L119" s="2" t="s">
        <v>831</v>
      </c>
      <c r="M119" s="8" t="str">
        <f>HYPERLINK("http://slimages.macys.com/is/image/MCY/13382390 ")</f>
        <v xml:space="preserve">http://slimages.macys.com/is/image/MCY/13382390 </v>
      </c>
    </row>
    <row r="120" spans="1:13" ht="60" x14ac:dyDescent="0.25">
      <c r="A120" s="7" t="s">
        <v>10909</v>
      </c>
      <c r="B120" s="2" t="s">
        <v>10910</v>
      </c>
      <c r="C120" s="4">
        <v>1</v>
      </c>
      <c r="D120" s="5">
        <v>9.9</v>
      </c>
      <c r="E120" s="5">
        <v>22</v>
      </c>
      <c r="F120" s="4" t="s">
        <v>10911</v>
      </c>
      <c r="G120" s="2" t="s">
        <v>262</v>
      </c>
      <c r="H120" s="7" t="s">
        <v>311</v>
      </c>
      <c r="I120" s="2" t="s">
        <v>80</v>
      </c>
      <c r="J120" s="2" t="s">
        <v>647</v>
      </c>
      <c r="K120" s="2" t="s">
        <v>304</v>
      </c>
      <c r="L120" s="2" t="s">
        <v>125</v>
      </c>
      <c r="M120" s="8" t="str">
        <f>HYPERLINK("http://slimages.macys.com/is/image/MCY/12664308 ")</f>
        <v xml:space="preserve">http://slimages.macys.com/is/image/MCY/12664308 </v>
      </c>
    </row>
    <row r="121" spans="1:13" ht="60" x14ac:dyDescent="0.25">
      <c r="A121" s="7" t="s">
        <v>5882</v>
      </c>
      <c r="B121" s="2" t="s">
        <v>5342</v>
      </c>
      <c r="C121" s="4">
        <v>1</v>
      </c>
      <c r="D121" s="5">
        <v>9.8000000000000007</v>
      </c>
      <c r="E121" s="5">
        <v>24.5</v>
      </c>
      <c r="F121" s="4" t="s">
        <v>5883</v>
      </c>
      <c r="G121" s="2" t="s">
        <v>86</v>
      </c>
      <c r="H121" s="7"/>
      <c r="I121" s="2" t="s">
        <v>57</v>
      </c>
      <c r="J121" s="2" t="s">
        <v>58</v>
      </c>
      <c r="K121" s="2" t="s">
        <v>304</v>
      </c>
      <c r="L121" s="2" t="s">
        <v>206</v>
      </c>
      <c r="M121" s="8" t="str">
        <f>HYPERLINK("http://slimages.macys.com/is/image/MCY/13804046 ")</f>
        <v xml:space="preserve">http://slimages.macys.com/is/image/MCY/13804046 </v>
      </c>
    </row>
    <row r="122" spans="1:13" ht="60" x14ac:dyDescent="0.25">
      <c r="A122" s="7" t="s">
        <v>9928</v>
      </c>
      <c r="B122" s="2" t="s">
        <v>4863</v>
      </c>
      <c r="C122" s="4">
        <v>1</v>
      </c>
      <c r="D122" s="5">
        <v>9.8000000000000007</v>
      </c>
      <c r="E122" s="5">
        <v>24.5</v>
      </c>
      <c r="F122" s="4" t="s">
        <v>4864</v>
      </c>
      <c r="G122" s="2" t="s">
        <v>698</v>
      </c>
      <c r="H122" s="7"/>
      <c r="I122" s="2" t="s">
        <v>57</v>
      </c>
      <c r="J122" s="2" t="s">
        <v>58</v>
      </c>
      <c r="K122" s="2" t="s">
        <v>304</v>
      </c>
      <c r="L122" s="2" t="s">
        <v>119</v>
      </c>
      <c r="M122" s="8" t="str">
        <f>HYPERLINK("http://slimages.macys.com/is/image/MCY/13815565 ")</f>
        <v xml:space="preserve">http://slimages.macys.com/is/image/MCY/13815565 </v>
      </c>
    </row>
    <row r="123" spans="1:13" ht="60" x14ac:dyDescent="0.25">
      <c r="A123" s="7" t="s">
        <v>10912</v>
      </c>
      <c r="B123" s="2" t="s">
        <v>4860</v>
      </c>
      <c r="C123" s="4">
        <v>1</v>
      </c>
      <c r="D123" s="5">
        <v>9.8000000000000007</v>
      </c>
      <c r="E123" s="5">
        <v>24.5</v>
      </c>
      <c r="F123" s="4" t="s">
        <v>4861</v>
      </c>
      <c r="G123" s="2" t="s">
        <v>62</v>
      </c>
      <c r="H123" s="7"/>
      <c r="I123" s="2" t="s">
        <v>57</v>
      </c>
      <c r="J123" s="2" t="s">
        <v>58</v>
      </c>
      <c r="K123" s="2" t="s">
        <v>304</v>
      </c>
      <c r="L123" s="2" t="s">
        <v>119</v>
      </c>
      <c r="M123" s="8" t="str">
        <f>HYPERLINK("http://slimages.macys.com/is/image/MCY/12899348 ")</f>
        <v xml:space="preserve">http://slimages.macys.com/is/image/MCY/12899348 </v>
      </c>
    </row>
    <row r="124" spans="1:13" ht="84" x14ac:dyDescent="0.25">
      <c r="A124" s="7" t="s">
        <v>10913</v>
      </c>
      <c r="B124" s="2" t="s">
        <v>10914</v>
      </c>
      <c r="C124" s="4">
        <v>1</v>
      </c>
      <c r="D124" s="5">
        <v>9.75</v>
      </c>
      <c r="E124" s="5">
        <v>24.99</v>
      </c>
      <c r="F124" s="4" t="s">
        <v>10915</v>
      </c>
      <c r="G124" s="2" t="s">
        <v>667</v>
      </c>
      <c r="H124" s="7" t="s">
        <v>266</v>
      </c>
      <c r="I124" s="2" t="s">
        <v>321</v>
      </c>
      <c r="J124" s="2" t="s">
        <v>8764</v>
      </c>
      <c r="K124" s="2" t="s">
        <v>304</v>
      </c>
      <c r="L124" s="2" t="s">
        <v>1117</v>
      </c>
      <c r="M124" s="8" t="str">
        <f>HYPERLINK("http://slimages.macys.com/is/image/MCY/11724590 ")</f>
        <v xml:space="preserve">http://slimages.macys.com/is/image/MCY/11724590 </v>
      </c>
    </row>
    <row r="125" spans="1:13" ht="84" x14ac:dyDescent="0.25">
      <c r="A125" s="7" t="s">
        <v>9934</v>
      </c>
      <c r="B125" s="2" t="s">
        <v>8762</v>
      </c>
      <c r="C125" s="4">
        <v>1</v>
      </c>
      <c r="D125" s="5">
        <v>9.75</v>
      </c>
      <c r="E125" s="5">
        <v>24.99</v>
      </c>
      <c r="F125" s="4" t="s">
        <v>8763</v>
      </c>
      <c r="G125" s="2" t="s">
        <v>653</v>
      </c>
      <c r="H125" s="7" t="s">
        <v>266</v>
      </c>
      <c r="I125" s="2" t="s">
        <v>321</v>
      </c>
      <c r="J125" s="2" t="s">
        <v>8764</v>
      </c>
      <c r="K125" s="2" t="s">
        <v>304</v>
      </c>
      <c r="L125" s="2" t="s">
        <v>1117</v>
      </c>
      <c r="M125" s="8" t="str">
        <f>HYPERLINK("http://slimages.macys.com/is/image/MCY/11724581 ")</f>
        <v xml:space="preserve">http://slimages.macys.com/is/image/MCY/11724581 </v>
      </c>
    </row>
    <row r="126" spans="1:13" ht="96" x14ac:dyDescent="0.25">
      <c r="A126" s="7" t="s">
        <v>7397</v>
      </c>
      <c r="B126" s="2" t="s">
        <v>1629</v>
      </c>
      <c r="C126" s="4">
        <v>1</v>
      </c>
      <c r="D126" s="5">
        <v>9.75</v>
      </c>
      <c r="E126" s="5">
        <v>24.99</v>
      </c>
      <c r="F126" s="4" t="s">
        <v>1630</v>
      </c>
      <c r="G126" s="2" t="s">
        <v>41</v>
      </c>
      <c r="H126" s="7" t="s">
        <v>166</v>
      </c>
      <c r="I126" s="2" t="s">
        <v>321</v>
      </c>
      <c r="J126" s="2" t="s">
        <v>1631</v>
      </c>
      <c r="K126" s="2" t="s">
        <v>304</v>
      </c>
      <c r="L126" s="2" t="s">
        <v>1516</v>
      </c>
      <c r="M126" s="8" t="str">
        <f>HYPERLINK("http://slimages.macys.com/is/image/MCY/11545084 ")</f>
        <v xml:space="preserve">http://slimages.macys.com/is/image/MCY/11545084 </v>
      </c>
    </row>
    <row r="127" spans="1:13" ht="84" x14ac:dyDescent="0.25">
      <c r="A127" s="7" t="s">
        <v>8761</v>
      </c>
      <c r="B127" s="2" t="s">
        <v>8762</v>
      </c>
      <c r="C127" s="4">
        <v>2</v>
      </c>
      <c r="D127" s="5">
        <v>9.75</v>
      </c>
      <c r="E127" s="5">
        <v>24.99</v>
      </c>
      <c r="F127" s="4" t="s">
        <v>8763</v>
      </c>
      <c r="G127" s="2" t="s">
        <v>653</v>
      </c>
      <c r="H127" s="7" t="s">
        <v>248</v>
      </c>
      <c r="I127" s="2" t="s">
        <v>321</v>
      </c>
      <c r="J127" s="2" t="s">
        <v>8764</v>
      </c>
      <c r="K127" s="2" t="s">
        <v>304</v>
      </c>
      <c r="L127" s="2" t="s">
        <v>1117</v>
      </c>
      <c r="M127" s="8" t="str">
        <f>HYPERLINK("http://slimages.macys.com/is/image/MCY/11724581 ")</f>
        <v xml:space="preserve">http://slimages.macys.com/is/image/MCY/11724581 </v>
      </c>
    </row>
    <row r="128" spans="1:13" ht="60" x14ac:dyDescent="0.25">
      <c r="A128" s="7" t="s">
        <v>10916</v>
      </c>
      <c r="B128" s="2" t="s">
        <v>10917</v>
      </c>
      <c r="C128" s="4">
        <v>1</v>
      </c>
      <c r="D128" s="5">
        <v>9.75</v>
      </c>
      <c r="E128" s="5">
        <v>19.5</v>
      </c>
      <c r="F128" s="4">
        <v>26484311</v>
      </c>
      <c r="G128" s="2"/>
      <c r="H128" s="7" t="s">
        <v>144</v>
      </c>
      <c r="I128" s="2" t="s">
        <v>487</v>
      </c>
      <c r="J128" s="2" t="s">
        <v>2424</v>
      </c>
      <c r="K128" s="2" t="s">
        <v>304</v>
      </c>
      <c r="L128" s="2" t="s">
        <v>206</v>
      </c>
      <c r="M128" s="8" t="str">
        <f>HYPERLINK("http://slimages.macys.com/is/image/MCY/11631156 ")</f>
        <v xml:space="preserve">http://slimages.macys.com/is/image/MCY/11631156 </v>
      </c>
    </row>
    <row r="129" spans="1:13" ht="120" x14ac:dyDescent="0.25">
      <c r="A129" s="7" t="s">
        <v>10918</v>
      </c>
      <c r="B129" s="2" t="s">
        <v>10919</v>
      </c>
      <c r="C129" s="4">
        <v>1</v>
      </c>
      <c r="D129" s="5">
        <v>9.65</v>
      </c>
      <c r="E129" s="5">
        <v>19.3</v>
      </c>
      <c r="F129" s="4" t="s">
        <v>10920</v>
      </c>
      <c r="G129" s="2" t="s">
        <v>28</v>
      </c>
      <c r="H129" s="7"/>
      <c r="I129" s="2" t="s">
        <v>487</v>
      </c>
      <c r="J129" s="2" t="s">
        <v>488</v>
      </c>
      <c r="K129" s="2" t="s">
        <v>304</v>
      </c>
      <c r="L129" s="2" t="s">
        <v>10921</v>
      </c>
      <c r="M129" s="8" t="str">
        <f>HYPERLINK("http://slimages.macys.com/is/image/MCY/12068350 ")</f>
        <v xml:space="preserve">http://slimages.macys.com/is/image/MCY/12068350 </v>
      </c>
    </row>
    <row r="130" spans="1:13" ht="72" x14ac:dyDescent="0.25">
      <c r="A130" s="7" t="s">
        <v>10922</v>
      </c>
      <c r="B130" s="2" t="s">
        <v>4872</v>
      </c>
      <c r="C130" s="4">
        <v>1</v>
      </c>
      <c r="D130" s="5">
        <v>9.6</v>
      </c>
      <c r="E130" s="5">
        <v>23.99</v>
      </c>
      <c r="F130" s="4" t="s">
        <v>4873</v>
      </c>
      <c r="G130" s="2" t="s">
        <v>86</v>
      </c>
      <c r="H130" s="7"/>
      <c r="I130" s="2" t="s">
        <v>173</v>
      </c>
      <c r="J130" s="2" t="s">
        <v>174</v>
      </c>
      <c r="K130" s="2" t="s">
        <v>304</v>
      </c>
      <c r="L130" s="2" t="s">
        <v>2540</v>
      </c>
      <c r="M130" s="8" t="str">
        <f>HYPERLINK("http://slimages.macys.com/is/image/MCY/12726105 ")</f>
        <v xml:space="preserve">http://slimages.macys.com/is/image/MCY/12726105 </v>
      </c>
    </row>
    <row r="131" spans="1:13" ht="60" x14ac:dyDescent="0.25">
      <c r="A131" s="7" t="s">
        <v>10923</v>
      </c>
      <c r="B131" s="2" t="s">
        <v>6199</v>
      </c>
      <c r="C131" s="4">
        <v>1</v>
      </c>
      <c r="D131" s="5">
        <v>9.6</v>
      </c>
      <c r="E131" s="5">
        <v>23.99</v>
      </c>
      <c r="F131" s="4" t="s">
        <v>6200</v>
      </c>
      <c r="G131" s="2" t="s">
        <v>86</v>
      </c>
      <c r="H131" s="7"/>
      <c r="I131" s="2" t="s">
        <v>173</v>
      </c>
      <c r="J131" s="2" t="s">
        <v>174</v>
      </c>
      <c r="K131" s="2" t="s">
        <v>304</v>
      </c>
      <c r="L131" s="2" t="s">
        <v>75</v>
      </c>
      <c r="M131" s="8" t="str">
        <f>HYPERLINK("http://slimages.macys.com/is/image/MCY/12726103 ")</f>
        <v xml:space="preserve">http://slimages.macys.com/is/image/MCY/12726103 </v>
      </c>
    </row>
    <row r="132" spans="1:13" ht="60" x14ac:dyDescent="0.25">
      <c r="A132" s="7" t="s">
        <v>7404</v>
      </c>
      <c r="B132" s="2" t="s">
        <v>7405</v>
      </c>
      <c r="C132" s="4">
        <v>1</v>
      </c>
      <c r="D132" s="5">
        <v>9.6</v>
      </c>
      <c r="E132" s="5">
        <v>23.99</v>
      </c>
      <c r="F132" s="4" t="s">
        <v>7406</v>
      </c>
      <c r="G132" s="2" t="s">
        <v>171</v>
      </c>
      <c r="H132" s="7" t="s">
        <v>177</v>
      </c>
      <c r="I132" s="2" t="s">
        <v>173</v>
      </c>
      <c r="J132" s="2" t="s">
        <v>174</v>
      </c>
      <c r="K132" s="2" t="s">
        <v>304</v>
      </c>
      <c r="L132" s="2" t="s">
        <v>3223</v>
      </c>
      <c r="M132" s="8" t="str">
        <f>HYPERLINK("http://slimages.macys.com/is/image/MCY/9357273 ")</f>
        <v xml:space="preserve">http://slimages.macys.com/is/image/MCY/9357273 </v>
      </c>
    </row>
    <row r="133" spans="1:13" ht="60" x14ac:dyDescent="0.25">
      <c r="A133" s="7" t="s">
        <v>10924</v>
      </c>
      <c r="B133" s="2" t="s">
        <v>1633</v>
      </c>
      <c r="C133" s="4">
        <v>1</v>
      </c>
      <c r="D133" s="5">
        <v>9.5299999999999994</v>
      </c>
      <c r="E133" s="5">
        <v>22.99</v>
      </c>
      <c r="F133" s="4" t="s">
        <v>1634</v>
      </c>
      <c r="G133" s="2" t="s">
        <v>28</v>
      </c>
      <c r="H133" s="7" t="s">
        <v>159</v>
      </c>
      <c r="I133" s="2" t="s">
        <v>292</v>
      </c>
      <c r="J133" s="2" t="s">
        <v>293</v>
      </c>
      <c r="K133" s="2" t="s">
        <v>304</v>
      </c>
      <c r="L133" s="2" t="s">
        <v>206</v>
      </c>
      <c r="M133" s="8" t="str">
        <f>HYPERLINK("http://slimages.macys.com/is/image/MCY/11776336 ")</f>
        <v xml:space="preserve">http://slimages.macys.com/is/image/MCY/11776336 </v>
      </c>
    </row>
    <row r="134" spans="1:13" ht="60" x14ac:dyDescent="0.25">
      <c r="A134" s="7" t="s">
        <v>6793</v>
      </c>
      <c r="B134" s="2" t="s">
        <v>1633</v>
      </c>
      <c r="C134" s="4">
        <v>3</v>
      </c>
      <c r="D134" s="5">
        <v>9.5299999999999994</v>
      </c>
      <c r="E134" s="5">
        <v>22.99</v>
      </c>
      <c r="F134" s="4" t="s">
        <v>1634</v>
      </c>
      <c r="G134" s="2" t="s">
        <v>28</v>
      </c>
      <c r="H134" s="7" t="s">
        <v>228</v>
      </c>
      <c r="I134" s="2" t="s">
        <v>292</v>
      </c>
      <c r="J134" s="2" t="s">
        <v>293</v>
      </c>
      <c r="K134" s="2" t="s">
        <v>304</v>
      </c>
      <c r="L134" s="2" t="s">
        <v>206</v>
      </c>
      <c r="M134" s="8" t="str">
        <f>HYPERLINK("http://slimages.macys.com/is/image/MCY/11776336 ")</f>
        <v xml:space="preserve">http://slimages.macys.com/is/image/MCY/11776336 </v>
      </c>
    </row>
    <row r="135" spans="1:13" ht="60" x14ac:dyDescent="0.25">
      <c r="A135" s="7" t="s">
        <v>1632</v>
      </c>
      <c r="B135" s="2" t="s">
        <v>1633</v>
      </c>
      <c r="C135" s="4">
        <v>3</v>
      </c>
      <c r="D135" s="5">
        <v>9.5299999999999994</v>
      </c>
      <c r="E135" s="5">
        <v>22.99</v>
      </c>
      <c r="F135" s="4" t="s">
        <v>1634</v>
      </c>
      <c r="G135" s="2" t="s">
        <v>28</v>
      </c>
      <c r="H135" s="7" t="s">
        <v>217</v>
      </c>
      <c r="I135" s="2" t="s">
        <v>292</v>
      </c>
      <c r="J135" s="2" t="s">
        <v>293</v>
      </c>
      <c r="K135" s="2" t="s">
        <v>304</v>
      </c>
      <c r="L135" s="2" t="s">
        <v>206</v>
      </c>
      <c r="M135" s="8" t="str">
        <f>HYPERLINK("http://slimages.macys.com/is/image/MCY/11776336 ")</f>
        <v xml:space="preserve">http://slimages.macys.com/is/image/MCY/11776336 </v>
      </c>
    </row>
    <row r="136" spans="1:13" ht="120" x14ac:dyDescent="0.25">
      <c r="A136" s="7" t="s">
        <v>10925</v>
      </c>
      <c r="B136" s="2" t="s">
        <v>10926</v>
      </c>
      <c r="C136" s="4">
        <v>1</v>
      </c>
      <c r="D136" s="5">
        <v>9.5</v>
      </c>
      <c r="E136" s="5">
        <v>20.99</v>
      </c>
      <c r="F136" s="4" t="s">
        <v>10927</v>
      </c>
      <c r="G136" s="2" t="s">
        <v>28</v>
      </c>
      <c r="H136" s="7" t="s">
        <v>442</v>
      </c>
      <c r="I136" s="2" t="s">
        <v>92</v>
      </c>
      <c r="J136" s="2" t="s">
        <v>239</v>
      </c>
      <c r="K136" s="2" t="s">
        <v>304</v>
      </c>
      <c r="L136" s="2" t="s">
        <v>10928</v>
      </c>
      <c r="M136" s="8" t="str">
        <f>HYPERLINK("http://slimages.macys.com/is/image/MCY/12674087 ")</f>
        <v xml:space="preserve">http://slimages.macys.com/is/image/MCY/12674087 </v>
      </c>
    </row>
    <row r="137" spans="1:13" ht="204" x14ac:dyDescent="0.25">
      <c r="A137" s="7" t="s">
        <v>10929</v>
      </c>
      <c r="B137" s="2" t="s">
        <v>10930</v>
      </c>
      <c r="C137" s="4">
        <v>1</v>
      </c>
      <c r="D137" s="5">
        <v>9.3000000000000007</v>
      </c>
      <c r="E137" s="5">
        <v>21.99</v>
      </c>
      <c r="F137" s="4" t="s">
        <v>10931</v>
      </c>
      <c r="G137" s="2" t="s">
        <v>129</v>
      </c>
      <c r="H137" s="7" t="s">
        <v>42</v>
      </c>
      <c r="I137" s="2" t="s">
        <v>153</v>
      </c>
      <c r="J137" s="2" t="s">
        <v>154</v>
      </c>
      <c r="K137" s="2" t="s">
        <v>304</v>
      </c>
      <c r="L137" s="2" t="s">
        <v>10932</v>
      </c>
      <c r="M137" s="8" t="str">
        <f>HYPERLINK("http://slimages.macys.com/is/image/MCY/10433976 ")</f>
        <v xml:space="preserve">http://slimages.macys.com/is/image/MCY/10433976 </v>
      </c>
    </row>
    <row r="138" spans="1:13" ht="60" x14ac:dyDescent="0.25">
      <c r="A138" s="7" t="s">
        <v>10933</v>
      </c>
      <c r="B138" s="2" t="s">
        <v>10934</v>
      </c>
      <c r="C138" s="4">
        <v>1</v>
      </c>
      <c r="D138" s="5">
        <v>9.25</v>
      </c>
      <c r="E138" s="5">
        <v>24.99</v>
      </c>
      <c r="F138" s="4" t="s">
        <v>10935</v>
      </c>
      <c r="G138" s="2" t="s">
        <v>310</v>
      </c>
      <c r="H138" s="7" t="s">
        <v>149</v>
      </c>
      <c r="I138" s="2" t="s">
        <v>135</v>
      </c>
      <c r="J138" s="2" t="s">
        <v>99</v>
      </c>
      <c r="K138" s="2" t="s">
        <v>304</v>
      </c>
      <c r="L138" s="2" t="s">
        <v>206</v>
      </c>
      <c r="M138" s="8" t="str">
        <f>HYPERLINK("http://slimages.macys.com/is/image/MCY/12326459 ")</f>
        <v xml:space="preserve">http://slimages.macys.com/is/image/MCY/12326459 </v>
      </c>
    </row>
    <row r="139" spans="1:13" ht="60" x14ac:dyDescent="0.25">
      <c r="A139" s="7" t="s">
        <v>10936</v>
      </c>
      <c r="B139" s="2" t="s">
        <v>5317</v>
      </c>
      <c r="C139" s="4">
        <v>1</v>
      </c>
      <c r="D139" s="5">
        <v>9.1999999999999993</v>
      </c>
      <c r="E139" s="5">
        <v>21.99</v>
      </c>
      <c r="F139" s="4">
        <v>16519810</v>
      </c>
      <c r="G139" s="2" t="s">
        <v>653</v>
      </c>
      <c r="H139" s="7" t="s">
        <v>675</v>
      </c>
      <c r="I139" s="2" t="s">
        <v>153</v>
      </c>
      <c r="J139" s="2" t="s">
        <v>154</v>
      </c>
      <c r="K139" s="2" t="s">
        <v>304</v>
      </c>
      <c r="L139" s="2" t="s">
        <v>38</v>
      </c>
      <c r="M139" s="8" t="str">
        <f>HYPERLINK("http://slimages.macys.com/is/image/MCY/11867480 ")</f>
        <v xml:space="preserve">http://slimages.macys.com/is/image/MCY/11867480 </v>
      </c>
    </row>
    <row r="140" spans="1:13" ht="60" x14ac:dyDescent="0.25">
      <c r="A140" s="7" t="s">
        <v>10937</v>
      </c>
      <c r="B140" s="2" t="s">
        <v>843</v>
      </c>
      <c r="C140" s="4">
        <v>1</v>
      </c>
      <c r="D140" s="5">
        <v>9.09</v>
      </c>
      <c r="E140" s="5">
        <v>24.99</v>
      </c>
      <c r="F140" s="4" t="s">
        <v>844</v>
      </c>
      <c r="G140" s="2" t="s">
        <v>62</v>
      </c>
      <c r="H140" s="7" t="s">
        <v>311</v>
      </c>
      <c r="I140" s="2" t="s">
        <v>515</v>
      </c>
      <c r="J140" s="2" t="s">
        <v>516</v>
      </c>
      <c r="K140" s="2" t="s">
        <v>304</v>
      </c>
      <c r="L140" s="2" t="s">
        <v>358</v>
      </c>
      <c r="M140" s="8" t="str">
        <f>HYPERLINK("http://slimages.macys.com/is/image/MCY/12387525 ")</f>
        <v xml:space="preserve">http://slimages.macys.com/is/image/MCY/12387525 </v>
      </c>
    </row>
    <row r="141" spans="1:13" ht="180" x14ac:dyDescent="0.25">
      <c r="A141" s="7" t="s">
        <v>10938</v>
      </c>
      <c r="B141" s="2" t="s">
        <v>10939</v>
      </c>
      <c r="C141" s="4">
        <v>1</v>
      </c>
      <c r="D141" s="5">
        <v>9.0299999999999994</v>
      </c>
      <c r="E141" s="5">
        <v>25.99</v>
      </c>
      <c r="F141" s="4" t="s">
        <v>10940</v>
      </c>
      <c r="G141" s="2" t="s">
        <v>297</v>
      </c>
      <c r="H141" s="7" t="s">
        <v>42</v>
      </c>
      <c r="I141" s="2" t="s">
        <v>483</v>
      </c>
      <c r="J141" s="2" t="s">
        <v>536</v>
      </c>
      <c r="K141" s="2" t="s">
        <v>304</v>
      </c>
      <c r="L141" s="2" t="s">
        <v>10941</v>
      </c>
      <c r="M141" s="8" t="str">
        <f>HYPERLINK("http://slimages.macys.com/is/image/MCY/11520386 ")</f>
        <v xml:space="preserve">http://slimages.macys.com/is/image/MCY/11520386 </v>
      </c>
    </row>
    <row r="142" spans="1:13" ht="60" x14ac:dyDescent="0.25">
      <c r="A142" s="7" t="s">
        <v>10942</v>
      </c>
      <c r="B142" s="2" t="s">
        <v>10943</v>
      </c>
      <c r="C142" s="4">
        <v>1</v>
      </c>
      <c r="D142" s="5">
        <v>9</v>
      </c>
      <c r="E142" s="5">
        <v>19.989999999999998</v>
      </c>
      <c r="F142" s="4" t="s">
        <v>10944</v>
      </c>
      <c r="G142" s="2" t="s">
        <v>353</v>
      </c>
      <c r="H142" s="7" t="s">
        <v>311</v>
      </c>
      <c r="I142" s="2" t="s">
        <v>80</v>
      </c>
      <c r="J142" s="2" t="s">
        <v>145</v>
      </c>
      <c r="K142" s="2" t="s">
        <v>304</v>
      </c>
      <c r="L142" s="2" t="s">
        <v>125</v>
      </c>
      <c r="M142" s="8" t="str">
        <f>HYPERLINK("http://slimages.macys.com/is/image/MCY/9874898 ")</f>
        <v xml:space="preserve">http://slimages.macys.com/is/image/MCY/9874898 </v>
      </c>
    </row>
    <row r="143" spans="1:13" ht="108" x14ac:dyDescent="0.25">
      <c r="A143" s="7" t="s">
        <v>10945</v>
      </c>
      <c r="B143" s="2" t="s">
        <v>9980</v>
      </c>
      <c r="C143" s="4">
        <v>1</v>
      </c>
      <c r="D143" s="5">
        <v>8.8000000000000007</v>
      </c>
      <c r="E143" s="5">
        <v>15.99</v>
      </c>
      <c r="F143" s="4" t="s">
        <v>9981</v>
      </c>
      <c r="G143" s="2" t="s">
        <v>262</v>
      </c>
      <c r="H143" s="7" t="s">
        <v>438</v>
      </c>
      <c r="I143" s="2" t="s">
        <v>153</v>
      </c>
      <c r="J143" s="2" t="s">
        <v>154</v>
      </c>
      <c r="K143" s="2" t="s">
        <v>304</v>
      </c>
      <c r="L143" s="2" t="s">
        <v>9982</v>
      </c>
      <c r="M143" s="8" t="str">
        <f>HYPERLINK("http://slimages.macys.com/is/image/MCY/9644644 ")</f>
        <v xml:space="preserve">http://slimages.macys.com/is/image/MCY/9644644 </v>
      </c>
    </row>
    <row r="144" spans="1:13" ht="60" x14ac:dyDescent="0.25">
      <c r="A144" s="7" t="s">
        <v>10946</v>
      </c>
      <c r="B144" s="2" t="s">
        <v>3954</v>
      </c>
      <c r="C144" s="4">
        <v>1</v>
      </c>
      <c r="D144" s="5">
        <v>8.7799999999999994</v>
      </c>
      <c r="E144" s="5">
        <v>19.5</v>
      </c>
      <c r="F144" s="4">
        <v>323703638038</v>
      </c>
      <c r="G144" s="2" t="s">
        <v>107</v>
      </c>
      <c r="H144" s="7" t="s">
        <v>284</v>
      </c>
      <c r="I144" s="2" t="s">
        <v>204</v>
      </c>
      <c r="J144" s="2" t="s">
        <v>205</v>
      </c>
      <c r="K144" s="2" t="s">
        <v>304</v>
      </c>
      <c r="L144" s="2" t="s">
        <v>206</v>
      </c>
      <c r="M144" s="8" t="str">
        <f>HYPERLINK("http://slimages.macys.com/is/image/MCY/13746048 ")</f>
        <v xml:space="preserve">http://slimages.macys.com/is/image/MCY/13746048 </v>
      </c>
    </row>
    <row r="145" spans="1:13" ht="60" x14ac:dyDescent="0.25">
      <c r="A145" s="7" t="s">
        <v>10947</v>
      </c>
      <c r="B145" s="2" t="s">
        <v>10948</v>
      </c>
      <c r="C145" s="4">
        <v>1</v>
      </c>
      <c r="D145" s="5">
        <v>8.76</v>
      </c>
      <c r="E145" s="5">
        <v>21.99</v>
      </c>
      <c r="F145" s="4" t="s">
        <v>10949</v>
      </c>
      <c r="G145" s="2" t="s">
        <v>36</v>
      </c>
      <c r="H145" s="7" t="s">
        <v>284</v>
      </c>
      <c r="I145" s="2" t="s">
        <v>389</v>
      </c>
      <c r="J145" s="2" t="s">
        <v>354</v>
      </c>
      <c r="K145" s="2" t="s">
        <v>304</v>
      </c>
      <c r="L145" s="2" t="s">
        <v>119</v>
      </c>
      <c r="M145" s="8" t="str">
        <f>HYPERLINK("http://slimages.macys.com/is/image/MCY/12000839 ")</f>
        <v xml:space="preserve">http://slimages.macys.com/is/image/MCY/12000839 </v>
      </c>
    </row>
    <row r="146" spans="1:13" ht="96" x14ac:dyDescent="0.25">
      <c r="A146" s="7" t="s">
        <v>855</v>
      </c>
      <c r="B146" s="2" t="s">
        <v>856</v>
      </c>
      <c r="C146" s="4">
        <v>1</v>
      </c>
      <c r="D146" s="5">
        <v>8.75</v>
      </c>
      <c r="E146" s="5">
        <v>19.989999999999998</v>
      </c>
      <c r="F146" s="4" t="s">
        <v>857</v>
      </c>
      <c r="G146" s="2" t="s">
        <v>858</v>
      </c>
      <c r="H146" s="7"/>
      <c r="I146" s="2" t="s">
        <v>815</v>
      </c>
      <c r="J146" s="2" t="s">
        <v>778</v>
      </c>
      <c r="K146" s="2" t="s">
        <v>304</v>
      </c>
      <c r="L146" s="2" t="s">
        <v>816</v>
      </c>
      <c r="M146" s="8" t="str">
        <f>HYPERLINK("http://slimages.macys.com/is/image/MCY/11234478 ")</f>
        <v xml:space="preserve">http://slimages.macys.com/is/image/MCY/11234478 </v>
      </c>
    </row>
    <row r="147" spans="1:13" ht="60" x14ac:dyDescent="0.25">
      <c r="A147" s="7" t="s">
        <v>10950</v>
      </c>
      <c r="B147" s="2" t="s">
        <v>10951</v>
      </c>
      <c r="C147" s="4">
        <v>1</v>
      </c>
      <c r="D147" s="5">
        <v>8.65</v>
      </c>
      <c r="E147" s="5">
        <v>19.989999999999998</v>
      </c>
      <c r="F147" s="4" t="s">
        <v>10952</v>
      </c>
      <c r="G147" s="2" t="s">
        <v>28</v>
      </c>
      <c r="H147" s="7" t="s">
        <v>578</v>
      </c>
      <c r="I147" s="2" t="s">
        <v>1689</v>
      </c>
      <c r="J147" s="2" t="s">
        <v>354</v>
      </c>
      <c r="K147" s="2" t="s">
        <v>304</v>
      </c>
      <c r="L147" s="2" t="s">
        <v>390</v>
      </c>
      <c r="M147" s="8" t="str">
        <f>HYPERLINK("http://slimages.macys.com/is/image/MCY/12507100 ")</f>
        <v xml:space="preserve">http://slimages.macys.com/is/image/MCY/12507100 </v>
      </c>
    </row>
    <row r="148" spans="1:13" ht="60" x14ac:dyDescent="0.25">
      <c r="A148" s="7" t="s">
        <v>10953</v>
      </c>
      <c r="B148" s="2" t="s">
        <v>9440</v>
      </c>
      <c r="C148" s="4">
        <v>1</v>
      </c>
      <c r="D148" s="5">
        <v>8.65</v>
      </c>
      <c r="E148" s="5">
        <v>19.989999999999998</v>
      </c>
      <c r="F148" s="4" t="s">
        <v>9441</v>
      </c>
      <c r="G148" s="2" t="s">
        <v>582</v>
      </c>
      <c r="H148" s="7" t="s">
        <v>578</v>
      </c>
      <c r="I148" s="2" t="s">
        <v>1689</v>
      </c>
      <c r="J148" s="2" t="s">
        <v>354</v>
      </c>
      <c r="K148" s="2" t="s">
        <v>304</v>
      </c>
      <c r="L148" s="2" t="s">
        <v>493</v>
      </c>
      <c r="M148" s="8" t="str">
        <f>HYPERLINK("http://slimages.macys.com/is/image/MCY/12506950 ")</f>
        <v xml:space="preserve">http://slimages.macys.com/is/image/MCY/12506950 </v>
      </c>
    </row>
    <row r="149" spans="1:13" ht="60" x14ac:dyDescent="0.25">
      <c r="A149" s="7" t="s">
        <v>10954</v>
      </c>
      <c r="B149" s="2" t="s">
        <v>10955</v>
      </c>
      <c r="C149" s="4">
        <v>1</v>
      </c>
      <c r="D149" s="5">
        <v>8.58</v>
      </c>
      <c r="E149" s="5">
        <v>24.5</v>
      </c>
      <c r="F149" s="4" t="s">
        <v>10956</v>
      </c>
      <c r="G149" s="2" t="s">
        <v>297</v>
      </c>
      <c r="H149" s="7" t="s">
        <v>248</v>
      </c>
      <c r="I149" s="2" t="s">
        <v>298</v>
      </c>
      <c r="J149" s="2" t="s">
        <v>99</v>
      </c>
      <c r="K149" s="2" t="s">
        <v>304</v>
      </c>
      <c r="L149" s="2" t="s">
        <v>119</v>
      </c>
      <c r="M149" s="8" t="str">
        <f>HYPERLINK("http://slimages.macys.com/is/image/MCY/14021655 ")</f>
        <v xml:space="preserve">http://slimages.macys.com/is/image/MCY/14021655 </v>
      </c>
    </row>
    <row r="150" spans="1:13" ht="120" x14ac:dyDescent="0.25">
      <c r="A150" s="7" t="s">
        <v>10957</v>
      </c>
      <c r="B150" s="2" t="s">
        <v>6818</v>
      </c>
      <c r="C150" s="4">
        <v>1</v>
      </c>
      <c r="D150" s="5">
        <v>8.5</v>
      </c>
      <c r="E150" s="5">
        <v>20.99</v>
      </c>
      <c r="F150" s="4">
        <v>6511955932</v>
      </c>
      <c r="G150" s="2" t="s">
        <v>41</v>
      </c>
      <c r="H150" s="7"/>
      <c r="I150" s="2" t="s">
        <v>73</v>
      </c>
      <c r="J150" s="2" t="s">
        <v>6819</v>
      </c>
      <c r="K150" s="2" t="s">
        <v>304</v>
      </c>
      <c r="L150" s="2" t="s">
        <v>10958</v>
      </c>
      <c r="M150" s="8" t="str">
        <f>HYPERLINK("http://slimages.macys.com/is/image/MCY/12742436 ")</f>
        <v xml:space="preserve">http://slimages.macys.com/is/image/MCY/12742436 </v>
      </c>
    </row>
    <row r="151" spans="1:13" ht="60" x14ac:dyDescent="0.25">
      <c r="A151" s="7" t="s">
        <v>10959</v>
      </c>
      <c r="B151" s="2" t="s">
        <v>10960</v>
      </c>
      <c r="C151" s="4">
        <v>1</v>
      </c>
      <c r="D151" s="5">
        <v>8.5</v>
      </c>
      <c r="E151" s="5">
        <v>20.99</v>
      </c>
      <c r="F151" s="4" t="s">
        <v>10961</v>
      </c>
      <c r="G151" s="2" t="s">
        <v>310</v>
      </c>
      <c r="H151" s="7" t="s">
        <v>618</v>
      </c>
      <c r="I151" s="2" t="s">
        <v>312</v>
      </c>
      <c r="J151" s="2" t="s">
        <v>313</v>
      </c>
      <c r="K151" s="2" t="s">
        <v>304</v>
      </c>
      <c r="L151" s="2" t="s">
        <v>125</v>
      </c>
      <c r="M151" s="8" t="str">
        <f>HYPERLINK("http://slimages.macys.com/is/image/MCY/11488748 ")</f>
        <v xml:space="preserve">http://slimages.macys.com/is/image/MCY/11488748 </v>
      </c>
    </row>
    <row r="152" spans="1:13" ht="60" x14ac:dyDescent="0.25">
      <c r="A152" s="7" t="s">
        <v>10962</v>
      </c>
      <c r="B152" s="2" t="s">
        <v>10963</v>
      </c>
      <c r="C152" s="4">
        <v>1</v>
      </c>
      <c r="D152" s="5">
        <v>8.5</v>
      </c>
      <c r="E152" s="5">
        <v>21.99</v>
      </c>
      <c r="F152" s="4" t="s">
        <v>10964</v>
      </c>
      <c r="G152" s="2" t="s">
        <v>800</v>
      </c>
      <c r="H152" s="7"/>
      <c r="I152" s="2" t="s">
        <v>321</v>
      </c>
      <c r="J152" s="2" t="s">
        <v>5901</v>
      </c>
      <c r="K152" s="2" t="s">
        <v>304</v>
      </c>
      <c r="L152" s="2" t="s">
        <v>125</v>
      </c>
      <c r="M152" s="8" t="str">
        <f>HYPERLINK("http://slimages.macys.com/is/image/MCY/11647261 ")</f>
        <v xml:space="preserve">http://slimages.macys.com/is/image/MCY/11647261 </v>
      </c>
    </row>
    <row r="153" spans="1:13" ht="60" x14ac:dyDescent="0.25">
      <c r="A153" s="7" t="s">
        <v>9994</v>
      </c>
      <c r="B153" s="2" t="s">
        <v>7465</v>
      </c>
      <c r="C153" s="4">
        <v>5</v>
      </c>
      <c r="D153" s="5">
        <v>8.5</v>
      </c>
      <c r="E153" s="5">
        <v>21.99</v>
      </c>
      <c r="F153" s="4" t="s">
        <v>9995</v>
      </c>
      <c r="G153" s="2" t="s">
        <v>4218</v>
      </c>
      <c r="H153" s="7"/>
      <c r="I153" s="2" t="s">
        <v>321</v>
      </c>
      <c r="J153" s="2" t="s">
        <v>5901</v>
      </c>
      <c r="K153" s="2" t="s">
        <v>304</v>
      </c>
      <c r="L153" s="2" t="s">
        <v>125</v>
      </c>
      <c r="M153" s="8" t="str">
        <f>HYPERLINK("http://slimages.macys.com/is/image/MCY/11647279 ")</f>
        <v xml:space="preserve">http://slimages.macys.com/is/image/MCY/11647279 </v>
      </c>
    </row>
    <row r="154" spans="1:13" ht="60" x14ac:dyDescent="0.25">
      <c r="A154" s="7" t="s">
        <v>10965</v>
      </c>
      <c r="B154" s="2" t="s">
        <v>7465</v>
      </c>
      <c r="C154" s="4">
        <v>2</v>
      </c>
      <c r="D154" s="5">
        <v>8.5</v>
      </c>
      <c r="E154" s="5">
        <v>21.99</v>
      </c>
      <c r="F154" s="4" t="s">
        <v>9995</v>
      </c>
      <c r="G154" s="2" t="s">
        <v>4218</v>
      </c>
      <c r="H154" s="7"/>
      <c r="I154" s="2" t="s">
        <v>321</v>
      </c>
      <c r="J154" s="2" t="s">
        <v>5901</v>
      </c>
      <c r="K154" s="2" t="s">
        <v>304</v>
      </c>
      <c r="L154" s="2" t="s">
        <v>125</v>
      </c>
      <c r="M154" s="8" t="str">
        <f>HYPERLINK("http://slimages.macys.com/is/image/MCY/11647279 ")</f>
        <v xml:space="preserve">http://slimages.macys.com/is/image/MCY/11647279 </v>
      </c>
    </row>
    <row r="155" spans="1:13" ht="60" x14ac:dyDescent="0.25">
      <c r="A155" s="7" t="s">
        <v>10004</v>
      </c>
      <c r="B155" s="2" t="s">
        <v>2560</v>
      </c>
      <c r="C155" s="4">
        <v>1</v>
      </c>
      <c r="D155" s="5">
        <v>8.49</v>
      </c>
      <c r="E155" s="5">
        <v>21.99</v>
      </c>
      <c r="F155" s="4" t="s">
        <v>2561</v>
      </c>
      <c r="G155" s="2" t="s">
        <v>86</v>
      </c>
      <c r="H155" s="7" t="s">
        <v>228</v>
      </c>
      <c r="I155" s="2" t="s">
        <v>389</v>
      </c>
      <c r="J155" s="2" t="s">
        <v>354</v>
      </c>
      <c r="K155" s="2" t="s">
        <v>304</v>
      </c>
      <c r="L155" s="2" t="s">
        <v>2562</v>
      </c>
      <c r="M155" s="8" t="str">
        <f>HYPERLINK("http://slimages.macys.com/is/image/MCY/12121700 ")</f>
        <v xml:space="preserve">http://slimages.macys.com/is/image/MCY/12121700 </v>
      </c>
    </row>
    <row r="156" spans="1:13" ht="60" x14ac:dyDescent="0.25">
      <c r="A156" s="7" t="s">
        <v>10966</v>
      </c>
      <c r="B156" s="2" t="s">
        <v>1681</v>
      </c>
      <c r="C156" s="4">
        <v>1</v>
      </c>
      <c r="D156" s="5">
        <v>8.43</v>
      </c>
      <c r="E156" s="5">
        <v>21.99</v>
      </c>
      <c r="F156" s="4" t="s">
        <v>1682</v>
      </c>
      <c r="G156" s="2" t="s">
        <v>297</v>
      </c>
      <c r="H156" s="7" t="s">
        <v>123</v>
      </c>
      <c r="I156" s="2" t="s">
        <v>515</v>
      </c>
      <c r="J156" s="2" t="s">
        <v>875</v>
      </c>
      <c r="K156" s="2" t="s">
        <v>304</v>
      </c>
      <c r="L156" s="2" t="s">
        <v>119</v>
      </c>
      <c r="M156" s="8" t="str">
        <f>HYPERLINK("http://slimages.macys.com/is/image/MCY/12953215 ")</f>
        <v xml:space="preserve">http://slimages.macys.com/is/image/MCY/12953215 </v>
      </c>
    </row>
    <row r="157" spans="1:13" ht="60" x14ac:dyDescent="0.25">
      <c r="A157" s="7" t="s">
        <v>7470</v>
      </c>
      <c r="B157" s="2" t="s">
        <v>1687</v>
      </c>
      <c r="C157" s="4">
        <v>1</v>
      </c>
      <c r="D157" s="5">
        <v>8.3800000000000008</v>
      </c>
      <c r="E157" s="5">
        <v>24.99</v>
      </c>
      <c r="F157" s="4" t="s">
        <v>1688</v>
      </c>
      <c r="G157" s="2" t="s">
        <v>28</v>
      </c>
      <c r="H157" s="7" t="s">
        <v>514</v>
      </c>
      <c r="I157" s="2" t="s">
        <v>1689</v>
      </c>
      <c r="J157" s="2" t="s">
        <v>354</v>
      </c>
      <c r="K157" s="2" t="s">
        <v>304</v>
      </c>
      <c r="L157" s="2" t="s">
        <v>1569</v>
      </c>
      <c r="M157" s="8" t="str">
        <f>HYPERLINK("http://slimages.macys.com/is/image/MCY/13076988 ")</f>
        <v xml:space="preserve">http://slimages.macys.com/is/image/MCY/13076988 </v>
      </c>
    </row>
    <row r="158" spans="1:13" ht="72" x14ac:dyDescent="0.25">
      <c r="A158" s="7" t="s">
        <v>10967</v>
      </c>
      <c r="B158" s="2" t="s">
        <v>10968</v>
      </c>
      <c r="C158" s="4">
        <v>1</v>
      </c>
      <c r="D158" s="5">
        <v>8.2100000000000009</v>
      </c>
      <c r="E158" s="5">
        <v>19.989999999999998</v>
      </c>
      <c r="F158" s="4" t="s">
        <v>10969</v>
      </c>
      <c r="G158" s="2" t="s">
        <v>582</v>
      </c>
      <c r="H158" s="7" t="s">
        <v>123</v>
      </c>
      <c r="I158" s="2" t="s">
        <v>1689</v>
      </c>
      <c r="J158" s="2" t="s">
        <v>354</v>
      </c>
      <c r="K158" s="2" t="s">
        <v>304</v>
      </c>
      <c r="L158" s="2" t="s">
        <v>6118</v>
      </c>
      <c r="M158" s="8" t="str">
        <f>HYPERLINK("http://slimages.macys.com/is/image/MCY/12000765 ")</f>
        <v xml:space="preserve">http://slimages.macys.com/is/image/MCY/12000765 </v>
      </c>
    </row>
    <row r="159" spans="1:13" ht="60" x14ac:dyDescent="0.25">
      <c r="A159" s="7" t="s">
        <v>10970</v>
      </c>
      <c r="B159" s="2" t="s">
        <v>10971</v>
      </c>
      <c r="C159" s="4">
        <v>1</v>
      </c>
      <c r="D159" s="5">
        <v>8.2100000000000009</v>
      </c>
      <c r="E159" s="5">
        <v>22.99</v>
      </c>
      <c r="F159" s="4" t="s">
        <v>10972</v>
      </c>
      <c r="G159" s="2" t="s">
        <v>752</v>
      </c>
      <c r="H159" s="7" t="s">
        <v>284</v>
      </c>
      <c r="I159" s="2" t="s">
        <v>389</v>
      </c>
      <c r="J159" s="2" t="s">
        <v>354</v>
      </c>
      <c r="K159" s="2" t="s">
        <v>304</v>
      </c>
      <c r="L159" s="2" t="s">
        <v>390</v>
      </c>
      <c r="M159" s="8" t="str">
        <f>HYPERLINK("http://slimages.macys.com/is/image/MCY/12654940 ")</f>
        <v xml:space="preserve">http://slimages.macys.com/is/image/MCY/12654940 </v>
      </c>
    </row>
    <row r="160" spans="1:13" ht="72" x14ac:dyDescent="0.25">
      <c r="A160" s="7" t="s">
        <v>10973</v>
      </c>
      <c r="B160" s="2" t="s">
        <v>10968</v>
      </c>
      <c r="C160" s="4">
        <v>1</v>
      </c>
      <c r="D160" s="5">
        <v>8.2100000000000009</v>
      </c>
      <c r="E160" s="5">
        <v>19.989999999999998</v>
      </c>
      <c r="F160" s="4" t="s">
        <v>10969</v>
      </c>
      <c r="G160" s="2" t="s">
        <v>582</v>
      </c>
      <c r="H160" s="7" t="s">
        <v>311</v>
      </c>
      <c r="I160" s="2" t="s">
        <v>1689</v>
      </c>
      <c r="J160" s="2" t="s">
        <v>354</v>
      </c>
      <c r="K160" s="2" t="s">
        <v>304</v>
      </c>
      <c r="L160" s="2" t="s">
        <v>6118</v>
      </c>
      <c r="M160" s="8" t="str">
        <f>HYPERLINK("http://slimages.macys.com/is/image/MCY/12000765 ")</f>
        <v xml:space="preserve">http://slimages.macys.com/is/image/MCY/12000765 </v>
      </c>
    </row>
    <row r="161" spans="1:13" ht="60" x14ac:dyDescent="0.25">
      <c r="A161" s="7" t="s">
        <v>10974</v>
      </c>
      <c r="B161" s="2" t="s">
        <v>10975</v>
      </c>
      <c r="C161" s="4">
        <v>1</v>
      </c>
      <c r="D161" s="5">
        <v>8.1199999999999992</v>
      </c>
      <c r="E161" s="5">
        <v>19.989999999999998</v>
      </c>
      <c r="F161" s="4" t="s">
        <v>10976</v>
      </c>
      <c r="G161" s="2" t="s">
        <v>262</v>
      </c>
      <c r="H161" s="7" t="s">
        <v>42</v>
      </c>
      <c r="I161" s="2" t="s">
        <v>483</v>
      </c>
      <c r="J161" s="2" t="s">
        <v>536</v>
      </c>
      <c r="K161" s="2" t="s">
        <v>304</v>
      </c>
      <c r="L161" s="2" t="s">
        <v>596</v>
      </c>
      <c r="M161" s="8" t="str">
        <f>HYPERLINK("http://slimages.macys.com/is/image/MCY/12644365 ")</f>
        <v xml:space="preserve">http://slimages.macys.com/is/image/MCY/12644365 </v>
      </c>
    </row>
    <row r="162" spans="1:13" ht="60" x14ac:dyDescent="0.25">
      <c r="A162" s="7" t="s">
        <v>10977</v>
      </c>
      <c r="B162" s="2" t="s">
        <v>10978</v>
      </c>
      <c r="C162" s="4">
        <v>1</v>
      </c>
      <c r="D162" s="5">
        <v>8.1</v>
      </c>
      <c r="E162" s="5">
        <v>22.5</v>
      </c>
      <c r="F162" s="4" t="s">
        <v>10979</v>
      </c>
      <c r="G162" s="2" t="s">
        <v>28</v>
      </c>
      <c r="H162" s="7" t="s">
        <v>266</v>
      </c>
      <c r="I162" s="2" t="s">
        <v>880</v>
      </c>
      <c r="J162" s="2" t="s">
        <v>881</v>
      </c>
      <c r="K162" s="2" t="s">
        <v>304</v>
      </c>
      <c r="L162" s="2" t="s">
        <v>206</v>
      </c>
      <c r="M162" s="8" t="str">
        <f>HYPERLINK("http://slimages.macys.com/is/image/MCY/13076640 ")</f>
        <v xml:space="preserve">http://slimages.macys.com/is/image/MCY/13076640 </v>
      </c>
    </row>
    <row r="163" spans="1:13" ht="60" x14ac:dyDescent="0.25">
      <c r="A163" s="7" t="s">
        <v>10980</v>
      </c>
      <c r="B163" s="2" t="s">
        <v>3954</v>
      </c>
      <c r="C163" s="4">
        <v>1</v>
      </c>
      <c r="D163" s="5">
        <v>8.1</v>
      </c>
      <c r="E163" s="5">
        <v>18</v>
      </c>
      <c r="F163" s="4">
        <v>321703638036</v>
      </c>
      <c r="G163" s="2" t="s">
        <v>129</v>
      </c>
      <c r="H163" s="7" t="s">
        <v>209</v>
      </c>
      <c r="I163" s="2" t="s">
        <v>204</v>
      </c>
      <c r="J163" s="2" t="s">
        <v>205</v>
      </c>
      <c r="K163" s="2" t="s">
        <v>304</v>
      </c>
      <c r="L163" s="2" t="s">
        <v>38</v>
      </c>
      <c r="M163" s="8" t="str">
        <f>HYPERLINK("http://slimages.macys.com/is/image/MCY/13746054 ")</f>
        <v xml:space="preserve">http://slimages.macys.com/is/image/MCY/13746054 </v>
      </c>
    </row>
    <row r="164" spans="1:13" ht="60" x14ac:dyDescent="0.25">
      <c r="A164" s="7" t="s">
        <v>10981</v>
      </c>
      <c r="B164" s="2" t="s">
        <v>3954</v>
      </c>
      <c r="C164" s="4">
        <v>1</v>
      </c>
      <c r="D164" s="5">
        <v>8.1</v>
      </c>
      <c r="E164" s="5">
        <v>18</v>
      </c>
      <c r="F164" s="4">
        <v>322703638036</v>
      </c>
      <c r="G164" s="2" t="s">
        <v>129</v>
      </c>
      <c r="H164" s="7" t="s">
        <v>311</v>
      </c>
      <c r="I164" s="2" t="s">
        <v>204</v>
      </c>
      <c r="J164" s="2" t="s">
        <v>205</v>
      </c>
      <c r="K164" s="2" t="s">
        <v>304</v>
      </c>
      <c r="L164" s="2" t="s">
        <v>38</v>
      </c>
      <c r="M164" s="8" t="str">
        <f>HYPERLINK("http://slimages.macys.com/is/image/MCY/13746050 ")</f>
        <v xml:space="preserve">http://slimages.macys.com/is/image/MCY/13746050 </v>
      </c>
    </row>
    <row r="165" spans="1:13" ht="60" x14ac:dyDescent="0.25">
      <c r="A165" s="7" t="s">
        <v>6239</v>
      </c>
      <c r="B165" s="2" t="s">
        <v>1694</v>
      </c>
      <c r="C165" s="4">
        <v>1</v>
      </c>
      <c r="D165" s="5">
        <v>8.02</v>
      </c>
      <c r="E165" s="5">
        <v>21.99</v>
      </c>
      <c r="F165" s="4" t="s">
        <v>1695</v>
      </c>
      <c r="G165" s="2" t="s">
        <v>62</v>
      </c>
      <c r="H165" s="7" t="s">
        <v>159</v>
      </c>
      <c r="I165" s="2" t="s">
        <v>515</v>
      </c>
      <c r="J165" s="2" t="s">
        <v>827</v>
      </c>
      <c r="K165" s="2" t="s">
        <v>304</v>
      </c>
      <c r="L165" s="2" t="s">
        <v>125</v>
      </c>
      <c r="M165" s="8" t="str">
        <f>HYPERLINK("http://slimages.macys.com/is/image/MCY/12052339 ")</f>
        <v xml:space="preserve">http://slimages.macys.com/is/image/MCY/12052339 </v>
      </c>
    </row>
    <row r="166" spans="1:13" ht="60" x14ac:dyDescent="0.25">
      <c r="A166" s="7" t="s">
        <v>10982</v>
      </c>
      <c r="B166" s="2" t="s">
        <v>10983</v>
      </c>
      <c r="C166" s="4">
        <v>1</v>
      </c>
      <c r="D166" s="5">
        <v>8.01</v>
      </c>
      <c r="E166" s="5">
        <v>17.989999999999998</v>
      </c>
      <c r="F166" s="4" t="s">
        <v>10984</v>
      </c>
      <c r="G166" s="2" t="s">
        <v>165</v>
      </c>
      <c r="H166" s="7" t="s">
        <v>284</v>
      </c>
      <c r="I166" s="2" t="s">
        <v>80</v>
      </c>
      <c r="J166" s="2" t="s">
        <v>160</v>
      </c>
      <c r="K166" s="2" t="s">
        <v>304</v>
      </c>
      <c r="L166" s="2" t="s">
        <v>206</v>
      </c>
      <c r="M166" s="8" t="str">
        <f>HYPERLINK("http://slimages.macys.com/is/image/MCY/10923561 ")</f>
        <v xml:space="preserve">http://slimages.macys.com/is/image/MCY/10923561 </v>
      </c>
    </row>
    <row r="167" spans="1:13" ht="60" x14ac:dyDescent="0.25">
      <c r="A167" s="7" t="s">
        <v>10985</v>
      </c>
      <c r="B167" s="2" t="s">
        <v>10986</v>
      </c>
      <c r="C167" s="4">
        <v>1</v>
      </c>
      <c r="D167" s="5">
        <v>8.01</v>
      </c>
      <c r="E167" s="5">
        <v>17.989999999999998</v>
      </c>
      <c r="F167" s="4" t="s">
        <v>10987</v>
      </c>
      <c r="G167" s="2" t="s">
        <v>41</v>
      </c>
      <c r="H167" s="7" t="s">
        <v>284</v>
      </c>
      <c r="I167" s="2" t="s">
        <v>73</v>
      </c>
      <c r="J167" s="2" t="s">
        <v>160</v>
      </c>
      <c r="K167" s="2" t="s">
        <v>304</v>
      </c>
      <c r="L167" s="2" t="s">
        <v>38</v>
      </c>
      <c r="M167" s="8" t="str">
        <f>HYPERLINK("http://slimages.macys.com/is/image/MCY/12875288 ")</f>
        <v xml:space="preserve">http://slimages.macys.com/is/image/MCY/12875288 </v>
      </c>
    </row>
    <row r="168" spans="1:13" ht="60" x14ac:dyDescent="0.25">
      <c r="A168" s="7" t="s">
        <v>10988</v>
      </c>
      <c r="B168" s="2" t="s">
        <v>4892</v>
      </c>
      <c r="C168" s="4">
        <v>1</v>
      </c>
      <c r="D168" s="5">
        <v>8.01</v>
      </c>
      <c r="E168" s="5">
        <v>17.989999999999998</v>
      </c>
      <c r="F168" s="4" t="s">
        <v>4893</v>
      </c>
      <c r="G168" s="2" t="s">
        <v>79</v>
      </c>
      <c r="H168" s="7" t="s">
        <v>284</v>
      </c>
      <c r="I168" s="2" t="s">
        <v>80</v>
      </c>
      <c r="J168" s="2" t="s">
        <v>160</v>
      </c>
      <c r="K168" s="2" t="s">
        <v>304</v>
      </c>
      <c r="L168" s="2" t="s">
        <v>38</v>
      </c>
      <c r="M168" s="8" t="str">
        <f>HYPERLINK("http://slimages.macys.com/is/image/MCY/12462830 ")</f>
        <v xml:space="preserve">http://slimages.macys.com/is/image/MCY/12462830 </v>
      </c>
    </row>
    <row r="169" spans="1:13" ht="60" x14ac:dyDescent="0.25">
      <c r="A169" s="7" t="s">
        <v>10989</v>
      </c>
      <c r="B169" s="2" t="s">
        <v>10990</v>
      </c>
      <c r="C169" s="4">
        <v>1</v>
      </c>
      <c r="D169" s="5">
        <v>7.85</v>
      </c>
      <c r="E169" s="5">
        <v>19.989999999999998</v>
      </c>
      <c r="F169" s="4" t="s">
        <v>10991</v>
      </c>
      <c r="G169" s="2" t="s">
        <v>353</v>
      </c>
      <c r="H169" s="7" t="s">
        <v>531</v>
      </c>
      <c r="I169" s="2" t="s">
        <v>815</v>
      </c>
      <c r="J169" s="2" t="s">
        <v>3211</v>
      </c>
      <c r="K169" s="2" t="s">
        <v>304</v>
      </c>
      <c r="L169" s="2" t="s">
        <v>3212</v>
      </c>
      <c r="M169" s="8" t="str">
        <f>HYPERLINK("http://slimages.macys.com/is/image/MCY/12852837 ")</f>
        <v xml:space="preserve">http://slimages.macys.com/is/image/MCY/12852837 </v>
      </c>
    </row>
    <row r="170" spans="1:13" ht="60" x14ac:dyDescent="0.25">
      <c r="A170" s="7" t="s">
        <v>10992</v>
      </c>
      <c r="B170" s="2" t="s">
        <v>10993</v>
      </c>
      <c r="C170" s="4">
        <v>1</v>
      </c>
      <c r="D170" s="5">
        <v>7.8</v>
      </c>
      <c r="E170" s="5">
        <v>19.5</v>
      </c>
      <c r="F170" s="4" t="s">
        <v>10994</v>
      </c>
      <c r="G170" s="2" t="s">
        <v>41</v>
      </c>
      <c r="H170" s="7"/>
      <c r="I170" s="2" t="s">
        <v>57</v>
      </c>
      <c r="J170" s="2" t="s">
        <v>58</v>
      </c>
      <c r="K170" s="2" t="s">
        <v>304</v>
      </c>
      <c r="L170" s="2" t="s">
        <v>206</v>
      </c>
      <c r="M170" s="8" t="str">
        <f>HYPERLINK("http://slimages.macys.com/is/image/MCY/12239600 ")</f>
        <v xml:space="preserve">http://slimages.macys.com/is/image/MCY/12239600 </v>
      </c>
    </row>
    <row r="171" spans="1:13" ht="60" x14ac:dyDescent="0.25">
      <c r="A171" s="7" t="s">
        <v>10995</v>
      </c>
      <c r="B171" s="2" t="s">
        <v>10996</v>
      </c>
      <c r="C171" s="4">
        <v>1</v>
      </c>
      <c r="D171" s="5">
        <v>7.8</v>
      </c>
      <c r="E171" s="5">
        <v>17.329999999999998</v>
      </c>
      <c r="F171" s="4" t="s">
        <v>10997</v>
      </c>
      <c r="G171" s="2" t="s">
        <v>79</v>
      </c>
      <c r="H171" s="7" t="s">
        <v>179</v>
      </c>
      <c r="I171" s="2" t="s">
        <v>468</v>
      </c>
      <c r="J171" s="2" t="s">
        <v>10998</v>
      </c>
      <c r="K171" s="2" t="s">
        <v>304</v>
      </c>
      <c r="L171" s="2" t="s">
        <v>206</v>
      </c>
      <c r="M171" s="8" t="str">
        <f>HYPERLINK("http://slimages.macys.com/is/image/MCY/12724182 ")</f>
        <v xml:space="preserve">http://slimages.macys.com/is/image/MCY/12724182 </v>
      </c>
    </row>
    <row r="172" spans="1:13" ht="60" x14ac:dyDescent="0.25">
      <c r="A172" s="7" t="s">
        <v>10999</v>
      </c>
      <c r="B172" s="2" t="s">
        <v>11000</v>
      </c>
      <c r="C172" s="4">
        <v>1</v>
      </c>
      <c r="D172" s="5">
        <v>7.7</v>
      </c>
      <c r="E172" s="5">
        <v>17.11</v>
      </c>
      <c r="F172" s="4" t="s">
        <v>11001</v>
      </c>
      <c r="G172" s="2" t="s">
        <v>238</v>
      </c>
      <c r="H172" s="7" t="s">
        <v>284</v>
      </c>
      <c r="I172" s="2" t="s">
        <v>700</v>
      </c>
      <c r="J172" s="2" t="s">
        <v>2123</v>
      </c>
      <c r="K172" s="2" t="s">
        <v>304</v>
      </c>
      <c r="L172" s="2" t="s">
        <v>119</v>
      </c>
      <c r="M172" s="8" t="str">
        <f>HYPERLINK("http://slimages.macys.com/is/image/MCY/13850463 ")</f>
        <v xml:space="preserve">http://slimages.macys.com/is/image/MCY/13850463 </v>
      </c>
    </row>
    <row r="173" spans="1:13" ht="60" x14ac:dyDescent="0.25">
      <c r="A173" s="7" t="s">
        <v>11002</v>
      </c>
      <c r="B173" s="2" t="s">
        <v>11000</v>
      </c>
      <c r="C173" s="4">
        <v>1</v>
      </c>
      <c r="D173" s="5">
        <v>7.7</v>
      </c>
      <c r="E173" s="5">
        <v>17.11</v>
      </c>
      <c r="F173" s="4" t="s">
        <v>11001</v>
      </c>
      <c r="G173" s="2" t="s">
        <v>238</v>
      </c>
      <c r="H173" s="7" t="s">
        <v>228</v>
      </c>
      <c r="I173" s="2" t="s">
        <v>700</v>
      </c>
      <c r="J173" s="2" t="s">
        <v>2123</v>
      </c>
      <c r="K173" s="2" t="s">
        <v>304</v>
      </c>
      <c r="L173" s="2" t="s">
        <v>119</v>
      </c>
      <c r="M173" s="8" t="str">
        <f>HYPERLINK("http://slimages.macys.com/is/image/MCY/13850463 ")</f>
        <v xml:space="preserve">http://slimages.macys.com/is/image/MCY/13850463 </v>
      </c>
    </row>
    <row r="174" spans="1:13" ht="60" x14ac:dyDescent="0.25">
      <c r="A174" s="7" t="s">
        <v>11003</v>
      </c>
      <c r="B174" s="2" t="s">
        <v>11004</v>
      </c>
      <c r="C174" s="4">
        <v>1</v>
      </c>
      <c r="D174" s="5">
        <v>7.65</v>
      </c>
      <c r="E174" s="5">
        <v>19.989999999999998</v>
      </c>
      <c r="F174" s="4" t="s">
        <v>11005</v>
      </c>
      <c r="G174" s="2" t="s">
        <v>476</v>
      </c>
      <c r="H174" s="7" t="s">
        <v>91</v>
      </c>
      <c r="I174" s="2" t="s">
        <v>92</v>
      </c>
      <c r="J174" s="2" t="s">
        <v>187</v>
      </c>
      <c r="K174" s="2" t="s">
        <v>304</v>
      </c>
      <c r="L174" s="2" t="s">
        <v>119</v>
      </c>
      <c r="M174" s="8" t="str">
        <f>HYPERLINK("http://slimages.macys.com/is/image/MCY/12143695 ")</f>
        <v xml:space="preserve">http://slimages.macys.com/is/image/MCY/12143695 </v>
      </c>
    </row>
    <row r="175" spans="1:13" ht="132" x14ac:dyDescent="0.25">
      <c r="A175" s="7" t="s">
        <v>11006</v>
      </c>
      <c r="B175" s="2" t="s">
        <v>10028</v>
      </c>
      <c r="C175" s="4">
        <v>1</v>
      </c>
      <c r="D175" s="5">
        <v>7.6</v>
      </c>
      <c r="E175" s="5">
        <v>17.28</v>
      </c>
      <c r="F175" s="4">
        <v>18372410</v>
      </c>
      <c r="G175" s="2"/>
      <c r="H175" s="7" t="s">
        <v>438</v>
      </c>
      <c r="I175" s="2" t="s">
        <v>153</v>
      </c>
      <c r="J175" s="2" t="s">
        <v>154</v>
      </c>
      <c r="K175" s="2" t="s">
        <v>304</v>
      </c>
      <c r="L175" s="2" t="s">
        <v>10029</v>
      </c>
      <c r="M175" s="8" t="str">
        <f>HYPERLINK("http://slimages.macys.com/is/image/MCY/14608272 ")</f>
        <v xml:space="preserve">http://slimages.macys.com/is/image/MCY/14608272 </v>
      </c>
    </row>
    <row r="176" spans="1:13" ht="96" x14ac:dyDescent="0.25">
      <c r="A176" s="7" t="s">
        <v>11007</v>
      </c>
      <c r="B176" s="2" t="s">
        <v>2569</v>
      </c>
      <c r="C176" s="4">
        <v>1</v>
      </c>
      <c r="D176" s="5">
        <v>7.6</v>
      </c>
      <c r="E176" s="5">
        <v>17.28</v>
      </c>
      <c r="F176" s="4">
        <v>18373610</v>
      </c>
      <c r="G176" s="2" t="s">
        <v>476</v>
      </c>
      <c r="H176" s="7" t="s">
        <v>233</v>
      </c>
      <c r="I176" s="2" t="s">
        <v>153</v>
      </c>
      <c r="J176" s="2" t="s">
        <v>154</v>
      </c>
      <c r="K176" s="2" t="s">
        <v>304</v>
      </c>
      <c r="L176" s="2" t="s">
        <v>439</v>
      </c>
      <c r="M176" s="8" t="str">
        <f>HYPERLINK("http://slimages.macys.com/is/image/MCY/14608259 ")</f>
        <v xml:space="preserve">http://slimages.macys.com/is/image/MCY/14608259 </v>
      </c>
    </row>
    <row r="177" spans="1:13" ht="60" x14ac:dyDescent="0.25">
      <c r="A177" s="7" t="s">
        <v>11008</v>
      </c>
      <c r="B177" s="2" t="s">
        <v>8863</v>
      </c>
      <c r="C177" s="4">
        <v>1</v>
      </c>
      <c r="D177" s="5">
        <v>7.6</v>
      </c>
      <c r="E177" s="5">
        <v>19</v>
      </c>
      <c r="F177" s="4" t="s">
        <v>11009</v>
      </c>
      <c r="G177" s="2" t="s">
        <v>62</v>
      </c>
      <c r="H177" s="7" t="s">
        <v>3990</v>
      </c>
      <c r="I177" s="2" t="s">
        <v>523</v>
      </c>
      <c r="J177" s="2" t="s">
        <v>3991</v>
      </c>
      <c r="K177" s="2" t="s">
        <v>304</v>
      </c>
      <c r="L177" s="2" t="s">
        <v>596</v>
      </c>
      <c r="M177" s="8" t="str">
        <f>HYPERLINK("http://slimages.macys.com/is/image/MCY/10944093 ")</f>
        <v xml:space="preserve">http://slimages.macys.com/is/image/MCY/10944093 </v>
      </c>
    </row>
    <row r="178" spans="1:13" ht="120" x14ac:dyDescent="0.25">
      <c r="A178" s="7" t="s">
        <v>11010</v>
      </c>
      <c r="B178" s="2" t="s">
        <v>6254</v>
      </c>
      <c r="C178" s="4">
        <v>1</v>
      </c>
      <c r="D178" s="5">
        <v>7.6</v>
      </c>
      <c r="E178" s="5">
        <v>17.28</v>
      </c>
      <c r="F178" s="4">
        <v>18374010</v>
      </c>
      <c r="G178" s="2"/>
      <c r="H178" s="7" t="s">
        <v>233</v>
      </c>
      <c r="I178" s="2" t="s">
        <v>153</v>
      </c>
      <c r="J178" s="2" t="s">
        <v>154</v>
      </c>
      <c r="K178" s="2" t="s">
        <v>304</v>
      </c>
      <c r="L178" s="2" t="s">
        <v>6255</v>
      </c>
      <c r="M178" s="8" t="str">
        <f>HYPERLINK("http://slimages.macys.com/is/image/MCY/14608284 ")</f>
        <v xml:space="preserve">http://slimages.macys.com/is/image/MCY/14608284 </v>
      </c>
    </row>
    <row r="179" spans="1:13" ht="96" x14ac:dyDescent="0.25">
      <c r="A179" s="7" t="s">
        <v>2568</v>
      </c>
      <c r="B179" s="2" t="s">
        <v>2569</v>
      </c>
      <c r="C179" s="4">
        <v>1</v>
      </c>
      <c r="D179" s="5">
        <v>7.6</v>
      </c>
      <c r="E179" s="5">
        <v>17.28</v>
      </c>
      <c r="F179" s="4">
        <v>18373610</v>
      </c>
      <c r="G179" s="2" t="s">
        <v>476</v>
      </c>
      <c r="H179" s="7" t="s">
        <v>438</v>
      </c>
      <c r="I179" s="2" t="s">
        <v>153</v>
      </c>
      <c r="J179" s="2" t="s">
        <v>154</v>
      </c>
      <c r="K179" s="2" t="s">
        <v>304</v>
      </c>
      <c r="L179" s="2" t="s">
        <v>439</v>
      </c>
      <c r="M179" s="8" t="str">
        <f>HYPERLINK("http://slimages.macys.com/is/image/MCY/14608259 ")</f>
        <v xml:space="preserve">http://slimages.macys.com/is/image/MCY/14608259 </v>
      </c>
    </row>
    <row r="180" spans="1:13" ht="168" x14ac:dyDescent="0.25">
      <c r="A180" s="7" t="s">
        <v>10472</v>
      </c>
      <c r="B180" s="2" t="s">
        <v>3997</v>
      </c>
      <c r="C180" s="4">
        <v>1</v>
      </c>
      <c r="D180" s="5">
        <v>7.6</v>
      </c>
      <c r="E180" s="5">
        <v>17.28</v>
      </c>
      <c r="F180" s="4">
        <v>18374410</v>
      </c>
      <c r="G180" s="2" t="s">
        <v>62</v>
      </c>
      <c r="H180" s="7" t="s">
        <v>442</v>
      </c>
      <c r="I180" s="2" t="s">
        <v>153</v>
      </c>
      <c r="J180" s="2" t="s">
        <v>154</v>
      </c>
      <c r="K180" s="2" t="s">
        <v>304</v>
      </c>
      <c r="L180" s="2" t="s">
        <v>3998</v>
      </c>
      <c r="M180" s="8" t="str">
        <f>HYPERLINK("http://slimages.macys.com/is/image/MCY/14662110 ")</f>
        <v xml:space="preserve">http://slimages.macys.com/is/image/MCY/14662110 </v>
      </c>
    </row>
    <row r="181" spans="1:13" ht="60" x14ac:dyDescent="0.25">
      <c r="A181" s="7" t="s">
        <v>6252</v>
      </c>
      <c r="B181" s="2" t="s">
        <v>3986</v>
      </c>
      <c r="C181" s="4">
        <v>1</v>
      </c>
      <c r="D181" s="5">
        <v>7.6</v>
      </c>
      <c r="E181" s="5">
        <v>17.28</v>
      </c>
      <c r="F181" s="4">
        <v>18389710</v>
      </c>
      <c r="G181" s="2" t="s">
        <v>48</v>
      </c>
      <c r="H181" s="7" t="s">
        <v>233</v>
      </c>
      <c r="I181" s="2" t="s">
        <v>153</v>
      </c>
      <c r="J181" s="2" t="s">
        <v>154</v>
      </c>
      <c r="K181" s="2" t="s">
        <v>304</v>
      </c>
      <c r="L181" s="2" t="s">
        <v>38</v>
      </c>
      <c r="M181" s="8" t="str">
        <f>HYPERLINK("http://slimages.macys.com/is/image/MCY/14608342 ")</f>
        <v xml:space="preserve">http://slimages.macys.com/is/image/MCY/14608342 </v>
      </c>
    </row>
    <row r="182" spans="1:13" ht="120" x14ac:dyDescent="0.25">
      <c r="A182" s="7" t="s">
        <v>11011</v>
      </c>
      <c r="B182" s="2" t="s">
        <v>6254</v>
      </c>
      <c r="C182" s="4">
        <v>1</v>
      </c>
      <c r="D182" s="5">
        <v>7.6</v>
      </c>
      <c r="E182" s="5">
        <v>17.28</v>
      </c>
      <c r="F182" s="4">
        <v>18374010</v>
      </c>
      <c r="G182" s="2"/>
      <c r="H182" s="7" t="s">
        <v>438</v>
      </c>
      <c r="I182" s="2" t="s">
        <v>153</v>
      </c>
      <c r="J182" s="2" t="s">
        <v>154</v>
      </c>
      <c r="K182" s="2" t="s">
        <v>304</v>
      </c>
      <c r="L182" s="2" t="s">
        <v>6255</v>
      </c>
      <c r="M182" s="8" t="str">
        <f>HYPERLINK("http://slimages.macys.com/is/image/MCY/14608284 ")</f>
        <v xml:space="preserve">http://slimages.macys.com/is/image/MCY/14608284 </v>
      </c>
    </row>
    <row r="183" spans="1:13" ht="108" x14ac:dyDescent="0.25">
      <c r="A183" s="7" t="s">
        <v>5919</v>
      </c>
      <c r="B183" s="2" t="s">
        <v>5920</v>
      </c>
      <c r="C183" s="4">
        <v>4</v>
      </c>
      <c r="D183" s="5">
        <v>7.6</v>
      </c>
      <c r="E183" s="5">
        <v>17.28</v>
      </c>
      <c r="F183" s="4">
        <v>18821210</v>
      </c>
      <c r="G183" s="2" t="s">
        <v>353</v>
      </c>
      <c r="H183" s="7" t="s">
        <v>438</v>
      </c>
      <c r="I183" s="2" t="s">
        <v>153</v>
      </c>
      <c r="J183" s="2" t="s">
        <v>154</v>
      </c>
      <c r="K183" s="2" t="s">
        <v>304</v>
      </c>
      <c r="L183" s="2" t="s">
        <v>5921</v>
      </c>
      <c r="M183" s="8" t="str">
        <f>HYPERLINK("http://slimages.macys.com/is/image/MCY/13382581 ")</f>
        <v xml:space="preserve">http://slimages.macys.com/is/image/MCY/13382581 </v>
      </c>
    </row>
    <row r="184" spans="1:13" ht="60" x14ac:dyDescent="0.25">
      <c r="A184" s="7" t="s">
        <v>8862</v>
      </c>
      <c r="B184" s="2" t="s">
        <v>8863</v>
      </c>
      <c r="C184" s="4">
        <v>12</v>
      </c>
      <c r="D184" s="5">
        <v>7.6</v>
      </c>
      <c r="E184" s="5">
        <v>19</v>
      </c>
      <c r="F184" s="4" t="s">
        <v>8864</v>
      </c>
      <c r="G184" s="2"/>
      <c r="H184" s="7" t="s">
        <v>8865</v>
      </c>
      <c r="I184" s="2" t="s">
        <v>523</v>
      </c>
      <c r="J184" s="2" t="s">
        <v>3991</v>
      </c>
      <c r="K184" s="2" t="s">
        <v>304</v>
      </c>
      <c r="L184" s="2" t="s">
        <v>596</v>
      </c>
      <c r="M184" s="8" t="str">
        <f>HYPERLINK("http://slimages.macys.com/is/image/MCY/10944093 ")</f>
        <v xml:space="preserve">http://slimages.macys.com/is/image/MCY/10944093 </v>
      </c>
    </row>
    <row r="185" spans="1:13" ht="108" x14ac:dyDescent="0.25">
      <c r="A185" s="7" t="s">
        <v>9499</v>
      </c>
      <c r="B185" s="2" t="s">
        <v>1727</v>
      </c>
      <c r="C185" s="4">
        <v>1</v>
      </c>
      <c r="D185" s="5">
        <v>7.57</v>
      </c>
      <c r="E185" s="5">
        <v>16.989999999999998</v>
      </c>
      <c r="F185" s="4" t="s">
        <v>1728</v>
      </c>
      <c r="G185" s="2" t="s">
        <v>595</v>
      </c>
      <c r="H185" s="7" t="s">
        <v>228</v>
      </c>
      <c r="I185" s="2" t="s">
        <v>515</v>
      </c>
      <c r="J185" s="2" t="s">
        <v>827</v>
      </c>
      <c r="K185" s="2" t="s">
        <v>304</v>
      </c>
      <c r="L185" s="2" t="s">
        <v>1729</v>
      </c>
      <c r="M185" s="8" t="str">
        <f>HYPERLINK("http://slimages.macys.com/is/image/MCY/12670249 ")</f>
        <v xml:space="preserve">http://slimages.macys.com/is/image/MCY/12670249 </v>
      </c>
    </row>
    <row r="186" spans="1:13" ht="108" x14ac:dyDescent="0.25">
      <c r="A186" s="7" t="s">
        <v>9498</v>
      </c>
      <c r="B186" s="2" t="s">
        <v>1727</v>
      </c>
      <c r="C186" s="4">
        <v>1</v>
      </c>
      <c r="D186" s="5">
        <v>7.57</v>
      </c>
      <c r="E186" s="5">
        <v>16.989999999999998</v>
      </c>
      <c r="F186" s="4" t="s">
        <v>1728</v>
      </c>
      <c r="G186" s="2" t="s">
        <v>595</v>
      </c>
      <c r="H186" s="7" t="s">
        <v>159</v>
      </c>
      <c r="I186" s="2" t="s">
        <v>515</v>
      </c>
      <c r="J186" s="2" t="s">
        <v>827</v>
      </c>
      <c r="K186" s="2" t="s">
        <v>304</v>
      </c>
      <c r="L186" s="2" t="s">
        <v>1729</v>
      </c>
      <c r="M186" s="8" t="str">
        <f>HYPERLINK("http://slimages.macys.com/is/image/MCY/12670249 ")</f>
        <v xml:space="preserve">http://slimages.macys.com/is/image/MCY/12670249 </v>
      </c>
    </row>
    <row r="187" spans="1:13" ht="60" x14ac:dyDescent="0.25">
      <c r="A187" s="7" t="s">
        <v>11012</v>
      </c>
      <c r="B187" s="2" t="s">
        <v>11013</v>
      </c>
      <c r="C187" s="4">
        <v>1</v>
      </c>
      <c r="D187" s="5">
        <v>7.55</v>
      </c>
      <c r="E187" s="5">
        <v>12.99</v>
      </c>
      <c r="F187" s="4" t="s">
        <v>11014</v>
      </c>
      <c r="G187" s="2" t="s">
        <v>41</v>
      </c>
      <c r="H187" s="7" t="s">
        <v>675</v>
      </c>
      <c r="I187" s="2" t="s">
        <v>153</v>
      </c>
      <c r="J187" s="2" t="s">
        <v>154</v>
      </c>
      <c r="K187" s="2" t="s">
        <v>304</v>
      </c>
      <c r="L187" s="2" t="s">
        <v>206</v>
      </c>
      <c r="M187" s="8" t="str">
        <f>HYPERLINK("http://slimages.macys.com/is/image/MCY/9644603 ")</f>
        <v xml:space="preserve">http://slimages.macys.com/is/image/MCY/9644603 </v>
      </c>
    </row>
    <row r="188" spans="1:13" ht="120" x14ac:dyDescent="0.25">
      <c r="A188" s="7" t="s">
        <v>2572</v>
      </c>
      <c r="B188" s="2" t="s">
        <v>2573</v>
      </c>
      <c r="C188" s="4">
        <v>1</v>
      </c>
      <c r="D188" s="5">
        <v>7.5</v>
      </c>
      <c r="E188" s="5">
        <v>17.05</v>
      </c>
      <c r="F188" s="4">
        <v>18658610</v>
      </c>
      <c r="G188" s="2"/>
      <c r="H188" s="7" t="s">
        <v>675</v>
      </c>
      <c r="I188" s="2" t="s">
        <v>153</v>
      </c>
      <c r="J188" s="2" t="s">
        <v>154</v>
      </c>
      <c r="K188" s="2" t="s">
        <v>304</v>
      </c>
      <c r="L188" s="2" t="s">
        <v>2574</v>
      </c>
      <c r="M188" s="8" t="str">
        <f>HYPERLINK("http://slimages.macys.com/is/image/MCY/14662046 ")</f>
        <v xml:space="preserve">http://slimages.macys.com/is/image/MCY/14662046 </v>
      </c>
    </row>
    <row r="189" spans="1:13" ht="60" x14ac:dyDescent="0.25">
      <c r="A189" s="7" t="s">
        <v>11015</v>
      </c>
      <c r="B189" s="2" t="s">
        <v>4012</v>
      </c>
      <c r="C189" s="4">
        <v>1</v>
      </c>
      <c r="D189" s="5">
        <v>7.4</v>
      </c>
      <c r="E189" s="5">
        <v>18.5</v>
      </c>
      <c r="F189" s="4" t="s">
        <v>4013</v>
      </c>
      <c r="G189" s="2"/>
      <c r="H189" s="7" t="s">
        <v>123</v>
      </c>
      <c r="I189" s="2" t="s">
        <v>690</v>
      </c>
      <c r="J189" s="2" t="s">
        <v>58</v>
      </c>
      <c r="K189" s="2" t="s">
        <v>304</v>
      </c>
      <c r="L189" s="2" t="s">
        <v>119</v>
      </c>
      <c r="M189" s="8" t="str">
        <f>HYPERLINK("http://slimages.macys.com/is/image/MCY/13049158 ")</f>
        <v xml:space="preserve">http://slimages.macys.com/is/image/MCY/13049158 </v>
      </c>
    </row>
    <row r="190" spans="1:13" ht="60" x14ac:dyDescent="0.25">
      <c r="A190" s="7" t="s">
        <v>4011</v>
      </c>
      <c r="B190" s="2" t="s">
        <v>4012</v>
      </c>
      <c r="C190" s="4">
        <v>2</v>
      </c>
      <c r="D190" s="5">
        <v>7.4</v>
      </c>
      <c r="E190" s="5">
        <v>18.5</v>
      </c>
      <c r="F190" s="4" t="s">
        <v>4013</v>
      </c>
      <c r="G190" s="2"/>
      <c r="H190" s="7" t="s">
        <v>68</v>
      </c>
      <c r="I190" s="2" t="s">
        <v>690</v>
      </c>
      <c r="J190" s="2" t="s">
        <v>58</v>
      </c>
      <c r="K190" s="2" t="s">
        <v>304</v>
      </c>
      <c r="L190" s="2" t="s">
        <v>119</v>
      </c>
      <c r="M190" s="8" t="str">
        <f>HYPERLINK("http://slimages.macys.com/is/image/MCY/13049158 ")</f>
        <v xml:space="preserve">http://slimages.macys.com/is/image/MCY/13049158 </v>
      </c>
    </row>
    <row r="191" spans="1:13" ht="60" x14ac:dyDescent="0.25">
      <c r="A191" s="7" t="s">
        <v>11016</v>
      </c>
      <c r="B191" s="2" t="s">
        <v>4012</v>
      </c>
      <c r="C191" s="4">
        <v>2</v>
      </c>
      <c r="D191" s="5">
        <v>7.4</v>
      </c>
      <c r="E191" s="5">
        <v>18.5</v>
      </c>
      <c r="F191" s="4" t="s">
        <v>4013</v>
      </c>
      <c r="G191" s="2"/>
      <c r="H191" s="7" t="s">
        <v>144</v>
      </c>
      <c r="I191" s="2" t="s">
        <v>690</v>
      </c>
      <c r="J191" s="2" t="s">
        <v>58</v>
      </c>
      <c r="K191" s="2" t="s">
        <v>304</v>
      </c>
      <c r="L191" s="2" t="s">
        <v>119</v>
      </c>
      <c r="M191" s="8" t="str">
        <f>HYPERLINK("http://slimages.macys.com/is/image/MCY/13049158 ")</f>
        <v xml:space="preserve">http://slimages.macys.com/is/image/MCY/13049158 </v>
      </c>
    </row>
    <row r="192" spans="1:13" ht="60" x14ac:dyDescent="0.25">
      <c r="A192" s="7" t="s">
        <v>8258</v>
      </c>
      <c r="B192" s="2" t="s">
        <v>1694</v>
      </c>
      <c r="C192" s="4">
        <v>1</v>
      </c>
      <c r="D192" s="5">
        <v>7.35</v>
      </c>
      <c r="E192" s="5">
        <v>21.99</v>
      </c>
      <c r="F192" s="4" t="s">
        <v>4015</v>
      </c>
      <c r="G192" s="2" t="s">
        <v>62</v>
      </c>
      <c r="H192" s="7" t="s">
        <v>311</v>
      </c>
      <c r="I192" s="2" t="s">
        <v>515</v>
      </c>
      <c r="J192" s="2" t="s">
        <v>516</v>
      </c>
      <c r="K192" s="2" t="s">
        <v>304</v>
      </c>
      <c r="L192" s="2" t="s">
        <v>125</v>
      </c>
      <c r="M192" s="8" t="str">
        <f>HYPERLINK("http://slimages.macys.com/is/image/MCY/11860783 ")</f>
        <v xml:space="preserve">http://slimages.macys.com/is/image/MCY/11860783 </v>
      </c>
    </row>
    <row r="193" spans="1:13" ht="60" x14ac:dyDescent="0.25">
      <c r="A193" s="7" t="s">
        <v>4014</v>
      </c>
      <c r="B193" s="2" t="s">
        <v>1694</v>
      </c>
      <c r="C193" s="4">
        <v>1</v>
      </c>
      <c r="D193" s="5">
        <v>7.35</v>
      </c>
      <c r="E193" s="5">
        <v>21.99</v>
      </c>
      <c r="F193" s="4" t="s">
        <v>4015</v>
      </c>
      <c r="G193" s="2" t="s">
        <v>62</v>
      </c>
      <c r="H193" s="7" t="s">
        <v>63</v>
      </c>
      <c r="I193" s="2" t="s">
        <v>515</v>
      </c>
      <c r="J193" s="2" t="s">
        <v>516</v>
      </c>
      <c r="K193" s="2" t="s">
        <v>304</v>
      </c>
      <c r="L193" s="2" t="s">
        <v>125</v>
      </c>
      <c r="M193" s="8" t="str">
        <f>HYPERLINK("http://slimages.macys.com/is/image/MCY/11860783 ")</f>
        <v xml:space="preserve">http://slimages.macys.com/is/image/MCY/11860783 </v>
      </c>
    </row>
    <row r="194" spans="1:13" ht="72" x14ac:dyDescent="0.25">
      <c r="A194" s="7" t="s">
        <v>4016</v>
      </c>
      <c r="B194" s="2" t="s">
        <v>4017</v>
      </c>
      <c r="C194" s="4">
        <v>3</v>
      </c>
      <c r="D194" s="5">
        <v>7.29</v>
      </c>
      <c r="E194" s="5">
        <v>18</v>
      </c>
      <c r="F194" s="4" t="s">
        <v>4018</v>
      </c>
      <c r="G194" s="2" t="s">
        <v>4019</v>
      </c>
      <c r="H194" s="7" t="s">
        <v>789</v>
      </c>
      <c r="I194" s="2" t="s">
        <v>523</v>
      </c>
      <c r="J194" s="2" t="s">
        <v>1042</v>
      </c>
      <c r="K194" s="2" t="s">
        <v>304</v>
      </c>
      <c r="L194" s="2" t="s">
        <v>4020</v>
      </c>
      <c r="M194" s="8" t="str">
        <f>HYPERLINK("http://slimages.macys.com/is/image/MCY/10428877 ")</f>
        <v xml:space="preserve">http://slimages.macys.com/is/image/MCY/10428877 </v>
      </c>
    </row>
    <row r="195" spans="1:13" ht="60" x14ac:dyDescent="0.25">
      <c r="A195" s="7" t="s">
        <v>11017</v>
      </c>
      <c r="B195" s="2" t="s">
        <v>4022</v>
      </c>
      <c r="C195" s="4">
        <v>1</v>
      </c>
      <c r="D195" s="5">
        <v>7.28</v>
      </c>
      <c r="E195" s="5">
        <v>16.989999999999998</v>
      </c>
      <c r="F195" s="4" t="s">
        <v>4023</v>
      </c>
      <c r="G195" s="2" t="s">
        <v>129</v>
      </c>
      <c r="H195" s="7" t="s">
        <v>317</v>
      </c>
      <c r="I195" s="2" t="s">
        <v>292</v>
      </c>
      <c r="J195" s="2" t="s">
        <v>354</v>
      </c>
      <c r="K195" s="2" t="s">
        <v>304</v>
      </c>
      <c r="L195" s="2" t="s">
        <v>119</v>
      </c>
      <c r="M195" s="8" t="str">
        <f>HYPERLINK("http://slimages.macys.com/is/image/MCY/11526610 ")</f>
        <v xml:space="preserve">http://slimages.macys.com/is/image/MCY/11526610 </v>
      </c>
    </row>
    <row r="196" spans="1:13" ht="72" x14ac:dyDescent="0.25">
      <c r="A196" s="7" t="s">
        <v>946</v>
      </c>
      <c r="B196" s="2" t="s">
        <v>935</v>
      </c>
      <c r="C196" s="4">
        <v>2</v>
      </c>
      <c r="D196" s="5">
        <v>7.2</v>
      </c>
      <c r="E196" s="5">
        <v>18</v>
      </c>
      <c r="F196" s="4" t="s">
        <v>936</v>
      </c>
      <c r="G196" s="2" t="s">
        <v>62</v>
      </c>
      <c r="H196" s="7"/>
      <c r="I196" s="2" t="s">
        <v>523</v>
      </c>
      <c r="J196" s="2" t="s">
        <v>937</v>
      </c>
      <c r="K196" s="2" t="s">
        <v>304</v>
      </c>
      <c r="L196" s="2" t="s">
        <v>938</v>
      </c>
      <c r="M196" s="8" t="str">
        <f>HYPERLINK("http://slimages.macys.com/is/image/MCY/9628134 ")</f>
        <v xml:space="preserve">http://slimages.macys.com/is/image/MCY/9628134 </v>
      </c>
    </row>
    <row r="197" spans="1:13" ht="72" x14ac:dyDescent="0.25">
      <c r="A197" s="7" t="s">
        <v>934</v>
      </c>
      <c r="B197" s="2" t="s">
        <v>935</v>
      </c>
      <c r="C197" s="4">
        <v>2</v>
      </c>
      <c r="D197" s="5">
        <v>7.2</v>
      </c>
      <c r="E197" s="5">
        <v>18</v>
      </c>
      <c r="F197" s="4" t="s">
        <v>936</v>
      </c>
      <c r="G197" s="2" t="s">
        <v>41</v>
      </c>
      <c r="H197" s="7"/>
      <c r="I197" s="2" t="s">
        <v>523</v>
      </c>
      <c r="J197" s="2" t="s">
        <v>937</v>
      </c>
      <c r="K197" s="2" t="s">
        <v>304</v>
      </c>
      <c r="L197" s="2" t="s">
        <v>938</v>
      </c>
      <c r="M197" s="8" t="str">
        <f>HYPERLINK("http://slimages.macys.com/is/image/MCY/9628134 ")</f>
        <v xml:space="preserve">http://slimages.macys.com/is/image/MCY/9628134 </v>
      </c>
    </row>
    <row r="198" spans="1:13" ht="60" x14ac:dyDescent="0.25">
      <c r="A198" s="7" t="s">
        <v>941</v>
      </c>
      <c r="B198" s="2" t="s">
        <v>942</v>
      </c>
      <c r="C198" s="4">
        <v>2</v>
      </c>
      <c r="D198" s="5">
        <v>7.2</v>
      </c>
      <c r="E198" s="5">
        <v>18</v>
      </c>
      <c r="F198" s="4" t="s">
        <v>943</v>
      </c>
      <c r="G198" s="2" t="s">
        <v>165</v>
      </c>
      <c r="H198" s="7"/>
      <c r="I198" s="2" t="s">
        <v>523</v>
      </c>
      <c r="J198" s="2" t="s">
        <v>937</v>
      </c>
      <c r="K198" s="2" t="s">
        <v>304</v>
      </c>
      <c r="L198" s="2" t="s">
        <v>944</v>
      </c>
      <c r="M198" s="8" t="str">
        <f>HYPERLINK("http://slimages.macys.com/is/image/MCY/10426043 ")</f>
        <v xml:space="preserve">http://slimages.macys.com/is/image/MCY/10426043 </v>
      </c>
    </row>
    <row r="199" spans="1:13" ht="60" x14ac:dyDescent="0.25">
      <c r="A199" s="7" t="s">
        <v>947</v>
      </c>
      <c r="B199" s="2" t="s">
        <v>942</v>
      </c>
      <c r="C199" s="4">
        <v>2</v>
      </c>
      <c r="D199" s="5">
        <v>7.2</v>
      </c>
      <c r="E199" s="5">
        <v>18</v>
      </c>
      <c r="F199" s="4" t="s">
        <v>943</v>
      </c>
      <c r="G199" s="2" t="s">
        <v>41</v>
      </c>
      <c r="H199" s="7"/>
      <c r="I199" s="2" t="s">
        <v>523</v>
      </c>
      <c r="J199" s="2" t="s">
        <v>937</v>
      </c>
      <c r="K199" s="2" t="s">
        <v>304</v>
      </c>
      <c r="L199" s="2" t="s">
        <v>944</v>
      </c>
      <c r="M199" s="8" t="str">
        <f>HYPERLINK("http://slimages.macys.com/is/image/MCY/10426043 ")</f>
        <v xml:space="preserve">http://slimages.macys.com/is/image/MCY/10426043 </v>
      </c>
    </row>
    <row r="200" spans="1:13" ht="60" x14ac:dyDescent="0.25">
      <c r="A200" s="7" t="s">
        <v>2575</v>
      </c>
      <c r="B200" s="2" t="s">
        <v>942</v>
      </c>
      <c r="C200" s="4">
        <v>2</v>
      </c>
      <c r="D200" s="5">
        <v>7.2</v>
      </c>
      <c r="E200" s="5">
        <v>18</v>
      </c>
      <c r="F200" s="4" t="s">
        <v>2576</v>
      </c>
      <c r="G200" s="2" t="s">
        <v>165</v>
      </c>
      <c r="H200" s="7"/>
      <c r="I200" s="2" t="s">
        <v>523</v>
      </c>
      <c r="J200" s="2" t="s">
        <v>937</v>
      </c>
      <c r="K200" s="2" t="s">
        <v>304</v>
      </c>
      <c r="L200" s="2" t="s">
        <v>944</v>
      </c>
      <c r="M200" s="8" t="str">
        <f>HYPERLINK("http://slimages.macys.com/is/image/MCY/10426043 ")</f>
        <v xml:space="preserve">http://slimages.macys.com/is/image/MCY/10426043 </v>
      </c>
    </row>
    <row r="201" spans="1:13" ht="60" x14ac:dyDescent="0.25">
      <c r="A201" s="7" t="s">
        <v>939</v>
      </c>
      <c r="B201" s="2" t="s">
        <v>935</v>
      </c>
      <c r="C201" s="4">
        <v>1</v>
      </c>
      <c r="D201" s="5">
        <v>7.2</v>
      </c>
      <c r="E201" s="5">
        <v>18</v>
      </c>
      <c r="F201" s="4" t="s">
        <v>940</v>
      </c>
      <c r="G201" s="2" t="s">
        <v>41</v>
      </c>
      <c r="H201" s="7"/>
      <c r="I201" s="2" t="s">
        <v>523</v>
      </c>
      <c r="J201" s="2" t="s">
        <v>937</v>
      </c>
      <c r="K201" s="2" t="s">
        <v>304</v>
      </c>
      <c r="L201" s="2" t="s">
        <v>263</v>
      </c>
      <c r="M201" s="8" t="str">
        <f>HYPERLINK("http://slimages.macys.com/is/image/MCY/9628127 ")</f>
        <v xml:space="preserve">http://slimages.macys.com/is/image/MCY/9628127 </v>
      </c>
    </row>
    <row r="202" spans="1:13" ht="60" x14ac:dyDescent="0.25">
      <c r="A202" s="7" t="s">
        <v>10045</v>
      </c>
      <c r="B202" s="2" t="s">
        <v>7531</v>
      </c>
      <c r="C202" s="4">
        <v>1</v>
      </c>
      <c r="D202" s="5">
        <v>7.19</v>
      </c>
      <c r="E202" s="5">
        <v>15.99</v>
      </c>
      <c r="F202" s="4" t="s">
        <v>7532</v>
      </c>
      <c r="G202" s="2" t="s">
        <v>28</v>
      </c>
      <c r="H202" s="7" t="s">
        <v>228</v>
      </c>
      <c r="I202" s="2" t="s">
        <v>218</v>
      </c>
      <c r="J202" s="2" t="s">
        <v>219</v>
      </c>
      <c r="K202" s="2" t="s">
        <v>304</v>
      </c>
      <c r="L202" s="2" t="s">
        <v>125</v>
      </c>
      <c r="M202" s="8" t="str">
        <f>HYPERLINK("http://slimages.macys.com/is/image/MCY/11605874 ")</f>
        <v xml:space="preserve">http://slimages.macys.com/is/image/MCY/11605874 </v>
      </c>
    </row>
    <row r="203" spans="1:13" ht="60" x14ac:dyDescent="0.25">
      <c r="A203" s="7" t="s">
        <v>7530</v>
      </c>
      <c r="B203" s="2" t="s">
        <v>7531</v>
      </c>
      <c r="C203" s="4">
        <v>1</v>
      </c>
      <c r="D203" s="5">
        <v>7.19</v>
      </c>
      <c r="E203" s="5">
        <v>15.99</v>
      </c>
      <c r="F203" s="4" t="s">
        <v>7532</v>
      </c>
      <c r="G203" s="2" t="s">
        <v>28</v>
      </c>
      <c r="H203" s="7" t="s">
        <v>284</v>
      </c>
      <c r="I203" s="2" t="s">
        <v>218</v>
      </c>
      <c r="J203" s="2" t="s">
        <v>219</v>
      </c>
      <c r="K203" s="2" t="s">
        <v>304</v>
      </c>
      <c r="L203" s="2" t="s">
        <v>125</v>
      </c>
      <c r="M203" s="8" t="str">
        <f>HYPERLINK("http://slimages.macys.com/is/image/MCY/11605874 ")</f>
        <v xml:space="preserve">http://slimages.macys.com/is/image/MCY/11605874 </v>
      </c>
    </row>
    <row r="204" spans="1:13" ht="108" x14ac:dyDescent="0.25">
      <c r="A204" s="7" t="s">
        <v>11018</v>
      </c>
      <c r="B204" s="2" t="s">
        <v>6858</v>
      </c>
      <c r="C204" s="4">
        <v>1</v>
      </c>
      <c r="D204" s="5">
        <v>7.17</v>
      </c>
      <c r="E204" s="5">
        <v>16.989999999999998</v>
      </c>
      <c r="F204" s="4" t="s">
        <v>6859</v>
      </c>
      <c r="G204" s="2" t="s">
        <v>437</v>
      </c>
      <c r="H204" s="7" t="s">
        <v>42</v>
      </c>
      <c r="I204" s="2" t="s">
        <v>483</v>
      </c>
      <c r="J204" s="2" t="s">
        <v>536</v>
      </c>
      <c r="K204" s="2" t="s">
        <v>304</v>
      </c>
      <c r="L204" s="2" t="s">
        <v>6860</v>
      </c>
      <c r="M204" s="8" t="str">
        <f>HYPERLINK("http://slimages.macys.com/is/image/MCY/11709605 ")</f>
        <v xml:space="preserve">http://slimages.macys.com/is/image/MCY/11709605 </v>
      </c>
    </row>
    <row r="205" spans="1:13" ht="60" x14ac:dyDescent="0.25">
      <c r="A205" s="7" t="s">
        <v>11019</v>
      </c>
      <c r="B205" s="2" t="s">
        <v>5923</v>
      </c>
      <c r="C205" s="4">
        <v>1</v>
      </c>
      <c r="D205" s="5">
        <v>7.12</v>
      </c>
      <c r="E205" s="5">
        <v>17.989999999999998</v>
      </c>
      <c r="F205" s="4" t="s">
        <v>5924</v>
      </c>
      <c r="G205" s="2" t="s">
        <v>527</v>
      </c>
      <c r="H205" s="7" t="s">
        <v>514</v>
      </c>
      <c r="I205" s="2" t="s">
        <v>515</v>
      </c>
      <c r="J205" s="2" t="s">
        <v>875</v>
      </c>
      <c r="K205" s="2" t="s">
        <v>304</v>
      </c>
      <c r="L205" s="2" t="s">
        <v>4196</v>
      </c>
      <c r="M205" s="8" t="str">
        <f>HYPERLINK("http://slimages.macys.com/is/image/MCY/11603707 ")</f>
        <v xml:space="preserve">http://slimages.macys.com/is/image/MCY/11603707 </v>
      </c>
    </row>
    <row r="206" spans="1:13" ht="60" x14ac:dyDescent="0.25">
      <c r="A206" s="7" t="s">
        <v>11020</v>
      </c>
      <c r="B206" s="2" t="s">
        <v>7534</v>
      </c>
      <c r="C206" s="4">
        <v>1</v>
      </c>
      <c r="D206" s="5">
        <v>7.12</v>
      </c>
      <c r="E206" s="5">
        <v>15.99</v>
      </c>
      <c r="F206" s="4" t="s">
        <v>7535</v>
      </c>
      <c r="G206" s="2" t="s">
        <v>28</v>
      </c>
      <c r="H206" s="7" t="s">
        <v>228</v>
      </c>
      <c r="I206" s="2" t="s">
        <v>218</v>
      </c>
      <c r="J206" s="2" t="s">
        <v>219</v>
      </c>
      <c r="K206" s="2" t="s">
        <v>304</v>
      </c>
      <c r="L206" s="2" t="s">
        <v>3629</v>
      </c>
      <c r="M206" s="8" t="str">
        <f>HYPERLINK("http://slimages.macys.com/is/image/MCY/12340610 ")</f>
        <v xml:space="preserve">http://slimages.macys.com/is/image/MCY/12340610 </v>
      </c>
    </row>
    <row r="207" spans="1:13" ht="60" x14ac:dyDescent="0.25">
      <c r="A207" s="7" t="s">
        <v>11021</v>
      </c>
      <c r="B207" s="2" t="s">
        <v>7534</v>
      </c>
      <c r="C207" s="4">
        <v>1</v>
      </c>
      <c r="D207" s="5">
        <v>7.12</v>
      </c>
      <c r="E207" s="5">
        <v>15.99</v>
      </c>
      <c r="F207" s="4" t="s">
        <v>7535</v>
      </c>
      <c r="G207" s="2" t="s">
        <v>28</v>
      </c>
      <c r="H207" s="7" t="s">
        <v>284</v>
      </c>
      <c r="I207" s="2" t="s">
        <v>218</v>
      </c>
      <c r="J207" s="2" t="s">
        <v>219</v>
      </c>
      <c r="K207" s="2" t="s">
        <v>304</v>
      </c>
      <c r="L207" s="2" t="s">
        <v>3629</v>
      </c>
      <c r="M207" s="8" t="str">
        <f>HYPERLINK("http://slimages.macys.com/is/image/MCY/12340610 ")</f>
        <v xml:space="preserve">http://slimages.macys.com/is/image/MCY/12340610 </v>
      </c>
    </row>
    <row r="208" spans="1:13" ht="60" x14ac:dyDescent="0.25">
      <c r="A208" s="7" t="s">
        <v>7533</v>
      </c>
      <c r="B208" s="2" t="s">
        <v>7534</v>
      </c>
      <c r="C208" s="4">
        <v>1</v>
      </c>
      <c r="D208" s="5">
        <v>7.12</v>
      </c>
      <c r="E208" s="5">
        <v>15.99</v>
      </c>
      <c r="F208" s="4" t="s">
        <v>7535</v>
      </c>
      <c r="G208" s="2" t="s">
        <v>28</v>
      </c>
      <c r="H208" s="7" t="s">
        <v>159</v>
      </c>
      <c r="I208" s="2" t="s">
        <v>218</v>
      </c>
      <c r="J208" s="2" t="s">
        <v>219</v>
      </c>
      <c r="K208" s="2" t="s">
        <v>304</v>
      </c>
      <c r="L208" s="2" t="s">
        <v>3629</v>
      </c>
      <c r="M208" s="8" t="str">
        <f>HYPERLINK("http://slimages.macys.com/is/image/MCY/12340610 ")</f>
        <v xml:space="preserve">http://slimages.macys.com/is/image/MCY/12340610 </v>
      </c>
    </row>
    <row r="209" spans="1:13" ht="60" x14ac:dyDescent="0.25">
      <c r="A209" s="7" t="s">
        <v>11022</v>
      </c>
      <c r="B209" s="2" t="s">
        <v>11023</v>
      </c>
      <c r="C209" s="4">
        <v>1</v>
      </c>
      <c r="D209" s="5">
        <v>7.09</v>
      </c>
      <c r="E209" s="5">
        <v>18</v>
      </c>
      <c r="F209" s="4" t="s">
        <v>11024</v>
      </c>
      <c r="G209" s="2"/>
      <c r="H209" s="7" t="s">
        <v>72</v>
      </c>
      <c r="I209" s="2" t="s">
        <v>523</v>
      </c>
      <c r="J209" s="2" t="s">
        <v>11025</v>
      </c>
      <c r="K209" s="2" t="s">
        <v>2746</v>
      </c>
      <c r="L209" s="2" t="s">
        <v>596</v>
      </c>
      <c r="M209" s="8" t="str">
        <f>HYPERLINK("http://slimages.macys.com/is/image/MCY/11647600 ")</f>
        <v xml:space="preserve">http://slimages.macys.com/is/image/MCY/11647600 </v>
      </c>
    </row>
    <row r="210" spans="1:13" ht="60" x14ac:dyDescent="0.25">
      <c r="A210" s="7" t="s">
        <v>10503</v>
      </c>
      <c r="B210" s="2" t="s">
        <v>10501</v>
      </c>
      <c r="C210" s="4">
        <v>1</v>
      </c>
      <c r="D210" s="5">
        <v>7.05</v>
      </c>
      <c r="E210" s="5">
        <v>11.99</v>
      </c>
      <c r="F210" s="4" t="s">
        <v>10502</v>
      </c>
      <c r="G210" s="2" t="s">
        <v>36</v>
      </c>
      <c r="H210" s="7" t="s">
        <v>228</v>
      </c>
      <c r="I210" s="2" t="s">
        <v>73</v>
      </c>
      <c r="J210" s="2" t="s">
        <v>1917</v>
      </c>
      <c r="K210" s="2" t="s">
        <v>304</v>
      </c>
      <c r="L210" s="2" t="s">
        <v>125</v>
      </c>
      <c r="M210" s="8" t="str">
        <f>HYPERLINK("http://slimages.macys.com/is/image/MCY/12688490 ")</f>
        <v xml:space="preserve">http://slimages.macys.com/is/image/MCY/12688490 </v>
      </c>
    </row>
    <row r="211" spans="1:13" ht="96" x14ac:dyDescent="0.25">
      <c r="A211" s="7" t="s">
        <v>11026</v>
      </c>
      <c r="B211" s="2" t="s">
        <v>11027</v>
      </c>
      <c r="C211" s="4">
        <v>1</v>
      </c>
      <c r="D211" s="5">
        <v>7.05</v>
      </c>
      <c r="E211" s="5">
        <v>15.99</v>
      </c>
      <c r="F211" s="4" t="s">
        <v>11028</v>
      </c>
      <c r="G211" s="2" t="s">
        <v>297</v>
      </c>
      <c r="H211" s="7" t="s">
        <v>438</v>
      </c>
      <c r="I211" s="2" t="s">
        <v>153</v>
      </c>
      <c r="J211" s="2" t="s">
        <v>154</v>
      </c>
      <c r="K211" s="2" t="s">
        <v>304</v>
      </c>
      <c r="L211" s="2" t="s">
        <v>6237</v>
      </c>
      <c r="M211" s="8" t="str">
        <f>HYPERLINK("http://slimages.macys.com/is/image/MCY/11671954 ")</f>
        <v xml:space="preserve">http://slimages.macys.com/is/image/MCY/11671954 </v>
      </c>
    </row>
    <row r="212" spans="1:13" ht="60" x14ac:dyDescent="0.25">
      <c r="A212" s="7" t="s">
        <v>10500</v>
      </c>
      <c r="B212" s="2" t="s">
        <v>10501</v>
      </c>
      <c r="C212" s="4">
        <v>3</v>
      </c>
      <c r="D212" s="5">
        <v>7.05</v>
      </c>
      <c r="E212" s="5">
        <v>11.99</v>
      </c>
      <c r="F212" s="4" t="s">
        <v>10502</v>
      </c>
      <c r="G212" s="2" t="s">
        <v>36</v>
      </c>
      <c r="H212" s="7" t="s">
        <v>159</v>
      </c>
      <c r="I212" s="2" t="s">
        <v>73</v>
      </c>
      <c r="J212" s="2" t="s">
        <v>1917</v>
      </c>
      <c r="K212" s="2" t="s">
        <v>304</v>
      </c>
      <c r="L212" s="2" t="s">
        <v>125</v>
      </c>
      <c r="M212" s="8" t="str">
        <f>HYPERLINK("http://slimages.macys.com/is/image/MCY/12688490 ")</f>
        <v xml:space="preserve">http://slimages.macys.com/is/image/MCY/12688490 </v>
      </c>
    </row>
    <row r="213" spans="1:13" ht="60" x14ac:dyDescent="0.25">
      <c r="A213" s="7" t="s">
        <v>8902</v>
      </c>
      <c r="B213" s="2" t="s">
        <v>973</v>
      </c>
      <c r="C213" s="4">
        <v>1</v>
      </c>
      <c r="D213" s="5">
        <v>7</v>
      </c>
      <c r="E213" s="5">
        <v>14.99</v>
      </c>
      <c r="F213" s="4">
        <v>6137</v>
      </c>
      <c r="G213" s="2" t="s">
        <v>657</v>
      </c>
      <c r="H213" s="7" t="s">
        <v>284</v>
      </c>
      <c r="I213" s="2" t="s">
        <v>523</v>
      </c>
      <c r="J213" s="2" t="s">
        <v>969</v>
      </c>
      <c r="K213" s="2" t="s">
        <v>304</v>
      </c>
      <c r="L213" s="2" t="s">
        <v>100</v>
      </c>
      <c r="M213" s="8" t="str">
        <f>HYPERLINK("http://slimages.macys.com/is/image/MCY/13040214 ")</f>
        <v xml:space="preserve">http://slimages.macys.com/is/image/MCY/13040214 </v>
      </c>
    </row>
    <row r="214" spans="1:13" ht="144" x14ac:dyDescent="0.25">
      <c r="A214" s="7" t="s">
        <v>11029</v>
      </c>
      <c r="B214" s="2" t="s">
        <v>9521</v>
      </c>
      <c r="C214" s="4">
        <v>1</v>
      </c>
      <c r="D214" s="5">
        <v>7</v>
      </c>
      <c r="E214" s="5">
        <v>19.989999999999998</v>
      </c>
      <c r="F214" s="4" t="s">
        <v>9522</v>
      </c>
      <c r="G214" s="2" t="s">
        <v>41</v>
      </c>
      <c r="H214" s="7" t="s">
        <v>228</v>
      </c>
      <c r="I214" s="2" t="s">
        <v>342</v>
      </c>
      <c r="J214" s="2" t="s">
        <v>1589</v>
      </c>
      <c r="K214" s="2" t="s">
        <v>304</v>
      </c>
      <c r="L214" s="2" t="s">
        <v>9523</v>
      </c>
      <c r="M214" s="8" t="str">
        <f>HYPERLINK("http://slimages.macys.com/is/image/MCY/13294162 ")</f>
        <v xml:space="preserve">http://slimages.macys.com/is/image/MCY/13294162 </v>
      </c>
    </row>
    <row r="215" spans="1:13" ht="60" x14ac:dyDescent="0.25">
      <c r="A215" s="7" t="s">
        <v>11030</v>
      </c>
      <c r="B215" s="2" t="s">
        <v>11031</v>
      </c>
      <c r="C215" s="4">
        <v>1</v>
      </c>
      <c r="D215" s="5">
        <v>7</v>
      </c>
      <c r="E215" s="5">
        <v>16.989999999999998</v>
      </c>
      <c r="F215" s="4" t="s">
        <v>11032</v>
      </c>
      <c r="G215" s="2" t="s">
        <v>28</v>
      </c>
      <c r="H215" s="7" t="s">
        <v>982</v>
      </c>
      <c r="I215" s="2" t="s">
        <v>966</v>
      </c>
      <c r="J215" s="2" t="s">
        <v>348</v>
      </c>
      <c r="K215" s="2" t="s">
        <v>304</v>
      </c>
      <c r="L215" s="2" t="s">
        <v>11033</v>
      </c>
      <c r="M215" s="8" t="str">
        <f>HYPERLINK("http://slimages.macys.com/is/image/MCY/13984175 ")</f>
        <v xml:space="preserve">http://slimages.macys.com/is/image/MCY/13984175 </v>
      </c>
    </row>
    <row r="216" spans="1:13" ht="144" x14ac:dyDescent="0.25">
      <c r="A216" s="7" t="s">
        <v>9520</v>
      </c>
      <c r="B216" s="2" t="s">
        <v>9521</v>
      </c>
      <c r="C216" s="4">
        <v>1</v>
      </c>
      <c r="D216" s="5">
        <v>7</v>
      </c>
      <c r="E216" s="5">
        <v>19.989999999999998</v>
      </c>
      <c r="F216" s="4" t="s">
        <v>9522</v>
      </c>
      <c r="G216" s="2" t="s">
        <v>41</v>
      </c>
      <c r="H216" s="7" t="s">
        <v>196</v>
      </c>
      <c r="I216" s="2" t="s">
        <v>342</v>
      </c>
      <c r="J216" s="2" t="s">
        <v>1589</v>
      </c>
      <c r="K216" s="2" t="s">
        <v>304</v>
      </c>
      <c r="L216" s="2" t="s">
        <v>9523</v>
      </c>
      <c r="M216" s="8" t="str">
        <f>HYPERLINK("http://slimages.macys.com/is/image/MCY/13294162 ")</f>
        <v xml:space="preserve">http://slimages.macys.com/is/image/MCY/13294162 </v>
      </c>
    </row>
    <row r="217" spans="1:13" ht="60" x14ac:dyDescent="0.25">
      <c r="A217" s="7" t="s">
        <v>6865</v>
      </c>
      <c r="B217" s="2" t="s">
        <v>1765</v>
      </c>
      <c r="C217" s="4">
        <v>1</v>
      </c>
      <c r="D217" s="5">
        <v>6.85</v>
      </c>
      <c r="E217" s="5">
        <v>18</v>
      </c>
      <c r="F217" s="4" t="s">
        <v>1766</v>
      </c>
      <c r="G217" s="2" t="s">
        <v>62</v>
      </c>
      <c r="H217" s="7" t="s">
        <v>217</v>
      </c>
      <c r="I217" s="2" t="s">
        <v>468</v>
      </c>
      <c r="J217" s="2" t="s">
        <v>469</v>
      </c>
      <c r="K217" s="2" t="s">
        <v>304</v>
      </c>
      <c r="L217" s="2" t="s">
        <v>119</v>
      </c>
      <c r="M217" s="8" t="str">
        <f>HYPERLINK("http://slimages.macys.com/is/image/MCY/11958538 ")</f>
        <v xml:space="preserve">http://slimages.macys.com/is/image/MCY/11958538 </v>
      </c>
    </row>
    <row r="218" spans="1:13" ht="60" x14ac:dyDescent="0.25">
      <c r="A218" s="7" t="s">
        <v>1761</v>
      </c>
      <c r="B218" s="2" t="s">
        <v>1762</v>
      </c>
      <c r="C218" s="4">
        <v>1</v>
      </c>
      <c r="D218" s="5">
        <v>6.85</v>
      </c>
      <c r="E218" s="5">
        <v>18</v>
      </c>
      <c r="F218" s="4" t="s">
        <v>1763</v>
      </c>
      <c r="G218" s="2" t="s">
        <v>1160</v>
      </c>
      <c r="H218" s="7" t="s">
        <v>228</v>
      </c>
      <c r="I218" s="2" t="s">
        <v>468</v>
      </c>
      <c r="J218" s="2" t="s">
        <v>469</v>
      </c>
      <c r="K218" s="2" t="s">
        <v>304</v>
      </c>
      <c r="L218" s="2" t="s">
        <v>119</v>
      </c>
      <c r="M218" s="8" t="str">
        <f>HYPERLINK("http://slimages.macys.com/is/image/MCY/11387122 ")</f>
        <v xml:space="preserve">http://slimages.macys.com/is/image/MCY/11387122 </v>
      </c>
    </row>
    <row r="219" spans="1:13" ht="60" x14ac:dyDescent="0.25">
      <c r="A219" s="7" t="s">
        <v>5928</v>
      </c>
      <c r="B219" s="2" t="s">
        <v>1762</v>
      </c>
      <c r="C219" s="4">
        <v>3</v>
      </c>
      <c r="D219" s="5">
        <v>6.85</v>
      </c>
      <c r="E219" s="5">
        <v>18</v>
      </c>
      <c r="F219" s="4" t="s">
        <v>1763</v>
      </c>
      <c r="G219" s="2" t="s">
        <v>1160</v>
      </c>
      <c r="H219" s="7" t="s">
        <v>217</v>
      </c>
      <c r="I219" s="2" t="s">
        <v>468</v>
      </c>
      <c r="J219" s="2" t="s">
        <v>469</v>
      </c>
      <c r="K219" s="2" t="s">
        <v>304</v>
      </c>
      <c r="L219" s="2" t="s">
        <v>119</v>
      </c>
      <c r="M219" s="8" t="str">
        <f>HYPERLINK("http://slimages.macys.com/is/image/MCY/11387122 ")</f>
        <v xml:space="preserve">http://slimages.macys.com/is/image/MCY/11387122 </v>
      </c>
    </row>
    <row r="220" spans="1:13" ht="60" x14ac:dyDescent="0.25">
      <c r="A220" s="7" t="s">
        <v>1767</v>
      </c>
      <c r="B220" s="2" t="s">
        <v>1768</v>
      </c>
      <c r="C220" s="4">
        <v>3</v>
      </c>
      <c r="D220" s="5">
        <v>6.85</v>
      </c>
      <c r="E220" s="5">
        <v>18</v>
      </c>
      <c r="F220" s="4" t="s">
        <v>1769</v>
      </c>
      <c r="G220" s="2" t="s">
        <v>48</v>
      </c>
      <c r="H220" s="7" t="s">
        <v>217</v>
      </c>
      <c r="I220" s="2" t="s">
        <v>468</v>
      </c>
      <c r="J220" s="2" t="s">
        <v>469</v>
      </c>
      <c r="K220" s="2" t="s">
        <v>304</v>
      </c>
      <c r="L220" s="2" t="s">
        <v>100</v>
      </c>
      <c r="M220" s="8" t="str">
        <f>HYPERLINK("http://slimages.macys.com/is/image/MCY/12809150 ")</f>
        <v xml:space="preserve">http://slimages.macys.com/is/image/MCY/12809150 </v>
      </c>
    </row>
    <row r="221" spans="1:13" ht="60" x14ac:dyDescent="0.25">
      <c r="A221" s="7" t="s">
        <v>11034</v>
      </c>
      <c r="B221" s="2" t="s">
        <v>4146</v>
      </c>
      <c r="C221" s="4">
        <v>1</v>
      </c>
      <c r="D221" s="5">
        <v>6.84</v>
      </c>
      <c r="E221" s="5">
        <v>15.99</v>
      </c>
      <c r="F221" s="4" t="s">
        <v>11035</v>
      </c>
      <c r="G221" s="2" t="s">
        <v>28</v>
      </c>
      <c r="H221" s="7" t="s">
        <v>228</v>
      </c>
      <c r="I221" s="2" t="s">
        <v>218</v>
      </c>
      <c r="J221" s="2" t="s">
        <v>219</v>
      </c>
      <c r="K221" s="2" t="s">
        <v>304</v>
      </c>
      <c r="L221" s="2" t="s">
        <v>125</v>
      </c>
      <c r="M221" s="8" t="str">
        <f>HYPERLINK("http://slimages.macys.com/is/image/MCY/12284150 ")</f>
        <v xml:space="preserve">http://slimages.macys.com/is/image/MCY/12284150 </v>
      </c>
    </row>
    <row r="222" spans="1:13" ht="60" x14ac:dyDescent="0.25">
      <c r="A222" s="7" t="s">
        <v>11036</v>
      </c>
      <c r="B222" s="2" t="s">
        <v>4146</v>
      </c>
      <c r="C222" s="4">
        <v>1</v>
      </c>
      <c r="D222" s="5">
        <v>6.84</v>
      </c>
      <c r="E222" s="5">
        <v>15.99</v>
      </c>
      <c r="F222" s="4" t="s">
        <v>11035</v>
      </c>
      <c r="G222" s="2" t="s">
        <v>28</v>
      </c>
      <c r="H222" s="7" t="s">
        <v>217</v>
      </c>
      <c r="I222" s="2" t="s">
        <v>218</v>
      </c>
      <c r="J222" s="2" t="s">
        <v>219</v>
      </c>
      <c r="K222" s="2" t="s">
        <v>304</v>
      </c>
      <c r="L222" s="2" t="s">
        <v>125</v>
      </c>
      <c r="M222" s="8" t="str">
        <f>HYPERLINK("http://slimages.macys.com/is/image/MCY/12284150 ")</f>
        <v xml:space="preserve">http://slimages.macys.com/is/image/MCY/12284150 </v>
      </c>
    </row>
    <row r="223" spans="1:13" ht="60" x14ac:dyDescent="0.25">
      <c r="A223" s="7" t="s">
        <v>1779</v>
      </c>
      <c r="B223" s="2" t="s">
        <v>1776</v>
      </c>
      <c r="C223" s="4">
        <v>1</v>
      </c>
      <c r="D223" s="5">
        <v>6.84</v>
      </c>
      <c r="E223" s="5">
        <v>19.989999999999998</v>
      </c>
      <c r="F223" s="4" t="s">
        <v>1777</v>
      </c>
      <c r="G223" s="2" t="s">
        <v>388</v>
      </c>
      <c r="H223" s="7" t="s">
        <v>311</v>
      </c>
      <c r="I223" s="2" t="s">
        <v>1689</v>
      </c>
      <c r="J223" s="2" t="s">
        <v>354</v>
      </c>
      <c r="K223" s="2" t="s">
        <v>304</v>
      </c>
      <c r="L223" s="2" t="s">
        <v>390</v>
      </c>
      <c r="M223" s="8" t="str">
        <f>HYPERLINK("http://slimages.macys.com/is/image/MCY/12890114 ")</f>
        <v xml:space="preserve">http://slimages.macys.com/is/image/MCY/12890114 </v>
      </c>
    </row>
    <row r="224" spans="1:13" ht="60" x14ac:dyDescent="0.25">
      <c r="A224" s="7" t="s">
        <v>1780</v>
      </c>
      <c r="B224" s="2" t="s">
        <v>1776</v>
      </c>
      <c r="C224" s="4">
        <v>1</v>
      </c>
      <c r="D224" s="5">
        <v>6.84</v>
      </c>
      <c r="E224" s="5">
        <v>19.989999999999998</v>
      </c>
      <c r="F224" s="4" t="s">
        <v>1777</v>
      </c>
      <c r="G224" s="2" t="s">
        <v>388</v>
      </c>
      <c r="H224" s="7" t="s">
        <v>123</v>
      </c>
      <c r="I224" s="2" t="s">
        <v>1689</v>
      </c>
      <c r="J224" s="2" t="s">
        <v>354</v>
      </c>
      <c r="K224" s="2" t="s">
        <v>304</v>
      </c>
      <c r="L224" s="2" t="s">
        <v>390</v>
      </c>
      <c r="M224" s="8" t="str">
        <f>HYPERLINK("http://slimages.macys.com/is/image/MCY/12890114 ")</f>
        <v xml:space="preserve">http://slimages.macys.com/is/image/MCY/12890114 </v>
      </c>
    </row>
    <row r="225" spans="1:13" ht="60" x14ac:dyDescent="0.25">
      <c r="A225" s="7" t="s">
        <v>11037</v>
      </c>
      <c r="B225" s="2" t="s">
        <v>2589</v>
      </c>
      <c r="C225" s="4">
        <v>1</v>
      </c>
      <c r="D225" s="5">
        <v>6.81</v>
      </c>
      <c r="E225" s="5">
        <v>16.989999999999998</v>
      </c>
      <c r="F225" s="4" t="s">
        <v>2590</v>
      </c>
      <c r="G225" s="2" t="s">
        <v>36</v>
      </c>
      <c r="H225" s="7" t="s">
        <v>228</v>
      </c>
      <c r="I225" s="2" t="s">
        <v>515</v>
      </c>
      <c r="J225" s="2" t="s">
        <v>827</v>
      </c>
      <c r="K225" s="2" t="s">
        <v>304</v>
      </c>
      <c r="L225" s="2" t="s">
        <v>358</v>
      </c>
      <c r="M225" s="8" t="str">
        <f>HYPERLINK("http://slimages.macys.com/is/image/MCY/12507563 ")</f>
        <v xml:space="preserve">http://slimages.macys.com/is/image/MCY/12507563 </v>
      </c>
    </row>
    <row r="226" spans="1:13" ht="60" x14ac:dyDescent="0.25">
      <c r="A226" s="7" t="s">
        <v>8915</v>
      </c>
      <c r="B226" s="2" t="s">
        <v>2589</v>
      </c>
      <c r="C226" s="4">
        <v>1</v>
      </c>
      <c r="D226" s="5">
        <v>6.81</v>
      </c>
      <c r="E226" s="5">
        <v>16.989999999999998</v>
      </c>
      <c r="F226" s="4" t="s">
        <v>2590</v>
      </c>
      <c r="G226" s="2" t="s">
        <v>62</v>
      </c>
      <c r="H226" s="7" t="s">
        <v>196</v>
      </c>
      <c r="I226" s="2" t="s">
        <v>515</v>
      </c>
      <c r="J226" s="2" t="s">
        <v>827</v>
      </c>
      <c r="K226" s="2" t="s">
        <v>304</v>
      </c>
      <c r="L226" s="2" t="s">
        <v>358</v>
      </c>
      <c r="M226" s="8" t="str">
        <f>HYPERLINK("http://slimages.macys.com/is/image/MCY/12507563 ")</f>
        <v xml:space="preserve">http://slimages.macys.com/is/image/MCY/12507563 </v>
      </c>
    </row>
    <row r="227" spans="1:13" ht="132" x14ac:dyDescent="0.25">
      <c r="A227" s="7" t="s">
        <v>9543</v>
      </c>
      <c r="B227" s="2" t="s">
        <v>1782</v>
      </c>
      <c r="C227" s="4">
        <v>1</v>
      </c>
      <c r="D227" s="5">
        <v>6.8</v>
      </c>
      <c r="E227" s="5">
        <v>14.99</v>
      </c>
      <c r="F227" s="4" t="s">
        <v>1783</v>
      </c>
      <c r="G227" s="2" t="s">
        <v>62</v>
      </c>
      <c r="H227" s="7" t="s">
        <v>284</v>
      </c>
      <c r="I227" s="2" t="s">
        <v>515</v>
      </c>
      <c r="J227" s="2" t="s">
        <v>827</v>
      </c>
      <c r="K227" s="2" t="s">
        <v>304</v>
      </c>
      <c r="L227" s="2" t="s">
        <v>1784</v>
      </c>
      <c r="M227" s="8" t="str">
        <f>HYPERLINK("http://slimages.macys.com/is/image/MCY/13119046 ")</f>
        <v xml:space="preserve">http://slimages.macys.com/is/image/MCY/13119046 </v>
      </c>
    </row>
    <row r="228" spans="1:13" ht="60" x14ac:dyDescent="0.25">
      <c r="A228" s="7" t="s">
        <v>5424</v>
      </c>
      <c r="B228" s="2" t="s">
        <v>996</v>
      </c>
      <c r="C228" s="4">
        <v>1</v>
      </c>
      <c r="D228" s="5">
        <v>6.78</v>
      </c>
      <c r="E228" s="5">
        <v>14.99</v>
      </c>
      <c r="F228" s="4" t="s">
        <v>997</v>
      </c>
      <c r="G228" s="2" t="s">
        <v>48</v>
      </c>
      <c r="H228" s="7" t="s">
        <v>514</v>
      </c>
      <c r="I228" s="2" t="s">
        <v>515</v>
      </c>
      <c r="J228" s="2" t="s">
        <v>516</v>
      </c>
      <c r="K228" s="2" t="s">
        <v>304</v>
      </c>
      <c r="L228" s="2" t="s">
        <v>358</v>
      </c>
      <c r="M228" s="8" t="str">
        <f>HYPERLINK("http://slimages.macys.com/is/image/MCY/12953242 ")</f>
        <v xml:space="preserve">http://slimages.macys.com/is/image/MCY/12953242 </v>
      </c>
    </row>
    <row r="229" spans="1:13" ht="60" x14ac:dyDescent="0.25">
      <c r="A229" s="7" t="s">
        <v>11038</v>
      </c>
      <c r="B229" s="2" t="s">
        <v>10083</v>
      </c>
      <c r="C229" s="4">
        <v>1</v>
      </c>
      <c r="D229" s="5">
        <v>6.75</v>
      </c>
      <c r="E229" s="5">
        <v>14.99</v>
      </c>
      <c r="F229" s="4" t="s">
        <v>10084</v>
      </c>
      <c r="G229" s="2" t="s">
        <v>657</v>
      </c>
      <c r="H229" s="7"/>
      <c r="I229" s="2" t="s">
        <v>523</v>
      </c>
      <c r="J229" s="2" t="s">
        <v>5463</v>
      </c>
      <c r="K229" s="2" t="s">
        <v>304</v>
      </c>
      <c r="L229" s="2" t="s">
        <v>358</v>
      </c>
      <c r="M229" s="8" t="str">
        <f>HYPERLINK("http://slimages.macys.com/is/image/MCY/9336556 ")</f>
        <v xml:space="preserve">http://slimages.macys.com/is/image/MCY/9336556 </v>
      </c>
    </row>
    <row r="230" spans="1:13" ht="60" x14ac:dyDescent="0.25">
      <c r="A230" s="7" t="s">
        <v>7574</v>
      </c>
      <c r="B230" s="2" t="s">
        <v>4097</v>
      </c>
      <c r="C230" s="4">
        <v>1</v>
      </c>
      <c r="D230" s="5">
        <v>6.75</v>
      </c>
      <c r="E230" s="5">
        <v>16.989999999999998</v>
      </c>
      <c r="F230" s="4" t="s">
        <v>4098</v>
      </c>
      <c r="G230" s="2" t="s">
        <v>892</v>
      </c>
      <c r="H230" s="7"/>
      <c r="I230" s="2" t="s">
        <v>321</v>
      </c>
      <c r="J230" s="2" t="s">
        <v>477</v>
      </c>
      <c r="K230" s="2" t="s">
        <v>304</v>
      </c>
      <c r="L230" s="2" t="s">
        <v>125</v>
      </c>
      <c r="M230" s="8" t="str">
        <f>HYPERLINK("http://slimages.macys.com/is/image/MCY/13860370 ")</f>
        <v xml:space="preserve">http://slimages.macys.com/is/image/MCY/13860370 </v>
      </c>
    </row>
    <row r="231" spans="1:13" ht="60" x14ac:dyDescent="0.25">
      <c r="A231" s="7" t="s">
        <v>11039</v>
      </c>
      <c r="B231" s="2" t="s">
        <v>5932</v>
      </c>
      <c r="C231" s="4">
        <v>1</v>
      </c>
      <c r="D231" s="5">
        <v>6.75</v>
      </c>
      <c r="E231" s="5">
        <v>16.989999999999998</v>
      </c>
      <c r="F231" s="4" t="s">
        <v>5933</v>
      </c>
      <c r="G231" s="2" t="s">
        <v>36</v>
      </c>
      <c r="H231" s="7" t="s">
        <v>590</v>
      </c>
      <c r="I231" s="2" t="s">
        <v>92</v>
      </c>
      <c r="J231" s="2" t="s">
        <v>65</v>
      </c>
      <c r="K231" s="2" t="s">
        <v>304</v>
      </c>
      <c r="L231" s="2" t="s">
        <v>206</v>
      </c>
      <c r="M231" s="8" t="str">
        <f>HYPERLINK("http://slimages.macys.com/is/image/MCY/11706444 ")</f>
        <v xml:space="preserve">http://slimages.macys.com/is/image/MCY/11706444 </v>
      </c>
    </row>
    <row r="232" spans="1:13" ht="60" x14ac:dyDescent="0.25">
      <c r="A232" s="7" t="s">
        <v>8922</v>
      </c>
      <c r="B232" s="2" t="s">
        <v>8923</v>
      </c>
      <c r="C232" s="4">
        <v>1</v>
      </c>
      <c r="D232" s="5">
        <v>6.75</v>
      </c>
      <c r="E232" s="5">
        <v>15.7</v>
      </c>
      <c r="F232" s="4">
        <v>18496910</v>
      </c>
      <c r="G232" s="2" t="s">
        <v>41</v>
      </c>
      <c r="H232" s="7" t="s">
        <v>233</v>
      </c>
      <c r="I232" s="2" t="s">
        <v>153</v>
      </c>
      <c r="J232" s="2" t="s">
        <v>154</v>
      </c>
      <c r="K232" s="2" t="s">
        <v>304</v>
      </c>
      <c r="L232" s="2" t="s">
        <v>38</v>
      </c>
      <c r="M232" s="8" t="str">
        <f>HYPERLINK("http://slimages.macys.com/is/image/MCY/14662114 ")</f>
        <v xml:space="preserve">http://slimages.macys.com/is/image/MCY/14662114 </v>
      </c>
    </row>
    <row r="233" spans="1:13" ht="60" x14ac:dyDescent="0.25">
      <c r="A233" s="7" t="s">
        <v>11040</v>
      </c>
      <c r="B233" s="2" t="s">
        <v>11041</v>
      </c>
      <c r="C233" s="4">
        <v>1</v>
      </c>
      <c r="D233" s="5">
        <v>6.75</v>
      </c>
      <c r="E233" s="5">
        <v>15.7</v>
      </c>
      <c r="F233" s="4">
        <v>18495710</v>
      </c>
      <c r="G233" s="2" t="s">
        <v>48</v>
      </c>
      <c r="H233" s="7" t="s">
        <v>233</v>
      </c>
      <c r="I233" s="2" t="s">
        <v>153</v>
      </c>
      <c r="J233" s="2" t="s">
        <v>154</v>
      </c>
      <c r="K233" s="2" t="s">
        <v>304</v>
      </c>
      <c r="L233" s="2" t="s">
        <v>206</v>
      </c>
      <c r="M233" s="8" t="str">
        <f>HYPERLINK("http://slimages.macys.com/is/image/MCY/14662109 ")</f>
        <v xml:space="preserve">http://slimages.macys.com/is/image/MCY/14662109 </v>
      </c>
    </row>
    <row r="234" spans="1:13" ht="60" x14ac:dyDescent="0.25">
      <c r="A234" s="7" t="s">
        <v>11042</v>
      </c>
      <c r="B234" s="2" t="s">
        <v>5932</v>
      </c>
      <c r="C234" s="4">
        <v>1</v>
      </c>
      <c r="D234" s="5">
        <v>6.75</v>
      </c>
      <c r="E234" s="5">
        <v>16.989999999999998</v>
      </c>
      <c r="F234" s="4" t="s">
        <v>5933</v>
      </c>
      <c r="G234" s="2" t="s">
        <v>36</v>
      </c>
      <c r="H234" s="7" t="s">
        <v>442</v>
      </c>
      <c r="I234" s="2" t="s">
        <v>92</v>
      </c>
      <c r="J234" s="2" t="s">
        <v>65</v>
      </c>
      <c r="K234" s="2" t="s">
        <v>304</v>
      </c>
      <c r="L234" s="2" t="s">
        <v>206</v>
      </c>
      <c r="M234" s="8" t="str">
        <f>HYPERLINK("http://slimages.macys.com/is/image/MCY/11706444 ")</f>
        <v xml:space="preserve">http://slimages.macys.com/is/image/MCY/11706444 </v>
      </c>
    </row>
    <row r="235" spans="1:13" ht="60" x14ac:dyDescent="0.25">
      <c r="A235" s="7" t="s">
        <v>6880</v>
      </c>
      <c r="B235" s="2" t="s">
        <v>5428</v>
      </c>
      <c r="C235" s="4">
        <v>1</v>
      </c>
      <c r="D235" s="5">
        <v>6.75</v>
      </c>
      <c r="E235" s="5">
        <v>16.989999999999998</v>
      </c>
      <c r="F235" s="4" t="s">
        <v>5434</v>
      </c>
      <c r="G235" s="2" t="s">
        <v>476</v>
      </c>
      <c r="H235" s="7"/>
      <c r="I235" s="2" t="s">
        <v>321</v>
      </c>
      <c r="J235" s="2" t="s">
        <v>477</v>
      </c>
      <c r="K235" s="2" t="s">
        <v>304</v>
      </c>
      <c r="L235" s="2" t="s">
        <v>358</v>
      </c>
      <c r="M235" s="8" t="str">
        <f>HYPERLINK("http://slimages.macys.com/is/image/MCY/13860359 ")</f>
        <v xml:space="preserve">http://slimages.macys.com/is/image/MCY/13860359 </v>
      </c>
    </row>
    <row r="236" spans="1:13" ht="60" x14ac:dyDescent="0.25">
      <c r="A236" s="7" t="s">
        <v>4099</v>
      </c>
      <c r="B236" s="2" t="s">
        <v>4100</v>
      </c>
      <c r="C236" s="4">
        <v>1</v>
      </c>
      <c r="D236" s="5">
        <v>6.67</v>
      </c>
      <c r="E236" s="5">
        <v>13.99</v>
      </c>
      <c r="F236" s="4" t="s">
        <v>4101</v>
      </c>
      <c r="G236" s="2" t="s">
        <v>393</v>
      </c>
      <c r="H236" s="7" t="s">
        <v>284</v>
      </c>
      <c r="I236" s="2" t="s">
        <v>523</v>
      </c>
      <c r="J236" s="2" t="s">
        <v>4102</v>
      </c>
      <c r="K236" s="2"/>
      <c r="L236" s="2"/>
      <c r="M236" s="8" t="str">
        <f>HYPERLINK("http://slimages.macys.com/is/image/MCY/8647388 ")</f>
        <v xml:space="preserve">http://slimages.macys.com/is/image/MCY/8647388 </v>
      </c>
    </row>
    <row r="237" spans="1:13" ht="60" x14ac:dyDescent="0.25">
      <c r="A237" s="7" t="s">
        <v>5439</v>
      </c>
      <c r="B237" s="2" t="s">
        <v>5440</v>
      </c>
      <c r="C237" s="4">
        <v>6</v>
      </c>
      <c r="D237" s="5">
        <v>6.65</v>
      </c>
      <c r="E237" s="5">
        <v>12.99</v>
      </c>
      <c r="F237" s="4" t="s">
        <v>5441</v>
      </c>
      <c r="G237" s="2" t="s">
        <v>62</v>
      </c>
      <c r="H237" s="7" t="s">
        <v>284</v>
      </c>
      <c r="I237" s="2" t="s">
        <v>80</v>
      </c>
      <c r="J237" s="2" t="s">
        <v>1917</v>
      </c>
      <c r="K237" s="2" t="s">
        <v>304</v>
      </c>
      <c r="L237" s="2" t="s">
        <v>125</v>
      </c>
      <c r="M237" s="8" t="str">
        <f>HYPERLINK("http://slimages.macys.com/is/image/MCY/11282299 ")</f>
        <v xml:space="preserve">http://slimages.macys.com/is/image/MCY/11282299 </v>
      </c>
    </row>
    <row r="238" spans="1:13" ht="60" x14ac:dyDescent="0.25">
      <c r="A238" s="7" t="s">
        <v>11043</v>
      </c>
      <c r="B238" s="2" t="s">
        <v>5440</v>
      </c>
      <c r="C238" s="4">
        <v>2</v>
      </c>
      <c r="D238" s="5">
        <v>6.65</v>
      </c>
      <c r="E238" s="5">
        <v>12.99</v>
      </c>
      <c r="F238" s="4" t="s">
        <v>5441</v>
      </c>
      <c r="G238" s="2" t="s">
        <v>62</v>
      </c>
      <c r="H238" s="7" t="s">
        <v>159</v>
      </c>
      <c r="I238" s="2" t="s">
        <v>80</v>
      </c>
      <c r="J238" s="2" t="s">
        <v>1917</v>
      </c>
      <c r="K238" s="2" t="s">
        <v>304</v>
      </c>
      <c r="L238" s="2" t="s">
        <v>125</v>
      </c>
      <c r="M238" s="8" t="str">
        <f>HYPERLINK("http://slimages.macys.com/is/image/MCY/11282299 ")</f>
        <v xml:space="preserve">http://slimages.macys.com/is/image/MCY/11282299 </v>
      </c>
    </row>
    <row r="239" spans="1:13" ht="60" x14ac:dyDescent="0.25">
      <c r="A239" s="7" t="s">
        <v>11044</v>
      </c>
      <c r="B239" s="2" t="s">
        <v>3360</v>
      </c>
      <c r="C239" s="4">
        <v>1</v>
      </c>
      <c r="D239" s="5">
        <v>6.52</v>
      </c>
      <c r="E239" s="5">
        <v>16.989999999999998</v>
      </c>
      <c r="F239" s="4" t="s">
        <v>3361</v>
      </c>
      <c r="G239" s="2" t="s">
        <v>353</v>
      </c>
      <c r="H239" s="7" t="s">
        <v>159</v>
      </c>
      <c r="I239" s="2" t="s">
        <v>218</v>
      </c>
      <c r="J239" s="2" t="s">
        <v>1740</v>
      </c>
      <c r="K239" s="2" t="s">
        <v>304</v>
      </c>
      <c r="L239" s="2" t="s">
        <v>125</v>
      </c>
      <c r="M239" s="8" t="str">
        <f>HYPERLINK("http://slimages.macys.com/is/image/MCY/12688507 ")</f>
        <v xml:space="preserve">http://slimages.macys.com/is/image/MCY/12688507 </v>
      </c>
    </row>
    <row r="240" spans="1:13" ht="60" x14ac:dyDescent="0.25">
      <c r="A240" s="7" t="s">
        <v>11045</v>
      </c>
      <c r="B240" s="2" t="s">
        <v>11046</v>
      </c>
      <c r="C240" s="4">
        <v>1</v>
      </c>
      <c r="D240" s="5">
        <v>6.5</v>
      </c>
      <c r="E240" s="5">
        <v>15.99</v>
      </c>
      <c r="F240" s="4" t="s">
        <v>11047</v>
      </c>
      <c r="G240" s="2" t="s">
        <v>28</v>
      </c>
      <c r="H240" s="7"/>
      <c r="I240" s="2" t="s">
        <v>312</v>
      </c>
      <c r="J240" s="2" t="s">
        <v>4111</v>
      </c>
      <c r="K240" s="2" t="s">
        <v>304</v>
      </c>
      <c r="L240" s="2" t="s">
        <v>125</v>
      </c>
      <c r="M240" s="8" t="str">
        <f>HYPERLINK("http://slimages.macys.com/is/image/MCY/11488793 ")</f>
        <v xml:space="preserve">http://slimages.macys.com/is/image/MCY/11488793 </v>
      </c>
    </row>
    <row r="241" spans="1:13" ht="60" x14ac:dyDescent="0.25">
      <c r="A241" s="7" t="s">
        <v>11048</v>
      </c>
      <c r="B241" s="2" t="s">
        <v>4109</v>
      </c>
      <c r="C241" s="4">
        <v>1</v>
      </c>
      <c r="D241" s="5">
        <v>6.5</v>
      </c>
      <c r="E241" s="5">
        <v>15.99</v>
      </c>
      <c r="F241" s="4" t="s">
        <v>4110</v>
      </c>
      <c r="G241" s="2" t="s">
        <v>28</v>
      </c>
      <c r="H241" s="7"/>
      <c r="I241" s="2" t="s">
        <v>312</v>
      </c>
      <c r="J241" s="2" t="s">
        <v>4111</v>
      </c>
      <c r="K241" s="2" t="s">
        <v>304</v>
      </c>
      <c r="L241" s="2" t="s">
        <v>125</v>
      </c>
      <c r="M241" s="8" t="str">
        <f>HYPERLINK("http://slimages.macys.com/is/image/MCY/12080775 ")</f>
        <v xml:space="preserve">http://slimages.macys.com/is/image/MCY/12080775 </v>
      </c>
    </row>
    <row r="242" spans="1:13" ht="60" x14ac:dyDescent="0.25">
      <c r="A242" s="7" t="s">
        <v>11049</v>
      </c>
      <c r="B242" s="2" t="s">
        <v>11050</v>
      </c>
      <c r="C242" s="4">
        <v>1</v>
      </c>
      <c r="D242" s="5">
        <v>6.5</v>
      </c>
      <c r="E242" s="5">
        <v>15.99</v>
      </c>
      <c r="F242" s="4" t="s">
        <v>11051</v>
      </c>
      <c r="G242" s="2" t="s">
        <v>28</v>
      </c>
      <c r="H242" s="7"/>
      <c r="I242" s="2" t="s">
        <v>312</v>
      </c>
      <c r="J242" s="2" t="s">
        <v>4111</v>
      </c>
      <c r="K242" s="2" t="s">
        <v>304</v>
      </c>
      <c r="L242" s="2" t="s">
        <v>125</v>
      </c>
      <c r="M242" s="8" t="str">
        <f>HYPERLINK("http://slimages.macys.com/is/image/MCY/12080772 ")</f>
        <v xml:space="preserve">http://slimages.macys.com/is/image/MCY/12080772 </v>
      </c>
    </row>
    <row r="243" spans="1:13" ht="60" x14ac:dyDescent="0.25">
      <c r="A243" s="7" t="s">
        <v>11052</v>
      </c>
      <c r="B243" s="2" t="s">
        <v>1820</v>
      </c>
      <c r="C243" s="4">
        <v>1</v>
      </c>
      <c r="D243" s="5">
        <v>6.41</v>
      </c>
      <c r="E243" s="5">
        <v>16.989999999999998</v>
      </c>
      <c r="F243" s="4" t="s">
        <v>1821</v>
      </c>
      <c r="G243" s="2" t="s">
        <v>28</v>
      </c>
      <c r="H243" s="7" t="s">
        <v>196</v>
      </c>
      <c r="I243" s="2" t="s">
        <v>515</v>
      </c>
      <c r="J243" s="2" t="s">
        <v>827</v>
      </c>
      <c r="K243" s="2" t="s">
        <v>304</v>
      </c>
      <c r="L243" s="2" t="s">
        <v>358</v>
      </c>
      <c r="M243" s="8" t="str">
        <f>HYPERLINK("http://slimages.macys.com/is/image/MCY/11531066 ")</f>
        <v xml:space="preserve">http://slimages.macys.com/is/image/MCY/11531066 </v>
      </c>
    </row>
    <row r="244" spans="1:13" ht="60" x14ac:dyDescent="0.25">
      <c r="A244" s="7" t="s">
        <v>1012</v>
      </c>
      <c r="B244" s="2" t="s">
        <v>1013</v>
      </c>
      <c r="C244" s="4">
        <v>1</v>
      </c>
      <c r="D244" s="5">
        <v>6.4</v>
      </c>
      <c r="E244" s="5">
        <v>16</v>
      </c>
      <c r="F244" s="4" t="s">
        <v>1014</v>
      </c>
      <c r="G244" s="2" t="s">
        <v>165</v>
      </c>
      <c r="H244" s="7"/>
      <c r="I244" s="2" t="s">
        <v>523</v>
      </c>
      <c r="J244" s="2" t="s">
        <v>937</v>
      </c>
      <c r="K244" s="2" t="s">
        <v>304</v>
      </c>
      <c r="L244" s="2" t="s">
        <v>944</v>
      </c>
      <c r="M244" s="8" t="str">
        <f>HYPERLINK("http://slimages.macys.com/is/image/MCY/10425996 ")</f>
        <v xml:space="preserve">http://slimages.macys.com/is/image/MCY/10425996 </v>
      </c>
    </row>
    <row r="245" spans="1:13" ht="60" x14ac:dyDescent="0.25">
      <c r="A245" s="7" t="s">
        <v>1008</v>
      </c>
      <c r="B245" s="2" t="s">
        <v>1009</v>
      </c>
      <c r="C245" s="4">
        <v>8</v>
      </c>
      <c r="D245" s="5">
        <v>6.4</v>
      </c>
      <c r="E245" s="5">
        <v>16</v>
      </c>
      <c r="F245" s="4" t="s">
        <v>1010</v>
      </c>
      <c r="G245" s="2" t="s">
        <v>41</v>
      </c>
      <c r="H245" s="7"/>
      <c r="I245" s="2" t="s">
        <v>523</v>
      </c>
      <c r="J245" s="2" t="s">
        <v>937</v>
      </c>
      <c r="K245" s="2" t="s">
        <v>304</v>
      </c>
      <c r="L245" s="2" t="s">
        <v>944</v>
      </c>
      <c r="M245" s="8" t="str">
        <f>HYPERLINK("http://slimages.macys.com/is/image/MCY/10426067 ")</f>
        <v xml:space="preserve">http://slimages.macys.com/is/image/MCY/10426067 </v>
      </c>
    </row>
    <row r="246" spans="1:13" ht="72" x14ac:dyDescent="0.25">
      <c r="A246" s="7" t="s">
        <v>11053</v>
      </c>
      <c r="B246" s="2" t="s">
        <v>11054</v>
      </c>
      <c r="C246" s="4">
        <v>4</v>
      </c>
      <c r="D246" s="5">
        <v>6.4</v>
      </c>
      <c r="E246" s="5">
        <v>16</v>
      </c>
      <c r="F246" s="4" t="s">
        <v>11055</v>
      </c>
      <c r="G246" s="2"/>
      <c r="H246" s="7" t="s">
        <v>8865</v>
      </c>
      <c r="I246" s="2" t="s">
        <v>523</v>
      </c>
      <c r="J246" s="2" t="s">
        <v>3991</v>
      </c>
      <c r="K246" s="2" t="s">
        <v>304</v>
      </c>
      <c r="L246" s="2" t="s">
        <v>4020</v>
      </c>
      <c r="M246" s="8" t="str">
        <f>HYPERLINK("http://slimages.macys.com/is/image/MCY/11545253 ")</f>
        <v xml:space="preserve">http://slimages.macys.com/is/image/MCY/11545253 </v>
      </c>
    </row>
    <row r="247" spans="1:13" ht="60" x14ac:dyDescent="0.25">
      <c r="A247" s="7" t="s">
        <v>11056</v>
      </c>
      <c r="B247" s="2" t="s">
        <v>1009</v>
      </c>
      <c r="C247" s="4">
        <v>1</v>
      </c>
      <c r="D247" s="5">
        <v>6.4</v>
      </c>
      <c r="E247" s="5">
        <v>16</v>
      </c>
      <c r="F247" s="4" t="s">
        <v>1010</v>
      </c>
      <c r="G247" s="2" t="s">
        <v>752</v>
      </c>
      <c r="H247" s="7"/>
      <c r="I247" s="2" t="s">
        <v>523</v>
      </c>
      <c r="J247" s="2" t="s">
        <v>937</v>
      </c>
      <c r="K247" s="2" t="s">
        <v>304</v>
      </c>
      <c r="L247" s="2" t="s">
        <v>944</v>
      </c>
      <c r="M247" s="8" t="str">
        <f>HYPERLINK("http://slimages.macys.com/is/image/MCY/10426067 ")</f>
        <v xml:space="preserve">http://slimages.macys.com/is/image/MCY/10426067 </v>
      </c>
    </row>
    <row r="248" spans="1:13" ht="60" x14ac:dyDescent="0.25">
      <c r="A248" s="7" t="s">
        <v>2613</v>
      </c>
      <c r="B248" s="2" t="s">
        <v>2614</v>
      </c>
      <c r="C248" s="4">
        <v>1</v>
      </c>
      <c r="D248" s="5">
        <v>6.4</v>
      </c>
      <c r="E248" s="5">
        <v>16</v>
      </c>
      <c r="F248" s="4" t="s">
        <v>2615</v>
      </c>
      <c r="G248" s="2" t="s">
        <v>62</v>
      </c>
      <c r="H248" s="7"/>
      <c r="I248" s="2" t="s">
        <v>523</v>
      </c>
      <c r="J248" s="2" t="s">
        <v>2616</v>
      </c>
      <c r="K248" s="2" t="s">
        <v>304</v>
      </c>
      <c r="L248" s="2" t="s">
        <v>358</v>
      </c>
      <c r="M248" s="8" t="str">
        <f>HYPERLINK("http://slimages.macys.com/is/image/MCY/9422607 ")</f>
        <v xml:space="preserve">http://slimages.macys.com/is/image/MCY/9422607 </v>
      </c>
    </row>
    <row r="249" spans="1:13" ht="60" x14ac:dyDescent="0.25">
      <c r="A249" s="7" t="s">
        <v>1011</v>
      </c>
      <c r="B249" s="2" t="s">
        <v>1009</v>
      </c>
      <c r="C249" s="4">
        <v>1</v>
      </c>
      <c r="D249" s="5">
        <v>6.4</v>
      </c>
      <c r="E249" s="5">
        <v>16</v>
      </c>
      <c r="F249" s="4" t="s">
        <v>1010</v>
      </c>
      <c r="G249" s="2" t="s">
        <v>165</v>
      </c>
      <c r="H249" s="7"/>
      <c r="I249" s="2" t="s">
        <v>523</v>
      </c>
      <c r="J249" s="2" t="s">
        <v>937</v>
      </c>
      <c r="K249" s="2" t="s">
        <v>304</v>
      </c>
      <c r="L249" s="2" t="s">
        <v>944</v>
      </c>
      <c r="M249" s="8" t="str">
        <f>HYPERLINK("http://slimages.macys.com/is/image/MCY/10426067 ")</f>
        <v xml:space="preserve">http://slimages.macys.com/is/image/MCY/10426067 </v>
      </c>
    </row>
    <row r="250" spans="1:13" ht="60" x14ac:dyDescent="0.25">
      <c r="A250" s="7" t="s">
        <v>11057</v>
      </c>
      <c r="B250" s="2" t="s">
        <v>11058</v>
      </c>
      <c r="C250" s="4">
        <v>1</v>
      </c>
      <c r="D250" s="5">
        <v>6.35</v>
      </c>
      <c r="E250" s="5">
        <v>12.7</v>
      </c>
      <c r="F250" s="4" t="s">
        <v>11059</v>
      </c>
      <c r="G250" s="2" t="s">
        <v>79</v>
      </c>
      <c r="H250" s="7" t="s">
        <v>144</v>
      </c>
      <c r="I250" s="2" t="s">
        <v>487</v>
      </c>
      <c r="J250" s="2" t="s">
        <v>488</v>
      </c>
      <c r="K250" s="2" t="s">
        <v>304</v>
      </c>
      <c r="L250" s="2" t="s">
        <v>38</v>
      </c>
      <c r="M250" s="8" t="str">
        <f>HYPERLINK("http://slimages.macys.com/is/image/MCY/11867486 ")</f>
        <v xml:space="preserve">http://slimages.macys.com/is/image/MCY/11867486 </v>
      </c>
    </row>
    <row r="251" spans="1:13" ht="132" x14ac:dyDescent="0.25">
      <c r="A251" s="7" t="s">
        <v>11060</v>
      </c>
      <c r="B251" s="2" t="s">
        <v>1782</v>
      </c>
      <c r="C251" s="4">
        <v>1</v>
      </c>
      <c r="D251" s="5">
        <v>6.33</v>
      </c>
      <c r="E251" s="5">
        <v>12.99</v>
      </c>
      <c r="F251" s="4" t="s">
        <v>9568</v>
      </c>
      <c r="G251" s="2" t="s">
        <v>62</v>
      </c>
      <c r="H251" s="7" t="s">
        <v>63</v>
      </c>
      <c r="I251" s="2" t="s">
        <v>515</v>
      </c>
      <c r="J251" s="2" t="s">
        <v>516</v>
      </c>
      <c r="K251" s="2" t="s">
        <v>304</v>
      </c>
      <c r="L251" s="2" t="s">
        <v>1784</v>
      </c>
      <c r="M251" s="8" t="str">
        <f>HYPERLINK("http://slimages.macys.com/is/image/MCY/12387468 ")</f>
        <v xml:space="preserve">http://slimages.macys.com/is/image/MCY/12387468 </v>
      </c>
    </row>
    <row r="252" spans="1:13" ht="60" x14ac:dyDescent="0.25">
      <c r="A252" s="7" t="s">
        <v>11061</v>
      </c>
      <c r="B252" s="2" t="s">
        <v>11062</v>
      </c>
      <c r="C252" s="4">
        <v>1</v>
      </c>
      <c r="D252" s="5">
        <v>6.24</v>
      </c>
      <c r="E252" s="5">
        <v>16</v>
      </c>
      <c r="F252" s="4" t="s">
        <v>11063</v>
      </c>
      <c r="G252" s="2" t="s">
        <v>310</v>
      </c>
      <c r="H252" s="7"/>
      <c r="I252" s="2" t="s">
        <v>523</v>
      </c>
      <c r="J252" s="2" t="s">
        <v>2616</v>
      </c>
      <c r="K252" s="2" t="s">
        <v>304</v>
      </c>
      <c r="L252" s="2" t="s">
        <v>11064</v>
      </c>
      <c r="M252" s="8" t="str">
        <f>HYPERLINK("http://slimages.macys.com/is/image/MCY/11797774 ")</f>
        <v xml:space="preserve">http://slimages.macys.com/is/image/MCY/11797774 </v>
      </c>
    </row>
    <row r="253" spans="1:13" ht="60" x14ac:dyDescent="0.25">
      <c r="A253" s="7" t="s">
        <v>1836</v>
      </c>
      <c r="B253" s="2" t="s">
        <v>1837</v>
      </c>
      <c r="C253" s="4">
        <v>2</v>
      </c>
      <c r="D253" s="5">
        <v>6.18</v>
      </c>
      <c r="E253" s="5">
        <v>16.989999999999998</v>
      </c>
      <c r="F253" s="4" t="s">
        <v>1838</v>
      </c>
      <c r="G253" s="2" t="s">
        <v>171</v>
      </c>
      <c r="H253" s="7" t="s">
        <v>228</v>
      </c>
      <c r="I253" s="2" t="s">
        <v>515</v>
      </c>
      <c r="J253" s="2" t="s">
        <v>827</v>
      </c>
      <c r="K253" s="2" t="s">
        <v>304</v>
      </c>
      <c r="L253" s="2" t="s">
        <v>358</v>
      </c>
      <c r="M253" s="8" t="str">
        <f>HYPERLINK("http://slimages.macys.com/is/image/MCY/11605899 ")</f>
        <v xml:space="preserve">http://slimages.macys.com/is/image/MCY/11605899 </v>
      </c>
    </row>
    <row r="254" spans="1:13" ht="60" x14ac:dyDescent="0.25">
      <c r="A254" s="7" t="s">
        <v>11065</v>
      </c>
      <c r="B254" s="2" t="s">
        <v>11066</v>
      </c>
      <c r="C254" s="4">
        <v>1</v>
      </c>
      <c r="D254" s="5">
        <v>6.15</v>
      </c>
      <c r="E254" s="5">
        <v>12.3</v>
      </c>
      <c r="F254" s="4" t="s">
        <v>11067</v>
      </c>
      <c r="G254" s="2" t="s">
        <v>657</v>
      </c>
      <c r="H254" s="7" t="s">
        <v>209</v>
      </c>
      <c r="I254" s="2" t="s">
        <v>487</v>
      </c>
      <c r="J254" s="2" t="s">
        <v>488</v>
      </c>
      <c r="K254" s="2" t="s">
        <v>304</v>
      </c>
      <c r="L254" s="2" t="s">
        <v>206</v>
      </c>
      <c r="M254" s="8" t="str">
        <f>HYPERLINK("http://slimages.macys.com/is/image/MCY/12236165 ")</f>
        <v xml:space="preserve">http://slimages.macys.com/is/image/MCY/12236165 </v>
      </c>
    </row>
    <row r="255" spans="1:13" ht="60" x14ac:dyDescent="0.25">
      <c r="A255" s="7" t="s">
        <v>11068</v>
      </c>
      <c r="B255" s="2" t="s">
        <v>8312</v>
      </c>
      <c r="C255" s="4">
        <v>1</v>
      </c>
      <c r="D255" s="5">
        <v>6.13</v>
      </c>
      <c r="E255" s="5">
        <v>16.989999999999998</v>
      </c>
      <c r="F255" s="4" t="s">
        <v>8954</v>
      </c>
      <c r="G255" s="2" t="s">
        <v>653</v>
      </c>
      <c r="H255" s="7" t="s">
        <v>228</v>
      </c>
      <c r="I255" s="2" t="s">
        <v>515</v>
      </c>
      <c r="J255" s="2" t="s">
        <v>827</v>
      </c>
      <c r="K255" s="2" t="s">
        <v>304</v>
      </c>
      <c r="L255" s="2" t="s">
        <v>358</v>
      </c>
      <c r="M255" s="8" t="str">
        <f>HYPERLINK("http://slimages.macys.com/is/image/MCY/11860803 ")</f>
        <v xml:space="preserve">http://slimages.macys.com/is/image/MCY/11860803 </v>
      </c>
    </row>
    <row r="256" spans="1:13" ht="60" x14ac:dyDescent="0.25">
      <c r="A256" s="7" t="s">
        <v>11069</v>
      </c>
      <c r="B256" s="2" t="s">
        <v>11070</v>
      </c>
      <c r="C256" s="4">
        <v>1</v>
      </c>
      <c r="D256" s="5">
        <v>6.1</v>
      </c>
      <c r="E256" s="5">
        <v>14.99</v>
      </c>
      <c r="F256" s="4" t="s">
        <v>11071</v>
      </c>
      <c r="G256" s="2" t="s">
        <v>657</v>
      </c>
      <c r="H256" s="7" t="s">
        <v>144</v>
      </c>
      <c r="I256" s="2" t="s">
        <v>80</v>
      </c>
      <c r="J256" s="2" t="s">
        <v>167</v>
      </c>
      <c r="K256" s="2" t="s">
        <v>304</v>
      </c>
      <c r="L256" s="2" t="s">
        <v>38</v>
      </c>
      <c r="M256" s="8" t="str">
        <f>HYPERLINK("http://slimages.macys.com/is/image/MCY/12279888 ")</f>
        <v xml:space="preserve">http://slimages.macys.com/is/image/MCY/12279888 </v>
      </c>
    </row>
    <row r="257" spans="1:13" ht="60" x14ac:dyDescent="0.25">
      <c r="A257" s="7" t="s">
        <v>11072</v>
      </c>
      <c r="B257" s="2" t="s">
        <v>11073</v>
      </c>
      <c r="C257" s="4">
        <v>1</v>
      </c>
      <c r="D257" s="5">
        <v>6.1</v>
      </c>
      <c r="E257" s="5">
        <v>14.99</v>
      </c>
      <c r="F257" s="4" t="s">
        <v>11074</v>
      </c>
      <c r="G257" s="2" t="s">
        <v>800</v>
      </c>
      <c r="H257" s="7" t="s">
        <v>317</v>
      </c>
      <c r="I257" s="2" t="s">
        <v>80</v>
      </c>
      <c r="J257" s="2" t="s">
        <v>167</v>
      </c>
      <c r="K257" s="2" t="s">
        <v>304</v>
      </c>
      <c r="L257" s="2" t="s">
        <v>38</v>
      </c>
      <c r="M257" s="8" t="str">
        <f>HYPERLINK("http://slimages.macys.com/is/image/MCY/12800673 ")</f>
        <v xml:space="preserve">http://slimages.macys.com/is/image/MCY/12800673 </v>
      </c>
    </row>
    <row r="258" spans="1:13" ht="60" x14ac:dyDescent="0.25">
      <c r="A258" s="7" t="s">
        <v>5941</v>
      </c>
      <c r="B258" s="2" t="s">
        <v>5942</v>
      </c>
      <c r="C258" s="4">
        <v>1</v>
      </c>
      <c r="D258" s="5">
        <v>6.07</v>
      </c>
      <c r="E258" s="5">
        <v>11.99</v>
      </c>
      <c r="F258" s="4" t="s">
        <v>5943</v>
      </c>
      <c r="G258" s="2" t="s">
        <v>785</v>
      </c>
      <c r="H258" s="7" t="s">
        <v>590</v>
      </c>
      <c r="I258" s="2" t="s">
        <v>483</v>
      </c>
      <c r="J258" s="2" t="s">
        <v>484</v>
      </c>
      <c r="K258" s="2" t="s">
        <v>304</v>
      </c>
      <c r="L258" s="2" t="s">
        <v>87</v>
      </c>
      <c r="M258" s="8" t="str">
        <f>HYPERLINK("http://slimages.macys.com/is/image/MCY/8018021 ")</f>
        <v xml:space="preserve">http://slimages.macys.com/is/image/MCY/8018021 </v>
      </c>
    </row>
    <row r="259" spans="1:13" ht="60" x14ac:dyDescent="0.25">
      <c r="A259" s="7" t="s">
        <v>8963</v>
      </c>
      <c r="B259" s="2" t="s">
        <v>7534</v>
      </c>
      <c r="C259" s="4">
        <v>1</v>
      </c>
      <c r="D259" s="5">
        <v>6.02</v>
      </c>
      <c r="E259" s="5">
        <v>13.99</v>
      </c>
      <c r="F259" s="4" t="s">
        <v>7644</v>
      </c>
      <c r="G259" s="2" t="s">
        <v>62</v>
      </c>
      <c r="H259" s="7" t="s">
        <v>123</v>
      </c>
      <c r="I259" s="2" t="s">
        <v>218</v>
      </c>
      <c r="J259" s="2" t="s">
        <v>835</v>
      </c>
      <c r="K259" s="2" t="s">
        <v>304</v>
      </c>
      <c r="L259" s="2" t="s">
        <v>3629</v>
      </c>
      <c r="M259" s="8" t="str">
        <f>HYPERLINK("http://slimages.macys.com/is/image/MCY/12340443 ")</f>
        <v xml:space="preserve">http://slimages.macys.com/is/image/MCY/12340443 </v>
      </c>
    </row>
    <row r="260" spans="1:13" ht="60" x14ac:dyDescent="0.25">
      <c r="A260" s="7" t="s">
        <v>11075</v>
      </c>
      <c r="B260" s="2" t="s">
        <v>490</v>
      </c>
      <c r="C260" s="4">
        <v>5</v>
      </c>
      <c r="D260" s="5">
        <v>6</v>
      </c>
      <c r="E260" s="5">
        <v>15.99</v>
      </c>
      <c r="F260" s="4" t="s">
        <v>491</v>
      </c>
      <c r="G260" s="2" t="s">
        <v>79</v>
      </c>
      <c r="H260" s="7"/>
      <c r="I260" s="2" t="s">
        <v>321</v>
      </c>
      <c r="J260" s="2" t="s">
        <v>492</v>
      </c>
      <c r="K260" s="2" t="s">
        <v>304</v>
      </c>
      <c r="L260" s="2" t="s">
        <v>493</v>
      </c>
      <c r="M260" s="8" t="str">
        <f>HYPERLINK("http://slimages.macys.com/is/image/MCY/11539243 ")</f>
        <v xml:space="preserve">http://slimages.macys.com/is/image/MCY/11539243 </v>
      </c>
    </row>
    <row r="261" spans="1:13" ht="60" x14ac:dyDescent="0.25">
      <c r="A261" s="7" t="s">
        <v>11076</v>
      </c>
      <c r="B261" s="2" t="s">
        <v>11077</v>
      </c>
      <c r="C261" s="4">
        <v>1</v>
      </c>
      <c r="D261" s="5">
        <v>6</v>
      </c>
      <c r="E261" s="5">
        <v>15.99</v>
      </c>
      <c r="F261" s="4" t="s">
        <v>11078</v>
      </c>
      <c r="G261" s="2" t="s">
        <v>28</v>
      </c>
      <c r="H261" s="7"/>
      <c r="I261" s="2" t="s">
        <v>321</v>
      </c>
      <c r="J261" s="2" t="s">
        <v>492</v>
      </c>
      <c r="K261" s="2" t="s">
        <v>304</v>
      </c>
      <c r="L261" s="2" t="s">
        <v>493</v>
      </c>
      <c r="M261" s="8" t="str">
        <f>HYPERLINK("http://slimages.macys.com/is/image/MCY/12045177 ")</f>
        <v xml:space="preserve">http://slimages.macys.com/is/image/MCY/12045177 </v>
      </c>
    </row>
    <row r="262" spans="1:13" ht="60" x14ac:dyDescent="0.25">
      <c r="A262" s="7" t="s">
        <v>11079</v>
      </c>
      <c r="B262" s="2" t="s">
        <v>11077</v>
      </c>
      <c r="C262" s="4">
        <v>1</v>
      </c>
      <c r="D262" s="5">
        <v>6</v>
      </c>
      <c r="E262" s="5">
        <v>15.99</v>
      </c>
      <c r="F262" s="4" t="s">
        <v>11078</v>
      </c>
      <c r="G262" s="2" t="s">
        <v>28</v>
      </c>
      <c r="H262" s="7" t="s">
        <v>179</v>
      </c>
      <c r="I262" s="2" t="s">
        <v>321</v>
      </c>
      <c r="J262" s="2" t="s">
        <v>492</v>
      </c>
      <c r="K262" s="2" t="s">
        <v>304</v>
      </c>
      <c r="L262" s="2" t="s">
        <v>493</v>
      </c>
      <c r="M262" s="8" t="str">
        <f>HYPERLINK("http://slimages.macys.com/is/image/MCY/12045177 ")</f>
        <v xml:space="preserve">http://slimages.macys.com/is/image/MCY/12045177 </v>
      </c>
    </row>
    <row r="263" spans="1:13" ht="60" x14ac:dyDescent="0.25">
      <c r="A263" s="7" t="s">
        <v>11080</v>
      </c>
      <c r="B263" s="2" t="s">
        <v>499</v>
      </c>
      <c r="C263" s="4">
        <v>1</v>
      </c>
      <c r="D263" s="5">
        <v>6</v>
      </c>
      <c r="E263" s="5">
        <v>15.99</v>
      </c>
      <c r="F263" s="4" t="s">
        <v>500</v>
      </c>
      <c r="G263" s="2" t="s">
        <v>437</v>
      </c>
      <c r="H263" s="7"/>
      <c r="I263" s="2" t="s">
        <v>321</v>
      </c>
      <c r="J263" s="2" t="s">
        <v>492</v>
      </c>
      <c r="K263" s="2" t="s">
        <v>304</v>
      </c>
      <c r="L263" s="2" t="s">
        <v>125</v>
      </c>
      <c r="M263" s="8" t="str">
        <f>HYPERLINK("http://slimages.macys.com/is/image/MCY/10924196 ")</f>
        <v xml:space="preserve">http://slimages.macys.com/is/image/MCY/10924196 </v>
      </c>
    </row>
    <row r="264" spans="1:13" ht="60" x14ac:dyDescent="0.25">
      <c r="A264" s="7" t="s">
        <v>11081</v>
      </c>
      <c r="B264" s="2" t="s">
        <v>499</v>
      </c>
      <c r="C264" s="4">
        <v>1</v>
      </c>
      <c r="D264" s="5">
        <v>6</v>
      </c>
      <c r="E264" s="5">
        <v>15.99</v>
      </c>
      <c r="F264" s="4" t="s">
        <v>500</v>
      </c>
      <c r="G264" s="2" t="s">
        <v>437</v>
      </c>
      <c r="H264" s="7"/>
      <c r="I264" s="2" t="s">
        <v>321</v>
      </c>
      <c r="J264" s="2" t="s">
        <v>492</v>
      </c>
      <c r="K264" s="2" t="s">
        <v>304</v>
      </c>
      <c r="L264" s="2" t="s">
        <v>125</v>
      </c>
      <c r="M264" s="8" t="str">
        <f>HYPERLINK("http://slimages.macys.com/is/image/MCY/10924196 ")</f>
        <v xml:space="preserve">http://slimages.macys.com/is/image/MCY/10924196 </v>
      </c>
    </row>
    <row r="265" spans="1:13" ht="60" x14ac:dyDescent="0.25">
      <c r="A265" s="7" t="s">
        <v>10127</v>
      </c>
      <c r="B265" s="2" t="s">
        <v>10128</v>
      </c>
      <c r="C265" s="4">
        <v>4</v>
      </c>
      <c r="D265" s="5">
        <v>6</v>
      </c>
      <c r="E265" s="5">
        <v>15.99</v>
      </c>
      <c r="F265" s="4" t="s">
        <v>10129</v>
      </c>
      <c r="G265" s="2" t="s">
        <v>62</v>
      </c>
      <c r="H265" s="7"/>
      <c r="I265" s="2" t="s">
        <v>321</v>
      </c>
      <c r="J265" s="2" t="s">
        <v>492</v>
      </c>
      <c r="K265" s="2" t="s">
        <v>304</v>
      </c>
      <c r="L265" s="2" t="s">
        <v>493</v>
      </c>
      <c r="M265" s="8" t="str">
        <f>HYPERLINK("http://slimages.macys.com/is/image/MCY/12045175 ")</f>
        <v xml:space="preserve">http://slimages.macys.com/is/image/MCY/12045175 </v>
      </c>
    </row>
    <row r="266" spans="1:13" ht="60" x14ac:dyDescent="0.25">
      <c r="A266" s="7" t="s">
        <v>11082</v>
      </c>
      <c r="B266" s="2" t="s">
        <v>1859</v>
      </c>
      <c r="C266" s="4">
        <v>2</v>
      </c>
      <c r="D266" s="5">
        <v>6</v>
      </c>
      <c r="E266" s="5">
        <v>15.99</v>
      </c>
      <c r="F266" s="4" t="s">
        <v>1860</v>
      </c>
      <c r="G266" s="2" t="s">
        <v>657</v>
      </c>
      <c r="H266" s="7"/>
      <c r="I266" s="2" t="s">
        <v>321</v>
      </c>
      <c r="J266" s="2" t="s">
        <v>492</v>
      </c>
      <c r="K266" s="2" t="s">
        <v>304</v>
      </c>
      <c r="L266" s="2" t="s">
        <v>125</v>
      </c>
      <c r="M266" s="8" t="str">
        <f>HYPERLINK("http://slimages.macys.com/is/image/MCY/10924234 ")</f>
        <v xml:space="preserve">http://slimages.macys.com/is/image/MCY/10924234 </v>
      </c>
    </row>
    <row r="267" spans="1:13" ht="60" x14ac:dyDescent="0.25">
      <c r="A267" s="7" t="s">
        <v>11083</v>
      </c>
      <c r="B267" s="2" t="s">
        <v>10128</v>
      </c>
      <c r="C267" s="4">
        <v>2</v>
      </c>
      <c r="D267" s="5">
        <v>6</v>
      </c>
      <c r="E267" s="5">
        <v>15.99</v>
      </c>
      <c r="F267" s="4" t="s">
        <v>10129</v>
      </c>
      <c r="G267" s="2" t="s">
        <v>62</v>
      </c>
      <c r="H267" s="7"/>
      <c r="I267" s="2" t="s">
        <v>321</v>
      </c>
      <c r="J267" s="2" t="s">
        <v>492</v>
      </c>
      <c r="K267" s="2" t="s">
        <v>304</v>
      </c>
      <c r="L267" s="2" t="s">
        <v>493</v>
      </c>
      <c r="M267" s="8" t="str">
        <f>HYPERLINK("http://slimages.macys.com/is/image/MCY/12045175 ")</f>
        <v xml:space="preserve">http://slimages.macys.com/is/image/MCY/12045175 </v>
      </c>
    </row>
    <row r="268" spans="1:13" ht="60" x14ac:dyDescent="0.25">
      <c r="A268" s="7" t="s">
        <v>11084</v>
      </c>
      <c r="B268" s="2" t="s">
        <v>10128</v>
      </c>
      <c r="C268" s="4">
        <v>2</v>
      </c>
      <c r="D268" s="5">
        <v>6</v>
      </c>
      <c r="E268" s="5">
        <v>15.99</v>
      </c>
      <c r="F268" s="4" t="s">
        <v>10129</v>
      </c>
      <c r="G268" s="2" t="s">
        <v>62</v>
      </c>
      <c r="H268" s="7"/>
      <c r="I268" s="2" t="s">
        <v>321</v>
      </c>
      <c r="J268" s="2" t="s">
        <v>492</v>
      </c>
      <c r="K268" s="2" t="s">
        <v>304</v>
      </c>
      <c r="L268" s="2" t="s">
        <v>493</v>
      </c>
      <c r="M268" s="8" t="str">
        <f>HYPERLINK("http://slimages.macys.com/is/image/MCY/12045175 ")</f>
        <v xml:space="preserve">http://slimages.macys.com/is/image/MCY/12045175 </v>
      </c>
    </row>
    <row r="269" spans="1:13" ht="60" x14ac:dyDescent="0.25">
      <c r="A269" s="7" t="s">
        <v>7645</v>
      </c>
      <c r="B269" s="2" t="s">
        <v>7646</v>
      </c>
      <c r="C269" s="4">
        <v>3</v>
      </c>
      <c r="D269" s="5">
        <v>6</v>
      </c>
      <c r="E269" s="5">
        <v>15.99</v>
      </c>
      <c r="F269" s="4" t="s">
        <v>7647</v>
      </c>
      <c r="G269" s="2" t="s">
        <v>41</v>
      </c>
      <c r="H269" s="7"/>
      <c r="I269" s="2" t="s">
        <v>321</v>
      </c>
      <c r="J269" s="2" t="s">
        <v>492</v>
      </c>
      <c r="K269" s="2" t="s">
        <v>304</v>
      </c>
      <c r="L269" s="2" t="s">
        <v>493</v>
      </c>
      <c r="M269" s="8" t="str">
        <f>HYPERLINK("http://slimages.macys.com/is/image/MCY/11539241 ")</f>
        <v xml:space="preserve">http://slimages.macys.com/is/image/MCY/11539241 </v>
      </c>
    </row>
    <row r="270" spans="1:13" ht="60" x14ac:dyDescent="0.25">
      <c r="A270" s="7" t="s">
        <v>11085</v>
      </c>
      <c r="B270" s="2" t="s">
        <v>7646</v>
      </c>
      <c r="C270" s="4">
        <v>2</v>
      </c>
      <c r="D270" s="5">
        <v>6</v>
      </c>
      <c r="E270" s="5">
        <v>15.99</v>
      </c>
      <c r="F270" s="4" t="s">
        <v>7647</v>
      </c>
      <c r="G270" s="2" t="s">
        <v>41</v>
      </c>
      <c r="H270" s="7"/>
      <c r="I270" s="2" t="s">
        <v>321</v>
      </c>
      <c r="J270" s="2" t="s">
        <v>492</v>
      </c>
      <c r="K270" s="2" t="s">
        <v>304</v>
      </c>
      <c r="L270" s="2" t="s">
        <v>493</v>
      </c>
      <c r="M270" s="8" t="str">
        <f>HYPERLINK("http://slimages.macys.com/is/image/MCY/11539241 ")</f>
        <v xml:space="preserve">http://slimages.macys.com/is/image/MCY/11539241 </v>
      </c>
    </row>
    <row r="271" spans="1:13" ht="60" x14ac:dyDescent="0.25">
      <c r="A271" s="7" t="s">
        <v>10533</v>
      </c>
      <c r="B271" s="2" t="s">
        <v>499</v>
      </c>
      <c r="C271" s="4">
        <v>8</v>
      </c>
      <c r="D271" s="5">
        <v>6</v>
      </c>
      <c r="E271" s="5">
        <v>15.99</v>
      </c>
      <c r="F271" s="4" t="s">
        <v>500</v>
      </c>
      <c r="G271" s="2" t="s">
        <v>79</v>
      </c>
      <c r="H271" s="7"/>
      <c r="I271" s="2" t="s">
        <v>321</v>
      </c>
      <c r="J271" s="2" t="s">
        <v>492</v>
      </c>
      <c r="K271" s="2" t="s">
        <v>304</v>
      </c>
      <c r="L271" s="2" t="s">
        <v>125</v>
      </c>
      <c r="M271" s="8" t="str">
        <f>HYPERLINK("http://slimages.macys.com/is/image/MCY/10924193 ")</f>
        <v xml:space="preserve">http://slimages.macys.com/is/image/MCY/10924193 </v>
      </c>
    </row>
    <row r="272" spans="1:13" ht="60" x14ac:dyDescent="0.25">
      <c r="A272" s="7" t="s">
        <v>11086</v>
      </c>
      <c r="B272" s="2" t="s">
        <v>499</v>
      </c>
      <c r="C272" s="4">
        <v>2</v>
      </c>
      <c r="D272" s="5">
        <v>6</v>
      </c>
      <c r="E272" s="5">
        <v>15.99</v>
      </c>
      <c r="F272" s="4" t="s">
        <v>500</v>
      </c>
      <c r="G272" s="2" t="s">
        <v>79</v>
      </c>
      <c r="H272" s="7"/>
      <c r="I272" s="2" t="s">
        <v>321</v>
      </c>
      <c r="J272" s="2" t="s">
        <v>492</v>
      </c>
      <c r="K272" s="2" t="s">
        <v>304</v>
      </c>
      <c r="L272" s="2" t="s">
        <v>125</v>
      </c>
      <c r="M272" s="8" t="str">
        <f>HYPERLINK("http://slimages.macys.com/is/image/MCY/10924193 ")</f>
        <v xml:space="preserve">http://slimages.macys.com/is/image/MCY/10924193 </v>
      </c>
    </row>
    <row r="273" spans="1:13" ht="60" x14ac:dyDescent="0.25">
      <c r="A273" s="7" t="s">
        <v>10531</v>
      </c>
      <c r="B273" s="2" t="s">
        <v>10526</v>
      </c>
      <c r="C273" s="4">
        <v>4</v>
      </c>
      <c r="D273" s="5">
        <v>6</v>
      </c>
      <c r="E273" s="5">
        <v>15.99</v>
      </c>
      <c r="F273" s="4" t="s">
        <v>10527</v>
      </c>
      <c r="G273" s="2" t="s">
        <v>28</v>
      </c>
      <c r="H273" s="7" t="s">
        <v>179</v>
      </c>
      <c r="I273" s="2" t="s">
        <v>321</v>
      </c>
      <c r="J273" s="2" t="s">
        <v>492</v>
      </c>
      <c r="K273" s="2" t="s">
        <v>304</v>
      </c>
      <c r="L273" s="2" t="s">
        <v>493</v>
      </c>
      <c r="M273" s="8" t="str">
        <f>HYPERLINK("http://slimages.macys.com/is/image/MCY/12236518 ")</f>
        <v xml:space="preserve">http://slimages.macys.com/is/image/MCY/12236518 </v>
      </c>
    </row>
    <row r="274" spans="1:13" ht="60" x14ac:dyDescent="0.25">
      <c r="A274" s="7" t="s">
        <v>11087</v>
      </c>
      <c r="B274" s="2" t="s">
        <v>11077</v>
      </c>
      <c r="C274" s="4">
        <v>1</v>
      </c>
      <c r="D274" s="5">
        <v>6</v>
      </c>
      <c r="E274" s="5">
        <v>15.99</v>
      </c>
      <c r="F274" s="4" t="s">
        <v>11078</v>
      </c>
      <c r="G274" s="2" t="s">
        <v>28</v>
      </c>
      <c r="H274" s="7"/>
      <c r="I274" s="2" t="s">
        <v>321</v>
      </c>
      <c r="J274" s="2" t="s">
        <v>492</v>
      </c>
      <c r="K274" s="2" t="s">
        <v>304</v>
      </c>
      <c r="L274" s="2" t="s">
        <v>493</v>
      </c>
      <c r="M274" s="8" t="str">
        <f>HYPERLINK("http://slimages.macys.com/is/image/MCY/12045177 ")</f>
        <v xml:space="preserve">http://slimages.macys.com/is/image/MCY/12045177 </v>
      </c>
    </row>
    <row r="275" spans="1:13" ht="60" x14ac:dyDescent="0.25">
      <c r="A275" s="7" t="s">
        <v>10530</v>
      </c>
      <c r="B275" s="2" t="s">
        <v>10131</v>
      </c>
      <c r="C275" s="4">
        <v>3</v>
      </c>
      <c r="D275" s="5">
        <v>6</v>
      </c>
      <c r="E275" s="5">
        <v>15.99</v>
      </c>
      <c r="F275" s="4" t="s">
        <v>10132</v>
      </c>
      <c r="G275" s="2" t="s">
        <v>698</v>
      </c>
      <c r="H275" s="7" t="s">
        <v>179</v>
      </c>
      <c r="I275" s="2" t="s">
        <v>321</v>
      </c>
      <c r="J275" s="2" t="s">
        <v>492</v>
      </c>
      <c r="K275" s="2" t="s">
        <v>304</v>
      </c>
      <c r="L275" s="2" t="s">
        <v>493</v>
      </c>
      <c r="M275" s="8" t="str">
        <f>HYPERLINK("http://slimages.macys.com/is/image/MCY/11539256 ")</f>
        <v xml:space="preserve">http://slimages.macys.com/is/image/MCY/11539256 </v>
      </c>
    </row>
    <row r="276" spans="1:13" ht="60" x14ac:dyDescent="0.25">
      <c r="A276" s="7" t="s">
        <v>10532</v>
      </c>
      <c r="B276" s="2" t="s">
        <v>10526</v>
      </c>
      <c r="C276" s="4">
        <v>3</v>
      </c>
      <c r="D276" s="5">
        <v>6</v>
      </c>
      <c r="E276" s="5">
        <v>15.99</v>
      </c>
      <c r="F276" s="4" t="s">
        <v>10527</v>
      </c>
      <c r="G276" s="2" t="s">
        <v>28</v>
      </c>
      <c r="H276" s="7"/>
      <c r="I276" s="2" t="s">
        <v>321</v>
      </c>
      <c r="J276" s="2" t="s">
        <v>492</v>
      </c>
      <c r="K276" s="2" t="s">
        <v>304</v>
      </c>
      <c r="L276" s="2" t="s">
        <v>493</v>
      </c>
      <c r="M276" s="8" t="str">
        <f>HYPERLINK("http://slimages.macys.com/is/image/MCY/12236518 ")</f>
        <v xml:space="preserve">http://slimages.macys.com/is/image/MCY/12236518 </v>
      </c>
    </row>
    <row r="277" spans="1:13" ht="60" x14ac:dyDescent="0.25">
      <c r="A277" s="7" t="s">
        <v>10525</v>
      </c>
      <c r="B277" s="2" t="s">
        <v>10526</v>
      </c>
      <c r="C277" s="4">
        <v>3</v>
      </c>
      <c r="D277" s="5">
        <v>6</v>
      </c>
      <c r="E277" s="5">
        <v>15.99</v>
      </c>
      <c r="F277" s="4" t="s">
        <v>10527</v>
      </c>
      <c r="G277" s="2" t="s">
        <v>28</v>
      </c>
      <c r="H277" s="7"/>
      <c r="I277" s="2" t="s">
        <v>321</v>
      </c>
      <c r="J277" s="2" t="s">
        <v>492</v>
      </c>
      <c r="K277" s="2" t="s">
        <v>304</v>
      </c>
      <c r="L277" s="2" t="s">
        <v>493</v>
      </c>
      <c r="M277" s="8" t="str">
        <f>HYPERLINK("http://slimages.macys.com/is/image/MCY/12236518 ")</f>
        <v xml:space="preserve">http://slimages.macys.com/is/image/MCY/12236518 </v>
      </c>
    </row>
    <row r="278" spans="1:13" ht="60" x14ac:dyDescent="0.25">
      <c r="A278" s="7" t="s">
        <v>11088</v>
      </c>
      <c r="B278" s="2" t="s">
        <v>7646</v>
      </c>
      <c r="C278" s="4">
        <v>1</v>
      </c>
      <c r="D278" s="5">
        <v>6</v>
      </c>
      <c r="E278" s="5">
        <v>15.99</v>
      </c>
      <c r="F278" s="4" t="s">
        <v>7647</v>
      </c>
      <c r="G278" s="2" t="s">
        <v>41</v>
      </c>
      <c r="H278" s="7" t="s">
        <v>179</v>
      </c>
      <c r="I278" s="2" t="s">
        <v>321</v>
      </c>
      <c r="J278" s="2" t="s">
        <v>492</v>
      </c>
      <c r="K278" s="2" t="s">
        <v>304</v>
      </c>
      <c r="L278" s="2" t="s">
        <v>493</v>
      </c>
      <c r="M278" s="8" t="str">
        <f>HYPERLINK("http://slimages.macys.com/is/image/MCY/11539241 ")</f>
        <v xml:space="preserve">http://slimages.macys.com/is/image/MCY/11539241 </v>
      </c>
    </row>
    <row r="279" spans="1:13" ht="60" x14ac:dyDescent="0.25">
      <c r="A279" s="7" t="s">
        <v>10529</v>
      </c>
      <c r="B279" s="2" t="s">
        <v>10526</v>
      </c>
      <c r="C279" s="4">
        <v>2</v>
      </c>
      <c r="D279" s="5">
        <v>6</v>
      </c>
      <c r="E279" s="5">
        <v>15.99</v>
      </c>
      <c r="F279" s="4" t="s">
        <v>10527</v>
      </c>
      <c r="G279" s="2" t="s">
        <v>28</v>
      </c>
      <c r="H279" s="7"/>
      <c r="I279" s="2" t="s">
        <v>321</v>
      </c>
      <c r="J279" s="2" t="s">
        <v>492</v>
      </c>
      <c r="K279" s="2" t="s">
        <v>304</v>
      </c>
      <c r="L279" s="2" t="s">
        <v>493</v>
      </c>
      <c r="M279" s="8" t="str">
        <f>HYPERLINK("http://slimages.macys.com/is/image/MCY/12236518 ")</f>
        <v xml:space="preserve">http://slimages.macys.com/is/image/MCY/12236518 </v>
      </c>
    </row>
    <row r="280" spans="1:13" ht="60" x14ac:dyDescent="0.25">
      <c r="A280" s="7" t="s">
        <v>11089</v>
      </c>
      <c r="B280" s="2" t="s">
        <v>490</v>
      </c>
      <c r="C280" s="4">
        <v>8</v>
      </c>
      <c r="D280" s="5">
        <v>6</v>
      </c>
      <c r="E280" s="5">
        <v>15.99</v>
      </c>
      <c r="F280" s="4" t="s">
        <v>491</v>
      </c>
      <c r="G280" s="2" t="s">
        <v>79</v>
      </c>
      <c r="H280" s="7"/>
      <c r="I280" s="2" t="s">
        <v>321</v>
      </c>
      <c r="J280" s="2" t="s">
        <v>492</v>
      </c>
      <c r="K280" s="2" t="s">
        <v>304</v>
      </c>
      <c r="L280" s="2" t="s">
        <v>493</v>
      </c>
      <c r="M280" s="8" t="str">
        <f>HYPERLINK("http://slimages.macys.com/is/image/MCY/11539243 ")</f>
        <v xml:space="preserve">http://slimages.macys.com/is/image/MCY/11539243 </v>
      </c>
    </row>
    <row r="281" spans="1:13" ht="60" x14ac:dyDescent="0.25">
      <c r="A281" s="7" t="s">
        <v>10130</v>
      </c>
      <c r="B281" s="2" t="s">
        <v>10131</v>
      </c>
      <c r="C281" s="4">
        <v>13</v>
      </c>
      <c r="D281" s="5">
        <v>6</v>
      </c>
      <c r="E281" s="5">
        <v>15.99</v>
      </c>
      <c r="F281" s="4" t="s">
        <v>10132</v>
      </c>
      <c r="G281" s="2" t="s">
        <v>698</v>
      </c>
      <c r="H281" s="7"/>
      <c r="I281" s="2" t="s">
        <v>321</v>
      </c>
      <c r="J281" s="2" t="s">
        <v>492</v>
      </c>
      <c r="K281" s="2" t="s">
        <v>304</v>
      </c>
      <c r="L281" s="2" t="s">
        <v>493</v>
      </c>
      <c r="M281" s="8" t="str">
        <f>HYPERLINK("http://slimages.macys.com/is/image/MCY/11539256 ")</f>
        <v xml:space="preserve">http://slimages.macys.com/is/image/MCY/11539256 </v>
      </c>
    </row>
    <row r="282" spans="1:13" ht="60" x14ac:dyDescent="0.25">
      <c r="A282" s="7" t="s">
        <v>11090</v>
      </c>
      <c r="B282" s="2" t="s">
        <v>10131</v>
      </c>
      <c r="C282" s="4">
        <v>13</v>
      </c>
      <c r="D282" s="5">
        <v>6</v>
      </c>
      <c r="E282" s="5">
        <v>15.99</v>
      </c>
      <c r="F282" s="4" t="s">
        <v>10132</v>
      </c>
      <c r="G282" s="2" t="s">
        <v>698</v>
      </c>
      <c r="H282" s="7"/>
      <c r="I282" s="2" t="s">
        <v>321</v>
      </c>
      <c r="J282" s="2" t="s">
        <v>492</v>
      </c>
      <c r="K282" s="2" t="s">
        <v>304</v>
      </c>
      <c r="L282" s="2" t="s">
        <v>493</v>
      </c>
      <c r="M282" s="8" t="str">
        <f>HYPERLINK("http://slimages.macys.com/is/image/MCY/11539256 ")</f>
        <v xml:space="preserve">http://slimages.macys.com/is/image/MCY/11539256 </v>
      </c>
    </row>
    <row r="283" spans="1:13" ht="60" x14ac:dyDescent="0.25">
      <c r="A283" s="7" t="s">
        <v>11091</v>
      </c>
      <c r="B283" s="2" t="s">
        <v>10131</v>
      </c>
      <c r="C283" s="4">
        <v>4</v>
      </c>
      <c r="D283" s="5">
        <v>6</v>
      </c>
      <c r="E283" s="5">
        <v>15.99</v>
      </c>
      <c r="F283" s="4" t="s">
        <v>10132</v>
      </c>
      <c r="G283" s="2" t="s">
        <v>698</v>
      </c>
      <c r="H283" s="7"/>
      <c r="I283" s="2" t="s">
        <v>321</v>
      </c>
      <c r="J283" s="2" t="s">
        <v>492</v>
      </c>
      <c r="K283" s="2" t="s">
        <v>304</v>
      </c>
      <c r="L283" s="2" t="s">
        <v>493</v>
      </c>
      <c r="M283" s="8" t="str">
        <f>HYPERLINK("http://slimages.macys.com/is/image/MCY/11539256 ")</f>
        <v xml:space="preserve">http://slimages.macys.com/is/image/MCY/11539256 </v>
      </c>
    </row>
    <row r="284" spans="1:13" ht="60" x14ac:dyDescent="0.25">
      <c r="A284" s="7" t="s">
        <v>11092</v>
      </c>
      <c r="B284" s="2" t="s">
        <v>10119</v>
      </c>
      <c r="C284" s="4">
        <v>1</v>
      </c>
      <c r="D284" s="5">
        <v>6</v>
      </c>
      <c r="E284" s="5">
        <v>15.99</v>
      </c>
      <c r="F284" s="4" t="s">
        <v>10120</v>
      </c>
      <c r="G284" s="2" t="s">
        <v>28</v>
      </c>
      <c r="H284" s="7"/>
      <c r="I284" s="2" t="s">
        <v>321</v>
      </c>
      <c r="J284" s="2" t="s">
        <v>492</v>
      </c>
      <c r="K284" s="2" t="s">
        <v>304</v>
      </c>
      <c r="L284" s="2" t="s">
        <v>493</v>
      </c>
      <c r="M284" s="8" t="str">
        <f>HYPERLINK("http://slimages.macys.com/is/image/MCY/10924254 ")</f>
        <v xml:space="preserve">http://slimages.macys.com/is/image/MCY/10924254 </v>
      </c>
    </row>
    <row r="285" spans="1:13" ht="60" x14ac:dyDescent="0.25">
      <c r="A285" s="7" t="s">
        <v>1858</v>
      </c>
      <c r="B285" s="2" t="s">
        <v>1859</v>
      </c>
      <c r="C285" s="4">
        <v>3</v>
      </c>
      <c r="D285" s="5">
        <v>6</v>
      </c>
      <c r="E285" s="5">
        <v>15.99</v>
      </c>
      <c r="F285" s="4" t="s">
        <v>1860</v>
      </c>
      <c r="G285" s="2" t="s">
        <v>657</v>
      </c>
      <c r="H285" s="7"/>
      <c r="I285" s="2" t="s">
        <v>321</v>
      </c>
      <c r="J285" s="2" t="s">
        <v>492</v>
      </c>
      <c r="K285" s="2" t="s">
        <v>304</v>
      </c>
      <c r="L285" s="2" t="s">
        <v>125</v>
      </c>
      <c r="M285" s="8" t="str">
        <f>HYPERLINK("http://slimages.macys.com/is/image/MCY/10924234 ")</f>
        <v xml:space="preserve">http://slimages.macys.com/is/image/MCY/10924234 </v>
      </c>
    </row>
    <row r="286" spans="1:13" ht="60" x14ac:dyDescent="0.25">
      <c r="A286" s="7" t="s">
        <v>11093</v>
      </c>
      <c r="B286" s="2" t="s">
        <v>1859</v>
      </c>
      <c r="C286" s="4">
        <v>1</v>
      </c>
      <c r="D286" s="5">
        <v>6</v>
      </c>
      <c r="E286" s="5">
        <v>15.99</v>
      </c>
      <c r="F286" s="4" t="s">
        <v>1860</v>
      </c>
      <c r="G286" s="2" t="s">
        <v>657</v>
      </c>
      <c r="H286" s="7"/>
      <c r="I286" s="2" t="s">
        <v>321</v>
      </c>
      <c r="J286" s="2" t="s">
        <v>492</v>
      </c>
      <c r="K286" s="2" t="s">
        <v>304</v>
      </c>
      <c r="L286" s="2" t="s">
        <v>125</v>
      </c>
      <c r="M286" s="8" t="str">
        <f>HYPERLINK("http://slimages.macys.com/is/image/MCY/10924234 ")</f>
        <v xml:space="preserve">http://slimages.macys.com/is/image/MCY/10924234 </v>
      </c>
    </row>
    <row r="287" spans="1:13" ht="60" x14ac:dyDescent="0.25">
      <c r="A287" s="7" t="s">
        <v>489</v>
      </c>
      <c r="B287" s="2" t="s">
        <v>490</v>
      </c>
      <c r="C287" s="4">
        <v>1</v>
      </c>
      <c r="D287" s="5">
        <v>6</v>
      </c>
      <c r="E287" s="5">
        <v>15.99</v>
      </c>
      <c r="F287" s="4" t="s">
        <v>491</v>
      </c>
      <c r="G287" s="2" t="s">
        <v>79</v>
      </c>
      <c r="H287" s="7"/>
      <c r="I287" s="2" t="s">
        <v>321</v>
      </c>
      <c r="J287" s="2" t="s">
        <v>492</v>
      </c>
      <c r="K287" s="2" t="s">
        <v>304</v>
      </c>
      <c r="L287" s="2" t="s">
        <v>493</v>
      </c>
      <c r="M287" s="8" t="str">
        <f>HYPERLINK("http://slimages.macys.com/is/image/MCY/11539243 ")</f>
        <v xml:space="preserve">http://slimages.macys.com/is/image/MCY/11539243 </v>
      </c>
    </row>
    <row r="288" spans="1:13" ht="60" x14ac:dyDescent="0.25">
      <c r="A288" s="7" t="s">
        <v>11094</v>
      </c>
      <c r="B288" s="2" t="s">
        <v>11095</v>
      </c>
      <c r="C288" s="4">
        <v>7</v>
      </c>
      <c r="D288" s="5">
        <v>6</v>
      </c>
      <c r="E288" s="5">
        <v>15.99</v>
      </c>
      <c r="F288" s="4" t="s">
        <v>11096</v>
      </c>
      <c r="G288" s="2" t="s">
        <v>28</v>
      </c>
      <c r="H288" s="7"/>
      <c r="I288" s="2" t="s">
        <v>321</v>
      </c>
      <c r="J288" s="2" t="s">
        <v>492</v>
      </c>
      <c r="K288" s="2" t="s">
        <v>304</v>
      </c>
      <c r="L288" s="2" t="s">
        <v>493</v>
      </c>
      <c r="M288" s="8" t="str">
        <f>HYPERLINK("http://slimages.macys.com/is/image/MCY/11539245 ")</f>
        <v xml:space="preserve">http://slimages.macys.com/is/image/MCY/11539245 </v>
      </c>
    </row>
    <row r="289" spans="1:13" ht="60" x14ac:dyDescent="0.25">
      <c r="A289" s="7" t="s">
        <v>11097</v>
      </c>
      <c r="B289" s="2" t="s">
        <v>7646</v>
      </c>
      <c r="C289" s="4">
        <v>3</v>
      </c>
      <c r="D289" s="5">
        <v>6</v>
      </c>
      <c r="E289" s="5">
        <v>15.99</v>
      </c>
      <c r="F289" s="4" t="s">
        <v>7647</v>
      </c>
      <c r="G289" s="2" t="s">
        <v>41</v>
      </c>
      <c r="H289" s="7"/>
      <c r="I289" s="2" t="s">
        <v>321</v>
      </c>
      <c r="J289" s="2" t="s">
        <v>492</v>
      </c>
      <c r="K289" s="2" t="s">
        <v>304</v>
      </c>
      <c r="L289" s="2" t="s">
        <v>493</v>
      </c>
      <c r="M289" s="8" t="str">
        <f>HYPERLINK("http://slimages.macys.com/is/image/MCY/11539241 ")</f>
        <v xml:space="preserve">http://slimages.macys.com/is/image/MCY/11539241 </v>
      </c>
    </row>
    <row r="290" spans="1:13" ht="60" x14ac:dyDescent="0.25">
      <c r="A290" s="7" t="s">
        <v>11098</v>
      </c>
      <c r="B290" s="2" t="s">
        <v>11095</v>
      </c>
      <c r="C290" s="4">
        <v>1</v>
      </c>
      <c r="D290" s="5">
        <v>6</v>
      </c>
      <c r="E290" s="5">
        <v>15.99</v>
      </c>
      <c r="F290" s="4" t="s">
        <v>11096</v>
      </c>
      <c r="G290" s="2" t="s">
        <v>28</v>
      </c>
      <c r="H290" s="7"/>
      <c r="I290" s="2" t="s">
        <v>321</v>
      </c>
      <c r="J290" s="2" t="s">
        <v>492</v>
      </c>
      <c r="K290" s="2" t="s">
        <v>304</v>
      </c>
      <c r="L290" s="2" t="s">
        <v>493</v>
      </c>
      <c r="M290" s="8" t="str">
        <f>HYPERLINK("http://slimages.macys.com/is/image/MCY/11539245 ")</f>
        <v xml:space="preserve">http://slimages.macys.com/is/image/MCY/11539245 </v>
      </c>
    </row>
    <row r="291" spans="1:13" ht="60" x14ac:dyDescent="0.25">
      <c r="A291" s="7" t="s">
        <v>11099</v>
      </c>
      <c r="B291" s="2" t="s">
        <v>11095</v>
      </c>
      <c r="C291" s="4">
        <v>6</v>
      </c>
      <c r="D291" s="5">
        <v>6</v>
      </c>
      <c r="E291" s="5">
        <v>15.99</v>
      </c>
      <c r="F291" s="4" t="s">
        <v>11096</v>
      </c>
      <c r="G291" s="2" t="s">
        <v>28</v>
      </c>
      <c r="H291" s="7"/>
      <c r="I291" s="2" t="s">
        <v>321</v>
      </c>
      <c r="J291" s="2" t="s">
        <v>492</v>
      </c>
      <c r="K291" s="2" t="s">
        <v>304</v>
      </c>
      <c r="L291" s="2" t="s">
        <v>493</v>
      </c>
      <c r="M291" s="8" t="str">
        <f>HYPERLINK("http://slimages.macys.com/is/image/MCY/11539245 ")</f>
        <v xml:space="preserve">http://slimages.macys.com/is/image/MCY/11539245 </v>
      </c>
    </row>
    <row r="292" spans="1:13" ht="60" x14ac:dyDescent="0.25">
      <c r="A292" s="7" t="s">
        <v>11100</v>
      </c>
      <c r="B292" s="2" t="s">
        <v>499</v>
      </c>
      <c r="C292" s="4">
        <v>1</v>
      </c>
      <c r="D292" s="5">
        <v>6</v>
      </c>
      <c r="E292" s="5">
        <v>15.99</v>
      </c>
      <c r="F292" s="4" t="s">
        <v>500</v>
      </c>
      <c r="G292" s="2" t="s">
        <v>437</v>
      </c>
      <c r="H292" s="7"/>
      <c r="I292" s="2" t="s">
        <v>321</v>
      </c>
      <c r="J292" s="2" t="s">
        <v>492</v>
      </c>
      <c r="K292" s="2" t="s">
        <v>304</v>
      </c>
      <c r="L292" s="2" t="s">
        <v>125</v>
      </c>
      <c r="M292" s="8" t="str">
        <f>HYPERLINK("http://slimages.macys.com/is/image/MCY/10924196 ")</f>
        <v xml:space="preserve">http://slimages.macys.com/is/image/MCY/10924196 </v>
      </c>
    </row>
    <row r="293" spans="1:13" ht="60" x14ac:dyDescent="0.25">
      <c r="A293" s="7" t="s">
        <v>11101</v>
      </c>
      <c r="B293" s="2" t="s">
        <v>499</v>
      </c>
      <c r="C293" s="4">
        <v>1</v>
      </c>
      <c r="D293" s="5">
        <v>6</v>
      </c>
      <c r="E293" s="5">
        <v>15.99</v>
      </c>
      <c r="F293" s="4" t="s">
        <v>500</v>
      </c>
      <c r="G293" s="2" t="s">
        <v>62</v>
      </c>
      <c r="H293" s="7"/>
      <c r="I293" s="2" t="s">
        <v>321</v>
      </c>
      <c r="J293" s="2" t="s">
        <v>492</v>
      </c>
      <c r="K293" s="2" t="s">
        <v>304</v>
      </c>
      <c r="L293" s="2" t="s">
        <v>125</v>
      </c>
      <c r="M293" s="8" t="str">
        <f>HYPERLINK("http://slimages.macys.com/is/image/MCY/10924195 ")</f>
        <v xml:space="preserve">http://slimages.macys.com/is/image/MCY/10924195 </v>
      </c>
    </row>
    <row r="294" spans="1:13" ht="60" x14ac:dyDescent="0.25">
      <c r="A294" s="7" t="s">
        <v>11102</v>
      </c>
      <c r="B294" s="2" t="s">
        <v>4117</v>
      </c>
      <c r="C294" s="4">
        <v>12</v>
      </c>
      <c r="D294" s="5">
        <v>6</v>
      </c>
      <c r="E294" s="5">
        <v>11.99</v>
      </c>
      <c r="F294" s="4" t="s">
        <v>4118</v>
      </c>
      <c r="G294" s="2" t="s">
        <v>28</v>
      </c>
      <c r="H294" s="7" t="s">
        <v>63</v>
      </c>
      <c r="I294" s="2" t="s">
        <v>173</v>
      </c>
      <c r="J294" s="2" t="s">
        <v>1967</v>
      </c>
      <c r="K294" s="2" t="s">
        <v>304</v>
      </c>
      <c r="L294" s="2" t="s">
        <v>38</v>
      </c>
      <c r="M294" s="8" t="str">
        <f>HYPERLINK("http://slimages.macys.com/is/image/MCY/9906909 ")</f>
        <v xml:space="preserve">http://slimages.macys.com/is/image/MCY/9906909 </v>
      </c>
    </row>
    <row r="295" spans="1:13" ht="60" x14ac:dyDescent="0.25">
      <c r="A295" s="7" t="s">
        <v>9589</v>
      </c>
      <c r="B295" s="2" t="s">
        <v>4117</v>
      </c>
      <c r="C295" s="4">
        <v>2</v>
      </c>
      <c r="D295" s="5">
        <v>6</v>
      </c>
      <c r="E295" s="5">
        <v>11.99</v>
      </c>
      <c r="F295" s="4" t="s">
        <v>4118</v>
      </c>
      <c r="G295" s="2" t="s">
        <v>41</v>
      </c>
      <c r="H295" s="7" t="s">
        <v>311</v>
      </c>
      <c r="I295" s="2" t="s">
        <v>173</v>
      </c>
      <c r="J295" s="2" t="s">
        <v>1967</v>
      </c>
      <c r="K295" s="2" t="s">
        <v>304</v>
      </c>
      <c r="L295" s="2" t="s">
        <v>87</v>
      </c>
      <c r="M295" s="8" t="str">
        <f>HYPERLINK("http://slimages.macys.com/is/image/MCY/12282974 ")</f>
        <v xml:space="preserve">http://slimages.macys.com/is/image/MCY/12282974 </v>
      </c>
    </row>
    <row r="296" spans="1:13" ht="60" x14ac:dyDescent="0.25">
      <c r="A296" s="7" t="s">
        <v>4116</v>
      </c>
      <c r="B296" s="2" t="s">
        <v>4117</v>
      </c>
      <c r="C296" s="4">
        <v>1</v>
      </c>
      <c r="D296" s="5">
        <v>6</v>
      </c>
      <c r="E296" s="5">
        <v>11.99</v>
      </c>
      <c r="F296" s="4" t="s">
        <v>4118</v>
      </c>
      <c r="G296" s="2" t="s">
        <v>28</v>
      </c>
      <c r="H296" s="7" t="s">
        <v>311</v>
      </c>
      <c r="I296" s="2" t="s">
        <v>173</v>
      </c>
      <c r="J296" s="2" t="s">
        <v>1967</v>
      </c>
      <c r="K296" s="2" t="s">
        <v>304</v>
      </c>
      <c r="L296" s="2" t="s">
        <v>38</v>
      </c>
      <c r="M296" s="8" t="str">
        <f>HYPERLINK("http://slimages.macys.com/is/image/MCY/9906909 ")</f>
        <v xml:space="preserve">http://slimages.macys.com/is/image/MCY/9906909 </v>
      </c>
    </row>
    <row r="297" spans="1:13" ht="60" x14ac:dyDescent="0.25">
      <c r="A297" s="7" t="s">
        <v>11103</v>
      </c>
      <c r="B297" s="2" t="s">
        <v>6918</v>
      </c>
      <c r="C297" s="4">
        <v>1</v>
      </c>
      <c r="D297" s="5">
        <v>6</v>
      </c>
      <c r="E297" s="5">
        <v>10.99</v>
      </c>
      <c r="F297" s="4" t="s">
        <v>6919</v>
      </c>
      <c r="G297" s="2" t="s">
        <v>48</v>
      </c>
      <c r="H297" s="7" t="s">
        <v>159</v>
      </c>
      <c r="I297" s="2" t="s">
        <v>73</v>
      </c>
      <c r="J297" s="2" t="s">
        <v>1917</v>
      </c>
      <c r="K297" s="2" t="s">
        <v>304</v>
      </c>
      <c r="L297" s="2" t="s">
        <v>119</v>
      </c>
      <c r="M297" s="8" t="str">
        <f>HYPERLINK("http://slimages.macys.com/is/image/MCY/11282298 ")</f>
        <v xml:space="preserve">http://slimages.macys.com/is/image/MCY/11282298 </v>
      </c>
    </row>
    <row r="298" spans="1:13" ht="60" x14ac:dyDescent="0.25">
      <c r="A298" s="7" t="s">
        <v>11104</v>
      </c>
      <c r="B298" s="2" t="s">
        <v>495</v>
      </c>
      <c r="C298" s="4">
        <v>1</v>
      </c>
      <c r="D298" s="5">
        <v>6</v>
      </c>
      <c r="E298" s="5">
        <v>11.98</v>
      </c>
      <c r="F298" s="4" t="s">
        <v>496</v>
      </c>
      <c r="G298" s="2" t="s">
        <v>297</v>
      </c>
      <c r="H298" s="7" t="s">
        <v>233</v>
      </c>
      <c r="I298" s="2" t="s">
        <v>43</v>
      </c>
      <c r="J298" s="2" t="s">
        <v>497</v>
      </c>
      <c r="K298" s="2" t="s">
        <v>304</v>
      </c>
      <c r="L298" s="2" t="s">
        <v>87</v>
      </c>
      <c r="M298" s="8" t="str">
        <f>HYPERLINK("http://slimages.macys.com/is/image/MCY/2908881 ")</f>
        <v xml:space="preserve">http://slimages.macys.com/is/image/MCY/2908881 </v>
      </c>
    </row>
    <row r="299" spans="1:13" ht="60" x14ac:dyDescent="0.25">
      <c r="A299" s="7" t="s">
        <v>8975</v>
      </c>
      <c r="B299" s="2" t="s">
        <v>4969</v>
      </c>
      <c r="C299" s="4">
        <v>1</v>
      </c>
      <c r="D299" s="5">
        <v>6</v>
      </c>
      <c r="E299" s="5">
        <v>10.99</v>
      </c>
      <c r="F299" s="4" t="s">
        <v>4970</v>
      </c>
      <c r="G299" s="2" t="s">
        <v>48</v>
      </c>
      <c r="H299" s="7" t="s">
        <v>317</v>
      </c>
      <c r="I299" s="2" t="s">
        <v>80</v>
      </c>
      <c r="J299" s="2" t="s">
        <v>1857</v>
      </c>
      <c r="K299" s="2" t="s">
        <v>304</v>
      </c>
      <c r="L299" s="2" t="s">
        <v>119</v>
      </c>
      <c r="M299" s="8" t="str">
        <f>HYPERLINK("http://slimages.macys.com/is/image/MCY/11207821 ")</f>
        <v xml:space="preserve">http://slimages.macys.com/is/image/MCY/11207821 </v>
      </c>
    </row>
    <row r="300" spans="1:13" ht="60" x14ac:dyDescent="0.25">
      <c r="A300" s="7" t="s">
        <v>11105</v>
      </c>
      <c r="B300" s="2" t="s">
        <v>4993</v>
      </c>
      <c r="C300" s="4">
        <v>1</v>
      </c>
      <c r="D300" s="5">
        <v>5.95</v>
      </c>
      <c r="E300" s="5">
        <v>14.99</v>
      </c>
      <c r="F300" s="4" t="s">
        <v>4994</v>
      </c>
      <c r="G300" s="2" t="s">
        <v>582</v>
      </c>
      <c r="H300" s="7"/>
      <c r="I300" s="2" t="s">
        <v>321</v>
      </c>
      <c r="J300" s="2" t="s">
        <v>492</v>
      </c>
      <c r="K300" s="2" t="s">
        <v>304</v>
      </c>
      <c r="L300" s="2" t="s">
        <v>125</v>
      </c>
      <c r="M300" s="8" t="str">
        <f>HYPERLINK("http://slimages.macys.com/is/image/MCY/10924171 ")</f>
        <v xml:space="preserve">http://slimages.macys.com/is/image/MCY/10924171 </v>
      </c>
    </row>
    <row r="301" spans="1:13" ht="60" x14ac:dyDescent="0.25">
      <c r="A301" s="7" t="s">
        <v>11106</v>
      </c>
      <c r="B301" s="2" t="s">
        <v>4993</v>
      </c>
      <c r="C301" s="4">
        <v>1</v>
      </c>
      <c r="D301" s="5">
        <v>5.95</v>
      </c>
      <c r="E301" s="5">
        <v>14.99</v>
      </c>
      <c r="F301" s="4" t="s">
        <v>4994</v>
      </c>
      <c r="G301" s="2" t="s">
        <v>253</v>
      </c>
      <c r="H301" s="7"/>
      <c r="I301" s="2" t="s">
        <v>321</v>
      </c>
      <c r="J301" s="2" t="s">
        <v>492</v>
      </c>
      <c r="K301" s="2" t="s">
        <v>304</v>
      </c>
      <c r="L301" s="2" t="s">
        <v>125</v>
      </c>
      <c r="M301" s="8" t="str">
        <f>HYPERLINK("http://slimages.macys.com/is/image/MCY/10924171 ")</f>
        <v xml:space="preserve">http://slimages.macys.com/is/image/MCY/10924171 </v>
      </c>
    </row>
    <row r="302" spans="1:13" ht="96" x14ac:dyDescent="0.25">
      <c r="A302" s="7" t="s">
        <v>11107</v>
      </c>
      <c r="B302" s="2" t="s">
        <v>7655</v>
      </c>
      <c r="C302" s="4">
        <v>1</v>
      </c>
      <c r="D302" s="5">
        <v>5.91</v>
      </c>
      <c r="E302" s="5">
        <v>17.989999999999998</v>
      </c>
      <c r="F302" s="4" t="s">
        <v>7656</v>
      </c>
      <c r="G302" s="2" t="s">
        <v>874</v>
      </c>
      <c r="H302" s="7" t="s">
        <v>149</v>
      </c>
      <c r="I302" s="2" t="s">
        <v>483</v>
      </c>
      <c r="J302" s="2" t="s">
        <v>536</v>
      </c>
      <c r="K302" s="2" t="s">
        <v>304</v>
      </c>
      <c r="L302" s="2" t="s">
        <v>7657</v>
      </c>
      <c r="M302" s="8" t="str">
        <f>HYPERLINK("http://slimages.macys.com/is/image/MCY/11707450 ")</f>
        <v xml:space="preserve">http://slimages.macys.com/is/image/MCY/11707450 </v>
      </c>
    </row>
    <row r="303" spans="1:13" ht="60" x14ac:dyDescent="0.25">
      <c r="A303" s="7" t="s">
        <v>1048</v>
      </c>
      <c r="B303" s="2" t="s">
        <v>1039</v>
      </c>
      <c r="C303" s="4">
        <v>7</v>
      </c>
      <c r="D303" s="5">
        <v>5.87</v>
      </c>
      <c r="E303" s="5">
        <v>16</v>
      </c>
      <c r="F303" s="4" t="s">
        <v>1040</v>
      </c>
      <c r="G303" s="2" t="s">
        <v>1041</v>
      </c>
      <c r="H303" s="7" t="s">
        <v>789</v>
      </c>
      <c r="I303" s="2" t="s">
        <v>523</v>
      </c>
      <c r="J303" s="2" t="s">
        <v>1042</v>
      </c>
      <c r="K303" s="2" t="s">
        <v>304</v>
      </c>
      <c r="L303" s="2" t="s">
        <v>1043</v>
      </c>
      <c r="M303" s="8" t="str">
        <f>HYPERLINK("http://slimages.macys.com/is/image/MCY/11647558 ")</f>
        <v xml:space="preserve">http://slimages.macys.com/is/image/MCY/11647558 </v>
      </c>
    </row>
    <row r="304" spans="1:13" ht="60" x14ac:dyDescent="0.25">
      <c r="A304" s="7" t="s">
        <v>1044</v>
      </c>
      <c r="B304" s="2" t="s">
        <v>1045</v>
      </c>
      <c r="C304" s="4">
        <v>1</v>
      </c>
      <c r="D304" s="5">
        <v>5.87</v>
      </c>
      <c r="E304" s="5">
        <v>16</v>
      </c>
      <c r="F304" s="4" t="s">
        <v>1046</v>
      </c>
      <c r="G304" s="2" t="s">
        <v>1047</v>
      </c>
      <c r="H304" s="7" t="s">
        <v>789</v>
      </c>
      <c r="I304" s="2" t="s">
        <v>523</v>
      </c>
      <c r="J304" s="2" t="s">
        <v>1042</v>
      </c>
      <c r="K304" s="2" t="s">
        <v>304</v>
      </c>
      <c r="L304" s="2" t="s">
        <v>1043</v>
      </c>
      <c r="M304" s="8" t="str">
        <f>HYPERLINK("http://slimages.macys.com/is/image/MCY/11647571 ")</f>
        <v xml:space="preserve">http://slimages.macys.com/is/image/MCY/11647571 </v>
      </c>
    </row>
    <row r="305" spans="1:13" ht="60" x14ac:dyDescent="0.25">
      <c r="A305" s="7" t="s">
        <v>4126</v>
      </c>
      <c r="B305" s="2" t="s">
        <v>1045</v>
      </c>
      <c r="C305" s="4">
        <v>1</v>
      </c>
      <c r="D305" s="5">
        <v>5.87</v>
      </c>
      <c r="E305" s="5">
        <v>16</v>
      </c>
      <c r="F305" s="4" t="s">
        <v>1046</v>
      </c>
      <c r="G305" s="2" t="s">
        <v>1047</v>
      </c>
      <c r="H305" s="7" t="s">
        <v>72</v>
      </c>
      <c r="I305" s="2" t="s">
        <v>523</v>
      </c>
      <c r="J305" s="2" t="s">
        <v>1042</v>
      </c>
      <c r="K305" s="2" t="s">
        <v>304</v>
      </c>
      <c r="L305" s="2" t="s">
        <v>1043</v>
      </c>
      <c r="M305" s="8" t="str">
        <f>HYPERLINK("http://slimages.macys.com/is/image/MCY/11647571 ")</f>
        <v xml:space="preserve">http://slimages.macys.com/is/image/MCY/11647571 </v>
      </c>
    </row>
    <row r="306" spans="1:13" ht="60" x14ac:dyDescent="0.25">
      <c r="A306" s="7" t="s">
        <v>1038</v>
      </c>
      <c r="B306" s="2" t="s">
        <v>1039</v>
      </c>
      <c r="C306" s="4">
        <v>5</v>
      </c>
      <c r="D306" s="5">
        <v>5.87</v>
      </c>
      <c r="E306" s="5">
        <v>16</v>
      </c>
      <c r="F306" s="4" t="s">
        <v>1040</v>
      </c>
      <c r="G306" s="2" t="s">
        <v>1041</v>
      </c>
      <c r="H306" s="7" t="s">
        <v>72</v>
      </c>
      <c r="I306" s="2" t="s">
        <v>523</v>
      </c>
      <c r="J306" s="2" t="s">
        <v>1042</v>
      </c>
      <c r="K306" s="2" t="s">
        <v>304</v>
      </c>
      <c r="L306" s="2" t="s">
        <v>1043</v>
      </c>
      <c r="M306" s="8" t="str">
        <f>HYPERLINK("http://slimages.macys.com/is/image/MCY/11647558 ")</f>
        <v xml:space="preserve">http://slimages.macys.com/is/image/MCY/11647558 </v>
      </c>
    </row>
    <row r="307" spans="1:13" ht="60" x14ac:dyDescent="0.25">
      <c r="A307" s="7" t="s">
        <v>4127</v>
      </c>
      <c r="B307" s="2" t="s">
        <v>1869</v>
      </c>
      <c r="C307" s="4">
        <v>1</v>
      </c>
      <c r="D307" s="5">
        <v>5.85</v>
      </c>
      <c r="E307" s="5">
        <v>15.99</v>
      </c>
      <c r="F307" s="4" t="s">
        <v>4128</v>
      </c>
      <c r="G307" s="2" t="s">
        <v>657</v>
      </c>
      <c r="H307" s="7" t="s">
        <v>4129</v>
      </c>
      <c r="I307" s="2" t="s">
        <v>342</v>
      </c>
      <c r="J307" s="2" t="s">
        <v>1872</v>
      </c>
      <c r="K307" s="2" t="s">
        <v>304</v>
      </c>
      <c r="L307" s="2" t="s">
        <v>390</v>
      </c>
      <c r="M307" s="8" t="str">
        <f>HYPERLINK("http://slimages.macys.com/is/image/MCY/11636027 ")</f>
        <v xml:space="preserve">http://slimages.macys.com/is/image/MCY/11636027 </v>
      </c>
    </row>
    <row r="308" spans="1:13" ht="60" x14ac:dyDescent="0.25">
      <c r="A308" s="7" t="s">
        <v>8994</v>
      </c>
      <c r="B308" s="2" t="s">
        <v>1869</v>
      </c>
      <c r="C308" s="4">
        <v>1</v>
      </c>
      <c r="D308" s="5">
        <v>5.85</v>
      </c>
      <c r="E308" s="5">
        <v>15.99</v>
      </c>
      <c r="F308" s="4" t="s">
        <v>1870</v>
      </c>
      <c r="G308" s="2" t="s">
        <v>262</v>
      </c>
      <c r="H308" s="7" t="s">
        <v>8995</v>
      </c>
      <c r="I308" s="2" t="s">
        <v>342</v>
      </c>
      <c r="J308" s="2" t="s">
        <v>1872</v>
      </c>
      <c r="K308" s="2" t="s">
        <v>304</v>
      </c>
      <c r="L308" s="2" t="s">
        <v>390</v>
      </c>
      <c r="M308" s="8" t="str">
        <f>HYPERLINK("http://slimages.macys.com/is/image/MCY/11636026 ")</f>
        <v xml:space="preserve">http://slimages.macys.com/is/image/MCY/11636026 </v>
      </c>
    </row>
    <row r="309" spans="1:13" ht="60" x14ac:dyDescent="0.25">
      <c r="A309" s="7" t="s">
        <v>11108</v>
      </c>
      <c r="B309" s="2" t="s">
        <v>1869</v>
      </c>
      <c r="C309" s="4">
        <v>1</v>
      </c>
      <c r="D309" s="5">
        <v>5.85</v>
      </c>
      <c r="E309" s="5">
        <v>15.99</v>
      </c>
      <c r="F309" s="4" t="s">
        <v>1870</v>
      </c>
      <c r="G309" s="2" t="s">
        <v>262</v>
      </c>
      <c r="H309" s="7" t="s">
        <v>982</v>
      </c>
      <c r="I309" s="2" t="s">
        <v>342</v>
      </c>
      <c r="J309" s="2" t="s">
        <v>1872</v>
      </c>
      <c r="K309" s="2" t="s">
        <v>304</v>
      </c>
      <c r="L309" s="2" t="s">
        <v>390</v>
      </c>
      <c r="M309" s="8" t="str">
        <f>HYPERLINK("http://slimages.macys.com/is/image/MCY/11636026 ")</f>
        <v xml:space="preserve">http://slimages.macys.com/is/image/MCY/11636026 </v>
      </c>
    </row>
    <row r="310" spans="1:13" ht="60" x14ac:dyDescent="0.25">
      <c r="A310" s="7" t="s">
        <v>11109</v>
      </c>
      <c r="B310" s="2" t="s">
        <v>10047</v>
      </c>
      <c r="C310" s="4">
        <v>1</v>
      </c>
      <c r="D310" s="5">
        <v>5.83</v>
      </c>
      <c r="E310" s="5">
        <v>13.99</v>
      </c>
      <c r="F310" s="4" t="s">
        <v>11110</v>
      </c>
      <c r="G310" s="2" t="s">
        <v>62</v>
      </c>
      <c r="H310" s="7" t="s">
        <v>618</v>
      </c>
      <c r="I310" s="2" t="s">
        <v>218</v>
      </c>
      <c r="J310" s="2" t="s">
        <v>835</v>
      </c>
      <c r="K310" s="2" t="s">
        <v>304</v>
      </c>
      <c r="L310" s="2" t="s">
        <v>125</v>
      </c>
      <c r="M310" s="8" t="str">
        <f>HYPERLINK("http://slimages.macys.com/is/image/MCY/11603680 ")</f>
        <v xml:space="preserve">http://slimages.macys.com/is/image/MCY/11603680 </v>
      </c>
    </row>
    <row r="311" spans="1:13" ht="60" x14ac:dyDescent="0.25">
      <c r="A311" s="7" t="s">
        <v>11111</v>
      </c>
      <c r="B311" s="2" t="s">
        <v>10144</v>
      </c>
      <c r="C311" s="4">
        <v>1</v>
      </c>
      <c r="D311" s="5">
        <v>5.8</v>
      </c>
      <c r="E311" s="5">
        <v>12.99</v>
      </c>
      <c r="F311" s="4" t="s">
        <v>10145</v>
      </c>
      <c r="G311" s="2" t="s">
        <v>171</v>
      </c>
      <c r="H311" s="7" t="s">
        <v>442</v>
      </c>
      <c r="I311" s="2" t="s">
        <v>483</v>
      </c>
      <c r="J311" s="2" t="s">
        <v>536</v>
      </c>
      <c r="K311" s="2" t="s">
        <v>304</v>
      </c>
      <c r="L311" s="2" t="s">
        <v>596</v>
      </c>
      <c r="M311" s="8" t="str">
        <f>HYPERLINK("http://slimages.macys.com/is/image/MCY/11436946 ")</f>
        <v xml:space="preserve">http://slimages.macys.com/is/image/MCY/11436946 </v>
      </c>
    </row>
    <row r="312" spans="1:13" ht="60" x14ac:dyDescent="0.25">
      <c r="A312" s="7" t="s">
        <v>11112</v>
      </c>
      <c r="B312" s="2" t="s">
        <v>1877</v>
      </c>
      <c r="C312" s="4">
        <v>1</v>
      </c>
      <c r="D312" s="5">
        <v>5.8</v>
      </c>
      <c r="E312" s="5">
        <v>13.19</v>
      </c>
      <c r="F312" s="4">
        <v>18633810</v>
      </c>
      <c r="G312" s="2" t="s">
        <v>752</v>
      </c>
      <c r="H312" s="7" t="s">
        <v>91</v>
      </c>
      <c r="I312" s="2" t="s">
        <v>153</v>
      </c>
      <c r="J312" s="2" t="s">
        <v>154</v>
      </c>
      <c r="K312" s="2" t="s">
        <v>304</v>
      </c>
      <c r="L312" s="2" t="s">
        <v>38</v>
      </c>
      <c r="M312" s="8" t="str">
        <f>HYPERLINK("http://slimages.macys.com/is/image/MCY/13941918 ")</f>
        <v xml:space="preserve">http://slimages.macys.com/is/image/MCY/13941918 </v>
      </c>
    </row>
    <row r="313" spans="1:13" ht="60" x14ac:dyDescent="0.25">
      <c r="A313" s="7" t="s">
        <v>1878</v>
      </c>
      <c r="B313" s="2" t="s">
        <v>1877</v>
      </c>
      <c r="C313" s="4">
        <v>1</v>
      </c>
      <c r="D313" s="5">
        <v>5.8</v>
      </c>
      <c r="E313" s="5">
        <v>13.19</v>
      </c>
      <c r="F313" s="4">
        <v>18633210</v>
      </c>
      <c r="G313" s="2"/>
      <c r="H313" s="7" t="s">
        <v>482</v>
      </c>
      <c r="I313" s="2" t="s">
        <v>153</v>
      </c>
      <c r="J313" s="2" t="s">
        <v>154</v>
      </c>
      <c r="K313" s="2" t="s">
        <v>304</v>
      </c>
      <c r="L313" s="2" t="s">
        <v>38</v>
      </c>
      <c r="M313" s="8" t="str">
        <f>HYPERLINK("http://slimages.macys.com/is/image/MCY/13941923 ")</f>
        <v xml:space="preserve">http://slimages.macys.com/is/image/MCY/13941923 </v>
      </c>
    </row>
    <row r="314" spans="1:13" ht="60" x14ac:dyDescent="0.25">
      <c r="A314" s="7" t="s">
        <v>3394</v>
      </c>
      <c r="B314" s="2" t="s">
        <v>3389</v>
      </c>
      <c r="C314" s="4">
        <v>1</v>
      </c>
      <c r="D314" s="5">
        <v>5.8</v>
      </c>
      <c r="E314" s="5">
        <v>13.19</v>
      </c>
      <c r="F314" s="4">
        <v>17892410</v>
      </c>
      <c r="G314" s="2" t="s">
        <v>48</v>
      </c>
      <c r="H314" s="7" t="s">
        <v>438</v>
      </c>
      <c r="I314" s="2" t="s">
        <v>153</v>
      </c>
      <c r="J314" s="2" t="s">
        <v>154</v>
      </c>
      <c r="K314" s="2" t="s">
        <v>304</v>
      </c>
      <c r="L314" s="2" t="s">
        <v>38</v>
      </c>
      <c r="M314" s="8" t="str">
        <f>HYPERLINK("http://slimages.macys.com/is/image/MCY/13341369 ")</f>
        <v xml:space="preserve">http://slimages.macys.com/is/image/MCY/13341369 </v>
      </c>
    </row>
    <row r="315" spans="1:13" ht="60" x14ac:dyDescent="0.25">
      <c r="A315" s="7" t="s">
        <v>11113</v>
      </c>
      <c r="B315" s="2" t="s">
        <v>1885</v>
      </c>
      <c r="C315" s="4">
        <v>1</v>
      </c>
      <c r="D315" s="5">
        <v>5.75</v>
      </c>
      <c r="E315" s="5">
        <v>12.99</v>
      </c>
      <c r="F315" s="4" t="s">
        <v>1886</v>
      </c>
      <c r="G315" s="2" t="s">
        <v>437</v>
      </c>
      <c r="H315" s="7" t="s">
        <v>42</v>
      </c>
      <c r="I315" s="2" t="s">
        <v>483</v>
      </c>
      <c r="J315" s="2" t="s">
        <v>536</v>
      </c>
      <c r="K315" s="2" t="s">
        <v>304</v>
      </c>
      <c r="L315" s="2" t="s">
        <v>596</v>
      </c>
      <c r="M315" s="8" t="str">
        <f>HYPERLINK("http://slimages.macys.com/is/image/MCY/12644485 ")</f>
        <v xml:space="preserve">http://slimages.macys.com/is/image/MCY/12644485 </v>
      </c>
    </row>
    <row r="316" spans="1:13" ht="60" x14ac:dyDescent="0.25">
      <c r="A316" s="7" t="s">
        <v>9009</v>
      </c>
      <c r="B316" s="2" t="s">
        <v>8305</v>
      </c>
      <c r="C316" s="4">
        <v>4</v>
      </c>
      <c r="D316" s="5">
        <v>5.75</v>
      </c>
      <c r="E316" s="5">
        <v>14.99</v>
      </c>
      <c r="F316" s="4" t="s">
        <v>8306</v>
      </c>
      <c r="G316" s="2" t="s">
        <v>353</v>
      </c>
      <c r="H316" s="7"/>
      <c r="I316" s="2" t="s">
        <v>30</v>
      </c>
      <c r="J316" s="2" t="s">
        <v>1890</v>
      </c>
      <c r="K316" s="2" t="s">
        <v>304</v>
      </c>
      <c r="L316" s="2" t="s">
        <v>416</v>
      </c>
      <c r="M316" s="8" t="str">
        <f>HYPERLINK("http://slimages.macys.com/is/image/MCY/12224270 ")</f>
        <v xml:space="preserve">http://slimages.macys.com/is/image/MCY/12224270 </v>
      </c>
    </row>
    <row r="317" spans="1:13" ht="60" x14ac:dyDescent="0.25">
      <c r="A317" s="7" t="s">
        <v>11114</v>
      </c>
      <c r="B317" s="2" t="s">
        <v>11115</v>
      </c>
      <c r="C317" s="4">
        <v>1</v>
      </c>
      <c r="D317" s="5">
        <v>5.75</v>
      </c>
      <c r="E317" s="5">
        <v>15.99</v>
      </c>
      <c r="F317" s="4" t="s">
        <v>11116</v>
      </c>
      <c r="G317" s="2" t="s">
        <v>28</v>
      </c>
      <c r="H317" s="7"/>
      <c r="I317" s="2" t="s">
        <v>321</v>
      </c>
      <c r="J317" s="2" t="s">
        <v>492</v>
      </c>
      <c r="K317" s="2" t="s">
        <v>304</v>
      </c>
      <c r="L317" s="2" t="s">
        <v>125</v>
      </c>
      <c r="M317" s="8" t="str">
        <f>HYPERLINK("http://slimages.macys.com/is/image/MCY/10924224 ")</f>
        <v xml:space="preserve">http://slimages.macys.com/is/image/MCY/10924224 </v>
      </c>
    </row>
    <row r="318" spans="1:13" ht="60" x14ac:dyDescent="0.25">
      <c r="A318" s="7" t="s">
        <v>11117</v>
      </c>
      <c r="B318" s="2" t="s">
        <v>11115</v>
      </c>
      <c r="C318" s="4">
        <v>2</v>
      </c>
      <c r="D318" s="5">
        <v>5.75</v>
      </c>
      <c r="E318" s="5">
        <v>15.99</v>
      </c>
      <c r="F318" s="4" t="s">
        <v>11116</v>
      </c>
      <c r="G318" s="2" t="s">
        <v>28</v>
      </c>
      <c r="H318" s="7" t="s">
        <v>209</v>
      </c>
      <c r="I318" s="2" t="s">
        <v>321</v>
      </c>
      <c r="J318" s="2" t="s">
        <v>492</v>
      </c>
      <c r="K318" s="2" t="s">
        <v>304</v>
      </c>
      <c r="L318" s="2" t="s">
        <v>125</v>
      </c>
      <c r="M318" s="8" t="str">
        <f>HYPERLINK("http://slimages.macys.com/is/image/MCY/10924224 ")</f>
        <v xml:space="preserve">http://slimages.macys.com/is/image/MCY/10924224 </v>
      </c>
    </row>
    <row r="319" spans="1:13" ht="60" x14ac:dyDescent="0.25">
      <c r="A319" s="7" t="s">
        <v>11118</v>
      </c>
      <c r="B319" s="2" t="s">
        <v>11119</v>
      </c>
      <c r="C319" s="4">
        <v>2</v>
      </c>
      <c r="D319" s="5">
        <v>5.75</v>
      </c>
      <c r="E319" s="5">
        <v>13.99</v>
      </c>
      <c r="F319" s="4" t="s">
        <v>11120</v>
      </c>
      <c r="G319" s="2" t="s">
        <v>28</v>
      </c>
      <c r="H319" s="7" t="s">
        <v>166</v>
      </c>
      <c r="I319" s="2" t="s">
        <v>218</v>
      </c>
      <c r="J319" s="2" t="s">
        <v>835</v>
      </c>
      <c r="K319" s="2" t="s">
        <v>304</v>
      </c>
      <c r="L319" s="2" t="s">
        <v>125</v>
      </c>
      <c r="M319" s="8" t="str">
        <f>HYPERLINK("http://slimages.macys.com/is/image/MCY/12284165 ")</f>
        <v xml:space="preserve">http://slimages.macys.com/is/image/MCY/12284165 </v>
      </c>
    </row>
    <row r="320" spans="1:13" ht="60" x14ac:dyDescent="0.25">
      <c r="A320" s="7" t="s">
        <v>11121</v>
      </c>
      <c r="B320" s="2" t="s">
        <v>1815</v>
      </c>
      <c r="C320" s="4">
        <v>1</v>
      </c>
      <c r="D320" s="5">
        <v>5.75</v>
      </c>
      <c r="E320" s="5">
        <v>12.99</v>
      </c>
      <c r="F320" s="4" t="s">
        <v>11122</v>
      </c>
      <c r="G320" s="2" t="s">
        <v>62</v>
      </c>
      <c r="H320" s="7" t="s">
        <v>1151</v>
      </c>
      <c r="I320" s="2" t="s">
        <v>515</v>
      </c>
      <c r="J320" s="2" t="s">
        <v>516</v>
      </c>
      <c r="K320" s="2" t="s">
        <v>304</v>
      </c>
      <c r="L320" s="2" t="s">
        <v>358</v>
      </c>
      <c r="M320" s="8" t="str">
        <f>HYPERLINK("http://slimages.macys.com/is/image/MCY/13048722 ")</f>
        <v xml:space="preserve">http://slimages.macys.com/is/image/MCY/13048722 </v>
      </c>
    </row>
    <row r="321" spans="1:13" ht="60" x14ac:dyDescent="0.25">
      <c r="A321" s="7" t="s">
        <v>11123</v>
      </c>
      <c r="B321" s="2" t="s">
        <v>11119</v>
      </c>
      <c r="C321" s="4">
        <v>1</v>
      </c>
      <c r="D321" s="5">
        <v>5.75</v>
      </c>
      <c r="E321" s="5">
        <v>13.99</v>
      </c>
      <c r="F321" s="4" t="s">
        <v>11120</v>
      </c>
      <c r="G321" s="2" t="s">
        <v>28</v>
      </c>
      <c r="H321" s="7" t="s">
        <v>311</v>
      </c>
      <c r="I321" s="2" t="s">
        <v>218</v>
      </c>
      <c r="J321" s="2" t="s">
        <v>835</v>
      </c>
      <c r="K321" s="2" t="s">
        <v>304</v>
      </c>
      <c r="L321" s="2" t="s">
        <v>125</v>
      </c>
      <c r="M321" s="8" t="str">
        <f>HYPERLINK("http://slimages.macys.com/is/image/MCY/12284165 ")</f>
        <v xml:space="preserve">http://slimages.macys.com/is/image/MCY/12284165 </v>
      </c>
    </row>
    <row r="322" spans="1:13" ht="60" x14ac:dyDescent="0.25">
      <c r="A322" s="7" t="s">
        <v>11124</v>
      </c>
      <c r="B322" s="2" t="s">
        <v>11119</v>
      </c>
      <c r="C322" s="4">
        <v>1</v>
      </c>
      <c r="D322" s="5">
        <v>5.75</v>
      </c>
      <c r="E322" s="5">
        <v>13.99</v>
      </c>
      <c r="F322" s="4" t="s">
        <v>11120</v>
      </c>
      <c r="G322" s="2" t="s">
        <v>28</v>
      </c>
      <c r="H322" s="7" t="s">
        <v>123</v>
      </c>
      <c r="I322" s="2" t="s">
        <v>218</v>
      </c>
      <c r="J322" s="2" t="s">
        <v>835</v>
      </c>
      <c r="K322" s="2" t="s">
        <v>304</v>
      </c>
      <c r="L322" s="2" t="s">
        <v>125</v>
      </c>
      <c r="M322" s="8" t="str">
        <f>HYPERLINK("http://slimages.macys.com/is/image/MCY/12284165 ")</f>
        <v xml:space="preserve">http://slimages.macys.com/is/image/MCY/12284165 </v>
      </c>
    </row>
    <row r="323" spans="1:13" ht="96" x14ac:dyDescent="0.25">
      <c r="A323" s="7" t="s">
        <v>11125</v>
      </c>
      <c r="B323" s="2" t="s">
        <v>11126</v>
      </c>
      <c r="C323" s="4">
        <v>4</v>
      </c>
      <c r="D323" s="5">
        <v>5.7</v>
      </c>
      <c r="E323" s="5">
        <v>9.99</v>
      </c>
      <c r="F323" s="4" t="s">
        <v>11127</v>
      </c>
      <c r="G323" s="2" t="s">
        <v>28</v>
      </c>
      <c r="H323" s="7" t="s">
        <v>166</v>
      </c>
      <c r="I323" s="2" t="s">
        <v>80</v>
      </c>
      <c r="J323" s="2" t="s">
        <v>1857</v>
      </c>
      <c r="K323" s="2" t="s">
        <v>304</v>
      </c>
      <c r="L323" s="2" t="s">
        <v>11128</v>
      </c>
      <c r="M323" s="8" t="str">
        <f>HYPERLINK("http://slimages.macys.com/is/image/MCY/9487891 ")</f>
        <v xml:space="preserve">http://slimages.macys.com/is/image/MCY/9487891 </v>
      </c>
    </row>
    <row r="324" spans="1:13" ht="96" x14ac:dyDescent="0.25">
      <c r="A324" s="7" t="s">
        <v>11129</v>
      </c>
      <c r="B324" s="2" t="s">
        <v>11130</v>
      </c>
      <c r="C324" s="4">
        <v>1</v>
      </c>
      <c r="D324" s="5">
        <v>5.7</v>
      </c>
      <c r="E324" s="5">
        <v>9.99</v>
      </c>
      <c r="F324" s="4" t="s">
        <v>11131</v>
      </c>
      <c r="G324" s="2" t="s">
        <v>48</v>
      </c>
      <c r="H324" s="7" t="s">
        <v>311</v>
      </c>
      <c r="I324" s="2" t="s">
        <v>80</v>
      </c>
      <c r="J324" s="2" t="s">
        <v>1857</v>
      </c>
      <c r="K324" s="2" t="s">
        <v>304</v>
      </c>
      <c r="L324" s="2" t="s">
        <v>11132</v>
      </c>
      <c r="M324" s="8" t="str">
        <f>HYPERLINK("http://slimages.macys.com/is/image/MCY/11946422 ")</f>
        <v xml:space="preserve">http://slimages.macys.com/is/image/MCY/11946422 </v>
      </c>
    </row>
    <row r="325" spans="1:13" ht="96" x14ac:dyDescent="0.25">
      <c r="A325" s="7" t="s">
        <v>11133</v>
      </c>
      <c r="B325" s="2" t="s">
        <v>11126</v>
      </c>
      <c r="C325" s="4">
        <v>1</v>
      </c>
      <c r="D325" s="5">
        <v>5.7</v>
      </c>
      <c r="E325" s="5">
        <v>9.99</v>
      </c>
      <c r="F325" s="4" t="s">
        <v>11127</v>
      </c>
      <c r="G325" s="2" t="s">
        <v>28</v>
      </c>
      <c r="H325" s="7" t="s">
        <v>68</v>
      </c>
      <c r="I325" s="2" t="s">
        <v>80</v>
      </c>
      <c r="J325" s="2" t="s">
        <v>1857</v>
      </c>
      <c r="K325" s="2" t="s">
        <v>304</v>
      </c>
      <c r="L325" s="2" t="s">
        <v>11128</v>
      </c>
      <c r="M325" s="8" t="str">
        <f>HYPERLINK("http://slimages.macys.com/is/image/MCY/9487891 ")</f>
        <v xml:space="preserve">http://slimages.macys.com/is/image/MCY/9487891 </v>
      </c>
    </row>
    <row r="326" spans="1:13" ht="96" x14ac:dyDescent="0.25">
      <c r="A326" s="7" t="s">
        <v>11134</v>
      </c>
      <c r="B326" s="2" t="s">
        <v>11126</v>
      </c>
      <c r="C326" s="4">
        <v>1</v>
      </c>
      <c r="D326" s="5">
        <v>5.7</v>
      </c>
      <c r="E326" s="5">
        <v>9.99</v>
      </c>
      <c r="F326" s="4" t="s">
        <v>11127</v>
      </c>
      <c r="G326" s="2" t="s">
        <v>28</v>
      </c>
      <c r="H326" s="7" t="s">
        <v>311</v>
      </c>
      <c r="I326" s="2" t="s">
        <v>80</v>
      </c>
      <c r="J326" s="2" t="s">
        <v>1857</v>
      </c>
      <c r="K326" s="2" t="s">
        <v>304</v>
      </c>
      <c r="L326" s="2" t="s">
        <v>11128</v>
      </c>
      <c r="M326" s="8" t="str">
        <f>HYPERLINK("http://slimages.macys.com/is/image/MCY/9487891 ")</f>
        <v xml:space="preserve">http://slimages.macys.com/is/image/MCY/9487891 </v>
      </c>
    </row>
    <row r="327" spans="1:13" ht="156" x14ac:dyDescent="0.25">
      <c r="A327" s="7" t="s">
        <v>1901</v>
      </c>
      <c r="B327" s="2" t="s">
        <v>1902</v>
      </c>
      <c r="C327" s="4">
        <v>1</v>
      </c>
      <c r="D327" s="5">
        <v>5.65</v>
      </c>
      <c r="E327" s="5">
        <v>16.989999999999998</v>
      </c>
      <c r="F327" s="4" t="s">
        <v>1903</v>
      </c>
      <c r="G327" s="2" t="s">
        <v>388</v>
      </c>
      <c r="H327" s="7" t="s">
        <v>284</v>
      </c>
      <c r="I327" s="2" t="s">
        <v>342</v>
      </c>
      <c r="J327" s="2" t="s">
        <v>1789</v>
      </c>
      <c r="K327" s="2" t="s">
        <v>304</v>
      </c>
      <c r="L327" s="2" t="s">
        <v>1904</v>
      </c>
      <c r="M327" s="8" t="str">
        <f>HYPERLINK("http://slimages.macys.com/is/image/MCY/13339388 ")</f>
        <v xml:space="preserve">http://slimages.macys.com/is/image/MCY/13339388 </v>
      </c>
    </row>
    <row r="328" spans="1:13" ht="60" x14ac:dyDescent="0.25">
      <c r="A328" s="7" t="s">
        <v>11135</v>
      </c>
      <c r="B328" s="2" t="s">
        <v>3370</v>
      </c>
      <c r="C328" s="4">
        <v>1</v>
      </c>
      <c r="D328" s="5">
        <v>5.64</v>
      </c>
      <c r="E328" s="5">
        <v>12.99</v>
      </c>
      <c r="F328" s="4" t="s">
        <v>5964</v>
      </c>
      <c r="G328" s="2" t="s">
        <v>62</v>
      </c>
      <c r="H328" s="7" t="s">
        <v>311</v>
      </c>
      <c r="I328" s="2" t="s">
        <v>218</v>
      </c>
      <c r="J328" s="2" t="s">
        <v>2008</v>
      </c>
      <c r="K328" s="2" t="s">
        <v>304</v>
      </c>
      <c r="L328" s="2" t="s">
        <v>125</v>
      </c>
      <c r="M328" s="8" t="str">
        <f>HYPERLINK("http://slimages.macys.com/is/image/MCY/12742409 ")</f>
        <v xml:space="preserve">http://slimages.macys.com/is/image/MCY/12742409 </v>
      </c>
    </row>
    <row r="329" spans="1:13" ht="60" x14ac:dyDescent="0.25">
      <c r="A329" s="7" t="s">
        <v>1066</v>
      </c>
      <c r="B329" s="2" t="s">
        <v>1055</v>
      </c>
      <c r="C329" s="4">
        <v>2</v>
      </c>
      <c r="D329" s="5">
        <v>5.6</v>
      </c>
      <c r="E329" s="5">
        <v>14</v>
      </c>
      <c r="F329" s="4" t="s">
        <v>1067</v>
      </c>
      <c r="G329" s="2" t="s">
        <v>41</v>
      </c>
      <c r="H329" s="7"/>
      <c r="I329" s="2" t="s">
        <v>523</v>
      </c>
      <c r="J329" s="2" t="s">
        <v>937</v>
      </c>
      <c r="K329" s="2" t="s">
        <v>304</v>
      </c>
      <c r="L329" s="2" t="s">
        <v>263</v>
      </c>
      <c r="M329" s="8" t="str">
        <f>HYPERLINK("http://slimages.macys.com/is/image/MCY/12038119 ")</f>
        <v xml:space="preserve">http://slimages.macys.com/is/image/MCY/12038119 </v>
      </c>
    </row>
    <row r="330" spans="1:13" ht="60" x14ac:dyDescent="0.25">
      <c r="A330" s="7" t="s">
        <v>1059</v>
      </c>
      <c r="B330" s="2" t="s">
        <v>1060</v>
      </c>
      <c r="C330" s="4">
        <v>3</v>
      </c>
      <c r="D330" s="5">
        <v>5.6</v>
      </c>
      <c r="E330" s="5">
        <v>14</v>
      </c>
      <c r="F330" s="4" t="s">
        <v>1061</v>
      </c>
      <c r="G330" s="2" t="s">
        <v>752</v>
      </c>
      <c r="H330" s="7"/>
      <c r="I330" s="2" t="s">
        <v>523</v>
      </c>
      <c r="J330" s="2" t="s">
        <v>937</v>
      </c>
      <c r="K330" s="2" t="s">
        <v>304</v>
      </c>
      <c r="L330" s="2" t="s">
        <v>944</v>
      </c>
      <c r="M330" s="8" t="str">
        <f>HYPERLINK("http://slimages.macys.com/is/image/MCY/10425971 ")</f>
        <v xml:space="preserve">http://slimages.macys.com/is/image/MCY/10425971 </v>
      </c>
    </row>
    <row r="331" spans="1:13" ht="60" x14ac:dyDescent="0.25">
      <c r="A331" s="7" t="s">
        <v>1071</v>
      </c>
      <c r="B331" s="2" t="s">
        <v>1060</v>
      </c>
      <c r="C331" s="4">
        <v>2</v>
      </c>
      <c r="D331" s="5">
        <v>5.6</v>
      </c>
      <c r="E331" s="5">
        <v>14</v>
      </c>
      <c r="F331" s="4" t="s">
        <v>1072</v>
      </c>
      <c r="G331" s="2" t="s">
        <v>752</v>
      </c>
      <c r="H331" s="7"/>
      <c r="I331" s="2" t="s">
        <v>523</v>
      </c>
      <c r="J331" s="2" t="s">
        <v>937</v>
      </c>
      <c r="K331" s="2" t="s">
        <v>304</v>
      </c>
      <c r="L331" s="2" t="s">
        <v>944</v>
      </c>
      <c r="M331" s="8" t="str">
        <f>HYPERLINK("http://slimages.macys.com/is/image/MCY/10425971 ")</f>
        <v xml:space="preserve">http://slimages.macys.com/is/image/MCY/10425971 </v>
      </c>
    </row>
    <row r="332" spans="1:13" ht="60" x14ac:dyDescent="0.25">
      <c r="A332" s="7" t="s">
        <v>8308</v>
      </c>
      <c r="B332" s="2" t="s">
        <v>1069</v>
      </c>
      <c r="C332" s="4">
        <v>5</v>
      </c>
      <c r="D332" s="5">
        <v>5.6</v>
      </c>
      <c r="E332" s="5">
        <v>14</v>
      </c>
      <c r="F332" s="4" t="s">
        <v>8309</v>
      </c>
      <c r="G332" s="2" t="s">
        <v>165</v>
      </c>
      <c r="H332" s="7"/>
      <c r="I332" s="2" t="s">
        <v>523</v>
      </c>
      <c r="J332" s="2" t="s">
        <v>937</v>
      </c>
      <c r="K332" s="2" t="s">
        <v>304</v>
      </c>
      <c r="L332" s="2" t="s">
        <v>224</v>
      </c>
      <c r="M332" s="8" t="str">
        <f>HYPERLINK("http://slimages.macys.com/is/image/MCY/11954954 ")</f>
        <v xml:space="preserve">http://slimages.macys.com/is/image/MCY/11954954 </v>
      </c>
    </row>
    <row r="333" spans="1:13" ht="60" x14ac:dyDescent="0.25">
      <c r="A333" s="7" t="s">
        <v>11136</v>
      </c>
      <c r="B333" s="2" t="s">
        <v>8312</v>
      </c>
      <c r="C333" s="4">
        <v>1</v>
      </c>
      <c r="D333" s="5">
        <v>5.59</v>
      </c>
      <c r="E333" s="5">
        <v>14.99</v>
      </c>
      <c r="F333" s="4" t="s">
        <v>8313</v>
      </c>
      <c r="G333" s="2" t="s">
        <v>653</v>
      </c>
      <c r="H333" s="7" t="s">
        <v>123</v>
      </c>
      <c r="I333" s="2" t="s">
        <v>515</v>
      </c>
      <c r="J333" s="2" t="s">
        <v>516</v>
      </c>
      <c r="K333" s="2" t="s">
        <v>304</v>
      </c>
      <c r="L333" s="2" t="s">
        <v>358</v>
      </c>
      <c r="M333" s="8" t="str">
        <f>HYPERLINK("http://slimages.macys.com/is/image/MCY/11860803 ")</f>
        <v xml:space="preserve">http://slimages.macys.com/is/image/MCY/11860803 </v>
      </c>
    </row>
    <row r="334" spans="1:13" ht="60" x14ac:dyDescent="0.25">
      <c r="A334" s="7" t="s">
        <v>8314</v>
      </c>
      <c r="B334" s="2" t="s">
        <v>8312</v>
      </c>
      <c r="C334" s="4">
        <v>1</v>
      </c>
      <c r="D334" s="5">
        <v>5.59</v>
      </c>
      <c r="E334" s="5">
        <v>14.99</v>
      </c>
      <c r="F334" s="4" t="s">
        <v>8313</v>
      </c>
      <c r="G334" s="2" t="s">
        <v>653</v>
      </c>
      <c r="H334" s="7" t="s">
        <v>63</v>
      </c>
      <c r="I334" s="2" t="s">
        <v>515</v>
      </c>
      <c r="J334" s="2" t="s">
        <v>516</v>
      </c>
      <c r="K334" s="2" t="s">
        <v>304</v>
      </c>
      <c r="L334" s="2" t="s">
        <v>358</v>
      </c>
      <c r="M334" s="8" t="str">
        <f>HYPERLINK("http://slimages.macys.com/is/image/MCY/11860803 ")</f>
        <v xml:space="preserve">http://slimages.macys.com/is/image/MCY/11860803 </v>
      </c>
    </row>
    <row r="335" spans="1:13" ht="96" x14ac:dyDescent="0.25">
      <c r="A335" s="7" t="s">
        <v>1908</v>
      </c>
      <c r="B335" s="2" t="s">
        <v>1909</v>
      </c>
      <c r="C335" s="4">
        <v>1</v>
      </c>
      <c r="D335" s="5">
        <v>5.57</v>
      </c>
      <c r="E335" s="5">
        <v>16.989999999999998</v>
      </c>
      <c r="F335" s="4" t="s">
        <v>1910</v>
      </c>
      <c r="G335" s="2" t="s">
        <v>171</v>
      </c>
      <c r="H335" s="7" t="s">
        <v>284</v>
      </c>
      <c r="I335" s="2" t="s">
        <v>515</v>
      </c>
      <c r="J335" s="2" t="s">
        <v>827</v>
      </c>
      <c r="K335" s="2" t="s">
        <v>304</v>
      </c>
      <c r="L335" s="2" t="s">
        <v>1911</v>
      </c>
      <c r="M335" s="8" t="str">
        <f>HYPERLINK("http://slimages.macys.com/is/image/MCY/11606037 ")</f>
        <v xml:space="preserve">http://slimages.macys.com/is/image/MCY/11606037 </v>
      </c>
    </row>
    <row r="336" spans="1:13" ht="96" x14ac:dyDescent="0.25">
      <c r="A336" s="7" t="s">
        <v>9022</v>
      </c>
      <c r="B336" s="2" t="s">
        <v>1909</v>
      </c>
      <c r="C336" s="4">
        <v>2</v>
      </c>
      <c r="D336" s="5">
        <v>5.57</v>
      </c>
      <c r="E336" s="5">
        <v>16.989999999999998</v>
      </c>
      <c r="F336" s="4" t="s">
        <v>1910</v>
      </c>
      <c r="G336" s="2" t="s">
        <v>171</v>
      </c>
      <c r="H336" s="7" t="s">
        <v>159</v>
      </c>
      <c r="I336" s="2" t="s">
        <v>515</v>
      </c>
      <c r="J336" s="2" t="s">
        <v>827</v>
      </c>
      <c r="K336" s="2" t="s">
        <v>304</v>
      </c>
      <c r="L336" s="2" t="s">
        <v>1911</v>
      </c>
      <c r="M336" s="8" t="str">
        <f>HYPERLINK("http://slimages.macys.com/is/image/MCY/11606037 ")</f>
        <v xml:space="preserve">http://slimages.macys.com/is/image/MCY/11606037 </v>
      </c>
    </row>
    <row r="337" spans="1:13" ht="96" x14ac:dyDescent="0.25">
      <c r="A337" s="7" t="s">
        <v>9023</v>
      </c>
      <c r="B337" s="2" t="s">
        <v>1909</v>
      </c>
      <c r="C337" s="4">
        <v>1</v>
      </c>
      <c r="D337" s="5">
        <v>5.57</v>
      </c>
      <c r="E337" s="5">
        <v>16.989999999999998</v>
      </c>
      <c r="F337" s="4" t="s">
        <v>1910</v>
      </c>
      <c r="G337" s="2" t="s">
        <v>171</v>
      </c>
      <c r="H337" s="7" t="s">
        <v>228</v>
      </c>
      <c r="I337" s="2" t="s">
        <v>515</v>
      </c>
      <c r="J337" s="2" t="s">
        <v>827</v>
      </c>
      <c r="K337" s="2" t="s">
        <v>304</v>
      </c>
      <c r="L337" s="2" t="s">
        <v>1911</v>
      </c>
      <c r="M337" s="8" t="str">
        <f>HYPERLINK("http://slimages.macys.com/is/image/MCY/11606037 ")</f>
        <v xml:space="preserve">http://slimages.macys.com/is/image/MCY/11606037 </v>
      </c>
    </row>
    <row r="338" spans="1:13" ht="60" x14ac:dyDescent="0.25">
      <c r="A338" s="7" t="s">
        <v>11137</v>
      </c>
      <c r="B338" s="2" t="s">
        <v>518</v>
      </c>
      <c r="C338" s="4">
        <v>1</v>
      </c>
      <c r="D338" s="5">
        <v>5.5</v>
      </c>
      <c r="E338" s="5">
        <v>13.99</v>
      </c>
      <c r="F338" s="4">
        <v>91191787</v>
      </c>
      <c r="G338" s="2" t="s">
        <v>62</v>
      </c>
      <c r="H338" s="7" t="s">
        <v>284</v>
      </c>
      <c r="I338" s="2" t="s">
        <v>80</v>
      </c>
      <c r="J338" s="2" t="s">
        <v>519</v>
      </c>
      <c r="K338" s="2" t="s">
        <v>304</v>
      </c>
      <c r="L338" s="2" t="s">
        <v>125</v>
      </c>
      <c r="M338" s="8" t="str">
        <f>HYPERLINK("http://slimages.macys.com/is/image/MCY/12752830 ")</f>
        <v xml:space="preserve">http://slimages.macys.com/is/image/MCY/12752830 </v>
      </c>
    </row>
    <row r="339" spans="1:13" ht="60" x14ac:dyDescent="0.25">
      <c r="A339" s="7" t="s">
        <v>11138</v>
      </c>
      <c r="B339" s="2" t="s">
        <v>5035</v>
      </c>
      <c r="C339" s="4">
        <v>1</v>
      </c>
      <c r="D339" s="5">
        <v>5.5</v>
      </c>
      <c r="E339" s="5">
        <v>12.99</v>
      </c>
      <c r="F339" s="4" t="s">
        <v>5036</v>
      </c>
      <c r="G339" s="2" t="s">
        <v>28</v>
      </c>
      <c r="H339" s="7" t="s">
        <v>159</v>
      </c>
      <c r="I339" s="2" t="s">
        <v>257</v>
      </c>
      <c r="J339" s="2" t="s">
        <v>258</v>
      </c>
      <c r="K339" s="2" t="s">
        <v>304</v>
      </c>
      <c r="L339" s="2" t="s">
        <v>119</v>
      </c>
      <c r="M339" s="8" t="str">
        <f>HYPERLINK("http://slimages.macys.com/is/image/MCY/12736554 ")</f>
        <v xml:space="preserve">http://slimages.macys.com/is/image/MCY/12736554 </v>
      </c>
    </row>
    <row r="340" spans="1:13" ht="60" x14ac:dyDescent="0.25">
      <c r="A340" s="7" t="s">
        <v>5495</v>
      </c>
      <c r="B340" s="2" t="s">
        <v>1915</v>
      </c>
      <c r="C340" s="4">
        <v>2</v>
      </c>
      <c r="D340" s="5">
        <v>5.5</v>
      </c>
      <c r="E340" s="5">
        <v>10.99</v>
      </c>
      <c r="F340" s="4" t="s">
        <v>1916</v>
      </c>
      <c r="G340" s="2" t="s">
        <v>36</v>
      </c>
      <c r="H340" s="7" t="s">
        <v>196</v>
      </c>
      <c r="I340" s="2" t="s">
        <v>73</v>
      </c>
      <c r="J340" s="2" t="s">
        <v>1917</v>
      </c>
      <c r="K340" s="2" t="s">
        <v>304</v>
      </c>
      <c r="L340" s="2" t="s">
        <v>125</v>
      </c>
      <c r="M340" s="8" t="str">
        <f>HYPERLINK("http://slimages.macys.com/is/image/MCY/12235600 ")</f>
        <v xml:space="preserve">http://slimages.macys.com/is/image/MCY/12235600 </v>
      </c>
    </row>
    <row r="341" spans="1:13" ht="60" x14ac:dyDescent="0.25">
      <c r="A341" s="7" t="s">
        <v>5496</v>
      </c>
      <c r="B341" s="2" t="s">
        <v>1915</v>
      </c>
      <c r="C341" s="4">
        <v>3</v>
      </c>
      <c r="D341" s="5">
        <v>5.5</v>
      </c>
      <c r="E341" s="5">
        <v>10.99</v>
      </c>
      <c r="F341" s="4" t="s">
        <v>1916</v>
      </c>
      <c r="G341" s="2" t="s">
        <v>36</v>
      </c>
      <c r="H341" s="7" t="s">
        <v>228</v>
      </c>
      <c r="I341" s="2" t="s">
        <v>73</v>
      </c>
      <c r="J341" s="2" t="s">
        <v>1917</v>
      </c>
      <c r="K341" s="2" t="s">
        <v>304</v>
      </c>
      <c r="L341" s="2" t="s">
        <v>125</v>
      </c>
      <c r="M341" s="8" t="str">
        <f>HYPERLINK("http://slimages.macys.com/is/image/MCY/12235600 ")</f>
        <v xml:space="preserve">http://slimages.macys.com/is/image/MCY/12235600 </v>
      </c>
    </row>
    <row r="342" spans="1:13" ht="60" x14ac:dyDescent="0.25">
      <c r="A342" s="7" t="s">
        <v>2643</v>
      </c>
      <c r="B342" s="2" t="s">
        <v>1915</v>
      </c>
      <c r="C342" s="4">
        <v>1</v>
      </c>
      <c r="D342" s="5">
        <v>5.5</v>
      </c>
      <c r="E342" s="5">
        <v>10.99</v>
      </c>
      <c r="F342" s="4" t="s">
        <v>1916</v>
      </c>
      <c r="G342" s="2" t="s">
        <v>41</v>
      </c>
      <c r="H342" s="7" t="s">
        <v>284</v>
      </c>
      <c r="I342" s="2" t="s">
        <v>73</v>
      </c>
      <c r="J342" s="2" t="s">
        <v>1917</v>
      </c>
      <c r="K342" s="2" t="s">
        <v>304</v>
      </c>
      <c r="L342" s="2" t="s">
        <v>125</v>
      </c>
      <c r="M342" s="8" t="str">
        <f>HYPERLINK("http://slimages.macys.com/is/image/MCY/12235600 ")</f>
        <v xml:space="preserve">http://slimages.macys.com/is/image/MCY/12235600 </v>
      </c>
    </row>
    <row r="343" spans="1:13" ht="60" x14ac:dyDescent="0.25">
      <c r="A343" s="7" t="s">
        <v>9033</v>
      </c>
      <c r="B343" s="2" t="s">
        <v>5499</v>
      </c>
      <c r="C343" s="4">
        <v>1</v>
      </c>
      <c r="D343" s="5">
        <v>5.42</v>
      </c>
      <c r="E343" s="5">
        <v>12.99</v>
      </c>
      <c r="F343" s="4" t="s">
        <v>5500</v>
      </c>
      <c r="G343" s="2" t="s">
        <v>41</v>
      </c>
      <c r="H343" s="7" t="s">
        <v>217</v>
      </c>
      <c r="I343" s="2" t="s">
        <v>218</v>
      </c>
      <c r="J343" s="2" t="s">
        <v>1740</v>
      </c>
      <c r="K343" s="2" t="s">
        <v>304</v>
      </c>
      <c r="L343" s="2" t="s">
        <v>358</v>
      </c>
      <c r="M343" s="8" t="str">
        <f>HYPERLINK("http://slimages.macys.com/is/image/MCY/11952909 ")</f>
        <v xml:space="preserve">http://slimages.macys.com/is/image/MCY/11952909 </v>
      </c>
    </row>
    <row r="344" spans="1:13" ht="60" x14ac:dyDescent="0.25">
      <c r="A344" s="7" t="s">
        <v>5498</v>
      </c>
      <c r="B344" s="2" t="s">
        <v>5499</v>
      </c>
      <c r="C344" s="4">
        <v>1</v>
      </c>
      <c r="D344" s="5">
        <v>5.42</v>
      </c>
      <c r="E344" s="5">
        <v>12.99</v>
      </c>
      <c r="F344" s="4" t="s">
        <v>5500</v>
      </c>
      <c r="G344" s="2" t="s">
        <v>62</v>
      </c>
      <c r="H344" s="7" t="s">
        <v>159</v>
      </c>
      <c r="I344" s="2" t="s">
        <v>218</v>
      </c>
      <c r="J344" s="2" t="s">
        <v>1740</v>
      </c>
      <c r="K344" s="2" t="s">
        <v>304</v>
      </c>
      <c r="L344" s="2" t="s">
        <v>358</v>
      </c>
      <c r="M344" s="8" t="str">
        <f>HYPERLINK("http://slimages.macys.com/is/image/MCY/11952909 ")</f>
        <v xml:space="preserve">http://slimages.macys.com/is/image/MCY/11952909 </v>
      </c>
    </row>
    <row r="345" spans="1:13" ht="84" x14ac:dyDescent="0.25">
      <c r="A345" s="7" t="s">
        <v>10163</v>
      </c>
      <c r="B345" s="2" t="s">
        <v>1924</v>
      </c>
      <c r="C345" s="4">
        <v>1</v>
      </c>
      <c r="D345" s="5">
        <v>5.41</v>
      </c>
      <c r="E345" s="5">
        <v>16.989999999999998</v>
      </c>
      <c r="F345" s="4" t="s">
        <v>1925</v>
      </c>
      <c r="G345" s="2" t="s">
        <v>86</v>
      </c>
      <c r="H345" s="7" t="s">
        <v>228</v>
      </c>
      <c r="I345" s="2" t="s">
        <v>515</v>
      </c>
      <c r="J345" s="2" t="s">
        <v>827</v>
      </c>
      <c r="K345" s="2" t="s">
        <v>304</v>
      </c>
      <c r="L345" s="2" t="s">
        <v>1117</v>
      </c>
      <c r="M345" s="8" t="str">
        <f>HYPERLINK("http://slimages.macys.com/is/image/MCY/11605918 ")</f>
        <v xml:space="preserve">http://slimages.macys.com/is/image/MCY/11605918 </v>
      </c>
    </row>
    <row r="346" spans="1:13" ht="60" x14ac:dyDescent="0.25">
      <c r="A346" s="7" t="s">
        <v>11139</v>
      </c>
      <c r="B346" s="2" t="s">
        <v>11140</v>
      </c>
      <c r="C346" s="4">
        <v>1</v>
      </c>
      <c r="D346" s="5">
        <v>5.0999999999999996</v>
      </c>
      <c r="E346" s="5">
        <v>11.86</v>
      </c>
      <c r="F346" s="4">
        <v>18379810</v>
      </c>
      <c r="G346" s="2" t="s">
        <v>62</v>
      </c>
      <c r="H346" s="7" t="s">
        <v>438</v>
      </c>
      <c r="I346" s="2" t="s">
        <v>153</v>
      </c>
      <c r="J346" s="2" t="s">
        <v>154</v>
      </c>
      <c r="K346" s="2" t="s">
        <v>304</v>
      </c>
      <c r="L346" s="2" t="s">
        <v>38</v>
      </c>
      <c r="M346" s="8" t="str">
        <f>HYPERLINK("http://slimages.macys.com/is/image/MCY/14661923 ")</f>
        <v xml:space="preserve">http://slimages.macys.com/is/image/MCY/14661923 </v>
      </c>
    </row>
    <row r="347" spans="1:13" ht="84" x14ac:dyDescent="0.25">
      <c r="A347" s="7" t="s">
        <v>1958</v>
      </c>
      <c r="B347" s="2" t="s">
        <v>1959</v>
      </c>
      <c r="C347" s="4">
        <v>1</v>
      </c>
      <c r="D347" s="5">
        <v>5.05</v>
      </c>
      <c r="E347" s="5">
        <v>12.99</v>
      </c>
      <c r="F347" s="4" t="s">
        <v>1960</v>
      </c>
      <c r="G347" s="2" t="s">
        <v>48</v>
      </c>
      <c r="H347" s="7" t="s">
        <v>196</v>
      </c>
      <c r="I347" s="2" t="s">
        <v>515</v>
      </c>
      <c r="J347" s="2" t="s">
        <v>827</v>
      </c>
      <c r="K347" s="2" t="s">
        <v>304</v>
      </c>
      <c r="L347" s="2" t="s">
        <v>1117</v>
      </c>
      <c r="M347" s="8" t="str">
        <f>HYPERLINK("http://slimages.macys.com/is/image/MCY/12688120 ")</f>
        <v xml:space="preserve">http://slimages.macys.com/is/image/MCY/12688120 </v>
      </c>
    </row>
    <row r="348" spans="1:13" ht="60" x14ac:dyDescent="0.25">
      <c r="A348" s="7" t="s">
        <v>11141</v>
      </c>
      <c r="B348" s="2" t="s">
        <v>11142</v>
      </c>
      <c r="C348" s="4">
        <v>1</v>
      </c>
      <c r="D348" s="5">
        <v>4.99</v>
      </c>
      <c r="E348" s="5">
        <v>12.99</v>
      </c>
      <c r="F348" s="4" t="s">
        <v>11143</v>
      </c>
      <c r="G348" s="2" t="s">
        <v>297</v>
      </c>
      <c r="H348" s="7" t="s">
        <v>196</v>
      </c>
      <c r="I348" s="2" t="s">
        <v>515</v>
      </c>
      <c r="J348" s="2" t="s">
        <v>1971</v>
      </c>
      <c r="K348" s="2" t="s">
        <v>304</v>
      </c>
      <c r="L348" s="2" t="s">
        <v>119</v>
      </c>
      <c r="M348" s="8" t="str">
        <f>HYPERLINK("http://slimages.macys.com/is/image/MCY/12688530 ")</f>
        <v xml:space="preserve">http://slimages.macys.com/is/image/MCY/12688530 </v>
      </c>
    </row>
    <row r="349" spans="1:13" ht="60" x14ac:dyDescent="0.25">
      <c r="A349" s="7" t="s">
        <v>11144</v>
      </c>
      <c r="B349" s="2" t="s">
        <v>11145</v>
      </c>
      <c r="C349" s="4">
        <v>1</v>
      </c>
      <c r="D349" s="5">
        <v>4.9800000000000004</v>
      </c>
      <c r="E349" s="5">
        <v>16.8</v>
      </c>
      <c r="F349" s="4" t="s">
        <v>11146</v>
      </c>
      <c r="G349" s="2" t="s">
        <v>437</v>
      </c>
      <c r="H349" s="7"/>
      <c r="I349" s="2" t="s">
        <v>483</v>
      </c>
      <c r="J349" s="2" t="s">
        <v>536</v>
      </c>
      <c r="K349" s="2" t="s">
        <v>304</v>
      </c>
      <c r="L349" s="2" t="s">
        <v>623</v>
      </c>
      <c r="M349" s="8" t="str">
        <f>HYPERLINK("http://slimages.macys.com/is/image/MCY/12466267 ")</f>
        <v xml:space="preserve">http://slimages.macys.com/is/image/MCY/12466267 </v>
      </c>
    </row>
    <row r="350" spans="1:13" ht="60" x14ac:dyDescent="0.25">
      <c r="A350" s="7" t="s">
        <v>11147</v>
      </c>
      <c r="B350" s="2" t="s">
        <v>1975</v>
      </c>
      <c r="C350" s="4">
        <v>1</v>
      </c>
      <c r="D350" s="5">
        <v>4.93</v>
      </c>
      <c r="E350" s="5">
        <v>12.99</v>
      </c>
      <c r="F350" s="4" t="s">
        <v>1976</v>
      </c>
      <c r="G350" s="2" t="s">
        <v>527</v>
      </c>
      <c r="H350" s="7" t="s">
        <v>228</v>
      </c>
      <c r="I350" s="2" t="s">
        <v>515</v>
      </c>
      <c r="J350" s="2" t="s">
        <v>1971</v>
      </c>
      <c r="K350" s="2" t="s">
        <v>304</v>
      </c>
      <c r="L350" s="2" t="s">
        <v>119</v>
      </c>
      <c r="M350" s="8" t="str">
        <f>HYPERLINK("http://slimages.macys.com/is/image/MCY/11860776 ")</f>
        <v xml:space="preserve">http://slimages.macys.com/is/image/MCY/11860776 </v>
      </c>
    </row>
    <row r="351" spans="1:13" ht="60" x14ac:dyDescent="0.25">
      <c r="A351" s="7" t="s">
        <v>11148</v>
      </c>
      <c r="B351" s="2" t="s">
        <v>11149</v>
      </c>
      <c r="C351" s="4">
        <v>1</v>
      </c>
      <c r="D351" s="5">
        <v>4.93</v>
      </c>
      <c r="E351" s="5">
        <v>12.99</v>
      </c>
      <c r="F351" s="4" t="s">
        <v>11150</v>
      </c>
      <c r="G351" s="2" t="s">
        <v>86</v>
      </c>
      <c r="H351" s="7" t="s">
        <v>228</v>
      </c>
      <c r="I351" s="2" t="s">
        <v>389</v>
      </c>
      <c r="J351" s="2" t="s">
        <v>354</v>
      </c>
      <c r="K351" s="2" t="s">
        <v>304</v>
      </c>
      <c r="L351" s="2" t="s">
        <v>358</v>
      </c>
      <c r="M351" s="8" t="str">
        <f>HYPERLINK("http://slimages.macys.com/is/image/MCY/13293117 ")</f>
        <v xml:space="preserve">http://slimages.macys.com/is/image/MCY/13293117 </v>
      </c>
    </row>
    <row r="352" spans="1:13" ht="84" x14ac:dyDescent="0.25">
      <c r="A352" s="7" t="s">
        <v>11151</v>
      </c>
      <c r="B352" s="2" t="s">
        <v>1979</v>
      </c>
      <c r="C352" s="4">
        <v>1</v>
      </c>
      <c r="D352" s="5">
        <v>4.92</v>
      </c>
      <c r="E352" s="5">
        <v>12.99</v>
      </c>
      <c r="F352" s="4" t="s">
        <v>1980</v>
      </c>
      <c r="G352" s="2" t="s">
        <v>353</v>
      </c>
      <c r="H352" s="7" t="s">
        <v>228</v>
      </c>
      <c r="I352" s="2" t="s">
        <v>515</v>
      </c>
      <c r="J352" s="2" t="s">
        <v>827</v>
      </c>
      <c r="K352" s="2" t="s">
        <v>304</v>
      </c>
      <c r="L352" s="2" t="s">
        <v>1117</v>
      </c>
      <c r="M352" s="8" t="str">
        <f>HYPERLINK("http://slimages.macys.com/is/image/MCY/12687243 ")</f>
        <v xml:space="preserve">http://slimages.macys.com/is/image/MCY/12687243 </v>
      </c>
    </row>
    <row r="353" spans="1:13" ht="60" x14ac:dyDescent="0.25">
      <c r="A353" s="7" t="s">
        <v>11152</v>
      </c>
      <c r="B353" s="2" t="s">
        <v>7797</v>
      </c>
      <c r="C353" s="4">
        <v>1</v>
      </c>
      <c r="D353" s="5">
        <v>4.92</v>
      </c>
      <c r="E353" s="5">
        <v>11.99</v>
      </c>
      <c r="F353" s="4" t="s">
        <v>11153</v>
      </c>
      <c r="G353" s="2" t="s">
        <v>41</v>
      </c>
      <c r="H353" s="7" t="s">
        <v>228</v>
      </c>
      <c r="I353" s="2" t="s">
        <v>292</v>
      </c>
      <c r="J353" s="2" t="s">
        <v>293</v>
      </c>
      <c r="K353" s="2" t="s">
        <v>304</v>
      </c>
      <c r="L353" s="2" t="s">
        <v>571</v>
      </c>
      <c r="M353" s="8" t="str">
        <f>HYPERLINK("http://slimages.macys.com/is/image/MCY/12685619 ")</f>
        <v xml:space="preserve">http://slimages.macys.com/is/image/MCY/12685619 </v>
      </c>
    </row>
    <row r="354" spans="1:13" ht="108" x14ac:dyDescent="0.25">
      <c r="A354" s="7" t="s">
        <v>11154</v>
      </c>
      <c r="B354" s="2" t="s">
        <v>8332</v>
      </c>
      <c r="C354" s="4">
        <v>1</v>
      </c>
      <c r="D354" s="5">
        <v>4.8499999999999996</v>
      </c>
      <c r="E354" s="5">
        <v>14.99</v>
      </c>
      <c r="F354" s="4" t="s">
        <v>8333</v>
      </c>
      <c r="G354" s="2" t="s">
        <v>353</v>
      </c>
      <c r="H354" s="7" t="s">
        <v>63</v>
      </c>
      <c r="I354" s="2" t="s">
        <v>321</v>
      </c>
      <c r="J354" s="2" t="s">
        <v>3444</v>
      </c>
      <c r="K354" s="2" t="s">
        <v>304</v>
      </c>
      <c r="L354" s="2" t="s">
        <v>161</v>
      </c>
      <c r="M354" s="8" t="str">
        <f>HYPERLINK("http://slimages.macys.com/is/image/MCY/11228339 ")</f>
        <v xml:space="preserve">http://slimages.macys.com/is/image/MCY/11228339 </v>
      </c>
    </row>
    <row r="355" spans="1:13" ht="60" x14ac:dyDescent="0.25">
      <c r="A355" s="7" t="s">
        <v>11155</v>
      </c>
      <c r="B355" s="2" t="s">
        <v>10566</v>
      </c>
      <c r="C355" s="4">
        <v>4</v>
      </c>
      <c r="D355" s="5">
        <v>4.8099999999999996</v>
      </c>
      <c r="E355" s="5">
        <v>11.99</v>
      </c>
      <c r="F355" s="4" t="s">
        <v>10567</v>
      </c>
      <c r="G355" s="2" t="s">
        <v>28</v>
      </c>
      <c r="H355" s="7" t="s">
        <v>228</v>
      </c>
      <c r="I355" s="2" t="s">
        <v>292</v>
      </c>
      <c r="J355" s="2" t="s">
        <v>293</v>
      </c>
      <c r="K355" s="2" t="s">
        <v>304</v>
      </c>
      <c r="L355" s="2" t="s">
        <v>119</v>
      </c>
      <c r="M355" s="8" t="str">
        <f>HYPERLINK("http://slimages.macys.com/is/image/MCY/12685836 ")</f>
        <v xml:space="preserve">http://slimages.macys.com/is/image/MCY/12685836 </v>
      </c>
    </row>
    <row r="356" spans="1:13" ht="60" x14ac:dyDescent="0.25">
      <c r="A356" s="7" t="s">
        <v>10565</v>
      </c>
      <c r="B356" s="2" t="s">
        <v>10566</v>
      </c>
      <c r="C356" s="4">
        <v>7</v>
      </c>
      <c r="D356" s="5">
        <v>4.8099999999999996</v>
      </c>
      <c r="E356" s="5">
        <v>11.99</v>
      </c>
      <c r="F356" s="4" t="s">
        <v>10567</v>
      </c>
      <c r="G356" s="2" t="s">
        <v>28</v>
      </c>
      <c r="H356" s="7" t="s">
        <v>159</v>
      </c>
      <c r="I356" s="2" t="s">
        <v>292</v>
      </c>
      <c r="J356" s="2" t="s">
        <v>293</v>
      </c>
      <c r="K356" s="2" t="s">
        <v>304</v>
      </c>
      <c r="L356" s="2" t="s">
        <v>119</v>
      </c>
      <c r="M356" s="8" t="str">
        <f>HYPERLINK("http://slimages.macys.com/is/image/MCY/12685836 ")</f>
        <v xml:space="preserve">http://slimages.macys.com/is/image/MCY/12685836 </v>
      </c>
    </row>
    <row r="357" spans="1:13" ht="60" x14ac:dyDescent="0.25">
      <c r="A357" s="7" t="s">
        <v>11156</v>
      </c>
      <c r="B357" s="2" t="s">
        <v>10566</v>
      </c>
      <c r="C357" s="4">
        <v>2</v>
      </c>
      <c r="D357" s="5">
        <v>4.8099999999999996</v>
      </c>
      <c r="E357" s="5">
        <v>11.99</v>
      </c>
      <c r="F357" s="4" t="s">
        <v>10567</v>
      </c>
      <c r="G357" s="2" t="s">
        <v>28</v>
      </c>
      <c r="H357" s="7" t="s">
        <v>284</v>
      </c>
      <c r="I357" s="2" t="s">
        <v>292</v>
      </c>
      <c r="J357" s="2" t="s">
        <v>293</v>
      </c>
      <c r="K357" s="2" t="s">
        <v>304</v>
      </c>
      <c r="L357" s="2" t="s">
        <v>119</v>
      </c>
      <c r="M357" s="8" t="str">
        <f>HYPERLINK("http://slimages.macys.com/is/image/MCY/12685836 ")</f>
        <v xml:space="preserve">http://slimages.macys.com/is/image/MCY/12685836 </v>
      </c>
    </row>
    <row r="358" spans="1:13" ht="60" x14ac:dyDescent="0.25">
      <c r="A358" s="7" t="s">
        <v>11157</v>
      </c>
      <c r="B358" s="2" t="s">
        <v>10566</v>
      </c>
      <c r="C358" s="4">
        <v>5</v>
      </c>
      <c r="D358" s="5">
        <v>4.8099999999999996</v>
      </c>
      <c r="E358" s="5">
        <v>11.99</v>
      </c>
      <c r="F358" s="4" t="s">
        <v>10567</v>
      </c>
      <c r="G358" s="2" t="s">
        <v>28</v>
      </c>
      <c r="H358" s="7" t="s">
        <v>217</v>
      </c>
      <c r="I358" s="2" t="s">
        <v>292</v>
      </c>
      <c r="J358" s="2" t="s">
        <v>293</v>
      </c>
      <c r="K358" s="2" t="s">
        <v>304</v>
      </c>
      <c r="L358" s="2" t="s">
        <v>119</v>
      </c>
      <c r="M358" s="8" t="str">
        <f>HYPERLINK("http://slimages.macys.com/is/image/MCY/12685836 ")</f>
        <v xml:space="preserve">http://slimages.macys.com/is/image/MCY/12685836 </v>
      </c>
    </row>
    <row r="359" spans="1:13" ht="60" x14ac:dyDescent="0.25">
      <c r="A359" s="7" t="s">
        <v>1994</v>
      </c>
      <c r="B359" s="2" t="s">
        <v>1991</v>
      </c>
      <c r="C359" s="4">
        <v>1</v>
      </c>
      <c r="D359" s="5">
        <v>4.75</v>
      </c>
      <c r="E359" s="5">
        <v>8.99</v>
      </c>
      <c r="F359" s="4" t="s">
        <v>1992</v>
      </c>
      <c r="G359" s="2" t="s">
        <v>653</v>
      </c>
      <c r="H359" s="7" t="s">
        <v>159</v>
      </c>
      <c r="I359" s="2" t="s">
        <v>73</v>
      </c>
      <c r="J359" s="2" t="s">
        <v>1917</v>
      </c>
      <c r="K359" s="2" t="s">
        <v>304</v>
      </c>
      <c r="L359" s="2" t="s">
        <v>125</v>
      </c>
      <c r="M359" s="8" t="str">
        <f>HYPERLINK("http://slimages.macys.com/is/image/MCY/13726811 ")</f>
        <v xml:space="preserve">http://slimages.macys.com/is/image/MCY/13726811 </v>
      </c>
    </row>
    <row r="360" spans="1:13" ht="60" x14ac:dyDescent="0.25">
      <c r="A360" s="7" t="s">
        <v>1990</v>
      </c>
      <c r="B360" s="2" t="s">
        <v>1991</v>
      </c>
      <c r="C360" s="4">
        <v>1</v>
      </c>
      <c r="D360" s="5">
        <v>4.75</v>
      </c>
      <c r="E360" s="5">
        <v>8.99</v>
      </c>
      <c r="F360" s="4" t="s">
        <v>1992</v>
      </c>
      <c r="G360" s="2" t="s">
        <v>653</v>
      </c>
      <c r="H360" s="7" t="s">
        <v>284</v>
      </c>
      <c r="I360" s="2" t="s">
        <v>73</v>
      </c>
      <c r="J360" s="2" t="s">
        <v>1917</v>
      </c>
      <c r="K360" s="2" t="s">
        <v>304</v>
      </c>
      <c r="L360" s="2" t="s">
        <v>125</v>
      </c>
      <c r="M360" s="8" t="str">
        <f>HYPERLINK("http://slimages.macys.com/is/image/MCY/13726811 ")</f>
        <v xml:space="preserve">http://slimages.macys.com/is/image/MCY/13726811 </v>
      </c>
    </row>
    <row r="361" spans="1:13" ht="96" x14ac:dyDescent="0.25">
      <c r="A361" s="7" t="s">
        <v>11158</v>
      </c>
      <c r="B361" s="2" t="s">
        <v>11159</v>
      </c>
      <c r="C361" s="4">
        <v>1</v>
      </c>
      <c r="D361" s="5">
        <v>4.7300000000000004</v>
      </c>
      <c r="E361" s="5">
        <v>10.99</v>
      </c>
      <c r="F361" s="4" t="s">
        <v>11160</v>
      </c>
      <c r="G361" s="2" t="s">
        <v>437</v>
      </c>
      <c r="H361" s="7" t="s">
        <v>149</v>
      </c>
      <c r="I361" s="2" t="s">
        <v>483</v>
      </c>
      <c r="J361" s="2" t="s">
        <v>536</v>
      </c>
      <c r="K361" s="2" t="s">
        <v>304</v>
      </c>
      <c r="L361" s="2" t="s">
        <v>11161</v>
      </c>
      <c r="M361" s="8" t="str">
        <f>HYPERLINK("http://slimages.macys.com/is/image/MCY/11708118 ")</f>
        <v xml:space="preserve">http://slimages.macys.com/is/image/MCY/11708118 </v>
      </c>
    </row>
    <row r="362" spans="1:13" ht="108" x14ac:dyDescent="0.25">
      <c r="A362" s="7" t="s">
        <v>5529</v>
      </c>
      <c r="B362" s="2" t="s">
        <v>1996</v>
      </c>
      <c r="C362" s="4">
        <v>1</v>
      </c>
      <c r="D362" s="5">
        <v>4.67</v>
      </c>
      <c r="E362" s="5">
        <v>12</v>
      </c>
      <c r="F362" s="4" t="s">
        <v>1997</v>
      </c>
      <c r="G362" s="2" t="s">
        <v>437</v>
      </c>
      <c r="H362" s="7" t="s">
        <v>442</v>
      </c>
      <c r="I362" s="2" t="s">
        <v>483</v>
      </c>
      <c r="J362" s="2" t="s">
        <v>536</v>
      </c>
      <c r="K362" s="2" t="s">
        <v>304</v>
      </c>
      <c r="L362" s="2" t="s">
        <v>1998</v>
      </c>
      <c r="M362" s="8" t="str">
        <f>HYPERLINK("http://slimages.macys.com/is/image/MCY/12466268 ")</f>
        <v xml:space="preserve">http://slimages.macys.com/is/image/MCY/12466268 </v>
      </c>
    </row>
    <row r="363" spans="1:13" ht="108" x14ac:dyDescent="0.25">
      <c r="A363" s="7" t="s">
        <v>1995</v>
      </c>
      <c r="B363" s="2" t="s">
        <v>1996</v>
      </c>
      <c r="C363" s="4">
        <v>1</v>
      </c>
      <c r="D363" s="5">
        <v>4.67</v>
      </c>
      <c r="E363" s="5">
        <v>12</v>
      </c>
      <c r="F363" s="4" t="s">
        <v>1997</v>
      </c>
      <c r="G363" s="2" t="s">
        <v>437</v>
      </c>
      <c r="H363" s="7" t="s">
        <v>149</v>
      </c>
      <c r="I363" s="2" t="s">
        <v>483</v>
      </c>
      <c r="J363" s="2" t="s">
        <v>536</v>
      </c>
      <c r="K363" s="2" t="s">
        <v>304</v>
      </c>
      <c r="L363" s="2" t="s">
        <v>1998</v>
      </c>
      <c r="M363" s="8" t="str">
        <f>HYPERLINK("http://slimages.macys.com/is/image/MCY/12466268 ")</f>
        <v xml:space="preserve">http://slimages.macys.com/is/image/MCY/12466268 </v>
      </c>
    </row>
    <row r="364" spans="1:13" ht="60" x14ac:dyDescent="0.25">
      <c r="A364" s="7" t="s">
        <v>2001</v>
      </c>
      <c r="B364" s="2" t="s">
        <v>2002</v>
      </c>
      <c r="C364" s="4">
        <v>1</v>
      </c>
      <c r="D364" s="5">
        <v>4.6500000000000004</v>
      </c>
      <c r="E364" s="5">
        <v>14.99</v>
      </c>
      <c r="F364" s="4" t="s">
        <v>2003</v>
      </c>
      <c r="G364" s="2" t="s">
        <v>657</v>
      </c>
      <c r="H364" s="7" t="s">
        <v>123</v>
      </c>
      <c r="I364" s="2" t="s">
        <v>292</v>
      </c>
      <c r="J364" s="2" t="s">
        <v>354</v>
      </c>
      <c r="K364" s="2" t="s">
        <v>304</v>
      </c>
      <c r="L364" s="2" t="s">
        <v>125</v>
      </c>
      <c r="M364" s="8" t="str">
        <f>HYPERLINK("http://slimages.macys.com/is/image/MCY/13893167 ")</f>
        <v xml:space="preserve">http://slimages.macys.com/is/image/MCY/13893167 </v>
      </c>
    </row>
    <row r="365" spans="1:13" ht="60" x14ac:dyDescent="0.25">
      <c r="A365" s="7" t="s">
        <v>11162</v>
      </c>
      <c r="B365" s="2" t="s">
        <v>7743</v>
      </c>
      <c r="C365" s="4">
        <v>2</v>
      </c>
      <c r="D365" s="5">
        <v>4.6500000000000004</v>
      </c>
      <c r="E365" s="5">
        <v>12.99</v>
      </c>
      <c r="F365" s="4" t="s">
        <v>7744</v>
      </c>
      <c r="G365" s="2" t="s">
        <v>238</v>
      </c>
      <c r="H365" s="7" t="s">
        <v>159</v>
      </c>
      <c r="I365" s="2" t="s">
        <v>218</v>
      </c>
      <c r="J365" s="2" t="s">
        <v>1740</v>
      </c>
      <c r="K365" s="2" t="s">
        <v>304</v>
      </c>
      <c r="L365" s="2" t="s">
        <v>119</v>
      </c>
      <c r="M365" s="8" t="str">
        <f>HYPERLINK("http://slimages.macys.com/is/image/MCY/11952741 ")</f>
        <v xml:space="preserve">http://slimages.macys.com/is/image/MCY/11952741 </v>
      </c>
    </row>
    <row r="366" spans="1:13" ht="60" x14ac:dyDescent="0.25">
      <c r="A366" s="7" t="s">
        <v>7742</v>
      </c>
      <c r="B366" s="2" t="s">
        <v>7743</v>
      </c>
      <c r="C366" s="4">
        <v>2</v>
      </c>
      <c r="D366" s="5">
        <v>4.6500000000000004</v>
      </c>
      <c r="E366" s="5">
        <v>12.99</v>
      </c>
      <c r="F366" s="4" t="s">
        <v>7744</v>
      </c>
      <c r="G366" s="2" t="s">
        <v>297</v>
      </c>
      <c r="H366" s="7" t="s">
        <v>228</v>
      </c>
      <c r="I366" s="2" t="s">
        <v>218</v>
      </c>
      <c r="J366" s="2" t="s">
        <v>1740</v>
      </c>
      <c r="K366" s="2" t="s">
        <v>304</v>
      </c>
      <c r="L366" s="2" t="s">
        <v>119</v>
      </c>
      <c r="M366" s="8" t="str">
        <f>HYPERLINK("http://slimages.macys.com/is/image/MCY/11952741 ")</f>
        <v xml:space="preserve">http://slimages.macys.com/is/image/MCY/11952741 </v>
      </c>
    </row>
    <row r="367" spans="1:13" ht="60" x14ac:dyDescent="0.25">
      <c r="A367" s="7" t="s">
        <v>9651</v>
      </c>
      <c r="B367" s="2" t="s">
        <v>2138</v>
      </c>
      <c r="C367" s="4">
        <v>1</v>
      </c>
      <c r="D367" s="5">
        <v>4.5999999999999996</v>
      </c>
      <c r="E367" s="5">
        <v>10.99</v>
      </c>
      <c r="F367" s="4" t="s">
        <v>9100</v>
      </c>
      <c r="G367" s="2" t="s">
        <v>41</v>
      </c>
      <c r="H367" s="7" t="s">
        <v>284</v>
      </c>
      <c r="I367" s="2" t="s">
        <v>389</v>
      </c>
      <c r="J367" s="2" t="s">
        <v>354</v>
      </c>
      <c r="K367" s="2" t="s">
        <v>304</v>
      </c>
      <c r="L367" s="2" t="s">
        <v>119</v>
      </c>
      <c r="M367" s="8" t="str">
        <f>HYPERLINK("http://slimages.macys.com/is/image/MCY/10178268 ")</f>
        <v xml:space="preserve">http://slimages.macys.com/is/image/MCY/10178268 </v>
      </c>
    </row>
    <row r="368" spans="1:13" ht="84" x14ac:dyDescent="0.25">
      <c r="A368" s="7" t="s">
        <v>10196</v>
      </c>
      <c r="B368" s="2" t="s">
        <v>9106</v>
      </c>
      <c r="C368" s="4">
        <v>1</v>
      </c>
      <c r="D368" s="5">
        <v>4.59</v>
      </c>
      <c r="E368" s="5">
        <v>12.99</v>
      </c>
      <c r="F368" s="4" t="s">
        <v>9107</v>
      </c>
      <c r="G368" s="2" t="s">
        <v>28</v>
      </c>
      <c r="H368" s="7" t="s">
        <v>196</v>
      </c>
      <c r="I368" s="2" t="s">
        <v>515</v>
      </c>
      <c r="J368" s="2" t="s">
        <v>827</v>
      </c>
      <c r="K368" s="2" t="s">
        <v>304</v>
      </c>
      <c r="L368" s="2" t="s">
        <v>1117</v>
      </c>
      <c r="M368" s="8" t="str">
        <f>HYPERLINK("http://slimages.macys.com/is/image/MCY/11605907 ")</f>
        <v xml:space="preserve">http://slimages.macys.com/is/image/MCY/11605907 </v>
      </c>
    </row>
    <row r="369" spans="1:13" ht="84" x14ac:dyDescent="0.25">
      <c r="A369" s="7" t="s">
        <v>8342</v>
      </c>
      <c r="B369" s="2" t="s">
        <v>2011</v>
      </c>
      <c r="C369" s="4">
        <v>1</v>
      </c>
      <c r="D369" s="5">
        <v>4.59</v>
      </c>
      <c r="E369" s="5">
        <v>12.99</v>
      </c>
      <c r="F369" s="4" t="s">
        <v>2012</v>
      </c>
      <c r="G369" s="2" t="s">
        <v>28</v>
      </c>
      <c r="H369" s="7" t="s">
        <v>284</v>
      </c>
      <c r="I369" s="2" t="s">
        <v>515</v>
      </c>
      <c r="J369" s="2" t="s">
        <v>827</v>
      </c>
      <c r="K369" s="2" t="s">
        <v>304</v>
      </c>
      <c r="L369" s="2" t="s">
        <v>1117</v>
      </c>
      <c r="M369" s="8" t="str">
        <f>HYPERLINK("http://slimages.macys.com/is/image/MCY/11606013 ")</f>
        <v xml:space="preserve">http://slimages.macys.com/is/image/MCY/11606013 </v>
      </c>
    </row>
    <row r="370" spans="1:13" ht="84" x14ac:dyDescent="0.25">
      <c r="A370" s="7" t="s">
        <v>10195</v>
      </c>
      <c r="B370" s="2" t="s">
        <v>2011</v>
      </c>
      <c r="C370" s="4">
        <v>1</v>
      </c>
      <c r="D370" s="5">
        <v>4.59</v>
      </c>
      <c r="E370" s="5">
        <v>12.99</v>
      </c>
      <c r="F370" s="4" t="s">
        <v>2012</v>
      </c>
      <c r="G370" s="2" t="s">
        <v>28</v>
      </c>
      <c r="H370" s="7" t="s">
        <v>196</v>
      </c>
      <c r="I370" s="2" t="s">
        <v>515</v>
      </c>
      <c r="J370" s="2" t="s">
        <v>827</v>
      </c>
      <c r="K370" s="2" t="s">
        <v>304</v>
      </c>
      <c r="L370" s="2" t="s">
        <v>1117</v>
      </c>
      <c r="M370" s="8" t="str">
        <f>HYPERLINK("http://slimages.macys.com/is/image/MCY/11606013 ")</f>
        <v xml:space="preserve">http://slimages.macys.com/is/image/MCY/11606013 </v>
      </c>
    </row>
    <row r="371" spans="1:13" ht="60" x14ac:dyDescent="0.25">
      <c r="A371" s="7" t="s">
        <v>10570</v>
      </c>
      <c r="B371" s="2" t="s">
        <v>10571</v>
      </c>
      <c r="C371" s="4">
        <v>1</v>
      </c>
      <c r="D371" s="5">
        <v>4.57</v>
      </c>
      <c r="E371" s="5">
        <v>11.99</v>
      </c>
      <c r="F371" s="4" t="s">
        <v>10572</v>
      </c>
      <c r="G371" s="2" t="s">
        <v>28</v>
      </c>
      <c r="H371" s="7" t="s">
        <v>217</v>
      </c>
      <c r="I371" s="2" t="s">
        <v>292</v>
      </c>
      <c r="J371" s="2" t="s">
        <v>293</v>
      </c>
      <c r="K371" s="2" t="s">
        <v>304</v>
      </c>
      <c r="L371" s="2" t="s">
        <v>119</v>
      </c>
      <c r="M371" s="8" t="str">
        <f>HYPERLINK("http://slimages.macys.com/is/image/MCY/11526005 ")</f>
        <v xml:space="preserve">http://slimages.macys.com/is/image/MCY/11526005 </v>
      </c>
    </row>
    <row r="372" spans="1:13" ht="60" x14ac:dyDescent="0.25">
      <c r="A372" s="7" t="s">
        <v>11163</v>
      </c>
      <c r="B372" s="2" t="s">
        <v>2014</v>
      </c>
      <c r="C372" s="4">
        <v>1</v>
      </c>
      <c r="D372" s="5">
        <v>4.54</v>
      </c>
      <c r="E372" s="5">
        <v>10.99</v>
      </c>
      <c r="F372" s="4" t="s">
        <v>2015</v>
      </c>
      <c r="G372" s="2" t="s">
        <v>41</v>
      </c>
      <c r="H372" s="7" t="s">
        <v>317</v>
      </c>
      <c r="I372" s="2" t="s">
        <v>218</v>
      </c>
      <c r="J372" s="2" t="s">
        <v>2008</v>
      </c>
      <c r="K372" s="2" t="s">
        <v>304</v>
      </c>
      <c r="L372" s="2" t="s">
        <v>119</v>
      </c>
      <c r="M372" s="8" t="str">
        <f>HYPERLINK("http://slimages.macys.com/is/image/MCY/12236137 ")</f>
        <v xml:space="preserve">http://slimages.macys.com/is/image/MCY/12236137 </v>
      </c>
    </row>
    <row r="373" spans="1:13" ht="60" x14ac:dyDescent="0.25">
      <c r="A373" s="7" t="s">
        <v>11164</v>
      </c>
      <c r="B373" s="2" t="s">
        <v>6359</v>
      </c>
      <c r="C373" s="4">
        <v>1</v>
      </c>
      <c r="D373" s="5">
        <v>4.53</v>
      </c>
      <c r="E373" s="5">
        <v>12</v>
      </c>
      <c r="F373" s="4" t="s">
        <v>6360</v>
      </c>
      <c r="G373" s="2" t="s">
        <v>297</v>
      </c>
      <c r="H373" s="7"/>
      <c r="I373" s="2" t="s">
        <v>483</v>
      </c>
      <c r="J373" s="2" t="s">
        <v>536</v>
      </c>
      <c r="K373" s="2" t="s">
        <v>304</v>
      </c>
      <c r="L373" s="2" t="s">
        <v>358</v>
      </c>
      <c r="M373" s="8" t="str">
        <f>HYPERLINK("http://slimages.macys.com/is/image/MCY/11533942 ")</f>
        <v xml:space="preserve">http://slimages.macys.com/is/image/MCY/11533942 </v>
      </c>
    </row>
    <row r="374" spans="1:13" ht="60" x14ac:dyDescent="0.25">
      <c r="A374" s="7" t="s">
        <v>11165</v>
      </c>
      <c r="B374" s="2" t="s">
        <v>10198</v>
      </c>
      <c r="C374" s="4">
        <v>1</v>
      </c>
      <c r="D374" s="5">
        <v>4.5</v>
      </c>
      <c r="E374" s="5">
        <v>9.99</v>
      </c>
      <c r="F374" s="4" t="s">
        <v>10199</v>
      </c>
      <c r="G374" s="2" t="s">
        <v>62</v>
      </c>
      <c r="H374" s="7" t="s">
        <v>442</v>
      </c>
      <c r="I374" s="2" t="s">
        <v>135</v>
      </c>
      <c r="J374" s="2" t="s">
        <v>258</v>
      </c>
      <c r="K374" s="2" t="s">
        <v>304</v>
      </c>
      <c r="L374" s="2" t="s">
        <v>119</v>
      </c>
      <c r="M374" s="8" t="str">
        <f>HYPERLINK("http://slimages.macys.com/is/image/MCY/12326877 ")</f>
        <v xml:space="preserve">http://slimages.macys.com/is/image/MCY/12326877 </v>
      </c>
    </row>
    <row r="375" spans="1:13" ht="60" x14ac:dyDescent="0.25">
      <c r="A375" s="7" t="s">
        <v>11166</v>
      </c>
      <c r="B375" s="2" t="s">
        <v>10198</v>
      </c>
      <c r="C375" s="4">
        <v>3</v>
      </c>
      <c r="D375" s="5">
        <v>4.5</v>
      </c>
      <c r="E375" s="5">
        <v>9.99</v>
      </c>
      <c r="F375" s="4" t="s">
        <v>10199</v>
      </c>
      <c r="G375" s="2" t="s">
        <v>62</v>
      </c>
      <c r="H375" s="7" t="s">
        <v>91</v>
      </c>
      <c r="I375" s="2" t="s">
        <v>135</v>
      </c>
      <c r="J375" s="2" t="s">
        <v>258</v>
      </c>
      <c r="K375" s="2" t="s">
        <v>304</v>
      </c>
      <c r="L375" s="2" t="s">
        <v>119</v>
      </c>
      <c r="M375" s="8" t="str">
        <f>HYPERLINK("http://slimages.macys.com/is/image/MCY/12326877 ")</f>
        <v xml:space="preserve">http://slimages.macys.com/is/image/MCY/12326877 </v>
      </c>
    </row>
    <row r="376" spans="1:13" ht="60" x14ac:dyDescent="0.25">
      <c r="A376" s="7" t="s">
        <v>11167</v>
      </c>
      <c r="B376" s="2" t="s">
        <v>10198</v>
      </c>
      <c r="C376" s="4">
        <v>1</v>
      </c>
      <c r="D376" s="5">
        <v>4.5</v>
      </c>
      <c r="E376" s="5">
        <v>9.99</v>
      </c>
      <c r="F376" s="4" t="s">
        <v>10199</v>
      </c>
      <c r="G376" s="2" t="s">
        <v>134</v>
      </c>
      <c r="H376" s="7" t="s">
        <v>91</v>
      </c>
      <c r="I376" s="2" t="s">
        <v>135</v>
      </c>
      <c r="J376" s="2" t="s">
        <v>258</v>
      </c>
      <c r="K376" s="2" t="s">
        <v>304</v>
      </c>
      <c r="L376" s="2" t="s">
        <v>119</v>
      </c>
      <c r="M376" s="8" t="str">
        <f>HYPERLINK("http://slimages.macys.com/is/image/MCY/12326877 ")</f>
        <v xml:space="preserve">http://slimages.macys.com/is/image/MCY/12326877 </v>
      </c>
    </row>
    <row r="377" spans="1:13" ht="60" x14ac:dyDescent="0.25">
      <c r="A377" s="7" t="s">
        <v>2025</v>
      </c>
      <c r="B377" s="2" t="s">
        <v>2023</v>
      </c>
      <c r="C377" s="4">
        <v>1</v>
      </c>
      <c r="D377" s="5">
        <v>4.46</v>
      </c>
      <c r="E377" s="5">
        <v>12</v>
      </c>
      <c r="F377" s="4" t="s">
        <v>2024</v>
      </c>
      <c r="G377" s="2" t="s">
        <v>437</v>
      </c>
      <c r="H377" s="7"/>
      <c r="I377" s="2" t="s">
        <v>483</v>
      </c>
      <c r="J377" s="2" t="s">
        <v>536</v>
      </c>
      <c r="K377" s="2" t="s">
        <v>304</v>
      </c>
      <c r="L377" s="2" t="s">
        <v>1207</v>
      </c>
      <c r="M377" s="8" t="str">
        <f>HYPERLINK("http://slimages.macys.com/is/image/MCY/12466266 ")</f>
        <v xml:space="preserve">http://slimages.macys.com/is/image/MCY/12466266 </v>
      </c>
    </row>
    <row r="378" spans="1:13" ht="60" x14ac:dyDescent="0.25">
      <c r="A378" s="7" t="s">
        <v>2034</v>
      </c>
      <c r="B378" s="2" t="s">
        <v>2028</v>
      </c>
      <c r="C378" s="4">
        <v>1</v>
      </c>
      <c r="D378" s="5">
        <v>4.43</v>
      </c>
      <c r="E378" s="5">
        <v>12.99</v>
      </c>
      <c r="F378" s="4" t="s">
        <v>2029</v>
      </c>
      <c r="G378" s="2" t="s">
        <v>653</v>
      </c>
      <c r="H378" s="7" t="s">
        <v>284</v>
      </c>
      <c r="I378" s="2" t="s">
        <v>515</v>
      </c>
      <c r="J378" s="2" t="s">
        <v>827</v>
      </c>
      <c r="K378" s="2" t="s">
        <v>304</v>
      </c>
      <c r="L378" s="2" t="s">
        <v>358</v>
      </c>
      <c r="M378" s="8" t="str">
        <f>HYPERLINK("http://slimages.macys.com/is/image/MCY/11860927 ")</f>
        <v xml:space="preserve">http://slimages.macys.com/is/image/MCY/11860927 </v>
      </c>
    </row>
    <row r="379" spans="1:13" ht="84" x14ac:dyDescent="0.25">
      <c r="A379" s="7" t="s">
        <v>11168</v>
      </c>
      <c r="B379" s="2" t="s">
        <v>11169</v>
      </c>
      <c r="C379" s="4">
        <v>1</v>
      </c>
      <c r="D379" s="5">
        <v>4.43</v>
      </c>
      <c r="E379" s="5">
        <v>12.99</v>
      </c>
      <c r="F379" s="4" t="s">
        <v>11170</v>
      </c>
      <c r="G379" s="2" t="s">
        <v>62</v>
      </c>
      <c r="H379" s="7" t="s">
        <v>284</v>
      </c>
      <c r="I379" s="2" t="s">
        <v>515</v>
      </c>
      <c r="J379" s="2" t="s">
        <v>827</v>
      </c>
      <c r="K379" s="2" t="s">
        <v>304</v>
      </c>
      <c r="L379" s="2" t="s">
        <v>1117</v>
      </c>
      <c r="M379" s="8" t="str">
        <f>HYPERLINK("http://slimages.macys.com/is/image/MCY/11530995 ")</f>
        <v xml:space="preserve">http://slimages.macys.com/is/image/MCY/11530995 </v>
      </c>
    </row>
    <row r="380" spans="1:13" ht="60" x14ac:dyDescent="0.25">
      <c r="A380" s="7" t="s">
        <v>2027</v>
      </c>
      <c r="B380" s="2" t="s">
        <v>2028</v>
      </c>
      <c r="C380" s="4">
        <v>1</v>
      </c>
      <c r="D380" s="5">
        <v>4.43</v>
      </c>
      <c r="E380" s="5">
        <v>12.99</v>
      </c>
      <c r="F380" s="4" t="s">
        <v>2029</v>
      </c>
      <c r="G380" s="2" t="s">
        <v>653</v>
      </c>
      <c r="H380" s="7" t="s">
        <v>228</v>
      </c>
      <c r="I380" s="2" t="s">
        <v>515</v>
      </c>
      <c r="J380" s="2" t="s">
        <v>827</v>
      </c>
      <c r="K380" s="2" t="s">
        <v>304</v>
      </c>
      <c r="L380" s="2" t="s">
        <v>358</v>
      </c>
      <c r="M380" s="8" t="str">
        <f>HYPERLINK("http://slimages.macys.com/is/image/MCY/11860927 ")</f>
        <v xml:space="preserve">http://slimages.macys.com/is/image/MCY/11860927 </v>
      </c>
    </row>
    <row r="381" spans="1:13" ht="60" x14ac:dyDescent="0.25">
      <c r="A381" s="7" t="s">
        <v>5547</v>
      </c>
      <c r="B381" s="2" t="s">
        <v>5548</v>
      </c>
      <c r="C381" s="4">
        <v>1</v>
      </c>
      <c r="D381" s="5">
        <v>4.4000000000000004</v>
      </c>
      <c r="E381" s="5">
        <v>9.99</v>
      </c>
      <c r="F381" s="4" t="s">
        <v>5549</v>
      </c>
      <c r="G381" s="2" t="s">
        <v>1160</v>
      </c>
      <c r="H381" s="7" t="s">
        <v>284</v>
      </c>
      <c r="I381" s="2" t="s">
        <v>468</v>
      </c>
      <c r="J381" s="2" t="s">
        <v>469</v>
      </c>
      <c r="K381" s="2" t="s">
        <v>304</v>
      </c>
      <c r="L381" s="2" t="s">
        <v>119</v>
      </c>
      <c r="M381" s="8" t="str">
        <f>HYPERLINK("http://slimages.macys.com/is/image/MCY/13398921 ")</f>
        <v xml:space="preserve">http://slimages.macys.com/is/image/MCY/13398921 </v>
      </c>
    </row>
    <row r="382" spans="1:13" ht="60" x14ac:dyDescent="0.25">
      <c r="A382" s="7" t="s">
        <v>11171</v>
      </c>
      <c r="B382" s="2" t="s">
        <v>3473</v>
      </c>
      <c r="C382" s="4">
        <v>1</v>
      </c>
      <c r="D382" s="5">
        <v>4.4000000000000004</v>
      </c>
      <c r="E382" s="5">
        <v>9.99</v>
      </c>
      <c r="F382" s="4" t="s">
        <v>3474</v>
      </c>
      <c r="G382" s="2" t="s">
        <v>171</v>
      </c>
      <c r="H382" s="7" t="s">
        <v>284</v>
      </c>
      <c r="I382" s="2" t="s">
        <v>468</v>
      </c>
      <c r="J382" s="2" t="s">
        <v>469</v>
      </c>
      <c r="K382" s="2" t="s">
        <v>304</v>
      </c>
      <c r="L382" s="2" t="s">
        <v>119</v>
      </c>
      <c r="M382" s="8" t="str">
        <f>HYPERLINK("http://slimages.macys.com/is/image/MCY/12809149 ")</f>
        <v xml:space="preserve">http://slimages.macys.com/is/image/MCY/12809149 </v>
      </c>
    </row>
    <row r="383" spans="1:13" ht="60" x14ac:dyDescent="0.25">
      <c r="A383" s="7" t="s">
        <v>11172</v>
      </c>
      <c r="B383" s="2" t="s">
        <v>9671</v>
      </c>
      <c r="C383" s="4">
        <v>2</v>
      </c>
      <c r="D383" s="5">
        <v>4.3600000000000003</v>
      </c>
      <c r="E383" s="5">
        <v>12</v>
      </c>
      <c r="F383" s="4" t="s">
        <v>9672</v>
      </c>
      <c r="G383" s="2" t="s">
        <v>171</v>
      </c>
      <c r="H383" s="7" t="s">
        <v>590</v>
      </c>
      <c r="I383" s="2" t="s">
        <v>483</v>
      </c>
      <c r="J383" s="2" t="s">
        <v>536</v>
      </c>
      <c r="K383" s="2" t="s">
        <v>304</v>
      </c>
      <c r="L383" s="2" t="s">
        <v>119</v>
      </c>
      <c r="M383" s="8" t="str">
        <f>HYPERLINK("http://slimages.macys.com/is/image/MCY/12465008 ")</f>
        <v xml:space="preserve">http://slimages.macys.com/is/image/MCY/12465008 </v>
      </c>
    </row>
    <row r="384" spans="1:13" ht="60" x14ac:dyDescent="0.25">
      <c r="A384" s="7" t="s">
        <v>5555</v>
      </c>
      <c r="B384" s="2" t="s">
        <v>2049</v>
      </c>
      <c r="C384" s="4">
        <v>1</v>
      </c>
      <c r="D384" s="5">
        <v>4.32</v>
      </c>
      <c r="E384" s="5">
        <v>10.99</v>
      </c>
      <c r="F384" s="4">
        <v>10005384800</v>
      </c>
      <c r="G384" s="2" t="s">
        <v>1360</v>
      </c>
      <c r="H384" s="7" t="s">
        <v>590</v>
      </c>
      <c r="I384" s="2" t="s">
        <v>483</v>
      </c>
      <c r="J384" s="2" t="s">
        <v>536</v>
      </c>
      <c r="K384" s="2" t="s">
        <v>304</v>
      </c>
      <c r="L384" s="2" t="s">
        <v>119</v>
      </c>
      <c r="M384" s="8" t="str">
        <f>HYPERLINK("http://slimages.macys.com/is/image/MCY/12465277 ")</f>
        <v xml:space="preserve">http://slimages.macys.com/is/image/MCY/12465277 </v>
      </c>
    </row>
    <row r="385" spans="1:13" ht="60" x14ac:dyDescent="0.25">
      <c r="A385" s="7" t="s">
        <v>7012</v>
      </c>
      <c r="B385" s="2" t="s">
        <v>2049</v>
      </c>
      <c r="C385" s="4">
        <v>1</v>
      </c>
      <c r="D385" s="5">
        <v>4.32</v>
      </c>
      <c r="E385" s="5">
        <v>10.99</v>
      </c>
      <c r="F385" s="4">
        <v>10005384800</v>
      </c>
      <c r="G385" s="2" t="s">
        <v>86</v>
      </c>
      <c r="H385" s="7"/>
      <c r="I385" s="2" t="s">
        <v>483</v>
      </c>
      <c r="J385" s="2" t="s">
        <v>536</v>
      </c>
      <c r="K385" s="2" t="s">
        <v>304</v>
      </c>
      <c r="L385" s="2" t="s">
        <v>119</v>
      </c>
      <c r="M385" s="8" t="str">
        <f>HYPERLINK("http://slimages.macys.com/is/image/MCY/12465277 ")</f>
        <v xml:space="preserve">http://slimages.macys.com/is/image/MCY/12465277 </v>
      </c>
    </row>
    <row r="386" spans="1:13" ht="60" x14ac:dyDescent="0.25">
      <c r="A386" s="7" t="s">
        <v>2051</v>
      </c>
      <c r="B386" s="2" t="s">
        <v>2049</v>
      </c>
      <c r="C386" s="4">
        <v>2</v>
      </c>
      <c r="D386" s="5">
        <v>4.32</v>
      </c>
      <c r="E386" s="5">
        <v>10.99</v>
      </c>
      <c r="F386" s="4">
        <v>10005384800</v>
      </c>
      <c r="G386" s="2" t="s">
        <v>1360</v>
      </c>
      <c r="H386" s="7" t="s">
        <v>91</v>
      </c>
      <c r="I386" s="2" t="s">
        <v>483</v>
      </c>
      <c r="J386" s="2" t="s">
        <v>536</v>
      </c>
      <c r="K386" s="2" t="s">
        <v>304</v>
      </c>
      <c r="L386" s="2" t="s">
        <v>119</v>
      </c>
      <c r="M386" s="8" t="str">
        <f>HYPERLINK("http://slimages.macys.com/is/image/MCY/12465277 ")</f>
        <v xml:space="preserve">http://slimages.macys.com/is/image/MCY/12465277 </v>
      </c>
    </row>
    <row r="387" spans="1:13" ht="60" x14ac:dyDescent="0.25">
      <c r="A387" s="7" t="s">
        <v>11173</v>
      </c>
      <c r="B387" s="2" t="s">
        <v>5993</v>
      </c>
      <c r="C387" s="4">
        <v>1</v>
      </c>
      <c r="D387" s="5">
        <v>4.2699999999999996</v>
      </c>
      <c r="E387" s="5">
        <v>10.99</v>
      </c>
      <c r="F387" s="4" t="s">
        <v>5994</v>
      </c>
      <c r="G387" s="2" t="s">
        <v>62</v>
      </c>
      <c r="H387" s="7" t="s">
        <v>123</v>
      </c>
      <c r="I387" s="2" t="s">
        <v>218</v>
      </c>
      <c r="J387" s="2" t="s">
        <v>2008</v>
      </c>
      <c r="K387" s="2" t="s">
        <v>304</v>
      </c>
      <c r="L387" s="2" t="s">
        <v>119</v>
      </c>
      <c r="M387" s="8" t="str">
        <f>HYPERLINK("http://slimages.macys.com/is/image/MCY/12684312 ")</f>
        <v xml:space="preserve">http://slimages.macys.com/is/image/MCY/12684312 </v>
      </c>
    </row>
    <row r="388" spans="1:13" ht="60" x14ac:dyDescent="0.25">
      <c r="A388" s="7" t="s">
        <v>11174</v>
      </c>
      <c r="B388" s="2" t="s">
        <v>11175</v>
      </c>
      <c r="C388" s="4">
        <v>1</v>
      </c>
      <c r="D388" s="5">
        <v>4.25</v>
      </c>
      <c r="E388" s="5">
        <v>9.99</v>
      </c>
      <c r="F388" s="4" t="s">
        <v>11176</v>
      </c>
      <c r="G388" s="2" t="s">
        <v>800</v>
      </c>
      <c r="H388" s="7"/>
      <c r="I388" s="2" t="s">
        <v>135</v>
      </c>
      <c r="J388" s="2" t="s">
        <v>778</v>
      </c>
      <c r="K388" s="2" t="s">
        <v>304</v>
      </c>
      <c r="L388" s="2" t="s">
        <v>119</v>
      </c>
      <c r="M388" s="8" t="str">
        <f>HYPERLINK("http://slimages.macys.com/is/image/MCY/12339855 ")</f>
        <v xml:space="preserve">http://slimages.macys.com/is/image/MCY/12339855 </v>
      </c>
    </row>
    <row r="389" spans="1:13" ht="60" x14ac:dyDescent="0.25">
      <c r="A389" s="7" t="s">
        <v>8357</v>
      </c>
      <c r="B389" s="2" t="s">
        <v>2058</v>
      </c>
      <c r="C389" s="4">
        <v>1</v>
      </c>
      <c r="D389" s="5">
        <v>4.25</v>
      </c>
      <c r="E389" s="5">
        <v>7.99</v>
      </c>
      <c r="F389" s="4" t="s">
        <v>2059</v>
      </c>
      <c r="G389" s="2" t="s">
        <v>41</v>
      </c>
      <c r="H389" s="7" t="s">
        <v>123</v>
      </c>
      <c r="I389" s="2" t="s">
        <v>73</v>
      </c>
      <c r="J389" s="2" t="s">
        <v>1963</v>
      </c>
      <c r="K389" s="2" t="s">
        <v>304</v>
      </c>
      <c r="L389" s="2" t="s">
        <v>119</v>
      </c>
      <c r="M389" s="8" t="str">
        <f>HYPERLINK("http://slimages.macys.com/is/image/MCY/11272141 ")</f>
        <v xml:space="preserve">http://slimages.macys.com/is/image/MCY/11272141 </v>
      </c>
    </row>
    <row r="390" spans="1:13" ht="60" x14ac:dyDescent="0.25">
      <c r="A390" s="7" t="s">
        <v>2073</v>
      </c>
      <c r="B390" s="2" t="s">
        <v>1991</v>
      </c>
      <c r="C390" s="4">
        <v>1</v>
      </c>
      <c r="D390" s="5">
        <v>4.25</v>
      </c>
      <c r="E390" s="5">
        <v>5.99</v>
      </c>
      <c r="F390" s="4" t="s">
        <v>2061</v>
      </c>
      <c r="G390" s="2" t="s">
        <v>653</v>
      </c>
      <c r="H390" s="7" t="s">
        <v>63</v>
      </c>
      <c r="I390" s="2" t="s">
        <v>73</v>
      </c>
      <c r="J390" s="2" t="s">
        <v>1963</v>
      </c>
      <c r="K390" s="2" t="s">
        <v>304</v>
      </c>
      <c r="L390" s="2" t="s">
        <v>125</v>
      </c>
      <c r="M390" s="8" t="str">
        <f>HYPERLINK("http://slimages.macys.com/is/image/MCY/13726811 ")</f>
        <v xml:space="preserve">http://slimages.macys.com/is/image/MCY/13726811 </v>
      </c>
    </row>
    <row r="391" spans="1:13" ht="60" x14ac:dyDescent="0.25">
      <c r="A391" s="7" t="s">
        <v>5561</v>
      </c>
      <c r="B391" s="2" t="s">
        <v>2071</v>
      </c>
      <c r="C391" s="4">
        <v>1</v>
      </c>
      <c r="D391" s="5">
        <v>4.25</v>
      </c>
      <c r="E391" s="5">
        <v>7.99</v>
      </c>
      <c r="F391" s="4" t="s">
        <v>2072</v>
      </c>
      <c r="G391" s="2" t="s">
        <v>41</v>
      </c>
      <c r="H391" s="7" t="s">
        <v>317</v>
      </c>
      <c r="I391" s="2" t="s">
        <v>73</v>
      </c>
      <c r="J391" s="2" t="s">
        <v>1963</v>
      </c>
      <c r="K391" s="2" t="s">
        <v>304</v>
      </c>
      <c r="L391" s="2" t="s">
        <v>119</v>
      </c>
      <c r="M391" s="8" t="str">
        <f>HYPERLINK("http://slimages.macys.com/is/image/MCY/12684273 ")</f>
        <v xml:space="preserve">http://slimages.macys.com/is/image/MCY/12684273 </v>
      </c>
    </row>
    <row r="392" spans="1:13" ht="60" x14ac:dyDescent="0.25">
      <c r="A392" s="7" t="s">
        <v>11177</v>
      </c>
      <c r="B392" s="2" t="s">
        <v>2071</v>
      </c>
      <c r="C392" s="4">
        <v>1</v>
      </c>
      <c r="D392" s="5">
        <v>4.25</v>
      </c>
      <c r="E392" s="5">
        <v>7.99</v>
      </c>
      <c r="F392" s="4" t="s">
        <v>2072</v>
      </c>
      <c r="G392" s="2" t="s">
        <v>41</v>
      </c>
      <c r="H392" s="7" t="s">
        <v>311</v>
      </c>
      <c r="I392" s="2" t="s">
        <v>73</v>
      </c>
      <c r="J392" s="2" t="s">
        <v>1963</v>
      </c>
      <c r="K392" s="2" t="s">
        <v>304</v>
      </c>
      <c r="L392" s="2" t="s">
        <v>119</v>
      </c>
      <c r="M392" s="8" t="str">
        <f>HYPERLINK("http://slimages.macys.com/is/image/MCY/12684273 ")</f>
        <v xml:space="preserve">http://slimages.macys.com/is/image/MCY/12684273 </v>
      </c>
    </row>
    <row r="393" spans="1:13" ht="60" x14ac:dyDescent="0.25">
      <c r="A393" s="7" t="s">
        <v>11178</v>
      </c>
      <c r="B393" s="2" t="s">
        <v>2071</v>
      </c>
      <c r="C393" s="4">
        <v>1</v>
      </c>
      <c r="D393" s="5">
        <v>4.25</v>
      </c>
      <c r="E393" s="5">
        <v>7.99</v>
      </c>
      <c r="F393" s="4" t="s">
        <v>2072</v>
      </c>
      <c r="G393" s="2" t="s">
        <v>41</v>
      </c>
      <c r="H393" s="7" t="s">
        <v>209</v>
      </c>
      <c r="I393" s="2" t="s">
        <v>73</v>
      </c>
      <c r="J393" s="2" t="s">
        <v>1963</v>
      </c>
      <c r="K393" s="2" t="s">
        <v>304</v>
      </c>
      <c r="L393" s="2" t="s">
        <v>119</v>
      </c>
      <c r="M393" s="8" t="str">
        <f>HYPERLINK("http://slimages.macys.com/is/image/MCY/12684273 ")</f>
        <v xml:space="preserve">http://slimages.macys.com/is/image/MCY/12684273 </v>
      </c>
    </row>
    <row r="394" spans="1:13" ht="60" x14ac:dyDescent="0.25">
      <c r="A394" s="7" t="s">
        <v>2065</v>
      </c>
      <c r="B394" s="2" t="s">
        <v>1991</v>
      </c>
      <c r="C394" s="4">
        <v>1</v>
      </c>
      <c r="D394" s="5">
        <v>4.25</v>
      </c>
      <c r="E394" s="5">
        <v>5.99</v>
      </c>
      <c r="F394" s="4" t="s">
        <v>2061</v>
      </c>
      <c r="G394" s="2" t="s">
        <v>653</v>
      </c>
      <c r="H394" s="7" t="s">
        <v>317</v>
      </c>
      <c r="I394" s="2" t="s">
        <v>73</v>
      </c>
      <c r="J394" s="2" t="s">
        <v>1963</v>
      </c>
      <c r="K394" s="2" t="s">
        <v>304</v>
      </c>
      <c r="L394" s="2" t="s">
        <v>125</v>
      </c>
      <c r="M394" s="8" t="str">
        <f>HYPERLINK("http://slimages.macys.com/is/image/MCY/13726811 ")</f>
        <v xml:space="preserve">http://slimages.macys.com/is/image/MCY/13726811 </v>
      </c>
    </row>
    <row r="395" spans="1:13" ht="60" x14ac:dyDescent="0.25">
      <c r="A395" s="7" t="s">
        <v>11179</v>
      </c>
      <c r="B395" s="2" t="s">
        <v>11180</v>
      </c>
      <c r="C395" s="4">
        <v>1</v>
      </c>
      <c r="D395" s="5">
        <v>4.16</v>
      </c>
      <c r="E395" s="5">
        <v>10.99</v>
      </c>
      <c r="F395" s="4" t="s">
        <v>11181</v>
      </c>
      <c r="G395" s="2" t="s">
        <v>347</v>
      </c>
      <c r="H395" s="7" t="s">
        <v>311</v>
      </c>
      <c r="I395" s="2" t="s">
        <v>1689</v>
      </c>
      <c r="J395" s="2" t="s">
        <v>354</v>
      </c>
      <c r="K395" s="2" t="s">
        <v>304</v>
      </c>
      <c r="L395" s="2" t="s">
        <v>358</v>
      </c>
      <c r="M395" s="8" t="str">
        <f>HYPERLINK("http://slimages.macys.com/is/image/MCY/13076999 ")</f>
        <v xml:space="preserve">http://slimages.macys.com/is/image/MCY/13076999 </v>
      </c>
    </row>
    <row r="396" spans="1:13" ht="60" x14ac:dyDescent="0.25">
      <c r="A396" s="7" t="s">
        <v>11182</v>
      </c>
      <c r="B396" s="2" t="s">
        <v>10554</v>
      </c>
      <c r="C396" s="4">
        <v>1</v>
      </c>
      <c r="D396" s="5">
        <v>4.16</v>
      </c>
      <c r="E396" s="5">
        <v>10.99</v>
      </c>
      <c r="F396" s="4" t="s">
        <v>11183</v>
      </c>
      <c r="G396" s="2" t="s">
        <v>86</v>
      </c>
      <c r="H396" s="7" t="s">
        <v>123</v>
      </c>
      <c r="I396" s="2" t="s">
        <v>1689</v>
      </c>
      <c r="J396" s="2" t="s">
        <v>354</v>
      </c>
      <c r="K396" s="2" t="s">
        <v>304</v>
      </c>
      <c r="L396" s="2" t="s">
        <v>358</v>
      </c>
      <c r="M396" s="8" t="str">
        <f>HYPERLINK("http://slimages.macys.com/is/image/MCY/12001140 ")</f>
        <v xml:space="preserve">http://slimages.macys.com/is/image/MCY/12001140 </v>
      </c>
    </row>
    <row r="397" spans="1:13" ht="60" x14ac:dyDescent="0.25">
      <c r="A397" s="7" t="s">
        <v>11184</v>
      </c>
      <c r="B397" s="2" t="s">
        <v>4244</v>
      </c>
      <c r="C397" s="4">
        <v>1</v>
      </c>
      <c r="D397" s="5">
        <v>4.1500000000000004</v>
      </c>
      <c r="E397" s="5">
        <v>9.99</v>
      </c>
      <c r="F397" s="4" t="s">
        <v>4245</v>
      </c>
      <c r="G397" s="2" t="s">
        <v>353</v>
      </c>
      <c r="H397" s="7" t="s">
        <v>217</v>
      </c>
      <c r="I397" s="2" t="s">
        <v>468</v>
      </c>
      <c r="J397" s="2" t="s">
        <v>469</v>
      </c>
      <c r="K397" s="2" t="s">
        <v>304</v>
      </c>
      <c r="L397" s="2" t="s">
        <v>119</v>
      </c>
      <c r="M397" s="8" t="str">
        <f>HYPERLINK("http://slimages.macys.com/is/image/MCY/11959635 ")</f>
        <v xml:space="preserve">http://slimages.macys.com/is/image/MCY/11959635 </v>
      </c>
    </row>
    <row r="398" spans="1:13" ht="60" x14ac:dyDescent="0.25">
      <c r="A398" s="7" t="s">
        <v>2081</v>
      </c>
      <c r="B398" s="2" t="s">
        <v>2075</v>
      </c>
      <c r="C398" s="4">
        <v>1</v>
      </c>
      <c r="D398" s="5">
        <v>4.1500000000000004</v>
      </c>
      <c r="E398" s="5">
        <v>10.99</v>
      </c>
      <c r="F398" s="4" t="s">
        <v>2076</v>
      </c>
      <c r="G398" s="2"/>
      <c r="H398" s="7"/>
      <c r="I398" s="2" t="s">
        <v>312</v>
      </c>
      <c r="J398" s="2" t="s">
        <v>2077</v>
      </c>
      <c r="K398" s="2" t="s">
        <v>304</v>
      </c>
      <c r="L398" s="2" t="s">
        <v>2078</v>
      </c>
      <c r="M398" s="8" t="str">
        <f>HYPERLINK("http://slimages.macys.com/is/image/MCY/12045142 ")</f>
        <v xml:space="preserve">http://slimages.macys.com/is/image/MCY/12045142 </v>
      </c>
    </row>
    <row r="399" spans="1:13" ht="60" x14ac:dyDescent="0.25">
      <c r="A399" s="7" t="s">
        <v>2080</v>
      </c>
      <c r="B399" s="2" t="s">
        <v>2075</v>
      </c>
      <c r="C399" s="4">
        <v>1</v>
      </c>
      <c r="D399" s="5">
        <v>4.1500000000000004</v>
      </c>
      <c r="E399" s="5">
        <v>10.99</v>
      </c>
      <c r="F399" s="4" t="s">
        <v>2076</v>
      </c>
      <c r="G399" s="2"/>
      <c r="H399" s="7"/>
      <c r="I399" s="2" t="s">
        <v>312</v>
      </c>
      <c r="J399" s="2" t="s">
        <v>2077</v>
      </c>
      <c r="K399" s="2" t="s">
        <v>304</v>
      </c>
      <c r="L399" s="2" t="s">
        <v>2078</v>
      </c>
      <c r="M399" s="8" t="str">
        <f>HYPERLINK("http://slimages.macys.com/is/image/MCY/12045142 ")</f>
        <v xml:space="preserve">http://slimages.macys.com/is/image/MCY/12045142 </v>
      </c>
    </row>
    <row r="400" spans="1:13" ht="60" x14ac:dyDescent="0.25">
      <c r="A400" s="7" t="s">
        <v>4243</v>
      </c>
      <c r="B400" s="2" t="s">
        <v>4244</v>
      </c>
      <c r="C400" s="4">
        <v>1</v>
      </c>
      <c r="D400" s="5">
        <v>4.1500000000000004</v>
      </c>
      <c r="E400" s="5">
        <v>9.99</v>
      </c>
      <c r="F400" s="4" t="s">
        <v>4245</v>
      </c>
      <c r="G400" s="2" t="s">
        <v>353</v>
      </c>
      <c r="H400" s="7" t="s">
        <v>228</v>
      </c>
      <c r="I400" s="2" t="s">
        <v>468</v>
      </c>
      <c r="J400" s="2" t="s">
        <v>469</v>
      </c>
      <c r="K400" s="2" t="s">
        <v>304</v>
      </c>
      <c r="L400" s="2" t="s">
        <v>119</v>
      </c>
      <c r="M400" s="8" t="str">
        <f>HYPERLINK("http://slimages.macys.com/is/image/MCY/11959635 ")</f>
        <v xml:space="preserve">http://slimages.macys.com/is/image/MCY/11959635 </v>
      </c>
    </row>
    <row r="401" spans="1:13" ht="60" x14ac:dyDescent="0.25">
      <c r="A401" s="7" t="s">
        <v>9675</v>
      </c>
      <c r="B401" s="2" t="s">
        <v>9676</v>
      </c>
      <c r="C401" s="4">
        <v>1</v>
      </c>
      <c r="D401" s="5">
        <v>4.1100000000000003</v>
      </c>
      <c r="E401" s="5">
        <v>10.99</v>
      </c>
      <c r="F401" s="4" t="s">
        <v>9677</v>
      </c>
      <c r="G401" s="2" t="s">
        <v>41</v>
      </c>
      <c r="H401" s="7" t="s">
        <v>159</v>
      </c>
      <c r="I401" s="2" t="s">
        <v>389</v>
      </c>
      <c r="J401" s="2" t="s">
        <v>354</v>
      </c>
      <c r="K401" s="2" t="s">
        <v>304</v>
      </c>
      <c r="L401" s="2" t="s">
        <v>119</v>
      </c>
      <c r="M401" s="8" t="str">
        <f>HYPERLINK("http://slimages.macys.com/is/image/MCY/13296509 ")</f>
        <v xml:space="preserve">http://slimages.macys.com/is/image/MCY/13296509 </v>
      </c>
    </row>
    <row r="402" spans="1:13" ht="84" x14ac:dyDescent="0.25">
      <c r="A402" s="7" t="s">
        <v>11185</v>
      </c>
      <c r="B402" s="2" t="s">
        <v>6375</v>
      </c>
      <c r="C402" s="4">
        <v>1</v>
      </c>
      <c r="D402" s="5">
        <v>4.05</v>
      </c>
      <c r="E402" s="5">
        <v>9.99</v>
      </c>
      <c r="F402" s="4" t="s">
        <v>6376</v>
      </c>
      <c r="G402" s="2" t="s">
        <v>657</v>
      </c>
      <c r="H402" s="7" t="s">
        <v>123</v>
      </c>
      <c r="I402" s="2" t="s">
        <v>515</v>
      </c>
      <c r="J402" s="2" t="s">
        <v>875</v>
      </c>
      <c r="K402" s="2" t="s">
        <v>304</v>
      </c>
      <c r="L402" s="2" t="s">
        <v>8363</v>
      </c>
      <c r="M402" s="8" t="str">
        <f>HYPERLINK("http://slimages.macys.com/is/image/MCY/12953221 ")</f>
        <v xml:space="preserve">http://slimages.macys.com/is/image/MCY/12953221 </v>
      </c>
    </row>
    <row r="403" spans="1:13" ht="60" x14ac:dyDescent="0.25">
      <c r="A403" s="7" t="s">
        <v>11186</v>
      </c>
      <c r="B403" s="2" t="s">
        <v>1149</v>
      </c>
      <c r="C403" s="4">
        <v>1</v>
      </c>
      <c r="D403" s="5">
        <v>4.01</v>
      </c>
      <c r="E403" s="5">
        <v>9.99</v>
      </c>
      <c r="F403" s="4" t="s">
        <v>1150</v>
      </c>
      <c r="G403" s="2" t="s">
        <v>657</v>
      </c>
      <c r="H403" s="7" t="s">
        <v>1151</v>
      </c>
      <c r="I403" s="2" t="s">
        <v>515</v>
      </c>
      <c r="J403" s="2" t="s">
        <v>875</v>
      </c>
      <c r="K403" s="2" t="s">
        <v>304</v>
      </c>
      <c r="L403" s="2" t="s">
        <v>119</v>
      </c>
      <c r="M403" s="8" t="str">
        <f>HYPERLINK("http://slimages.macys.com/is/image/MCY/12387459 ")</f>
        <v xml:space="preserve">http://slimages.macys.com/is/image/MCY/12387459 </v>
      </c>
    </row>
    <row r="404" spans="1:13" ht="60" x14ac:dyDescent="0.25">
      <c r="A404" s="7" t="s">
        <v>11187</v>
      </c>
      <c r="B404" s="2" t="s">
        <v>1149</v>
      </c>
      <c r="C404" s="4">
        <v>1</v>
      </c>
      <c r="D404" s="5">
        <v>4.01</v>
      </c>
      <c r="E404" s="5">
        <v>9.99</v>
      </c>
      <c r="F404" s="4" t="s">
        <v>1150</v>
      </c>
      <c r="G404" s="2" t="s">
        <v>41</v>
      </c>
      <c r="H404" s="7" t="s">
        <v>578</v>
      </c>
      <c r="I404" s="2" t="s">
        <v>515</v>
      </c>
      <c r="J404" s="2" t="s">
        <v>875</v>
      </c>
      <c r="K404" s="2" t="s">
        <v>304</v>
      </c>
      <c r="L404" s="2" t="s">
        <v>119</v>
      </c>
      <c r="M404" s="8" t="str">
        <f>HYPERLINK("http://slimages.macys.com/is/image/MCY/12387459 ")</f>
        <v xml:space="preserve">http://slimages.macys.com/is/image/MCY/12387459 </v>
      </c>
    </row>
    <row r="405" spans="1:13" ht="60" x14ac:dyDescent="0.25">
      <c r="A405" s="7" t="s">
        <v>11188</v>
      </c>
      <c r="B405" s="2" t="s">
        <v>1149</v>
      </c>
      <c r="C405" s="4">
        <v>1</v>
      </c>
      <c r="D405" s="5">
        <v>4.01</v>
      </c>
      <c r="E405" s="5">
        <v>9.99</v>
      </c>
      <c r="F405" s="4" t="s">
        <v>1150</v>
      </c>
      <c r="G405" s="2" t="s">
        <v>858</v>
      </c>
      <c r="H405" s="7" t="s">
        <v>311</v>
      </c>
      <c r="I405" s="2" t="s">
        <v>515</v>
      </c>
      <c r="J405" s="2" t="s">
        <v>875</v>
      </c>
      <c r="K405" s="2" t="s">
        <v>304</v>
      </c>
      <c r="L405" s="2" t="s">
        <v>119</v>
      </c>
      <c r="M405" s="8" t="str">
        <f>HYPERLINK("http://slimages.macys.com/is/image/MCY/13048707 ")</f>
        <v xml:space="preserve">http://slimages.macys.com/is/image/MCY/13048707 </v>
      </c>
    </row>
    <row r="406" spans="1:13" ht="108" x14ac:dyDescent="0.25">
      <c r="A406" s="7" t="s">
        <v>11189</v>
      </c>
      <c r="B406" s="2" t="s">
        <v>11190</v>
      </c>
      <c r="C406" s="4">
        <v>1</v>
      </c>
      <c r="D406" s="5">
        <v>4</v>
      </c>
      <c r="E406" s="5">
        <v>9.99</v>
      </c>
      <c r="F406" s="4" t="s">
        <v>11191</v>
      </c>
      <c r="G406" s="2" t="s">
        <v>595</v>
      </c>
      <c r="H406" s="7" t="s">
        <v>63</v>
      </c>
      <c r="I406" s="2" t="s">
        <v>515</v>
      </c>
      <c r="J406" s="2" t="s">
        <v>875</v>
      </c>
      <c r="K406" s="2" t="s">
        <v>304</v>
      </c>
      <c r="L406" s="2" t="s">
        <v>11192</v>
      </c>
      <c r="M406" s="8" t="str">
        <f>HYPERLINK("http://slimages.macys.com/is/image/MCY/11860960 ")</f>
        <v xml:space="preserve">http://slimages.macys.com/is/image/MCY/11860960 </v>
      </c>
    </row>
    <row r="407" spans="1:13" ht="84" x14ac:dyDescent="0.25">
      <c r="A407" s="7" t="s">
        <v>9150</v>
      </c>
      <c r="B407" s="2" t="s">
        <v>2673</v>
      </c>
      <c r="C407" s="4">
        <v>1</v>
      </c>
      <c r="D407" s="5">
        <v>4</v>
      </c>
      <c r="E407" s="5">
        <v>11.99</v>
      </c>
      <c r="F407" s="4" t="s">
        <v>1131</v>
      </c>
      <c r="G407" s="2" t="s">
        <v>200</v>
      </c>
      <c r="H407" s="7" t="s">
        <v>159</v>
      </c>
      <c r="I407" s="2" t="s">
        <v>523</v>
      </c>
      <c r="J407" s="2" t="s">
        <v>921</v>
      </c>
      <c r="K407" s="2" t="s">
        <v>304</v>
      </c>
      <c r="L407" s="2" t="s">
        <v>1132</v>
      </c>
      <c r="M407" s="8" t="str">
        <f>HYPERLINK("http://slimages.macys.com/is/image/MCY/9186402 ")</f>
        <v xml:space="preserve">http://slimages.macys.com/is/image/MCY/9186402 </v>
      </c>
    </row>
    <row r="408" spans="1:13" ht="60" x14ac:dyDescent="0.25">
      <c r="A408" s="7" t="s">
        <v>2094</v>
      </c>
      <c r="B408" s="2" t="s">
        <v>2095</v>
      </c>
      <c r="C408" s="4">
        <v>1</v>
      </c>
      <c r="D408" s="5">
        <v>4</v>
      </c>
      <c r="E408" s="5">
        <v>10.99</v>
      </c>
      <c r="F408" s="4" t="s">
        <v>2096</v>
      </c>
      <c r="G408" s="2" t="s">
        <v>28</v>
      </c>
      <c r="H408" s="7" t="s">
        <v>159</v>
      </c>
      <c r="I408" s="2" t="s">
        <v>389</v>
      </c>
      <c r="J408" s="2" t="s">
        <v>354</v>
      </c>
      <c r="K408" s="2" t="s">
        <v>304</v>
      </c>
      <c r="L408" s="2" t="s">
        <v>2097</v>
      </c>
      <c r="M408" s="8" t="str">
        <f>HYPERLINK("http://slimages.macys.com/is/image/MCY/12121841 ")</f>
        <v xml:space="preserve">http://slimages.macys.com/is/image/MCY/12121841 </v>
      </c>
    </row>
    <row r="409" spans="1:13" ht="60" x14ac:dyDescent="0.25">
      <c r="A409" s="7" t="s">
        <v>5053</v>
      </c>
      <c r="B409" s="2" t="s">
        <v>5054</v>
      </c>
      <c r="C409" s="4">
        <v>1</v>
      </c>
      <c r="D409" s="5">
        <v>3.9</v>
      </c>
      <c r="E409" s="5">
        <v>7.99</v>
      </c>
      <c r="F409" s="4" t="s">
        <v>5055</v>
      </c>
      <c r="G409" s="2" t="s">
        <v>1047</v>
      </c>
      <c r="H409" s="7"/>
      <c r="I409" s="2" t="s">
        <v>523</v>
      </c>
      <c r="J409" s="2" t="s">
        <v>5056</v>
      </c>
      <c r="K409" s="2" t="s">
        <v>304</v>
      </c>
      <c r="L409" s="2" t="s">
        <v>358</v>
      </c>
      <c r="M409" s="8" t="str">
        <f>HYPERLINK("http://slimages.macys.com/is/image/MCY/3254673 ")</f>
        <v xml:space="preserve">http://slimages.macys.com/is/image/MCY/3254673 </v>
      </c>
    </row>
    <row r="410" spans="1:13" ht="60" x14ac:dyDescent="0.25">
      <c r="A410" s="7" t="s">
        <v>5587</v>
      </c>
      <c r="B410" s="2" t="s">
        <v>5588</v>
      </c>
      <c r="C410" s="4">
        <v>5</v>
      </c>
      <c r="D410" s="5">
        <v>3.9</v>
      </c>
      <c r="E410" s="5">
        <v>7.99</v>
      </c>
      <c r="F410" s="4" t="s">
        <v>5589</v>
      </c>
      <c r="G410" s="2" t="s">
        <v>1047</v>
      </c>
      <c r="H410" s="7" t="s">
        <v>5590</v>
      </c>
      <c r="I410" s="2" t="s">
        <v>523</v>
      </c>
      <c r="J410" s="2" t="s">
        <v>5056</v>
      </c>
      <c r="K410" s="2" t="s">
        <v>304</v>
      </c>
      <c r="L410" s="2" t="s">
        <v>358</v>
      </c>
      <c r="M410" s="8" t="str">
        <f>HYPERLINK("http://slimages.macys.com/is/image/MCY/3254673 ")</f>
        <v xml:space="preserve">http://slimages.macys.com/is/image/MCY/3254673 </v>
      </c>
    </row>
    <row r="411" spans="1:13" ht="60" x14ac:dyDescent="0.25">
      <c r="A411" s="7" t="s">
        <v>5580</v>
      </c>
      <c r="B411" s="2" t="s">
        <v>5581</v>
      </c>
      <c r="C411" s="4">
        <v>2</v>
      </c>
      <c r="D411" s="5">
        <v>3.9</v>
      </c>
      <c r="E411" s="5">
        <v>7.99</v>
      </c>
      <c r="F411" s="4" t="s">
        <v>5582</v>
      </c>
      <c r="G411" s="2" t="s">
        <v>1047</v>
      </c>
      <c r="H411" s="7"/>
      <c r="I411" s="2" t="s">
        <v>523</v>
      </c>
      <c r="J411" s="2" t="s">
        <v>5056</v>
      </c>
      <c r="K411" s="2" t="s">
        <v>304</v>
      </c>
      <c r="L411" s="2" t="s">
        <v>358</v>
      </c>
      <c r="M411" s="8" t="str">
        <f>HYPERLINK("http://slimages.macys.com/is/image/MCY/8847919 ")</f>
        <v xml:space="preserve">http://slimages.macys.com/is/image/MCY/8847919 </v>
      </c>
    </row>
    <row r="412" spans="1:13" ht="60" x14ac:dyDescent="0.25">
      <c r="A412" s="7" t="s">
        <v>11193</v>
      </c>
      <c r="B412" s="2" t="s">
        <v>11194</v>
      </c>
      <c r="C412" s="4">
        <v>1</v>
      </c>
      <c r="D412" s="5">
        <v>3.88</v>
      </c>
      <c r="E412" s="5">
        <v>9.99</v>
      </c>
      <c r="F412" s="4" t="s">
        <v>11195</v>
      </c>
      <c r="G412" s="2" t="s">
        <v>107</v>
      </c>
      <c r="H412" s="7" t="s">
        <v>590</v>
      </c>
      <c r="I412" s="2" t="s">
        <v>483</v>
      </c>
      <c r="J412" s="2" t="s">
        <v>536</v>
      </c>
      <c r="K412" s="2" t="s">
        <v>304</v>
      </c>
      <c r="L412" s="2" t="s">
        <v>87</v>
      </c>
      <c r="M412" s="8" t="str">
        <f>HYPERLINK("http://slimages.macys.com/is/image/MCY/12642468 ")</f>
        <v xml:space="preserve">http://slimages.macys.com/is/image/MCY/12642468 </v>
      </c>
    </row>
    <row r="413" spans="1:13" ht="60" x14ac:dyDescent="0.25">
      <c r="A413" s="7" t="s">
        <v>11196</v>
      </c>
      <c r="B413" s="2" t="s">
        <v>11197</v>
      </c>
      <c r="C413" s="4">
        <v>1</v>
      </c>
      <c r="D413" s="5">
        <v>3.8</v>
      </c>
      <c r="E413" s="5">
        <v>9.99</v>
      </c>
      <c r="F413" s="4" t="s">
        <v>11198</v>
      </c>
      <c r="G413" s="2" t="s">
        <v>262</v>
      </c>
      <c r="H413" s="7" t="s">
        <v>149</v>
      </c>
      <c r="I413" s="2" t="s">
        <v>483</v>
      </c>
      <c r="J413" s="2" t="s">
        <v>536</v>
      </c>
      <c r="K413" s="2" t="s">
        <v>304</v>
      </c>
      <c r="L413" s="2" t="s">
        <v>206</v>
      </c>
      <c r="M413" s="8" t="str">
        <f>HYPERLINK("http://slimages.macys.com/is/image/MCY/12638994 ")</f>
        <v xml:space="preserve">http://slimages.macys.com/is/image/MCY/12638994 </v>
      </c>
    </row>
    <row r="414" spans="1:13" ht="60" x14ac:dyDescent="0.25">
      <c r="A414" s="7" t="s">
        <v>11199</v>
      </c>
      <c r="B414" s="2" t="s">
        <v>2105</v>
      </c>
      <c r="C414" s="4">
        <v>1</v>
      </c>
      <c r="D414" s="5">
        <v>3.71</v>
      </c>
      <c r="E414" s="5">
        <v>9.99</v>
      </c>
      <c r="F414" s="4" t="s">
        <v>2106</v>
      </c>
      <c r="G414" s="2" t="s">
        <v>2107</v>
      </c>
      <c r="H414" s="7" t="s">
        <v>149</v>
      </c>
      <c r="I414" s="2" t="s">
        <v>483</v>
      </c>
      <c r="J414" s="2" t="s">
        <v>536</v>
      </c>
      <c r="K414" s="2" t="s">
        <v>304</v>
      </c>
      <c r="L414" s="2" t="s">
        <v>2108</v>
      </c>
      <c r="M414" s="8" t="str">
        <f>HYPERLINK("http://slimages.macys.com/is/image/MCY/11547262 ")</f>
        <v xml:space="preserve">http://slimages.macys.com/is/image/MCY/11547262 </v>
      </c>
    </row>
    <row r="415" spans="1:13" ht="60" x14ac:dyDescent="0.25">
      <c r="A415" s="7" t="s">
        <v>11200</v>
      </c>
      <c r="B415" s="2" t="s">
        <v>11201</v>
      </c>
      <c r="C415" s="4">
        <v>1</v>
      </c>
      <c r="D415" s="5">
        <v>3.66</v>
      </c>
      <c r="E415" s="5">
        <v>7.99</v>
      </c>
      <c r="F415" s="4" t="s">
        <v>11202</v>
      </c>
      <c r="G415" s="2" t="s">
        <v>41</v>
      </c>
      <c r="H415" s="7" t="s">
        <v>618</v>
      </c>
      <c r="I415" s="2" t="s">
        <v>292</v>
      </c>
      <c r="J415" s="2" t="s">
        <v>354</v>
      </c>
      <c r="K415" s="2" t="s">
        <v>304</v>
      </c>
      <c r="L415" s="2" t="s">
        <v>119</v>
      </c>
      <c r="M415" s="8" t="str">
        <f>HYPERLINK("http://slimages.macys.com/is/image/MCY/12001028 ")</f>
        <v xml:space="preserve">http://slimages.macys.com/is/image/MCY/12001028 </v>
      </c>
    </row>
    <row r="416" spans="1:13" ht="60" x14ac:dyDescent="0.25">
      <c r="A416" s="7" t="s">
        <v>11203</v>
      </c>
      <c r="B416" s="2" t="s">
        <v>3446</v>
      </c>
      <c r="C416" s="4">
        <v>1</v>
      </c>
      <c r="D416" s="5">
        <v>3.49</v>
      </c>
      <c r="E416" s="5">
        <v>7.99</v>
      </c>
      <c r="F416" s="4" t="s">
        <v>4306</v>
      </c>
      <c r="G416" s="2" t="s">
        <v>129</v>
      </c>
      <c r="H416" s="7" t="s">
        <v>209</v>
      </c>
      <c r="I416" s="2" t="s">
        <v>292</v>
      </c>
      <c r="J416" s="2" t="s">
        <v>354</v>
      </c>
      <c r="K416" s="2" t="s">
        <v>304</v>
      </c>
      <c r="L416" s="2" t="s">
        <v>571</v>
      </c>
      <c r="M416" s="8" t="str">
        <f>HYPERLINK("http://slimages.macys.com/is/image/MCY/12951259 ")</f>
        <v xml:space="preserve">http://slimages.macys.com/is/image/MCY/12951259 </v>
      </c>
    </row>
    <row r="417" spans="1:13" ht="60" x14ac:dyDescent="0.25">
      <c r="A417" s="7" t="s">
        <v>7816</v>
      </c>
      <c r="B417" s="2" t="s">
        <v>6433</v>
      </c>
      <c r="C417" s="4">
        <v>1</v>
      </c>
      <c r="D417" s="5">
        <v>3.48</v>
      </c>
      <c r="E417" s="5">
        <v>5.99</v>
      </c>
      <c r="F417" s="4" t="s">
        <v>6434</v>
      </c>
      <c r="G417" s="2" t="s">
        <v>303</v>
      </c>
      <c r="H417" s="7" t="s">
        <v>68</v>
      </c>
      <c r="I417" s="2" t="s">
        <v>73</v>
      </c>
      <c r="J417" s="2" t="s">
        <v>1963</v>
      </c>
      <c r="K417" s="2" t="s">
        <v>304</v>
      </c>
      <c r="L417" s="2" t="s">
        <v>119</v>
      </c>
      <c r="M417" s="8" t="str">
        <f>HYPERLINK("http://slimages.macys.com/is/image/MCY/12688439 ")</f>
        <v xml:space="preserve">http://slimages.macys.com/is/image/MCY/12688439 </v>
      </c>
    </row>
    <row r="418" spans="1:13" ht="60" x14ac:dyDescent="0.25">
      <c r="A418" s="7" t="s">
        <v>11204</v>
      </c>
      <c r="B418" s="2" t="s">
        <v>2125</v>
      </c>
      <c r="C418" s="4">
        <v>1</v>
      </c>
      <c r="D418" s="5">
        <v>3.48</v>
      </c>
      <c r="E418" s="5">
        <v>5.99</v>
      </c>
      <c r="F418" s="4" t="s">
        <v>2126</v>
      </c>
      <c r="G418" s="2" t="s">
        <v>41</v>
      </c>
      <c r="H418" s="7" t="s">
        <v>311</v>
      </c>
      <c r="I418" s="2" t="s">
        <v>80</v>
      </c>
      <c r="J418" s="2" t="s">
        <v>1857</v>
      </c>
      <c r="K418" s="2" t="s">
        <v>304</v>
      </c>
      <c r="L418" s="2" t="s">
        <v>119</v>
      </c>
      <c r="M418" s="8" t="str">
        <f>HYPERLINK("http://slimages.macys.com/is/image/MCY/11209888 ")</f>
        <v xml:space="preserve">http://slimages.macys.com/is/image/MCY/11209888 </v>
      </c>
    </row>
    <row r="419" spans="1:13" ht="60" x14ac:dyDescent="0.25">
      <c r="A419" s="7" t="s">
        <v>11205</v>
      </c>
      <c r="B419" s="2" t="s">
        <v>11206</v>
      </c>
      <c r="C419" s="4">
        <v>1</v>
      </c>
      <c r="D419" s="5">
        <v>3.48</v>
      </c>
      <c r="E419" s="5">
        <v>5.99</v>
      </c>
      <c r="F419" s="4" t="s">
        <v>11207</v>
      </c>
      <c r="G419" s="2" t="s">
        <v>48</v>
      </c>
      <c r="H419" s="7" t="s">
        <v>311</v>
      </c>
      <c r="I419" s="2" t="s">
        <v>80</v>
      </c>
      <c r="J419" s="2" t="s">
        <v>1857</v>
      </c>
      <c r="K419" s="2" t="s">
        <v>304</v>
      </c>
      <c r="L419" s="2" t="s">
        <v>119</v>
      </c>
      <c r="M419" s="8" t="str">
        <f>HYPERLINK("http://slimages.macys.com/is/image/MCY/11272143 ")</f>
        <v xml:space="preserve">http://slimages.macys.com/is/image/MCY/11272143 </v>
      </c>
    </row>
    <row r="420" spans="1:13" ht="60" x14ac:dyDescent="0.25">
      <c r="A420" s="7" t="s">
        <v>6435</v>
      </c>
      <c r="B420" s="2" t="s">
        <v>5058</v>
      </c>
      <c r="C420" s="4">
        <v>2</v>
      </c>
      <c r="D420" s="5">
        <v>3.48</v>
      </c>
      <c r="E420" s="5">
        <v>5.99</v>
      </c>
      <c r="F420" s="4" t="s">
        <v>5059</v>
      </c>
      <c r="G420" s="2" t="s">
        <v>595</v>
      </c>
      <c r="H420" s="7" t="s">
        <v>144</v>
      </c>
      <c r="I420" s="2" t="s">
        <v>73</v>
      </c>
      <c r="J420" s="2" t="s">
        <v>1963</v>
      </c>
      <c r="K420" s="2" t="s">
        <v>304</v>
      </c>
      <c r="L420" s="2" t="s">
        <v>119</v>
      </c>
      <c r="M420" s="8" t="str">
        <f>HYPERLINK("http://slimages.macys.com/is/image/MCY/13360517 ")</f>
        <v xml:space="preserve">http://slimages.macys.com/is/image/MCY/13360517 </v>
      </c>
    </row>
    <row r="421" spans="1:13" ht="60" x14ac:dyDescent="0.25">
      <c r="A421" s="7" t="s">
        <v>6421</v>
      </c>
      <c r="B421" s="2" t="s">
        <v>5058</v>
      </c>
      <c r="C421" s="4">
        <v>1</v>
      </c>
      <c r="D421" s="5">
        <v>3.48</v>
      </c>
      <c r="E421" s="5">
        <v>5.99</v>
      </c>
      <c r="F421" s="4" t="s">
        <v>5059</v>
      </c>
      <c r="G421" s="2" t="s">
        <v>41</v>
      </c>
      <c r="H421" s="7" t="s">
        <v>311</v>
      </c>
      <c r="I421" s="2" t="s">
        <v>73</v>
      </c>
      <c r="J421" s="2" t="s">
        <v>1963</v>
      </c>
      <c r="K421" s="2" t="s">
        <v>304</v>
      </c>
      <c r="L421" s="2" t="s">
        <v>119</v>
      </c>
      <c r="M421" s="8" t="str">
        <f>HYPERLINK("http://slimages.macys.com/is/image/MCY/13360517 ")</f>
        <v xml:space="preserve">http://slimages.macys.com/is/image/MCY/13360517 </v>
      </c>
    </row>
    <row r="422" spans="1:13" ht="60" x14ac:dyDescent="0.25">
      <c r="A422" s="7" t="s">
        <v>11208</v>
      </c>
      <c r="B422" s="2" t="s">
        <v>6433</v>
      </c>
      <c r="C422" s="4">
        <v>1</v>
      </c>
      <c r="D422" s="5">
        <v>3.48</v>
      </c>
      <c r="E422" s="5">
        <v>5.99</v>
      </c>
      <c r="F422" s="4" t="s">
        <v>6434</v>
      </c>
      <c r="G422" s="2" t="s">
        <v>303</v>
      </c>
      <c r="H422" s="7" t="s">
        <v>311</v>
      </c>
      <c r="I422" s="2" t="s">
        <v>73</v>
      </c>
      <c r="J422" s="2" t="s">
        <v>1963</v>
      </c>
      <c r="K422" s="2" t="s">
        <v>304</v>
      </c>
      <c r="L422" s="2" t="s">
        <v>119</v>
      </c>
      <c r="M422" s="8" t="str">
        <f>HYPERLINK("http://slimages.macys.com/is/image/MCY/12688440 ")</f>
        <v xml:space="preserve">http://slimages.macys.com/is/image/MCY/12688440 </v>
      </c>
    </row>
    <row r="423" spans="1:13" ht="60" x14ac:dyDescent="0.25">
      <c r="A423" s="7" t="s">
        <v>9705</v>
      </c>
      <c r="B423" s="2" t="s">
        <v>5058</v>
      </c>
      <c r="C423" s="4">
        <v>1</v>
      </c>
      <c r="D423" s="5">
        <v>3.48</v>
      </c>
      <c r="E423" s="5">
        <v>5.99</v>
      </c>
      <c r="F423" s="4" t="s">
        <v>5059</v>
      </c>
      <c r="G423" s="2" t="s">
        <v>595</v>
      </c>
      <c r="H423" s="7" t="s">
        <v>311</v>
      </c>
      <c r="I423" s="2" t="s">
        <v>73</v>
      </c>
      <c r="J423" s="2" t="s">
        <v>1963</v>
      </c>
      <c r="K423" s="2" t="s">
        <v>304</v>
      </c>
      <c r="L423" s="2" t="s">
        <v>119</v>
      </c>
      <c r="M423" s="8" t="str">
        <f>HYPERLINK("http://slimages.macys.com/is/image/MCY/13360517 ")</f>
        <v xml:space="preserve">http://slimages.macys.com/is/image/MCY/13360517 </v>
      </c>
    </row>
    <row r="424" spans="1:13" ht="60" x14ac:dyDescent="0.25">
      <c r="A424" s="7" t="s">
        <v>6440</v>
      </c>
      <c r="B424" s="2" t="s">
        <v>5058</v>
      </c>
      <c r="C424" s="4">
        <v>2</v>
      </c>
      <c r="D424" s="5">
        <v>3.48</v>
      </c>
      <c r="E424" s="5">
        <v>5.99</v>
      </c>
      <c r="F424" s="4" t="s">
        <v>5059</v>
      </c>
      <c r="G424" s="2" t="s">
        <v>595</v>
      </c>
      <c r="H424" s="7" t="s">
        <v>317</v>
      </c>
      <c r="I424" s="2" t="s">
        <v>73</v>
      </c>
      <c r="J424" s="2" t="s">
        <v>1963</v>
      </c>
      <c r="K424" s="2" t="s">
        <v>304</v>
      </c>
      <c r="L424" s="2" t="s">
        <v>119</v>
      </c>
      <c r="M424" s="8" t="str">
        <f>HYPERLINK("http://slimages.macys.com/is/image/MCY/13360517 ")</f>
        <v xml:space="preserve">http://slimages.macys.com/is/image/MCY/13360517 </v>
      </c>
    </row>
    <row r="425" spans="1:13" ht="60" x14ac:dyDescent="0.25">
      <c r="A425" s="7" t="s">
        <v>9706</v>
      </c>
      <c r="B425" s="2" t="s">
        <v>5058</v>
      </c>
      <c r="C425" s="4">
        <v>2</v>
      </c>
      <c r="D425" s="5">
        <v>3.48</v>
      </c>
      <c r="E425" s="5">
        <v>5.99</v>
      </c>
      <c r="F425" s="4" t="s">
        <v>5059</v>
      </c>
      <c r="G425" s="2" t="s">
        <v>595</v>
      </c>
      <c r="H425" s="7" t="s">
        <v>68</v>
      </c>
      <c r="I425" s="2" t="s">
        <v>73</v>
      </c>
      <c r="J425" s="2" t="s">
        <v>1963</v>
      </c>
      <c r="K425" s="2" t="s">
        <v>304</v>
      </c>
      <c r="L425" s="2" t="s">
        <v>119</v>
      </c>
      <c r="M425" s="8" t="str">
        <f>HYPERLINK("http://slimages.macys.com/is/image/MCY/13360517 ")</f>
        <v xml:space="preserve">http://slimages.macys.com/is/image/MCY/13360517 </v>
      </c>
    </row>
    <row r="426" spans="1:13" ht="60" x14ac:dyDescent="0.25">
      <c r="A426" s="7" t="s">
        <v>2085</v>
      </c>
      <c r="B426" s="2" t="s">
        <v>2086</v>
      </c>
      <c r="C426" s="4">
        <v>1</v>
      </c>
      <c r="D426" s="5">
        <v>3.48</v>
      </c>
      <c r="E426" s="5">
        <v>5.99</v>
      </c>
      <c r="F426" s="4" t="s">
        <v>2087</v>
      </c>
      <c r="G426" s="2" t="s">
        <v>262</v>
      </c>
      <c r="H426" s="7" t="s">
        <v>123</v>
      </c>
      <c r="I426" s="2" t="s">
        <v>80</v>
      </c>
      <c r="J426" s="2" t="s">
        <v>1857</v>
      </c>
      <c r="K426" s="2" t="s">
        <v>304</v>
      </c>
      <c r="L426" s="2" t="s">
        <v>119</v>
      </c>
      <c r="M426" s="8" t="str">
        <f>HYPERLINK("http://slimages.macys.com/is/image/MCY/14444269 ")</f>
        <v xml:space="preserve">http://slimages.macys.com/is/image/MCY/14444269 </v>
      </c>
    </row>
    <row r="427" spans="1:13" ht="60" x14ac:dyDescent="0.25">
      <c r="A427" s="7" t="s">
        <v>9168</v>
      </c>
      <c r="B427" s="2" t="s">
        <v>5058</v>
      </c>
      <c r="C427" s="4">
        <v>1</v>
      </c>
      <c r="D427" s="5">
        <v>3.48</v>
      </c>
      <c r="E427" s="5">
        <v>5.99</v>
      </c>
      <c r="F427" s="4" t="s">
        <v>5059</v>
      </c>
      <c r="G427" s="2" t="s">
        <v>595</v>
      </c>
      <c r="H427" s="7" t="s">
        <v>123</v>
      </c>
      <c r="I427" s="2" t="s">
        <v>73</v>
      </c>
      <c r="J427" s="2" t="s">
        <v>1963</v>
      </c>
      <c r="K427" s="2" t="s">
        <v>304</v>
      </c>
      <c r="L427" s="2" t="s">
        <v>119</v>
      </c>
      <c r="M427" s="8" t="str">
        <f>HYPERLINK("http://slimages.macys.com/is/image/MCY/13360517 ")</f>
        <v xml:space="preserve">http://slimages.macys.com/is/image/MCY/13360517 </v>
      </c>
    </row>
    <row r="428" spans="1:13" ht="60" x14ac:dyDescent="0.25">
      <c r="A428" s="7" t="s">
        <v>5057</v>
      </c>
      <c r="B428" s="2" t="s">
        <v>5058</v>
      </c>
      <c r="C428" s="4">
        <v>1</v>
      </c>
      <c r="D428" s="5">
        <v>3.48</v>
      </c>
      <c r="E428" s="5">
        <v>5.99</v>
      </c>
      <c r="F428" s="4" t="s">
        <v>5059</v>
      </c>
      <c r="G428" s="2" t="s">
        <v>595</v>
      </c>
      <c r="H428" s="7" t="s">
        <v>63</v>
      </c>
      <c r="I428" s="2" t="s">
        <v>73</v>
      </c>
      <c r="J428" s="2" t="s">
        <v>1963</v>
      </c>
      <c r="K428" s="2" t="s">
        <v>304</v>
      </c>
      <c r="L428" s="2" t="s">
        <v>119</v>
      </c>
      <c r="M428" s="8" t="str">
        <f>HYPERLINK("http://slimages.macys.com/is/image/MCY/13360517 ")</f>
        <v xml:space="preserve">http://slimages.macys.com/is/image/MCY/13360517 </v>
      </c>
    </row>
    <row r="429" spans="1:13" ht="84" x14ac:dyDescent="0.25">
      <c r="A429" s="7" t="s">
        <v>1169</v>
      </c>
      <c r="B429" s="2" t="s">
        <v>1170</v>
      </c>
      <c r="C429" s="4">
        <v>1</v>
      </c>
      <c r="D429" s="5">
        <v>3.46</v>
      </c>
      <c r="E429" s="5">
        <v>8.99</v>
      </c>
      <c r="F429" s="4" t="s">
        <v>1171</v>
      </c>
      <c r="G429" s="2" t="s">
        <v>41</v>
      </c>
      <c r="H429" s="7" t="s">
        <v>531</v>
      </c>
      <c r="I429" s="2" t="s">
        <v>483</v>
      </c>
      <c r="J429" s="2" t="s">
        <v>484</v>
      </c>
      <c r="K429" s="2" t="s">
        <v>304</v>
      </c>
      <c r="L429" s="2" t="s">
        <v>532</v>
      </c>
      <c r="M429" s="8" t="str">
        <f>HYPERLINK("http://slimages.macys.com/is/image/MCY/8484391 ")</f>
        <v xml:space="preserve">http://slimages.macys.com/is/image/MCY/8484391 </v>
      </c>
    </row>
    <row r="430" spans="1:13" ht="60" x14ac:dyDescent="0.25">
      <c r="A430" s="7" t="s">
        <v>2155</v>
      </c>
      <c r="B430" s="2" t="s">
        <v>2156</v>
      </c>
      <c r="C430" s="4">
        <v>2</v>
      </c>
      <c r="D430" s="5">
        <v>3.29</v>
      </c>
      <c r="E430" s="5">
        <v>7.99</v>
      </c>
      <c r="F430" s="4" t="s">
        <v>2157</v>
      </c>
      <c r="G430" s="2" t="s">
        <v>28</v>
      </c>
      <c r="H430" s="7" t="s">
        <v>514</v>
      </c>
      <c r="I430" s="2" t="s">
        <v>1689</v>
      </c>
      <c r="J430" s="2" t="s">
        <v>354</v>
      </c>
      <c r="K430" s="2" t="s">
        <v>304</v>
      </c>
      <c r="L430" s="2" t="s">
        <v>119</v>
      </c>
      <c r="M430" s="8" t="str">
        <f>HYPERLINK("http://slimages.macys.com/is/image/MCY/12938580 ")</f>
        <v xml:space="preserve">http://slimages.macys.com/is/image/MCY/12938580 </v>
      </c>
    </row>
    <row r="431" spans="1:13" ht="60" x14ac:dyDescent="0.25">
      <c r="A431" s="7" t="s">
        <v>11209</v>
      </c>
      <c r="B431" s="2" t="s">
        <v>11210</v>
      </c>
      <c r="C431" s="4">
        <v>2</v>
      </c>
      <c r="D431" s="5">
        <v>3.25</v>
      </c>
      <c r="E431" s="5">
        <v>7.99</v>
      </c>
      <c r="F431" s="4" t="s">
        <v>11211</v>
      </c>
      <c r="G431" s="2" t="s">
        <v>793</v>
      </c>
      <c r="H431" s="7" t="s">
        <v>1151</v>
      </c>
      <c r="I431" s="2" t="s">
        <v>483</v>
      </c>
      <c r="J431" s="2" t="s">
        <v>536</v>
      </c>
      <c r="K431" s="2"/>
      <c r="L431" s="2"/>
      <c r="M431" s="8" t="str">
        <f>HYPERLINK("http://slimages.macys.com/is/image/MCY/10173243 ")</f>
        <v xml:space="preserve">http://slimages.macys.com/is/image/MCY/10173243 </v>
      </c>
    </row>
    <row r="432" spans="1:13" ht="60" x14ac:dyDescent="0.25">
      <c r="A432" s="7" t="s">
        <v>11212</v>
      </c>
      <c r="B432" s="2" t="s">
        <v>11210</v>
      </c>
      <c r="C432" s="4">
        <v>1</v>
      </c>
      <c r="D432" s="5">
        <v>3.25</v>
      </c>
      <c r="E432" s="5">
        <v>7.99</v>
      </c>
      <c r="F432" s="4" t="s">
        <v>11211</v>
      </c>
      <c r="G432" s="2" t="s">
        <v>793</v>
      </c>
      <c r="H432" s="7" t="s">
        <v>578</v>
      </c>
      <c r="I432" s="2" t="s">
        <v>483</v>
      </c>
      <c r="J432" s="2" t="s">
        <v>536</v>
      </c>
      <c r="K432" s="2"/>
      <c r="L432" s="2"/>
      <c r="M432" s="8" t="str">
        <f>HYPERLINK("http://slimages.macys.com/is/image/MCY/10173243 ")</f>
        <v xml:space="preserve">http://slimages.macys.com/is/image/MCY/10173243 </v>
      </c>
    </row>
    <row r="433" spans="1:13" ht="60" x14ac:dyDescent="0.25">
      <c r="A433" s="7" t="s">
        <v>11213</v>
      </c>
      <c r="B433" s="2" t="s">
        <v>11214</v>
      </c>
      <c r="C433" s="4">
        <v>1</v>
      </c>
      <c r="D433" s="5">
        <v>3.2</v>
      </c>
      <c r="E433" s="5">
        <v>6.99</v>
      </c>
      <c r="F433" s="4" t="s">
        <v>11215</v>
      </c>
      <c r="G433" s="2" t="s">
        <v>297</v>
      </c>
      <c r="H433" s="7"/>
      <c r="I433" s="2" t="s">
        <v>483</v>
      </c>
      <c r="J433" s="2" t="s">
        <v>536</v>
      </c>
      <c r="K433" s="2" t="s">
        <v>304</v>
      </c>
      <c r="L433" s="2" t="s">
        <v>119</v>
      </c>
      <c r="M433" s="8" t="str">
        <f>HYPERLINK("http://slimages.macys.com/is/image/MCY/11793237 ")</f>
        <v xml:space="preserve">http://slimages.macys.com/is/image/MCY/11793237 </v>
      </c>
    </row>
    <row r="434" spans="1:13" ht="60" x14ac:dyDescent="0.25">
      <c r="A434" s="7" t="s">
        <v>11216</v>
      </c>
      <c r="B434" s="2" t="s">
        <v>6456</v>
      </c>
      <c r="C434" s="4">
        <v>1</v>
      </c>
      <c r="D434" s="5">
        <v>3.2</v>
      </c>
      <c r="E434" s="5">
        <v>6.99</v>
      </c>
      <c r="F434" s="4" t="s">
        <v>6457</v>
      </c>
      <c r="G434" s="2" t="s">
        <v>171</v>
      </c>
      <c r="H434" s="7"/>
      <c r="I434" s="2" t="s">
        <v>483</v>
      </c>
      <c r="J434" s="2" t="s">
        <v>536</v>
      </c>
      <c r="K434" s="2" t="s">
        <v>304</v>
      </c>
      <c r="L434" s="2" t="s">
        <v>119</v>
      </c>
      <c r="M434" s="8" t="str">
        <f>HYPERLINK("http://slimages.macys.com/is/image/MCY/11793237 ")</f>
        <v xml:space="preserve">http://slimages.macys.com/is/image/MCY/11793237 </v>
      </c>
    </row>
    <row r="435" spans="1:13" ht="60" x14ac:dyDescent="0.25">
      <c r="A435" s="7" t="s">
        <v>11217</v>
      </c>
      <c r="B435" s="2" t="s">
        <v>11218</v>
      </c>
      <c r="C435" s="4">
        <v>3</v>
      </c>
      <c r="D435" s="5">
        <v>3.2</v>
      </c>
      <c r="E435" s="5">
        <v>6.99</v>
      </c>
      <c r="F435" s="4" t="s">
        <v>11219</v>
      </c>
      <c r="G435" s="2" t="s">
        <v>171</v>
      </c>
      <c r="H435" s="7"/>
      <c r="I435" s="2" t="s">
        <v>483</v>
      </c>
      <c r="J435" s="2" t="s">
        <v>536</v>
      </c>
      <c r="K435" s="2" t="s">
        <v>304</v>
      </c>
      <c r="L435" s="2" t="s">
        <v>119</v>
      </c>
      <c r="M435" s="8" t="str">
        <f>HYPERLINK("http://slimages.macys.com/is/image/MCY/11710560 ")</f>
        <v xml:space="preserve">http://slimages.macys.com/is/image/MCY/11710560 </v>
      </c>
    </row>
    <row r="436" spans="1:13" ht="60" x14ac:dyDescent="0.25">
      <c r="A436" s="7" t="s">
        <v>11220</v>
      </c>
      <c r="B436" s="2" t="s">
        <v>11218</v>
      </c>
      <c r="C436" s="4">
        <v>1</v>
      </c>
      <c r="D436" s="5">
        <v>3.2</v>
      </c>
      <c r="E436" s="5">
        <v>6.99</v>
      </c>
      <c r="F436" s="4" t="s">
        <v>11219</v>
      </c>
      <c r="G436" s="2" t="s">
        <v>171</v>
      </c>
      <c r="H436" s="7" t="s">
        <v>149</v>
      </c>
      <c r="I436" s="2" t="s">
        <v>483</v>
      </c>
      <c r="J436" s="2" t="s">
        <v>536</v>
      </c>
      <c r="K436" s="2" t="s">
        <v>304</v>
      </c>
      <c r="L436" s="2" t="s">
        <v>119</v>
      </c>
      <c r="M436" s="8" t="str">
        <f>HYPERLINK("http://slimages.macys.com/is/image/MCY/11710560 ")</f>
        <v xml:space="preserve">http://slimages.macys.com/is/image/MCY/11710560 </v>
      </c>
    </row>
    <row r="437" spans="1:13" ht="60" x14ac:dyDescent="0.25">
      <c r="A437" s="7" t="s">
        <v>4373</v>
      </c>
      <c r="B437" s="2" t="s">
        <v>2160</v>
      </c>
      <c r="C437" s="4">
        <v>1</v>
      </c>
      <c r="D437" s="5">
        <v>3.15</v>
      </c>
      <c r="E437" s="5">
        <v>7.99</v>
      </c>
      <c r="F437" s="4" t="s">
        <v>2161</v>
      </c>
      <c r="G437" s="2" t="s">
        <v>657</v>
      </c>
      <c r="H437" s="7" t="s">
        <v>578</v>
      </c>
      <c r="I437" s="2" t="s">
        <v>483</v>
      </c>
      <c r="J437" s="2" t="s">
        <v>536</v>
      </c>
      <c r="K437" s="2" t="s">
        <v>304</v>
      </c>
      <c r="L437" s="2" t="s">
        <v>119</v>
      </c>
      <c r="M437" s="8" t="str">
        <f>HYPERLINK("http://slimages.macys.com/is/image/MCY/12644604 ")</f>
        <v xml:space="preserve">http://slimages.macys.com/is/image/MCY/12644604 </v>
      </c>
    </row>
    <row r="438" spans="1:13" ht="60" x14ac:dyDescent="0.25">
      <c r="A438" s="7" t="s">
        <v>8411</v>
      </c>
      <c r="B438" s="2" t="s">
        <v>585</v>
      </c>
      <c r="C438" s="4">
        <v>1</v>
      </c>
      <c r="D438" s="5">
        <v>3.14</v>
      </c>
      <c r="E438" s="5">
        <v>7.99</v>
      </c>
      <c r="F438" s="4">
        <v>10004192500</v>
      </c>
      <c r="G438" s="2" t="s">
        <v>171</v>
      </c>
      <c r="H438" s="7" t="s">
        <v>604</v>
      </c>
      <c r="I438" s="2" t="s">
        <v>483</v>
      </c>
      <c r="J438" s="2" t="s">
        <v>536</v>
      </c>
      <c r="K438" s="2" t="s">
        <v>304</v>
      </c>
      <c r="L438" s="2" t="s">
        <v>75</v>
      </c>
      <c r="M438" s="8" t="str">
        <f>HYPERLINK("http://slimages.macys.com/is/image/MCY/11519409 ")</f>
        <v xml:space="preserve">http://slimages.macys.com/is/image/MCY/11519409 </v>
      </c>
    </row>
    <row r="439" spans="1:13" ht="60" x14ac:dyDescent="0.25">
      <c r="A439" s="7" t="s">
        <v>6476</v>
      </c>
      <c r="B439" s="2" t="s">
        <v>2183</v>
      </c>
      <c r="C439" s="4">
        <v>1</v>
      </c>
      <c r="D439" s="5">
        <v>2.97</v>
      </c>
      <c r="E439" s="5">
        <v>7.99</v>
      </c>
      <c r="F439" s="4" t="s">
        <v>2184</v>
      </c>
      <c r="G439" s="2" t="s">
        <v>595</v>
      </c>
      <c r="H439" s="7"/>
      <c r="I439" s="2" t="s">
        <v>483</v>
      </c>
      <c r="J439" s="2" t="s">
        <v>536</v>
      </c>
      <c r="K439" s="2" t="s">
        <v>304</v>
      </c>
      <c r="L439" s="2" t="s">
        <v>119</v>
      </c>
      <c r="M439" s="8" t="str">
        <f>HYPERLINK("http://slimages.macys.com/is/image/MCY/12465363 ")</f>
        <v xml:space="preserve">http://slimages.macys.com/is/image/MCY/12465363 </v>
      </c>
    </row>
    <row r="440" spans="1:13" ht="60" x14ac:dyDescent="0.25">
      <c r="A440" s="7" t="s">
        <v>4398</v>
      </c>
      <c r="B440" s="2" t="s">
        <v>4399</v>
      </c>
      <c r="C440" s="4">
        <v>2</v>
      </c>
      <c r="D440" s="5">
        <v>2.97</v>
      </c>
      <c r="E440" s="5">
        <v>7.99</v>
      </c>
      <c r="F440" s="4" t="s">
        <v>4400</v>
      </c>
      <c r="G440" s="2" t="s">
        <v>171</v>
      </c>
      <c r="H440" s="7"/>
      <c r="I440" s="2" t="s">
        <v>483</v>
      </c>
      <c r="J440" s="2" t="s">
        <v>536</v>
      </c>
      <c r="K440" s="2" t="s">
        <v>304</v>
      </c>
      <c r="L440" s="2" t="s">
        <v>100</v>
      </c>
      <c r="M440" s="8" t="str">
        <f>HYPERLINK("http://slimages.macys.com/is/image/MCY/12465404 ")</f>
        <v xml:space="preserve">http://slimages.macys.com/is/image/MCY/12465404 </v>
      </c>
    </row>
    <row r="441" spans="1:13" ht="60" x14ac:dyDescent="0.25">
      <c r="A441" s="7" t="s">
        <v>9191</v>
      </c>
      <c r="B441" s="2" t="s">
        <v>7112</v>
      </c>
      <c r="C441" s="4">
        <v>2</v>
      </c>
      <c r="D441" s="5">
        <v>2.97</v>
      </c>
      <c r="E441" s="5">
        <v>7.99</v>
      </c>
      <c r="F441" s="4" t="s">
        <v>7113</v>
      </c>
      <c r="G441" s="2" t="s">
        <v>195</v>
      </c>
      <c r="H441" s="7" t="s">
        <v>149</v>
      </c>
      <c r="I441" s="2" t="s">
        <v>483</v>
      </c>
      <c r="J441" s="2" t="s">
        <v>536</v>
      </c>
      <c r="K441" s="2" t="s">
        <v>304</v>
      </c>
      <c r="L441" s="2" t="s">
        <v>119</v>
      </c>
      <c r="M441" s="8" t="str">
        <f>HYPERLINK("http://slimages.macys.com/is/image/MCY/12465251 ")</f>
        <v xml:space="preserve">http://slimages.macys.com/is/image/MCY/12465251 </v>
      </c>
    </row>
    <row r="442" spans="1:13" ht="60" x14ac:dyDescent="0.25">
      <c r="A442" s="7" t="s">
        <v>4401</v>
      </c>
      <c r="B442" s="2" t="s">
        <v>2183</v>
      </c>
      <c r="C442" s="4">
        <v>1</v>
      </c>
      <c r="D442" s="5">
        <v>2.97</v>
      </c>
      <c r="E442" s="5">
        <v>7.99</v>
      </c>
      <c r="F442" s="4" t="s">
        <v>2184</v>
      </c>
      <c r="G442" s="2" t="s">
        <v>595</v>
      </c>
      <c r="H442" s="7" t="s">
        <v>590</v>
      </c>
      <c r="I442" s="2" t="s">
        <v>483</v>
      </c>
      <c r="J442" s="2" t="s">
        <v>536</v>
      </c>
      <c r="K442" s="2" t="s">
        <v>304</v>
      </c>
      <c r="L442" s="2" t="s">
        <v>119</v>
      </c>
      <c r="M442" s="8" t="str">
        <f>HYPERLINK("http://slimages.macys.com/is/image/MCY/12465363 ")</f>
        <v xml:space="preserve">http://slimages.macys.com/is/image/MCY/12465363 </v>
      </c>
    </row>
    <row r="443" spans="1:13" ht="60" x14ac:dyDescent="0.25">
      <c r="A443" s="7" t="s">
        <v>7110</v>
      </c>
      <c r="B443" s="2" t="s">
        <v>2180</v>
      </c>
      <c r="C443" s="4">
        <v>1</v>
      </c>
      <c r="D443" s="5">
        <v>2.97</v>
      </c>
      <c r="E443" s="5">
        <v>7.99</v>
      </c>
      <c r="F443" s="4" t="s">
        <v>2181</v>
      </c>
      <c r="G443" s="2" t="s">
        <v>41</v>
      </c>
      <c r="H443" s="7" t="s">
        <v>442</v>
      </c>
      <c r="I443" s="2" t="s">
        <v>483</v>
      </c>
      <c r="J443" s="2" t="s">
        <v>536</v>
      </c>
      <c r="K443" s="2" t="s">
        <v>304</v>
      </c>
      <c r="L443" s="2" t="s">
        <v>119</v>
      </c>
      <c r="M443" s="8" t="str">
        <f>HYPERLINK("http://slimages.macys.com/is/image/MCY/12465218 ")</f>
        <v xml:space="preserve">http://slimages.macys.com/is/image/MCY/12465218 </v>
      </c>
    </row>
    <row r="444" spans="1:13" ht="60" x14ac:dyDescent="0.25">
      <c r="A444" s="7" t="s">
        <v>2176</v>
      </c>
      <c r="B444" s="2" t="s">
        <v>2177</v>
      </c>
      <c r="C444" s="4">
        <v>1</v>
      </c>
      <c r="D444" s="5">
        <v>2.97</v>
      </c>
      <c r="E444" s="5">
        <v>7.99</v>
      </c>
      <c r="F444" s="4" t="s">
        <v>2178</v>
      </c>
      <c r="G444" s="2" t="s">
        <v>86</v>
      </c>
      <c r="H444" s="7" t="s">
        <v>149</v>
      </c>
      <c r="I444" s="2" t="s">
        <v>483</v>
      </c>
      <c r="J444" s="2" t="s">
        <v>536</v>
      </c>
      <c r="K444" s="2" t="s">
        <v>304</v>
      </c>
      <c r="L444" s="2" t="s">
        <v>119</v>
      </c>
      <c r="M444" s="8" t="str">
        <f>HYPERLINK("http://slimages.macys.com/is/image/MCY/12465218 ")</f>
        <v xml:space="preserve">http://slimages.macys.com/is/image/MCY/12465218 </v>
      </c>
    </row>
    <row r="445" spans="1:13" ht="60" x14ac:dyDescent="0.25">
      <c r="A445" s="7" t="s">
        <v>2182</v>
      </c>
      <c r="B445" s="2" t="s">
        <v>2183</v>
      </c>
      <c r="C445" s="4">
        <v>2</v>
      </c>
      <c r="D445" s="5">
        <v>2.97</v>
      </c>
      <c r="E445" s="5">
        <v>7.99</v>
      </c>
      <c r="F445" s="4" t="s">
        <v>2184</v>
      </c>
      <c r="G445" s="2" t="s">
        <v>595</v>
      </c>
      <c r="H445" s="7" t="s">
        <v>149</v>
      </c>
      <c r="I445" s="2" t="s">
        <v>483</v>
      </c>
      <c r="J445" s="2" t="s">
        <v>536</v>
      </c>
      <c r="K445" s="2" t="s">
        <v>304</v>
      </c>
      <c r="L445" s="2" t="s">
        <v>119</v>
      </c>
      <c r="M445" s="8" t="str">
        <f>HYPERLINK("http://slimages.macys.com/is/image/MCY/12465363 ")</f>
        <v xml:space="preserve">http://slimages.macys.com/is/image/MCY/12465363 </v>
      </c>
    </row>
    <row r="446" spans="1:13" ht="60" x14ac:dyDescent="0.25">
      <c r="A446" s="7" t="s">
        <v>11221</v>
      </c>
      <c r="B446" s="2" t="s">
        <v>9732</v>
      </c>
      <c r="C446" s="4">
        <v>1</v>
      </c>
      <c r="D446" s="5">
        <v>2.97</v>
      </c>
      <c r="E446" s="5">
        <v>7.99</v>
      </c>
      <c r="F446" s="4" t="s">
        <v>9733</v>
      </c>
      <c r="G446" s="2" t="s">
        <v>1265</v>
      </c>
      <c r="H446" s="7"/>
      <c r="I446" s="2" t="s">
        <v>483</v>
      </c>
      <c r="J446" s="2" t="s">
        <v>536</v>
      </c>
      <c r="K446" s="2" t="s">
        <v>304</v>
      </c>
      <c r="L446" s="2" t="s">
        <v>100</v>
      </c>
      <c r="M446" s="8" t="str">
        <f>HYPERLINK("http://slimages.macys.com/is/image/MCY/12465404 ")</f>
        <v xml:space="preserve">http://slimages.macys.com/is/image/MCY/12465404 </v>
      </c>
    </row>
    <row r="447" spans="1:13" ht="60" x14ac:dyDescent="0.25">
      <c r="A447" s="7" t="s">
        <v>4417</v>
      </c>
      <c r="B447" s="2" t="s">
        <v>4418</v>
      </c>
      <c r="C447" s="4">
        <v>1</v>
      </c>
      <c r="D447" s="5">
        <v>2.94</v>
      </c>
      <c r="E447" s="5">
        <v>7.99</v>
      </c>
      <c r="F447" s="4" t="s">
        <v>4419</v>
      </c>
      <c r="G447" s="2" t="s">
        <v>28</v>
      </c>
      <c r="H447" s="7" t="s">
        <v>578</v>
      </c>
      <c r="I447" s="2" t="s">
        <v>483</v>
      </c>
      <c r="J447" s="2" t="s">
        <v>536</v>
      </c>
      <c r="K447" s="2" t="s">
        <v>304</v>
      </c>
      <c r="L447" s="2" t="s">
        <v>206</v>
      </c>
      <c r="M447" s="8" t="str">
        <f>HYPERLINK("http://slimages.macys.com/is/image/MCY/13386207 ")</f>
        <v xml:space="preserve">http://slimages.macys.com/is/image/MCY/13386207 </v>
      </c>
    </row>
    <row r="448" spans="1:13" ht="60" x14ac:dyDescent="0.25">
      <c r="A448" s="7" t="s">
        <v>1204</v>
      </c>
      <c r="B448" s="2" t="s">
        <v>1205</v>
      </c>
      <c r="C448" s="4">
        <v>1</v>
      </c>
      <c r="D448" s="5">
        <v>2.87</v>
      </c>
      <c r="E448" s="5">
        <v>7.99</v>
      </c>
      <c r="F448" s="4" t="s">
        <v>1206</v>
      </c>
      <c r="G448" s="2" t="s">
        <v>437</v>
      </c>
      <c r="H448" s="7" t="s">
        <v>531</v>
      </c>
      <c r="I448" s="2" t="s">
        <v>483</v>
      </c>
      <c r="J448" s="2" t="s">
        <v>536</v>
      </c>
      <c r="K448" s="2" t="s">
        <v>304</v>
      </c>
      <c r="L448" s="2" t="s">
        <v>1207</v>
      </c>
      <c r="M448" s="8" t="str">
        <f>HYPERLINK("http://slimages.macys.com/is/image/MCY/12466264 ")</f>
        <v xml:space="preserve">http://slimages.macys.com/is/image/MCY/12466264 </v>
      </c>
    </row>
    <row r="449" spans="1:13" ht="60" x14ac:dyDescent="0.25">
      <c r="A449" s="7" t="s">
        <v>5677</v>
      </c>
      <c r="B449" s="2" t="s">
        <v>5675</v>
      </c>
      <c r="C449" s="4">
        <v>2</v>
      </c>
      <c r="D449" s="5">
        <v>2.84</v>
      </c>
      <c r="E449" s="5">
        <v>7.99</v>
      </c>
      <c r="F449" s="4" t="s">
        <v>5676</v>
      </c>
      <c r="G449" s="2" t="s">
        <v>41</v>
      </c>
      <c r="H449" s="7" t="s">
        <v>149</v>
      </c>
      <c r="I449" s="2" t="s">
        <v>483</v>
      </c>
      <c r="J449" s="2" t="s">
        <v>536</v>
      </c>
      <c r="K449" s="2" t="s">
        <v>304</v>
      </c>
      <c r="L449" s="2" t="s">
        <v>87</v>
      </c>
      <c r="M449" s="8" t="str">
        <f>HYPERLINK("http://slimages.macys.com/is/image/MCY/14384843 ")</f>
        <v xml:space="preserve">http://slimages.macys.com/is/image/MCY/14384843 </v>
      </c>
    </row>
    <row r="450" spans="1:13" ht="120" x14ac:dyDescent="0.25">
      <c r="A450" s="7" t="s">
        <v>597</v>
      </c>
      <c r="B450" s="2" t="s">
        <v>598</v>
      </c>
      <c r="C450" s="4">
        <v>1</v>
      </c>
      <c r="D450" s="5">
        <v>2.84</v>
      </c>
      <c r="E450" s="5">
        <v>7.99</v>
      </c>
      <c r="F450" s="4" t="s">
        <v>599</v>
      </c>
      <c r="G450" s="2" t="s">
        <v>62</v>
      </c>
      <c r="H450" s="7"/>
      <c r="I450" s="2" t="s">
        <v>483</v>
      </c>
      <c r="J450" s="2" t="s">
        <v>536</v>
      </c>
      <c r="K450" s="2" t="s">
        <v>304</v>
      </c>
      <c r="L450" s="2" t="s">
        <v>600</v>
      </c>
      <c r="M450" s="8" t="str">
        <f>HYPERLINK("http://slimages.macys.com/is/image/MCY/14384837 ")</f>
        <v xml:space="preserve">http://slimages.macys.com/is/image/MCY/14384837 </v>
      </c>
    </row>
    <row r="451" spans="1:13" ht="120" x14ac:dyDescent="0.25">
      <c r="A451" s="7" t="s">
        <v>2199</v>
      </c>
      <c r="B451" s="2" t="s">
        <v>598</v>
      </c>
      <c r="C451" s="4">
        <v>2</v>
      </c>
      <c r="D451" s="5">
        <v>2.84</v>
      </c>
      <c r="E451" s="5">
        <v>7.99</v>
      </c>
      <c r="F451" s="4" t="s">
        <v>599</v>
      </c>
      <c r="G451" s="2" t="s">
        <v>62</v>
      </c>
      <c r="H451" s="7" t="s">
        <v>590</v>
      </c>
      <c r="I451" s="2" t="s">
        <v>483</v>
      </c>
      <c r="J451" s="2" t="s">
        <v>536</v>
      </c>
      <c r="K451" s="2" t="s">
        <v>304</v>
      </c>
      <c r="L451" s="2" t="s">
        <v>600</v>
      </c>
      <c r="M451" s="8" t="str">
        <f>HYPERLINK("http://slimages.macys.com/is/image/MCY/14384837 ")</f>
        <v xml:space="preserve">http://slimages.macys.com/is/image/MCY/14384837 </v>
      </c>
    </row>
    <row r="452" spans="1:13" ht="120" x14ac:dyDescent="0.25">
      <c r="A452" s="7" t="s">
        <v>2200</v>
      </c>
      <c r="B452" s="2" t="s">
        <v>598</v>
      </c>
      <c r="C452" s="4">
        <v>3</v>
      </c>
      <c r="D452" s="5">
        <v>2.84</v>
      </c>
      <c r="E452" s="5">
        <v>7.99</v>
      </c>
      <c r="F452" s="4" t="s">
        <v>599</v>
      </c>
      <c r="G452" s="2" t="s">
        <v>62</v>
      </c>
      <c r="H452" s="7" t="s">
        <v>149</v>
      </c>
      <c r="I452" s="2" t="s">
        <v>483</v>
      </c>
      <c r="J452" s="2" t="s">
        <v>536</v>
      </c>
      <c r="K452" s="2" t="s">
        <v>304</v>
      </c>
      <c r="L452" s="2" t="s">
        <v>600</v>
      </c>
      <c r="M452" s="8" t="str">
        <f>HYPERLINK("http://slimages.macys.com/is/image/MCY/14384837 ")</f>
        <v xml:space="preserve">http://slimages.macys.com/is/image/MCY/14384837 </v>
      </c>
    </row>
    <row r="453" spans="1:13" ht="60" x14ac:dyDescent="0.25">
      <c r="A453" s="7" t="s">
        <v>11222</v>
      </c>
      <c r="B453" s="2" t="s">
        <v>2713</v>
      </c>
      <c r="C453" s="4">
        <v>1</v>
      </c>
      <c r="D453" s="5">
        <v>2.79</v>
      </c>
      <c r="E453" s="5">
        <v>7.99</v>
      </c>
      <c r="F453" s="4">
        <v>10004191500</v>
      </c>
      <c r="G453" s="2" t="s">
        <v>262</v>
      </c>
      <c r="H453" s="7" t="s">
        <v>590</v>
      </c>
      <c r="I453" s="2" t="s">
        <v>483</v>
      </c>
      <c r="J453" s="2" t="s">
        <v>536</v>
      </c>
      <c r="K453" s="2" t="s">
        <v>304</v>
      </c>
      <c r="L453" s="2" t="s">
        <v>119</v>
      </c>
      <c r="M453" s="8" t="str">
        <f>HYPERLINK("http://slimages.macys.com/is/image/MCY/11519969 ")</f>
        <v xml:space="preserve">http://slimages.macys.com/is/image/MCY/11519969 </v>
      </c>
    </row>
    <row r="454" spans="1:13" ht="60" x14ac:dyDescent="0.25">
      <c r="A454" s="7" t="s">
        <v>11223</v>
      </c>
      <c r="B454" s="2" t="s">
        <v>2713</v>
      </c>
      <c r="C454" s="4">
        <v>1</v>
      </c>
      <c r="D454" s="5">
        <v>2.79</v>
      </c>
      <c r="E454" s="5">
        <v>7.99</v>
      </c>
      <c r="F454" s="4">
        <v>10004191500</v>
      </c>
      <c r="G454" s="2" t="s">
        <v>2107</v>
      </c>
      <c r="H454" s="7"/>
      <c r="I454" s="2" t="s">
        <v>483</v>
      </c>
      <c r="J454" s="2" t="s">
        <v>536</v>
      </c>
      <c r="K454" s="2" t="s">
        <v>304</v>
      </c>
      <c r="L454" s="2" t="s">
        <v>119</v>
      </c>
      <c r="M454" s="8" t="str">
        <f>HYPERLINK("http://slimages.macys.com/is/image/MCY/11519969 ")</f>
        <v xml:space="preserve">http://slimages.macys.com/is/image/MCY/11519969 </v>
      </c>
    </row>
    <row r="455" spans="1:13" ht="60" x14ac:dyDescent="0.25">
      <c r="A455" s="7" t="s">
        <v>2211</v>
      </c>
      <c r="B455" s="2" t="s">
        <v>2209</v>
      </c>
      <c r="C455" s="4">
        <v>5</v>
      </c>
      <c r="D455" s="5">
        <v>2.77</v>
      </c>
      <c r="E455" s="5">
        <v>7.99</v>
      </c>
      <c r="F455" s="4">
        <v>10004191600</v>
      </c>
      <c r="G455" s="2" t="s">
        <v>1360</v>
      </c>
      <c r="H455" s="7" t="s">
        <v>604</v>
      </c>
      <c r="I455" s="2" t="s">
        <v>483</v>
      </c>
      <c r="J455" s="2" t="s">
        <v>536</v>
      </c>
      <c r="K455" s="2" t="s">
        <v>304</v>
      </c>
      <c r="L455" s="2" t="s">
        <v>119</v>
      </c>
      <c r="M455" s="8" t="str">
        <f>HYPERLINK("http://slimages.macys.com/is/image/MCY/11547113 ")</f>
        <v xml:space="preserve">http://slimages.macys.com/is/image/MCY/11547113 </v>
      </c>
    </row>
    <row r="456" spans="1:13" ht="60" x14ac:dyDescent="0.25">
      <c r="A456" s="7" t="s">
        <v>605</v>
      </c>
      <c r="B456" s="2" t="s">
        <v>602</v>
      </c>
      <c r="C456" s="4">
        <v>2</v>
      </c>
      <c r="D456" s="5">
        <v>2.77</v>
      </c>
      <c r="E456" s="5">
        <v>7.99</v>
      </c>
      <c r="F456" s="4" t="s">
        <v>603</v>
      </c>
      <c r="G456" s="2" t="s">
        <v>297</v>
      </c>
      <c r="H456" s="7"/>
      <c r="I456" s="2" t="s">
        <v>483</v>
      </c>
      <c r="J456" s="2" t="s">
        <v>536</v>
      </c>
      <c r="K456" s="2" t="s">
        <v>304</v>
      </c>
      <c r="L456" s="2" t="s">
        <v>119</v>
      </c>
      <c r="M456" s="8" t="str">
        <f>HYPERLINK("http://slimages.macys.com/is/image/MCY/11520409 ")</f>
        <v xml:space="preserve">http://slimages.macys.com/is/image/MCY/11520409 </v>
      </c>
    </row>
    <row r="457" spans="1:13" ht="60" x14ac:dyDescent="0.25">
      <c r="A457" s="7" t="s">
        <v>1216</v>
      </c>
      <c r="B457" s="2" t="s">
        <v>1217</v>
      </c>
      <c r="C457" s="4">
        <v>8</v>
      </c>
      <c r="D457" s="5">
        <v>2.77</v>
      </c>
      <c r="E457" s="5">
        <v>7.99</v>
      </c>
      <c r="F457" s="4">
        <v>10005049100</v>
      </c>
      <c r="G457" s="2" t="s">
        <v>527</v>
      </c>
      <c r="H457" s="7" t="s">
        <v>604</v>
      </c>
      <c r="I457" s="2" t="s">
        <v>483</v>
      </c>
      <c r="J457" s="2" t="s">
        <v>536</v>
      </c>
      <c r="K457" s="2" t="s">
        <v>304</v>
      </c>
      <c r="L457" s="2" t="s">
        <v>119</v>
      </c>
      <c r="M457" s="8" t="str">
        <f>HYPERLINK("http://slimages.macys.com/is/image/MCY/11520375 ")</f>
        <v xml:space="preserve">http://slimages.macys.com/is/image/MCY/11520375 </v>
      </c>
    </row>
    <row r="458" spans="1:13" ht="60" x14ac:dyDescent="0.25">
      <c r="A458" s="7" t="s">
        <v>8421</v>
      </c>
      <c r="B458" s="2" t="s">
        <v>1217</v>
      </c>
      <c r="C458" s="4">
        <v>6</v>
      </c>
      <c r="D458" s="5">
        <v>2.77</v>
      </c>
      <c r="E458" s="5">
        <v>7.99</v>
      </c>
      <c r="F458" s="4">
        <v>10005049100</v>
      </c>
      <c r="G458" s="2" t="s">
        <v>527</v>
      </c>
      <c r="H458" s="7" t="s">
        <v>586</v>
      </c>
      <c r="I458" s="2" t="s">
        <v>483</v>
      </c>
      <c r="J458" s="2" t="s">
        <v>536</v>
      </c>
      <c r="K458" s="2" t="s">
        <v>304</v>
      </c>
      <c r="L458" s="2" t="s">
        <v>119</v>
      </c>
      <c r="M458" s="8" t="str">
        <f>HYPERLINK("http://slimages.macys.com/is/image/MCY/11520375 ")</f>
        <v xml:space="preserve">http://slimages.macys.com/is/image/MCY/11520375 </v>
      </c>
    </row>
    <row r="459" spans="1:13" ht="60" x14ac:dyDescent="0.25">
      <c r="A459" s="7" t="s">
        <v>601</v>
      </c>
      <c r="B459" s="2" t="s">
        <v>602</v>
      </c>
      <c r="C459" s="4">
        <v>1</v>
      </c>
      <c r="D459" s="5">
        <v>2.77</v>
      </c>
      <c r="E459" s="5">
        <v>7.99</v>
      </c>
      <c r="F459" s="4" t="s">
        <v>603</v>
      </c>
      <c r="G459" s="2" t="s">
        <v>297</v>
      </c>
      <c r="H459" s="7" t="s">
        <v>604</v>
      </c>
      <c r="I459" s="2" t="s">
        <v>483</v>
      </c>
      <c r="J459" s="2" t="s">
        <v>536</v>
      </c>
      <c r="K459" s="2" t="s">
        <v>304</v>
      </c>
      <c r="L459" s="2" t="s">
        <v>119</v>
      </c>
      <c r="M459" s="8" t="str">
        <f>HYPERLINK("http://slimages.macys.com/is/image/MCY/11520409 ")</f>
        <v xml:space="preserve">http://slimages.macys.com/is/image/MCY/11520409 </v>
      </c>
    </row>
    <row r="460" spans="1:13" ht="60" x14ac:dyDescent="0.25">
      <c r="A460" s="7" t="s">
        <v>2212</v>
      </c>
      <c r="B460" s="2" t="s">
        <v>2209</v>
      </c>
      <c r="C460" s="4">
        <v>4</v>
      </c>
      <c r="D460" s="5">
        <v>2.77</v>
      </c>
      <c r="E460" s="5">
        <v>7.99</v>
      </c>
      <c r="F460" s="4">
        <v>10004191600</v>
      </c>
      <c r="G460" s="2" t="s">
        <v>1360</v>
      </c>
      <c r="H460" s="7"/>
      <c r="I460" s="2" t="s">
        <v>483</v>
      </c>
      <c r="J460" s="2" t="s">
        <v>536</v>
      </c>
      <c r="K460" s="2" t="s">
        <v>304</v>
      </c>
      <c r="L460" s="2" t="s">
        <v>119</v>
      </c>
      <c r="M460" s="8" t="str">
        <f>HYPERLINK("http://slimages.macys.com/is/image/MCY/11547113 ")</f>
        <v xml:space="preserve">http://slimages.macys.com/is/image/MCY/11547113 </v>
      </c>
    </row>
    <row r="461" spans="1:13" ht="60" x14ac:dyDescent="0.25">
      <c r="A461" s="7" t="s">
        <v>2210</v>
      </c>
      <c r="B461" s="2" t="s">
        <v>602</v>
      </c>
      <c r="C461" s="4">
        <v>1</v>
      </c>
      <c r="D461" s="5">
        <v>2.77</v>
      </c>
      <c r="E461" s="5">
        <v>7.99</v>
      </c>
      <c r="F461" s="4" t="s">
        <v>603</v>
      </c>
      <c r="G461" s="2" t="s">
        <v>297</v>
      </c>
      <c r="H461" s="7" t="s">
        <v>586</v>
      </c>
      <c r="I461" s="2" t="s">
        <v>483</v>
      </c>
      <c r="J461" s="2" t="s">
        <v>536</v>
      </c>
      <c r="K461" s="2" t="s">
        <v>304</v>
      </c>
      <c r="L461" s="2" t="s">
        <v>119</v>
      </c>
      <c r="M461" s="8" t="str">
        <f>HYPERLINK("http://slimages.macys.com/is/image/MCY/11520409 ")</f>
        <v xml:space="preserve">http://slimages.macys.com/is/image/MCY/11520409 </v>
      </c>
    </row>
    <row r="462" spans="1:13" ht="60" x14ac:dyDescent="0.25">
      <c r="A462" s="7" t="s">
        <v>5679</v>
      </c>
      <c r="B462" s="2" t="s">
        <v>1217</v>
      </c>
      <c r="C462" s="4">
        <v>1</v>
      </c>
      <c r="D462" s="5">
        <v>2.77</v>
      </c>
      <c r="E462" s="5">
        <v>7.99</v>
      </c>
      <c r="F462" s="4">
        <v>10005049100</v>
      </c>
      <c r="G462" s="2" t="s">
        <v>527</v>
      </c>
      <c r="H462" s="7"/>
      <c r="I462" s="2" t="s">
        <v>483</v>
      </c>
      <c r="J462" s="2" t="s">
        <v>536</v>
      </c>
      <c r="K462" s="2" t="s">
        <v>304</v>
      </c>
      <c r="L462" s="2" t="s">
        <v>119</v>
      </c>
      <c r="M462" s="8" t="str">
        <f>HYPERLINK("http://slimages.macys.com/is/image/MCY/11520375 ")</f>
        <v xml:space="preserve">http://slimages.macys.com/is/image/MCY/11520375 </v>
      </c>
    </row>
    <row r="463" spans="1:13" ht="60" x14ac:dyDescent="0.25">
      <c r="A463" s="7" t="s">
        <v>2208</v>
      </c>
      <c r="B463" s="2" t="s">
        <v>2209</v>
      </c>
      <c r="C463" s="4">
        <v>3</v>
      </c>
      <c r="D463" s="5">
        <v>2.77</v>
      </c>
      <c r="E463" s="5">
        <v>7.99</v>
      </c>
      <c r="F463" s="4">
        <v>10004191600</v>
      </c>
      <c r="G463" s="2" t="s">
        <v>1360</v>
      </c>
      <c r="H463" s="7" t="s">
        <v>586</v>
      </c>
      <c r="I463" s="2" t="s">
        <v>483</v>
      </c>
      <c r="J463" s="2" t="s">
        <v>536</v>
      </c>
      <c r="K463" s="2" t="s">
        <v>304</v>
      </c>
      <c r="L463" s="2" t="s">
        <v>119</v>
      </c>
      <c r="M463" s="8" t="str">
        <f>HYPERLINK("http://slimages.macys.com/is/image/MCY/11547113 ")</f>
        <v xml:space="preserve">http://slimages.macys.com/is/image/MCY/11547113 </v>
      </c>
    </row>
    <row r="464" spans="1:13" ht="60" x14ac:dyDescent="0.25">
      <c r="A464" s="7" t="s">
        <v>4459</v>
      </c>
      <c r="B464" s="2" t="s">
        <v>4460</v>
      </c>
      <c r="C464" s="4">
        <v>1</v>
      </c>
      <c r="D464" s="5">
        <v>2.71</v>
      </c>
      <c r="E464" s="5">
        <v>7.99</v>
      </c>
      <c r="F464" s="4" t="s">
        <v>4461</v>
      </c>
      <c r="G464" s="2" t="s">
        <v>28</v>
      </c>
      <c r="H464" s="7" t="s">
        <v>578</v>
      </c>
      <c r="I464" s="2" t="s">
        <v>483</v>
      </c>
      <c r="J464" s="2" t="s">
        <v>536</v>
      </c>
      <c r="K464" s="2" t="s">
        <v>304</v>
      </c>
      <c r="L464" s="2" t="s">
        <v>119</v>
      </c>
      <c r="M464" s="8" t="str">
        <f>HYPERLINK("http://slimages.macys.com/is/image/MCY/12644507 ")</f>
        <v xml:space="preserve">http://slimages.macys.com/is/image/MCY/12644507 </v>
      </c>
    </row>
    <row r="465" spans="1:13" ht="60" x14ac:dyDescent="0.25">
      <c r="A465" s="7" t="s">
        <v>2222</v>
      </c>
      <c r="B465" s="2" t="s">
        <v>2223</v>
      </c>
      <c r="C465" s="4">
        <v>1</v>
      </c>
      <c r="D465" s="5">
        <v>2.69</v>
      </c>
      <c r="E465" s="5">
        <v>5.99</v>
      </c>
      <c r="F465" s="4" t="s">
        <v>2224</v>
      </c>
      <c r="G465" s="2" t="s">
        <v>62</v>
      </c>
      <c r="H465" s="7" t="s">
        <v>91</v>
      </c>
      <c r="I465" s="2" t="s">
        <v>483</v>
      </c>
      <c r="J465" s="2" t="s">
        <v>536</v>
      </c>
      <c r="K465" s="2" t="s">
        <v>304</v>
      </c>
      <c r="L465" s="2" t="s">
        <v>206</v>
      </c>
      <c r="M465" s="8" t="str">
        <f>HYPERLINK("http://slimages.macys.com/is/image/MCY/11436881 ")</f>
        <v xml:space="preserve">http://slimages.macys.com/is/image/MCY/11436881 </v>
      </c>
    </row>
    <row r="466" spans="1:13" ht="84" x14ac:dyDescent="0.25">
      <c r="A466" s="7" t="s">
        <v>5685</v>
      </c>
      <c r="B466" s="2" t="s">
        <v>2228</v>
      </c>
      <c r="C466" s="4">
        <v>1</v>
      </c>
      <c r="D466" s="5">
        <v>2.67</v>
      </c>
      <c r="E466" s="5">
        <v>7.99</v>
      </c>
      <c r="F466" s="4" t="s">
        <v>2229</v>
      </c>
      <c r="G466" s="2" t="s">
        <v>527</v>
      </c>
      <c r="H466" s="7" t="s">
        <v>442</v>
      </c>
      <c r="I466" s="2" t="s">
        <v>483</v>
      </c>
      <c r="J466" s="2" t="s">
        <v>536</v>
      </c>
      <c r="K466" s="2" t="s">
        <v>304</v>
      </c>
      <c r="L466" s="2" t="s">
        <v>2230</v>
      </c>
      <c r="M466" s="8" t="str">
        <f>HYPERLINK("http://slimages.macys.com/is/image/MCY/14385110 ")</f>
        <v xml:space="preserve">http://slimages.macys.com/is/image/MCY/14385110 </v>
      </c>
    </row>
    <row r="467" spans="1:13" ht="84" x14ac:dyDescent="0.25">
      <c r="A467" s="7" t="s">
        <v>2237</v>
      </c>
      <c r="B467" s="2" t="s">
        <v>2228</v>
      </c>
      <c r="C467" s="4">
        <v>2</v>
      </c>
      <c r="D467" s="5">
        <v>2.67</v>
      </c>
      <c r="E467" s="5">
        <v>7.99</v>
      </c>
      <c r="F467" s="4" t="s">
        <v>2229</v>
      </c>
      <c r="G467" s="2" t="s">
        <v>527</v>
      </c>
      <c r="H467" s="7"/>
      <c r="I467" s="2" t="s">
        <v>483</v>
      </c>
      <c r="J467" s="2" t="s">
        <v>536</v>
      </c>
      <c r="K467" s="2" t="s">
        <v>304</v>
      </c>
      <c r="L467" s="2" t="s">
        <v>2230</v>
      </c>
      <c r="M467" s="8" t="str">
        <f>HYPERLINK("http://slimages.macys.com/is/image/MCY/14385110 ")</f>
        <v xml:space="preserve">http://slimages.macys.com/is/image/MCY/14385110 </v>
      </c>
    </row>
    <row r="468" spans="1:13" ht="60" x14ac:dyDescent="0.25">
      <c r="A468" s="7" t="s">
        <v>11224</v>
      </c>
      <c r="B468" s="2" t="s">
        <v>8429</v>
      </c>
      <c r="C468" s="4">
        <v>1</v>
      </c>
      <c r="D468" s="5">
        <v>2.65</v>
      </c>
      <c r="E468" s="5">
        <v>6.99</v>
      </c>
      <c r="F468" s="4">
        <v>10005486600</v>
      </c>
      <c r="G468" s="2" t="s">
        <v>41</v>
      </c>
      <c r="H468" s="7" t="s">
        <v>590</v>
      </c>
      <c r="I468" s="2" t="s">
        <v>483</v>
      </c>
      <c r="J468" s="2" t="s">
        <v>536</v>
      </c>
      <c r="K468" s="2" t="s">
        <v>304</v>
      </c>
      <c r="L468" s="2" t="s">
        <v>206</v>
      </c>
      <c r="M468" s="8" t="str">
        <f>HYPERLINK("http://slimages.macys.com/is/image/MCY/12466215 ")</f>
        <v xml:space="preserve">http://slimages.macys.com/is/image/MCY/12466215 </v>
      </c>
    </row>
    <row r="469" spans="1:13" ht="60" x14ac:dyDescent="0.25">
      <c r="A469" s="7" t="s">
        <v>11225</v>
      </c>
      <c r="B469" s="2" t="s">
        <v>4495</v>
      </c>
      <c r="C469" s="4">
        <v>1</v>
      </c>
      <c r="D469" s="5">
        <v>2.63</v>
      </c>
      <c r="E469" s="5">
        <v>5.99</v>
      </c>
      <c r="F469" s="4" t="s">
        <v>4496</v>
      </c>
      <c r="G469" s="2" t="s">
        <v>858</v>
      </c>
      <c r="H469" s="7" t="s">
        <v>42</v>
      </c>
      <c r="I469" s="2" t="s">
        <v>483</v>
      </c>
      <c r="J469" s="2" t="s">
        <v>536</v>
      </c>
      <c r="K469" s="2" t="s">
        <v>304</v>
      </c>
      <c r="L469" s="2" t="s">
        <v>206</v>
      </c>
      <c r="M469" s="8" t="str">
        <f>HYPERLINK("http://slimages.macys.com/is/image/MCY/11709478 ")</f>
        <v xml:space="preserve">http://slimages.macys.com/is/image/MCY/11709478 </v>
      </c>
    </row>
    <row r="470" spans="1:13" ht="60" x14ac:dyDescent="0.25">
      <c r="A470" s="7" t="s">
        <v>7902</v>
      </c>
      <c r="B470" s="2" t="s">
        <v>4495</v>
      </c>
      <c r="C470" s="4">
        <v>1</v>
      </c>
      <c r="D470" s="5">
        <v>2.63</v>
      </c>
      <c r="E470" s="5">
        <v>5.99</v>
      </c>
      <c r="F470" s="4" t="s">
        <v>4496</v>
      </c>
      <c r="G470" s="2" t="s">
        <v>437</v>
      </c>
      <c r="H470" s="7" t="s">
        <v>590</v>
      </c>
      <c r="I470" s="2" t="s">
        <v>483</v>
      </c>
      <c r="J470" s="2" t="s">
        <v>536</v>
      </c>
      <c r="K470" s="2" t="s">
        <v>304</v>
      </c>
      <c r="L470" s="2" t="s">
        <v>206</v>
      </c>
      <c r="M470" s="8" t="str">
        <f>HYPERLINK("http://slimages.macys.com/is/image/MCY/11709478 ")</f>
        <v xml:space="preserve">http://slimages.macys.com/is/image/MCY/11709478 </v>
      </c>
    </row>
    <row r="471" spans="1:13" ht="60" x14ac:dyDescent="0.25">
      <c r="A471" s="7" t="s">
        <v>2268</v>
      </c>
      <c r="B471" s="2" t="s">
        <v>2254</v>
      </c>
      <c r="C471" s="4">
        <v>1</v>
      </c>
      <c r="D471" s="5">
        <v>2.62</v>
      </c>
      <c r="E471" s="5">
        <v>5.99</v>
      </c>
      <c r="F471" s="4" t="s">
        <v>2255</v>
      </c>
      <c r="G471" s="2" t="s">
        <v>657</v>
      </c>
      <c r="H471" s="7" t="s">
        <v>91</v>
      </c>
      <c r="I471" s="2" t="s">
        <v>483</v>
      </c>
      <c r="J471" s="2" t="s">
        <v>536</v>
      </c>
      <c r="K471" s="2" t="s">
        <v>304</v>
      </c>
      <c r="L471" s="2" t="s">
        <v>119</v>
      </c>
      <c r="M471" s="8" t="str">
        <f>HYPERLINK("http://slimages.macys.com/is/image/MCY/12644604 ")</f>
        <v xml:space="preserve">http://slimages.macys.com/is/image/MCY/12644604 </v>
      </c>
    </row>
    <row r="472" spans="1:13" ht="60" x14ac:dyDescent="0.25">
      <c r="A472" s="7" t="s">
        <v>7164</v>
      </c>
      <c r="B472" s="2" t="s">
        <v>1243</v>
      </c>
      <c r="C472" s="4">
        <v>1</v>
      </c>
      <c r="D472" s="5">
        <v>2.62</v>
      </c>
      <c r="E472" s="5">
        <v>6.99</v>
      </c>
      <c r="F472" s="4" t="s">
        <v>1244</v>
      </c>
      <c r="G472" s="2" t="s">
        <v>41</v>
      </c>
      <c r="H472" s="7" t="s">
        <v>91</v>
      </c>
      <c r="I472" s="2" t="s">
        <v>483</v>
      </c>
      <c r="J472" s="2" t="s">
        <v>536</v>
      </c>
      <c r="K472" s="2" t="s">
        <v>304</v>
      </c>
      <c r="L472" s="2" t="s">
        <v>38</v>
      </c>
      <c r="M472" s="8" t="str">
        <f>HYPERLINK("http://slimages.macys.com/is/image/MCY/13987599 ")</f>
        <v xml:space="preserve">http://slimages.macys.com/is/image/MCY/13987599 </v>
      </c>
    </row>
    <row r="473" spans="1:13" ht="60" x14ac:dyDescent="0.25">
      <c r="A473" s="7" t="s">
        <v>2267</v>
      </c>
      <c r="B473" s="2" t="s">
        <v>2254</v>
      </c>
      <c r="C473" s="4">
        <v>2</v>
      </c>
      <c r="D473" s="5">
        <v>2.62</v>
      </c>
      <c r="E473" s="5">
        <v>5.99</v>
      </c>
      <c r="F473" s="4" t="s">
        <v>2255</v>
      </c>
      <c r="G473" s="2" t="s">
        <v>657</v>
      </c>
      <c r="H473" s="7" t="s">
        <v>590</v>
      </c>
      <c r="I473" s="2" t="s">
        <v>483</v>
      </c>
      <c r="J473" s="2" t="s">
        <v>536</v>
      </c>
      <c r="K473" s="2" t="s">
        <v>304</v>
      </c>
      <c r="L473" s="2" t="s">
        <v>119</v>
      </c>
      <c r="M473" s="8" t="str">
        <f>HYPERLINK("http://slimages.macys.com/is/image/MCY/12644604 ")</f>
        <v xml:space="preserve">http://slimages.macys.com/is/image/MCY/12644604 </v>
      </c>
    </row>
    <row r="474" spans="1:13" ht="60" x14ac:dyDescent="0.25">
      <c r="A474" s="7" t="s">
        <v>10681</v>
      </c>
      <c r="B474" s="2" t="s">
        <v>10682</v>
      </c>
      <c r="C474" s="4">
        <v>1</v>
      </c>
      <c r="D474" s="5">
        <v>2.6</v>
      </c>
      <c r="E474" s="5">
        <v>5.99</v>
      </c>
      <c r="F474" s="4" t="s">
        <v>10683</v>
      </c>
      <c r="G474" s="2" t="s">
        <v>129</v>
      </c>
      <c r="H474" s="7" t="s">
        <v>590</v>
      </c>
      <c r="I474" s="2" t="s">
        <v>483</v>
      </c>
      <c r="J474" s="2" t="s">
        <v>536</v>
      </c>
      <c r="K474" s="2"/>
      <c r="L474" s="2" t="s">
        <v>206</v>
      </c>
      <c r="M474" s="8" t="str">
        <f>HYPERLINK("http://slimages.macys.com/is/image/MCY/11857507 ")</f>
        <v xml:space="preserve">http://slimages.macys.com/is/image/MCY/11857507 </v>
      </c>
    </row>
    <row r="475" spans="1:13" ht="60" x14ac:dyDescent="0.25">
      <c r="A475" s="7" t="s">
        <v>4525</v>
      </c>
      <c r="B475" s="2" t="s">
        <v>4526</v>
      </c>
      <c r="C475" s="4">
        <v>1</v>
      </c>
      <c r="D475" s="5">
        <v>2.59</v>
      </c>
      <c r="E475" s="5">
        <v>7.99</v>
      </c>
      <c r="F475" s="4" t="s">
        <v>4527</v>
      </c>
      <c r="G475" s="2" t="s">
        <v>1265</v>
      </c>
      <c r="H475" s="7" t="s">
        <v>149</v>
      </c>
      <c r="I475" s="2" t="s">
        <v>483</v>
      </c>
      <c r="J475" s="2" t="s">
        <v>536</v>
      </c>
      <c r="K475" s="2" t="s">
        <v>304</v>
      </c>
      <c r="L475" s="2" t="s">
        <v>100</v>
      </c>
      <c r="M475" s="8" t="str">
        <f>HYPERLINK("http://slimages.macys.com/is/image/MCY/12466031 ")</f>
        <v xml:space="preserve">http://slimages.macys.com/is/image/MCY/12466031 </v>
      </c>
    </row>
    <row r="476" spans="1:13" ht="60" x14ac:dyDescent="0.25">
      <c r="A476" s="7" t="s">
        <v>2278</v>
      </c>
      <c r="B476" s="2" t="s">
        <v>2279</v>
      </c>
      <c r="C476" s="4">
        <v>1</v>
      </c>
      <c r="D476" s="5">
        <v>2.59</v>
      </c>
      <c r="E476" s="5">
        <v>7.99</v>
      </c>
      <c r="F476" s="4" t="s">
        <v>2280</v>
      </c>
      <c r="G476" s="2" t="s">
        <v>86</v>
      </c>
      <c r="H476" s="7"/>
      <c r="I476" s="2" t="s">
        <v>483</v>
      </c>
      <c r="J476" s="2" t="s">
        <v>536</v>
      </c>
      <c r="K476" s="2" t="s">
        <v>304</v>
      </c>
      <c r="L476" s="2" t="s">
        <v>100</v>
      </c>
      <c r="M476" s="8" t="str">
        <f>HYPERLINK("http://slimages.macys.com/is/image/MCY/12465706 ")</f>
        <v xml:space="preserve">http://slimages.macys.com/is/image/MCY/12465706 </v>
      </c>
    </row>
    <row r="477" spans="1:13" ht="60" x14ac:dyDescent="0.25">
      <c r="A477" s="7" t="s">
        <v>6059</v>
      </c>
      <c r="B477" s="2" t="s">
        <v>1260</v>
      </c>
      <c r="C477" s="4">
        <v>1</v>
      </c>
      <c r="D477" s="5">
        <v>2.56</v>
      </c>
      <c r="E477" s="5">
        <v>6.99</v>
      </c>
      <c r="F477" s="4" t="s">
        <v>1261</v>
      </c>
      <c r="G477" s="2" t="s">
        <v>86</v>
      </c>
      <c r="H477" s="7" t="s">
        <v>442</v>
      </c>
      <c r="I477" s="2" t="s">
        <v>483</v>
      </c>
      <c r="J477" s="2" t="s">
        <v>536</v>
      </c>
      <c r="K477" s="2" t="s">
        <v>304</v>
      </c>
      <c r="L477" s="2" t="s">
        <v>100</v>
      </c>
      <c r="M477" s="8" t="str">
        <f>HYPERLINK("http://slimages.macys.com/is/image/MCY/11779082 ")</f>
        <v xml:space="preserve">http://slimages.macys.com/is/image/MCY/11779082 </v>
      </c>
    </row>
    <row r="478" spans="1:13" ht="60" x14ac:dyDescent="0.25">
      <c r="A478" s="7" t="s">
        <v>7927</v>
      </c>
      <c r="B478" s="2" t="s">
        <v>1260</v>
      </c>
      <c r="C478" s="4">
        <v>2</v>
      </c>
      <c r="D478" s="5">
        <v>2.56</v>
      </c>
      <c r="E478" s="5">
        <v>6.99</v>
      </c>
      <c r="F478" s="4" t="s">
        <v>1261</v>
      </c>
      <c r="G478" s="2" t="s">
        <v>1265</v>
      </c>
      <c r="H478" s="7" t="s">
        <v>91</v>
      </c>
      <c r="I478" s="2" t="s">
        <v>483</v>
      </c>
      <c r="J478" s="2" t="s">
        <v>536</v>
      </c>
      <c r="K478" s="2" t="s">
        <v>304</v>
      </c>
      <c r="L478" s="2" t="s">
        <v>100</v>
      </c>
      <c r="M478" s="8" t="str">
        <f>HYPERLINK("http://slimages.macys.com/is/image/MCY/11779082 ")</f>
        <v xml:space="preserve">http://slimages.macys.com/is/image/MCY/11779082 </v>
      </c>
    </row>
    <row r="479" spans="1:13" ht="60" x14ac:dyDescent="0.25">
      <c r="A479" s="7" t="s">
        <v>6058</v>
      </c>
      <c r="B479" s="2" t="s">
        <v>1260</v>
      </c>
      <c r="C479" s="4">
        <v>2</v>
      </c>
      <c r="D479" s="5">
        <v>2.56</v>
      </c>
      <c r="E479" s="5">
        <v>6.99</v>
      </c>
      <c r="F479" s="4" t="s">
        <v>1261</v>
      </c>
      <c r="G479" s="2" t="s">
        <v>86</v>
      </c>
      <c r="H479" s="7" t="s">
        <v>149</v>
      </c>
      <c r="I479" s="2" t="s">
        <v>483</v>
      </c>
      <c r="J479" s="2" t="s">
        <v>536</v>
      </c>
      <c r="K479" s="2" t="s">
        <v>304</v>
      </c>
      <c r="L479" s="2" t="s">
        <v>100</v>
      </c>
      <c r="M479" s="8" t="str">
        <f>HYPERLINK("http://slimages.macys.com/is/image/MCY/11779082 ")</f>
        <v xml:space="preserve">http://slimages.macys.com/is/image/MCY/11779082 </v>
      </c>
    </row>
    <row r="480" spans="1:13" ht="60" x14ac:dyDescent="0.25">
      <c r="A480" s="7" t="s">
        <v>6063</v>
      </c>
      <c r="B480" s="2" t="s">
        <v>1260</v>
      </c>
      <c r="C480" s="4">
        <v>1</v>
      </c>
      <c r="D480" s="5">
        <v>2.56</v>
      </c>
      <c r="E480" s="5">
        <v>6.99</v>
      </c>
      <c r="F480" s="4" t="s">
        <v>1261</v>
      </c>
      <c r="G480" s="2" t="s">
        <v>86</v>
      </c>
      <c r="H480" s="7" t="s">
        <v>590</v>
      </c>
      <c r="I480" s="2" t="s">
        <v>483</v>
      </c>
      <c r="J480" s="2" t="s">
        <v>536</v>
      </c>
      <c r="K480" s="2" t="s">
        <v>304</v>
      </c>
      <c r="L480" s="2" t="s">
        <v>100</v>
      </c>
      <c r="M480" s="8" t="str">
        <f>HYPERLINK("http://slimages.macys.com/is/image/MCY/11779082 ")</f>
        <v xml:space="preserve">http://slimages.macys.com/is/image/MCY/11779082 </v>
      </c>
    </row>
    <row r="481" spans="1:13" ht="60" x14ac:dyDescent="0.25">
      <c r="A481" s="7" t="s">
        <v>5701</v>
      </c>
      <c r="B481" s="2" t="s">
        <v>4536</v>
      </c>
      <c r="C481" s="4">
        <v>1</v>
      </c>
      <c r="D481" s="5">
        <v>2.5499999999999998</v>
      </c>
      <c r="E481" s="5">
        <v>6.99</v>
      </c>
      <c r="F481" s="4">
        <v>10005486300</v>
      </c>
      <c r="G481" s="2" t="s">
        <v>134</v>
      </c>
      <c r="H481" s="7" t="s">
        <v>590</v>
      </c>
      <c r="I481" s="2" t="s">
        <v>483</v>
      </c>
      <c r="J481" s="2" t="s">
        <v>536</v>
      </c>
      <c r="K481" s="2" t="s">
        <v>304</v>
      </c>
      <c r="L481" s="2" t="s">
        <v>119</v>
      </c>
      <c r="M481" s="8" t="str">
        <f>HYPERLINK("http://slimages.macys.com/is/image/MCY/12466262 ")</f>
        <v xml:space="preserve">http://slimages.macys.com/is/image/MCY/12466262 </v>
      </c>
    </row>
    <row r="482" spans="1:13" ht="60" x14ac:dyDescent="0.25">
      <c r="A482" s="7" t="s">
        <v>11226</v>
      </c>
      <c r="B482" s="2" t="s">
        <v>4536</v>
      </c>
      <c r="C482" s="4">
        <v>1</v>
      </c>
      <c r="D482" s="5">
        <v>2.5499999999999998</v>
      </c>
      <c r="E482" s="5">
        <v>6.99</v>
      </c>
      <c r="F482" s="4">
        <v>10005486300</v>
      </c>
      <c r="G482" s="2" t="s">
        <v>134</v>
      </c>
      <c r="H482" s="7" t="s">
        <v>442</v>
      </c>
      <c r="I482" s="2" t="s">
        <v>483</v>
      </c>
      <c r="J482" s="2" t="s">
        <v>536</v>
      </c>
      <c r="K482" s="2" t="s">
        <v>304</v>
      </c>
      <c r="L482" s="2" t="s">
        <v>119</v>
      </c>
      <c r="M482" s="8" t="str">
        <f>HYPERLINK("http://slimages.macys.com/is/image/MCY/12466262 ")</f>
        <v xml:space="preserve">http://slimages.macys.com/is/image/MCY/12466262 </v>
      </c>
    </row>
    <row r="483" spans="1:13" ht="60" x14ac:dyDescent="0.25">
      <c r="A483" s="7" t="s">
        <v>2285</v>
      </c>
      <c r="B483" s="2" t="s">
        <v>2286</v>
      </c>
      <c r="C483" s="4">
        <v>1</v>
      </c>
      <c r="D483" s="5">
        <v>2.5499999999999998</v>
      </c>
      <c r="E483" s="5">
        <v>6.99</v>
      </c>
      <c r="F483" s="4" t="s">
        <v>2287</v>
      </c>
      <c r="G483" s="2" t="s">
        <v>297</v>
      </c>
      <c r="H483" s="7" t="s">
        <v>149</v>
      </c>
      <c r="I483" s="2" t="s">
        <v>483</v>
      </c>
      <c r="J483" s="2" t="s">
        <v>536</v>
      </c>
      <c r="K483" s="2" t="s">
        <v>304</v>
      </c>
      <c r="L483" s="2" t="s">
        <v>38</v>
      </c>
      <c r="M483" s="8" t="str">
        <f>HYPERLINK("http://slimages.macys.com/is/image/MCY/12465797 ")</f>
        <v xml:space="preserve">http://slimages.macys.com/is/image/MCY/12465797 </v>
      </c>
    </row>
    <row r="484" spans="1:13" ht="60" x14ac:dyDescent="0.25">
      <c r="A484" s="7" t="s">
        <v>11227</v>
      </c>
      <c r="B484" s="2" t="s">
        <v>1283</v>
      </c>
      <c r="C484" s="4">
        <v>1</v>
      </c>
      <c r="D484" s="5">
        <v>2.5299999999999998</v>
      </c>
      <c r="E484" s="5">
        <v>5.99</v>
      </c>
      <c r="F484" s="4" t="s">
        <v>1284</v>
      </c>
      <c r="G484" s="2" t="s">
        <v>41</v>
      </c>
      <c r="H484" s="7" t="s">
        <v>149</v>
      </c>
      <c r="I484" s="2" t="s">
        <v>483</v>
      </c>
      <c r="J484" s="2" t="s">
        <v>536</v>
      </c>
      <c r="K484" s="2" t="s">
        <v>304</v>
      </c>
      <c r="L484" s="2" t="s">
        <v>38</v>
      </c>
      <c r="M484" s="8" t="str">
        <f>HYPERLINK("http://slimages.macys.com/is/image/MCY/13337388 ")</f>
        <v xml:space="preserve">http://slimages.macys.com/is/image/MCY/13337388 </v>
      </c>
    </row>
    <row r="485" spans="1:13" ht="60" x14ac:dyDescent="0.25">
      <c r="A485" s="7" t="s">
        <v>6070</v>
      </c>
      <c r="B485" s="2" t="s">
        <v>1260</v>
      </c>
      <c r="C485" s="4">
        <v>1</v>
      </c>
      <c r="D485" s="5">
        <v>2.5299999999999998</v>
      </c>
      <c r="E485" s="5">
        <v>6.99</v>
      </c>
      <c r="F485" s="4" t="s">
        <v>1261</v>
      </c>
      <c r="G485" s="2" t="s">
        <v>2107</v>
      </c>
      <c r="H485" s="7" t="s">
        <v>149</v>
      </c>
      <c r="I485" s="2" t="s">
        <v>483</v>
      </c>
      <c r="J485" s="2" t="s">
        <v>536</v>
      </c>
      <c r="K485" s="2" t="s">
        <v>304</v>
      </c>
      <c r="L485" s="2" t="s">
        <v>100</v>
      </c>
      <c r="M485" s="8" t="str">
        <f>HYPERLINK("http://slimages.macys.com/is/image/MCY/11779082 ")</f>
        <v xml:space="preserve">http://slimages.macys.com/is/image/MCY/11779082 </v>
      </c>
    </row>
    <row r="486" spans="1:13" ht="60" x14ac:dyDescent="0.25">
      <c r="A486" s="7" t="s">
        <v>11228</v>
      </c>
      <c r="B486" s="2" t="s">
        <v>6072</v>
      </c>
      <c r="C486" s="4">
        <v>1</v>
      </c>
      <c r="D486" s="5">
        <v>2.52</v>
      </c>
      <c r="E486" s="5">
        <v>7.99</v>
      </c>
      <c r="F486" s="4">
        <v>10005378700</v>
      </c>
      <c r="G486" s="2" t="s">
        <v>582</v>
      </c>
      <c r="H486" s="7" t="s">
        <v>149</v>
      </c>
      <c r="I486" s="2" t="s">
        <v>483</v>
      </c>
      <c r="J486" s="2" t="s">
        <v>536</v>
      </c>
      <c r="K486" s="2" t="s">
        <v>304</v>
      </c>
      <c r="L486" s="2" t="s">
        <v>100</v>
      </c>
      <c r="M486" s="8" t="str">
        <f>HYPERLINK("http://slimages.macys.com/is/image/MCY/12466219 ")</f>
        <v xml:space="preserve">http://slimages.macys.com/is/image/MCY/12466219 </v>
      </c>
    </row>
    <row r="487" spans="1:13" ht="60" x14ac:dyDescent="0.25">
      <c r="A487" s="7" t="s">
        <v>2294</v>
      </c>
      <c r="B487" s="2" t="s">
        <v>2295</v>
      </c>
      <c r="C487" s="4">
        <v>1</v>
      </c>
      <c r="D487" s="5">
        <v>2.5099999999999998</v>
      </c>
      <c r="E487" s="5">
        <v>5.99</v>
      </c>
      <c r="F487" s="4" t="s">
        <v>2296</v>
      </c>
      <c r="G487" s="2" t="s">
        <v>28</v>
      </c>
      <c r="H487" s="7" t="s">
        <v>590</v>
      </c>
      <c r="I487" s="2" t="s">
        <v>483</v>
      </c>
      <c r="J487" s="2" t="s">
        <v>536</v>
      </c>
      <c r="K487" s="2" t="s">
        <v>304</v>
      </c>
      <c r="L487" s="2" t="s">
        <v>119</v>
      </c>
      <c r="M487" s="8" t="str">
        <f>HYPERLINK("http://slimages.macys.com/is/image/MCY/11436914 ")</f>
        <v xml:space="preserve">http://slimages.macys.com/is/image/MCY/11436914 </v>
      </c>
    </row>
    <row r="488" spans="1:13" ht="60" x14ac:dyDescent="0.25">
      <c r="A488" s="7" t="s">
        <v>2316</v>
      </c>
      <c r="B488" s="2" t="s">
        <v>622</v>
      </c>
      <c r="C488" s="4">
        <v>2</v>
      </c>
      <c r="D488" s="5">
        <v>2.48</v>
      </c>
      <c r="E488" s="5">
        <v>7.99</v>
      </c>
      <c r="F488" s="4">
        <v>10005379300</v>
      </c>
      <c r="G488" s="2" t="s">
        <v>437</v>
      </c>
      <c r="H488" s="7" t="s">
        <v>442</v>
      </c>
      <c r="I488" s="2" t="s">
        <v>483</v>
      </c>
      <c r="J488" s="2" t="s">
        <v>536</v>
      </c>
      <c r="K488" s="2" t="s">
        <v>304</v>
      </c>
      <c r="L488" s="2" t="s">
        <v>623</v>
      </c>
      <c r="M488" s="8" t="str">
        <f t="shared" ref="M488:M496" si="0">HYPERLINK("http://slimages.macys.com/is/image/MCY/12465415 ")</f>
        <v xml:space="preserve">http://slimages.macys.com/is/image/MCY/12465415 </v>
      </c>
    </row>
    <row r="489" spans="1:13" ht="60" x14ac:dyDescent="0.25">
      <c r="A489" s="7" t="s">
        <v>2313</v>
      </c>
      <c r="B489" s="2" t="s">
        <v>622</v>
      </c>
      <c r="C489" s="4">
        <v>9</v>
      </c>
      <c r="D489" s="5">
        <v>2.48</v>
      </c>
      <c r="E489" s="5">
        <v>7.99</v>
      </c>
      <c r="F489" s="4">
        <v>10005379300</v>
      </c>
      <c r="G489" s="2" t="s">
        <v>437</v>
      </c>
      <c r="H489" s="7" t="s">
        <v>149</v>
      </c>
      <c r="I489" s="2" t="s">
        <v>483</v>
      </c>
      <c r="J489" s="2" t="s">
        <v>536</v>
      </c>
      <c r="K489" s="2" t="s">
        <v>304</v>
      </c>
      <c r="L489" s="2" t="s">
        <v>623</v>
      </c>
      <c r="M489" s="8" t="str">
        <f t="shared" si="0"/>
        <v xml:space="preserve">http://slimages.macys.com/is/image/MCY/12465415 </v>
      </c>
    </row>
    <row r="490" spans="1:13" ht="60" x14ac:dyDescent="0.25">
      <c r="A490" s="7" t="s">
        <v>621</v>
      </c>
      <c r="B490" s="2" t="s">
        <v>622</v>
      </c>
      <c r="C490" s="4">
        <v>5</v>
      </c>
      <c r="D490" s="5">
        <v>2.48</v>
      </c>
      <c r="E490" s="5">
        <v>7.99</v>
      </c>
      <c r="F490" s="4">
        <v>10005379300</v>
      </c>
      <c r="G490" s="2" t="s">
        <v>437</v>
      </c>
      <c r="H490" s="7" t="s">
        <v>590</v>
      </c>
      <c r="I490" s="2" t="s">
        <v>483</v>
      </c>
      <c r="J490" s="2" t="s">
        <v>536</v>
      </c>
      <c r="K490" s="2" t="s">
        <v>304</v>
      </c>
      <c r="L490" s="2" t="s">
        <v>623</v>
      </c>
      <c r="M490" s="8" t="str">
        <f t="shared" si="0"/>
        <v xml:space="preserve">http://slimages.macys.com/is/image/MCY/12465415 </v>
      </c>
    </row>
    <row r="491" spans="1:13" ht="60" x14ac:dyDescent="0.25">
      <c r="A491" s="7" t="s">
        <v>2310</v>
      </c>
      <c r="B491" s="2" t="s">
        <v>622</v>
      </c>
      <c r="C491" s="4">
        <v>1</v>
      </c>
      <c r="D491" s="5">
        <v>2.48</v>
      </c>
      <c r="E491" s="5">
        <v>7.99</v>
      </c>
      <c r="F491" s="4">
        <v>10005379300</v>
      </c>
      <c r="G491" s="2" t="s">
        <v>62</v>
      </c>
      <c r="H491" s="7"/>
      <c r="I491" s="2" t="s">
        <v>483</v>
      </c>
      <c r="J491" s="2" t="s">
        <v>536</v>
      </c>
      <c r="K491" s="2" t="s">
        <v>304</v>
      </c>
      <c r="L491" s="2" t="s">
        <v>623</v>
      </c>
      <c r="M491" s="8" t="str">
        <f t="shared" si="0"/>
        <v xml:space="preserve">http://slimages.macys.com/is/image/MCY/12465415 </v>
      </c>
    </row>
    <row r="492" spans="1:13" ht="60" x14ac:dyDescent="0.25">
      <c r="A492" s="7" t="s">
        <v>2315</v>
      </c>
      <c r="B492" s="2" t="s">
        <v>622</v>
      </c>
      <c r="C492" s="4">
        <v>1</v>
      </c>
      <c r="D492" s="5">
        <v>2.48</v>
      </c>
      <c r="E492" s="5">
        <v>7.99</v>
      </c>
      <c r="F492" s="4">
        <v>10005379300</v>
      </c>
      <c r="G492" s="2" t="s">
        <v>62</v>
      </c>
      <c r="H492" s="7" t="s">
        <v>590</v>
      </c>
      <c r="I492" s="2" t="s">
        <v>483</v>
      </c>
      <c r="J492" s="2" t="s">
        <v>536</v>
      </c>
      <c r="K492" s="2" t="s">
        <v>304</v>
      </c>
      <c r="L492" s="2" t="s">
        <v>623</v>
      </c>
      <c r="M492" s="8" t="str">
        <f t="shared" si="0"/>
        <v xml:space="preserve">http://slimages.macys.com/is/image/MCY/12465415 </v>
      </c>
    </row>
    <row r="493" spans="1:13" ht="60" x14ac:dyDescent="0.25">
      <c r="A493" s="7" t="s">
        <v>2311</v>
      </c>
      <c r="B493" s="2" t="s">
        <v>622</v>
      </c>
      <c r="C493" s="4">
        <v>1</v>
      </c>
      <c r="D493" s="5">
        <v>2.48</v>
      </c>
      <c r="E493" s="5">
        <v>7.99</v>
      </c>
      <c r="F493" s="4">
        <v>10005379300</v>
      </c>
      <c r="G493" s="2" t="s">
        <v>62</v>
      </c>
      <c r="H493" s="7" t="s">
        <v>482</v>
      </c>
      <c r="I493" s="2" t="s">
        <v>483</v>
      </c>
      <c r="J493" s="2" t="s">
        <v>536</v>
      </c>
      <c r="K493" s="2" t="s">
        <v>304</v>
      </c>
      <c r="L493" s="2" t="s">
        <v>623</v>
      </c>
      <c r="M493" s="8" t="str">
        <f t="shared" si="0"/>
        <v xml:space="preserve">http://slimages.macys.com/is/image/MCY/12465415 </v>
      </c>
    </row>
    <row r="494" spans="1:13" ht="60" x14ac:dyDescent="0.25">
      <c r="A494" s="7" t="s">
        <v>2312</v>
      </c>
      <c r="B494" s="2" t="s">
        <v>622</v>
      </c>
      <c r="C494" s="4">
        <v>2</v>
      </c>
      <c r="D494" s="5">
        <v>2.48</v>
      </c>
      <c r="E494" s="5">
        <v>7.99</v>
      </c>
      <c r="F494" s="4">
        <v>10005379300</v>
      </c>
      <c r="G494" s="2" t="s">
        <v>62</v>
      </c>
      <c r="H494" s="7" t="s">
        <v>149</v>
      </c>
      <c r="I494" s="2" t="s">
        <v>483</v>
      </c>
      <c r="J494" s="2" t="s">
        <v>536</v>
      </c>
      <c r="K494" s="2" t="s">
        <v>304</v>
      </c>
      <c r="L494" s="2" t="s">
        <v>623</v>
      </c>
      <c r="M494" s="8" t="str">
        <f t="shared" si="0"/>
        <v xml:space="preserve">http://slimages.macys.com/is/image/MCY/12465415 </v>
      </c>
    </row>
    <row r="495" spans="1:13" ht="60" x14ac:dyDescent="0.25">
      <c r="A495" s="7" t="s">
        <v>2314</v>
      </c>
      <c r="B495" s="2" t="s">
        <v>622</v>
      </c>
      <c r="C495" s="4">
        <v>8</v>
      </c>
      <c r="D495" s="5">
        <v>2.48</v>
      </c>
      <c r="E495" s="5">
        <v>7.99</v>
      </c>
      <c r="F495" s="4">
        <v>10005379300</v>
      </c>
      <c r="G495" s="2" t="s">
        <v>437</v>
      </c>
      <c r="H495" s="7"/>
      <c r="I495" s="2" t="s">
        <v>483</v>
      </c>
      <c r="J495" s="2" t="s">
        <v>536</v>
      </c>
      <c r="K495" s="2" t="s">
        <v>304</v>
      </c>
      <c r="L495" s="2" t="s">
        <v>623</v>
      </c>
      <c r="M495" s="8" t="str">
        <f t="shared" si="0"/>
        <v xml:space="preserve">http://slimages.macys.com/is/image/MCY/12465415 </v>
      </c>
    </row>
    <row r="496" spans="1:13" ht="60" x14ac:dyDescent="0.25">
      <c r="A496" s="7" t="s">
        <v>2309</v>
      </c>
      <c r="B496" s="2" t="s">
        <v>622</v>
      </c>
      <c r="C496" s="4">
        <v>2</v>
      </c>
      <c r="D496" s="5">
        <v>2.48</v>
      </c>
      <c r="E496" s="5">
        <v>7.99</v>
      </c>
      <c r="F496" s="4">
        <v>10005379300</v>
      </c>
      <c r="G496" s="2" t="s">
        <v>437</v>
      </c>
      <c r="H496" s="7" t="s">
        <v>482</v>
      </c>
      <c r="I496" s="2" t="s">
        <v>483</v>
      </c>
      <c r="J496" s="2" t="s">
        <v>536</v>
      </c>
      <c r="K496" s="2" t="s">
        <v>304</v>
      </c>
      <c r="L496" s="2" t="s">
        <v>623</v>
      </c>
      <c r="M496" s="8" t="str">
        <f t="shared" si="0"/>
        <v xml:space="preserve">http://slimages.macys.com/is/image/MCY/12465415 </v>
      </c>
    </row>
    <row r="497" spans="1:13" ht="108" x14ac:dyDescent="0.25">
      <c r="A497" s="7" t="s">
        <v>2326</v>
      </c>
      <c r="B497" s="2" t="s">
        <v>2322</v>
      </c>
      <c r="C497" s="4">
        <v>2</v>
      </c>
      <c r="D497" s="5">
        <v>2.4300000000000002</v>
      </c>
      <c r="E497" s="5">
        <v>7.99</v>
      </c>
      <c r="F497" s="4" t="s">
        <v>2323</v>
      </c>
      <c r="G497" s="2" t="s">
        <v>41</v>
      </c>
      <c r="H497" s="7" t="s">
        <v>149</v>
      </c>
      <c r="I497" s="2" t="s">
        <v>483</v>
      </c>
      <c r="J497" s="2" t="s">
        <v>536</v>
      </c>
      <c r="K497" s="2" t="s">
        <v>304</v>
      </c>
      <c r="L497" s="2" t="s">
        <v>2324</v>
      </c>
      <c r="M497" s="8" t="str">
        <f>HYPERLINK("http://slimages.macys.com/is/image/MCY/14384998 ")</f>
        <v xml:space="preserve">http://slimages.macys.com/is/image/MCY/14384998 </v>
      </c>
    </row>
    <row r="498" spans="1:13" ht="108" x14ac:dyDescent="0.25">
      <c r="A498" s="7" t="s">
        <v>2321</v>
      </c>
      <c r="B498" s="2" t="s">
        <v>2322</v>
      </c>
      <c r="C498" s="4">
        <v>1</v>
      </c>
      <c r="D498" s="5">
        <v>2.4300000000000002</v>
      </c>
      <c r="E498" s="5">
        <v>7.99</v>
      </c>
      <c r="F498" s="4" t="s">
        <v>2323</v>
      </c>
      <c r="G498" s="2" t="s">
        <v>41</v>
      </c>
      <c r="H498" s="7"/>
      <c r="I498" s="2" t="s">
        <v>483</v>
      </c>
      <c r="J498" s="2" t="s">
        <v>536</v>
      </c>
      <c r="K498" s="2" t="s">
        <v>304</v>
      </c>
      <c r="L498" s="2" t="s">
        <v>2324</v>
      </c>
      <c r="M498" s="8" t="str">
        <f>HYPERLINK("http://slimages.macys.com/is/image/MCY/14384998 ")</f>
        <v xml:space="preserve">http://slimages.macys.com/is/image/MCY/14384998 </v>
      </c>
    </row>
    <row r="499" spans="1:13" ht="108" x14ac:dyDescent="0.25">
      <c r="A499" s="7" t="s">
        <v>2325</v>
      </c>
      <c r="B499" s="2" t="s">
        <v>2322</v>
      </c>
      <c r="C499" s="4">
        <v>1</v>
      </c>
      <c r="D499" s="5">
        <v>2.4300000000000002</v>
      </c>
      <c r="E499" s="5">
        <v>7.99</v>
      </c>
      <c r="F499" s="4" t="s">
        <v>2323</v>
      </c>
      <c r="G499" s="2" t="s">
        <v>41</v>
      </c>
      <c r="H499" s="7" t="s">
        <v>590</v>
      </c>
      <c r="I499" s="2" t="s">
        <v>483</v>
      </c>
      <c r="J499" s="2" t="s">
        <v>536</v>
      </c>
      <c r="K499" s="2" t="s">
        <v>304</v>
      </c>
      <c r="L499" s="2" t="s">
        <v>2324</v>
      </c>
      <c r="M499" s="8" t="str">
        <f>HYPERLINK("http://slimages.macys.com/is/image/MCY/14384998 ")</f>
        <v xml:space="preserve">http://slimages.macys.com/is/image/MCY/14384998 </v>
      </c>
    </row>
    <row r="500" spans="1:13" ht="60" x14ac:dyDescent="0.25">
      <c r="A500" s="7" t="s">
        <v>11229</v>
      </c>
      <c r="B500" s="2" t="s">
        <v>3540</v>
      </c>
      <c r="C500" s="4">
        <v>1</v>
      </c>
      <c r="D500" s="5">
        <v>2.4</v>
      </c>
      <c r="E500" s="5">
        <v>5.99</v>
      </c>
      <c r="F500" s="4" t="s">
        <v>3541</v>
      </c>
      <c r="G500" s="2" t="s">
        <v>41</v>
      </c>
      <c r="H500" s="7" t="s">
        <v>149</v>
      </c>
      <c r="I500" s="2" t="s">
        <v>483</v>
      </c>
      <c r="J500" s="2" t="s">
        <v>536</v>
      </c>
      <c r="K500" s="2" t="s">
        <v>304</v>
      </c>
      <c r="L500" s="2" t="s">
        <v>100</v>
      </c>
      <c r="M500" s="8" t="str">
        <f>HYPERLINK("http://slimages.macys.com/is/image/MCY/12406900 ")</f>
        <v xml:space="preserve">http://slimages.macys.com/is/image/MCY/12406900 </v>
      </c>
    </row>
    <row r="501" spans="1:13" ht="60" x14ac:dyDescent="0.25">
      <c r="A501" s="7" t="s">
        <v>7225</v>
      </c>
      <c r="B501" s="2" t="s">
        <v>1336</v>
      </c>
      <c r="C501" s="4">
        <v>1</v>
      </c>
      <c r="D501" s="5">
        <v>2.4</v>
      </c>
      <c r="E501" s="5">
        <v>5.99</v>
      </c>
      <c r="F501" s="4" t="s">
        <v>1337</v>
      </c>
      <c r="G501" s="2" t="s">
        <v>657</v>
      </c>
      <c r="H501" s="7" t="s">
        <v>91</v>
      </c>
      <c r="I501" s="2" t="s">
        <v>483</v>
      </c>
      <c r="J501" s="2" t="s">
        <v>536</v>
      </c>
      <c r="K501" s="2" t="s">
        <v>304</v>
      </c>
      <c r="L501" s="2" t="s">
        <v>119</v>
      </c>
      <c r="M501" s="8" t="str">
        <f>HYPERLINK("http://slimages.macys.com/is/image/MCY/13987252 ")</f>
        <v xml:space="preserve">http://slimages.macys.com/is/image/MCY/13987252 </v>
      </c>
    </row>
    <row r="502" spans="1:13" ht="60" x14ac:dyDescent="0.25">
      <c r="A502" s="7" t="s">
        <v>11230</v>
      </c>
      <c r="B502" s="2" t="s">
        <v>7227</v>
      </c>
      <c r="C502" s="4">
        <v>1</v>
      </c>
      <c r="D502" s="5">
        <v>2.4</v>
      </c>
      <c r="E502" s="5">
        <v>5.99</v>
      </c>
      <c r="F502" s="4" t="s">
        <v>7228</v>
      </c>
      <c r="G502" s="2" t="s">
        <v>28</v>
      </c>
      <c r="H502" s="7" t="s">
        <v>442</v>
      </c>
      <c r="I502" s="2" t="s">
        <v>483</v>
      </c>
      <c r="J502" s="2" t="s">
        <v>536</v>
      </c>
      <c r="K502" s="2" t="s">
        <v>304</v>
      </c>
      <c r="L502" s="2" t="s">
        <v>38</v>
      </c>
      <c r="M502" s="8" t="str">
        <f>HYPERLINK("http://slimages.macys.com/is/image/MCY/11953879 ")</f>
        <v xml:space="preserve">http://slimages.macys.com/is/image/MCY/11953879 </v>
      </c>
    </row>
    <row r="503" spans="1:13" ht="60" x14ac:dyDescent="0.25">
      <c r="A503" s="7" t="s">
        <v>11231</v>
      </c>
      <c r="B503" s="2" t="s">
        <v>1324</v>
      </c>
      <c r="C503" s="4">
        <v>1</v>
      </c>
      <c r="D503" s="5">
        <v>2.35</v>
      </c>
      <c r="E503" s="5">
        <v>4.99</v>
      </c>
      <c r="F503" s="4" t="s">
        <v>1325</v>
      </c>
      <c r="G503" s="2" t="s">
        <v>4218</v>
      </c>
      <c r="H503" s="7" t="s">
        <v>159</v>
      </c>
      <c r="I503" s="2" t="s">
        <v>523</v>
      </c>
      <c r="J503" s="2" t="s">
        <v>921</v>
      </c>
      <c r="K503" s="2" t="s">
        <v>304</v>
      </c>
      <c r="L503" s="2" t="s">
        <v>323</v>
      </c>
      <c r="M503" s="8" t="str">
        <f>HYPERLINK("http://slimages.macys.com/is/image/MCY/11722365 ")</f>
        <v xml:space="preserve">http://slimages.macys.com/is/image/MCY/11722365 </v>
      </c>
    </row>
    <row r="504" spans="1:13" ht="60" x14ac:dyDescent="0.25">
      <c r="A504" s="7" t="s">
        <v>9784</v>
      </c>
      <c r="B504" s="2" t="s">
        <v>2338</v>
      </c>
      <c r="C504" s="4">
        <v>1</v>
      </c>
      <c r="D504" s="5">
        <v>2.34</v>
      </c>
      <c r="E504" s="5">
        <v>5.99</v>
      </c>
      <c r="F504" s="4" t="s">
        <v>2339</v>
      </c>
      <c r="G504" s="2" t="s">
        <v>41</v>
      </c>
      <c r="H504" s="7" t="s">
        <v>91</v>
      </c>
      <c r="I504" s="2" t="s">
        <v>483</v>
      </c>
      <c r="J504" s="2" t="s">
        <v>536</v>
      </c>
      <c r="K504" s="2" t="s">
        <v>304</v>
      </c>
      <c r="L504" s="2" t="s">
        <v>38</v>
      </c>
      <c r="M504" s="8" t="str">
        <f>HYPERLINK("http://slimages.macys.com/is/image/MCY/13386590 ")</f>
        <v xml:space="preserve">http://slimages.macys.com/is/image/MCY/13386590 </v>
      </c>
    </row>
    <row r="505" spans="1:13" ht="60" x14ac:dyDescent="0.25">
      <c r="A505" s="7" t="s">
        <v>1358</v>
      </c>
      <c r="B505" s="2" t="s">
        <v>1359</v>
      </c>
      <c r="C505" s="4">
        <v>6</v>
      </c>
      <c r="D505" s="5">
        <v>2.33</v>
      </c>
      <c r="E505" s="5">
        <v>7.99</v>
      </c>
      <c r="F505" s="4">
        <v>10004191800</v>
      </c>
      <c r="G505" s="2" t="s">
        <v>1360</v>
      </c>
      <c r="H505" s="7" t="s">
        <v>531</v>
      </c>
      <c r="I505" s="2" t="s">
        <v>483</v>
      </c>
      <c r="J505" s="2" t="s">
        <v>536</v>
      </c>
      <c r="K505" s="2" t="s">
        <v>304</v>
      </c>
      <c r="L505" s="2" t="s">
        <v>38</v>
      </c>
      <c r="M505" s="8" t="str">
        <f>HYPERLINK("http://slimages.macys.com/is/image/MCY/11520378 ")</f>
        <v xml:space="preserve">http://slimages.macys.com/is/image/MCY/11520378 </v>
      </c>
    </row>
    <row r="506" spans="1:13" ht="60" x14ac:dyDescent="0.25">
      <c r="A506" s="7" t="s">
        <v>2344</v>
      </c>
      <c r="B506" s="2" t="s">
        <v>2345</v>
      </c>
      <c r="C506" s="4">
        <v>1</v>
      </c>
      <c r="D506" s="5">
        <v>2.33</v>
      </c>
      <c r="E506" s="5">
        <v>7.99</v>
      </c>
      <c r="F506" s="4" t="s">
        <v>2346</v>
      </c>
      <c r="G506" s="2" t="s">
        <v>297</v>
      </c>
      <c r="H506" s="7" t="s">
        <v>531</v>
      </c>
      <c r="I506" s="2" t="s">
        <v>483</v>
      </c>
      <c r="J506" s="2" t="s">
        <v>536</v>
      </c>
      <c r="K506" s="2" t="s">
        <v>304</v>
      </c>
      <c r="L506" s="2" t="s">
        <v>75</v>
      </c>
      <c r="M506" s="8" t="str">
        <f>HYPERLINK("http://slimages.macys.com/is/image/MCY/11520408 ")</f>
        <v xml:space="preserve">http://slimages.macys.com/is/image/MCY/11520408 </v>
      </c>
    </row>
    <row r="507" spans="1:13" ht="60" x14ac:dyDescent="0.25">
      <c r="A507" s="7" t="s">
        <v>2342</v>
      </c>
      <c r="B507" s="2" t="s">
        <v>2343</v>
      </c>
      <c r="C507" s="4">
        <v>1</v>
      </c>
      <c r="D507" s="5">
        <v>2.33</v>
      </c>
      <c r="E507" s="5">
        <v>7.99</v>
      </c>
      <c r="F507" s="4">
        <v>10005049200</v>
      </c>
      <c r="G507" s="2" t="s">
        <v>527</v>
      </c>
      <c r="H507" s="7" t="s">
        <v>531</v>
      </c>
      <c r="I507" s="2" t="s">
        <v>483</v>
      </c>
      <c r="J507" s="2" t="s">
        <v>536</v>
      </c>
      <c r="K507" s="2" t="s">
        <v>304</v>
      </c>
      <c r="L507" s="2" t="s">
        <v>75</v>
      </c>
      <c r="M507" s="8" t="str">
        <f>HYPERLINK("http://slimages.macys.com/is/image/MCY/11520401 ")</f>
        <v xml:space="preserve">http://slimages.macys.com/is/image/MCY/11520401 </v>
      </c>
    </row>
    <row r="508" spans="1:13" ht="60" x14ac:dyDescent="0.25">
      <c r="A508" s="7" t="s">
        <v>7239</v>
      </c>
      <c r="B508" s="2" t="s">
        <v>4576</v>
      </c>
      <c r="C508" s="4">
        <v>1</v>
      </c>
      <c r="D508" s="5">
        <v>2.33</v>
      </c>
      <c r="E508" s="5">
        <v>6.99</v>
      </c>
      <c r="F508" s="4" t="s">
        <v>4577</v>
      </c>
      <c r="G508" s="2" t="s">
        <v>297</v>
      </c>
      <c r="H508" s="7" t="s">
        <v>482</v>
      </c>
      <c r="I508" s="2" t="s">
        <v>483</v>
      </c>
      <c r="J508" s="2" t="s">
        <v>536</v>
      </c>
      <c r="K508" s="2" t="s">
        <v>304</v>
      </c>
      <c r="L508" s="2" t="s">
        <v>596</v>
      </c>
      <c r="M508" s="8" t="str">
        <f>HYPERLINK("http://slimages.macys.com/is/image/MCY/12465959 ")</f>
        <v xml:space="preserve">http://slimages.macys.com/is/image/MCY/12465959 </v>
      </c>
    </row>
    <row r="509" spans="1:13" ht="60" x14ac:dyDescent="0.25">
      <c r="A509" s="7" t="s">
        <v>7240</v>
      </c>
      <c r="B509" s="2" t="s">
        <v>1362</v>
      </c>
      <c r="C509" s="4">
        <v>2</v>
      </c>
      <c r="D509" s="5">
        <v>2.33</v>
      </c>
      <c r="E509" s="5">
        <v>6.99</v>
      </c>
      <c r="F509" s="4" t="s">
        <v>1363</v>
      </c>
      <c r="G509" s="2" t="s">
        <v>527</v>
      </c>
      <c r="H509" s="7" t="s">
        <v>482</v>
      </c>
      <c r="I509" s="2" t="s">
        <v>483</v>
      </c>
      <c r="J509" s="2" t="s">
        <v>536</v>
      </c>
      <c r="K509" s="2" t="s">
        <v>304</v>
      </c>
      <c r="L509" s="2" t="s">
        <v>100</v>
      </c>
      <c r="M509" s="8" t="str">
        <f>HYPERLINK("http://slimages.macys.com/is/image/MCY/12465866 ")</f>
        <v xml:space="preserve">http://slimages.macys.com/is/image/MCY/12465866 </v>
      </c>
    </row>
    <row r="510" spans="1:13" ht="60" x14ac:dyDescent="0.25">
      <c r="A510" s="7" t="s">
        <v>2347</v>
      </c>
      <c r="B510" s="2" t="s">
        <v>2348</v>
      </c>
      <c r="C510" s="4">
        <v>2</v>
      </c>
      <c r="D510" s="5">
        <v>2.31</v>
      </c>
      <c r="E510" s="5">
        <v>7.99</v>
      </c>
      <c r="F510" s="4">
        <v>10005380100</v>
      </c>
      <c r="G510" s="2" t="s">
        <v>1360</v>
      </c>
      <c r="H510" s="7" t="s">
        <v>531</v>
      </c>
      <c r="I510" s="2" t="s">
        <v>483</v>
      </c>
      <c r="J510" s="2" t="s">
        <v>536</v>
      </c>
      <c r="K510" s="2" t="s">
        <v>304</v>
      </c>
      <c r="L510" s="2" t="s">
        <v>87</v>
      </c>
      <c r="M510" s="8" t="str">
        <f>HYPERLINK("http://slimages.macys.com/is/image/MCY/12466174 ")</f>
        <v xml:space="preserve">http://slimages.macys.com/is/image/MCY/12466174 </v>
      </c>
    </row>
    <row r="511" spans="1:13" ht="60" x14ac:dyDescent="0.25">
      <c r="A511" s="7" t="s">
        <v>5764</v>
      </c>
      <c r="B511" s="2" t="s">
        <v>4579</v>
      </c>
      <c r="C511" s="4">
        <v>1</v>
      </c>
      <c r="D511" s="5">
        <v>2.31</v>
      </c>
      <c r="E511" s="5">
        <v>7.99</v>
      </c>
      <c r="F511" s="4">
        <v>10004192100</v>
      </c>
      <c r="G511" s="2" t="s">
        <v>171</v>
      </c>
      <c r="H511" s="7" t="s">
        <v>531</v>
      </c>
      <c r="I511" s="2" t="s">
        <v>483</v>
      </c>
      <c r="J511" s="2" t="s">
        <v>536</v>
      </c>
      <c r="K511" s="2" t="s">
        <v>304</v>
      </c>
      <c r="L511" s="2" t="s">
        <v>75</v>
      </c>
      <c r="M511" s="8" t="str">
        <f>HYPERLINK("http://slimages.macys.com/is/image/MCY/11519987 ")</f>
        <v xml:space="preserve">http://slimages.macys.com/is/image/MCY/11519987 </v>
      </c>
    </row>
    <row r="512" spans="1:13" ht="60" x14ac:dyDescent="0.25">
      <c r="A512" s="7" t="s">
        <v>4578</v>
      </c>
      <c r="B512" s="2" t="s">
        <v>4579</v>
      </c>
      <c r="C512" s="4">
        <v>2</v>
      </c>
      <c r="D512" s="5">
        <v>2.31</v>
      </c>
      <c r="E512" s="5">
        <v>7.99</v>
      </c>
      <c r="F512" s="4">
        <v>10004192100</v>
      </c>
      <c r="G512" s="2" t="s">
        <v>297</v>
      </c>
      <c r="H512" s="7" t="s">
        <v>531</v>
      </c>
      <c r="I512" s="2" t="s">
        <v>483</v>
      </c>
      <c r="J512" s="2" t="s">
        <v>536</v>
      </c>
      <c r="K512" s="2" t="s">
        <v>304</v>
      </c>
      <c r="L512" s="2" t="s">
        <v>75</v>
      </c>
      <c r="M512" s="8" t="str">
        <f>HYPERLINK("http://slimages.macys.com/is/image/MCY/11519987 ")</f>
        <v xml:space="preserve">http://slimages.macys.com/is/image/MCY/11519987 </v>
      </c>
    </row>
    <row r="513" spans="1:13" ht="60" x14ac:dyDescent="0.25">
      <c r="A513" s="7" t="s">
        <v>11232</v>
      </c>
      <c r="B513" s="2" t="s">
        <v>5718</v>
      </c>
      <c r="C513" s="4">
        <v>1</v>
      </c>
      <c r="D513" s="5">
        <v>2.27</v>
      </c>
      <c r="E513" s="5">
        <v>5.99</v>
      </c>
      <c r="F513" s="4" t="s">
        <v>7248</v>
      </c>
      <c r="G513" s="2" t="s">
        <v>41</v>
      </c>
      <c r="H513" s="7" t="s">
        <v>149</v>
      </c>
      <c r="I513" s="2" t="s">
        <v>483</v>
      </c>
      <c r="J513" s="2" t="s">
        <v>536</v>
      </c>
      <c r="K513" s="2" t="s">
        <v>304</v>
      </c>
      <c r="L513" s="2" t="s">
        <v>87</v>
      </c>
      <c r="M513" s="8" t="str">
        <f>HYPERLINK("http://slimages.macys.com/is/image/MCY/12466263 ")</f>
        <v xml:space="preserve">http://slimages.macys.com/is/image/MCY/12466263 </v>
      </c>
    </row>
    <row r="514" spans="1:13" ht="60" x14ac:dyDescent="0.25">
      <c r="A514" s="7" t="s">
        <v>6633</v>
      </c>
      <c r="B514" s="2" t="s">
        <v>4590</v>
      </c>
      <c r="C514" s="4">
        <v>1</v>
      </c>
      <c r="D514" s="5">
        <v>2.27</v>
      </c>
      <c r="E514" s="5">
        <v>5.99</v>
      </c>
      <c r="F514" s="4" t="s">
        <v>4591</v>
      </c>
      <c r="G514" s="2" t="s">
        <v>353</v>
      </c>
      <c r="H514" s="7" t="s">
        <v>149</v>
      </c>
      <c r="I514" s="2" t="s">
        <v>483</v>
      </c>
      <c r="J514" s="2" t="s">
        <v>536</v>
      </c>
      <c r="K514" s="2" t="s">
        <v>304</v>
      </c>
      <c r="L514" s="2" t="s">
        <v>206</v>
      </c>
      <c r="M514" s="8" t="str">
        <f>HYPERLINK("http://slimages.macys.com/is/image/MCY/12239826 ")</f>
        <v xml:space="preserve">http://slimages.macys.com/is/image/MCY/12239826 </v>
      </c>
    </row>
    <row r="515" spans="1:13" ht="60" x14ac:dyDescent="0.25">
      <c r="A515" s="7" t="s">
        <v>9249</v>
      </c>
      <c r="B515" s="2" t="s">
        <v>2380</v>
      </c>
      <c r="C515" s="4">
        <v>1</v>
      </c>
      <c r="D515" s="5">
        <v>2.2200000000000002</v>
      </c>
      <c r="E515" s="5">
        <v>5.99</v>
      </c>
      <c r="F515" s="4" t="s">
        <v>2381</v>
      </c>
      <c r="G515" s="2" t="s">
        <v>28</v>
      </c>
      <c r="H515" s="7" t="s">
        <v>42</v>
      </c>
      <c r="I515" s="2" t="s">
        <v>483</v>
      </c>
      <c r="J515" s="2" t="s">
        <v>536</v>
      </c>
      <c r="K515" s="2" t="s">
        <v>304</v>
      </c>
      <c r="L515" s="2" t="s">
        <v>119</v>
      </c>
      <c r="M515" s="8" t="str">
        <f>HYPERLINK("http://slimages.macys.com/is/image/MCY/12462743 ")</f>
        <v xml:space="preserve">http://slimages.macys.com/is/image/MCY/12462743 </v>
      </c>
    </row>
    <row r="516" spans="1:13" ht="60" x14ac:dyDescent="0.25">
      <c r="A516" s="7" t="s">
        <v>7275</v>
      </c>
      <c r="B516" s="2" t="s">
        <v>1388</v>
      </c>
      <c r="C516" s="4">
        <v>1</v>
      </c>
      <c r="D516" s="5">
        <v>2.21</v>
      </c>
      <c r="E516" s="5">
        <v>5.99</v>
      </c>
      <c r="F516" s="4" t="s">
        <v>1389</v>
      </c>
      <c r="G516" s="2" t="s">
        <v>129</v>
      </c>
      <c r="H516" s="7" t="s">
        <v>149</v>
      </c>
      <c r="I516" s="2" t="s">
        <v>483</v>
      </c>
      <c r="J516" s="2" t="s">
        <v>536</v>
      </c>
      <c r="K516" s="2" t="s">
        <v>304</v>
      </c>
      <c r="L516" s="2" t="s">
        <v>38</v>
      </c>
      <c r="M516" s="8" t="str">
        <f>HYPERLINK("http://slimages.macys.com/is/image/MCY/13987618 ")</f>
        <v xml:space="preserve">http://slimages.macys.com/is/image/MCY/13987618 </v>
      </c>
    </row>
    <row r="517" spans="1:13" ht="60" x14ac:dyDescent="0.25">
      <c r="A517" s="7" t="s">
        <v>1393</v>
      </c>
      <c r="B517" s="2" t="s">
        <v>1394</v>
      </c>
      <c r="C517" s="4">
        <v>1</v>
      </c>
      <c r="D517" s="5">
        <v>2.17</v>
      </c>
      <c r="E517" s="5">
        <v>4.99</v>
      </c>
      <c r="F517" s="4">
        <v>10000297900</v>
      </c>
      <c r="G517" s="2" t="s">
        <v>582</v>
      </c>
      <c r="H517" s="7" t="s">
        <v>531</v>
      </c>
      <c r="I517" s="2" t="s">
        <v>483</v>
      </c>
      <c r="J517" s="2" t="s">
        <v>536</v>
      </c>
      <c r="K517" s="2" t="s">
        <v>304</v>
      </c>
      <c r="L517" s="2" t="s">
        <v>38</v>
      </c>
      <c r="M517" s="8" t="str">
        <f>HYPERLINK("http://slimages.macys.com/is/image/MCY/11547503 ")</f>
        <v xml:space="preserve">http://slimages.macys.com/is/image/MCY/11547503 </v>
      </c>
    </row>
    <row r="518" spans="1:13" ht="60" x14ac:dyDescent="0.25">
      <c r="A518" s="7" t="s">
        <v>11233</v>
      </c>
      <c r="B518" s="2" t="s">
        <v>9265</v>
      </c>
      <c r="C518" s="4">
        <v>1</v>
      </c>
      <c r="D518" s="5">
        <v>2.14</v>
      </c>
      <c r="E518" s="5">
        <v>5.99</v>
      </c>
      <c r="F518" s="4" t="s">
        <v>9266</v>
      </c>
      <c r="G518" s="2" t="s">
        <v>200</v>
      </c>
      <c r="H518" s="7" t="s">
        <v>149</v>
      </c>
      <c r="I518" s="2" t="s">
        <v>483</v>
      </c>
      <c r="J518" s="2" t="s">
        <v>536</v>
      </c>
      <c r="K518" s="2"/>
      <c r="L518" s="2"/>
      <c r="M518" s="8" t="str">
        <f>HYPERLINK("http://slimages.macys.com/is/image/MCY/11856972 ")</f>
        <v xml:space="preserve">http://slimages.macys.com/is/image/MCY/11856972 </v>
      </c>
    </row>
    <row r="519" spans="1:13" ht="60" x14ac:dyDescent="0.25">
      <c r="A519" s="7" t="s">
        <v>5797</v>
      </c>
      <c r="B519" s="2" t="s">
        <v>1399</v>
      </c>
      <c r="C519" s="4">
        <v>3</v>
      </c>
      <c r="D519" s="5">
        <v>1.97</v>
      </c>
      <c r="E519" s="5">
        <v>5.99</v>
      </c>
      <c r="F519" s="4" t="s">
        <v>1400</v>
      </c>
      <c r="G519" s="2" t="s">
        <v>657</v>
      </c>
      <c r="H519" s="7" t="s">
        <v>442</v>
      </c>
      <c r="I519" s="2" t="s">
        <v>483</v>
      </c>
      <c r="J519" s="2" t="s">
        <v>536</v>
      </c>
      <c r="K519" s="2" t="s">
        <v>304</v>
      </c>
      <c r="L519" s="2" t="s">
        <v>119</v>
      </c>
      <c r="M519" s="8" t="str">
        <f>HYPERLINK("http://slimages.macys.com/is/image/MCY/13987628 ")</f>
        <v xml:space="preserve">http://slimages.macys.com/is/image/MCY/13987628 </v>
      </c>
    </row>
    <row r="520" spans="1:13" ht="60" x14ac:dyDescent="0.25">
      <c r="A520" s="7" t="s">
        <v>1398</v>
      </c>
      <c r="B520" s="2" t="s">
        <v>1399</v>
      </c>
      <c r="C520" s="4">
        <v>1</v>
      </c>
      <c r="D520" s="5">
        <v>1.97</v>
      </c>
      <c r="E520" s="5">
        <v>5.99</v>
      </c>
      <c r="F520" s="4" t="s">
        <v>1400</v>
      </c>
      <c r="G520" s="2" t="s">
        <v>657</v>
      </c>
      <c r="H520" s="7" t="s">
        <v>590</v>
      </c>
      <c r="I520" s="2" t="s">
        <v>483</v>
      </c>
      <c r="J520" s="2" t="s">
        <v>536</v>
      </c>
      <c r="K520" s="2" t="s">
        <v>304</v>
      </c>
      <c r="L520" s="2" t="s">
        <v>119</v>
      </c>
      <c r="M520" s="8" t="str">
        <f>HYPERLINK("http://slimages.macys.com/is/image/MCY/13987628 ")</f>
        <v xml:space="preserve">http://slimages.macys.com/is/image/MCY/13987628 </v>
      </c>
    </row>
    <row r="521" spans="1:13" ht="60" x14ac:dyDescent="0.25">
      <c r="A521" s="7" t="s">
        <v>6656</v>
      </c>
      <c r="B521" s="2" t="s">
        <v>1399</v>
      </c>
      <c r="C521" s="4">
        <v>1</v>
      </c>
      <c r="D521" s="5">
        <v>1.97</v>
      </c>
      <c r="E521" s="5">
        <v>5.99</v>
      </c>
      <c r="F521" s="4" t="s">
        <v>1400</v>
      </c>
      <c r="G521" s="2" t="s">
        <v>657</v>
      </c>
      <c r="H521" s="7" t="s">
        <v>149</v>
      </c>
      <c r="I521" s="2" t="s">
        <v>483</v>
      </c>
      <c r="J521" s="2" t="s">
        <v>536</v>
      </c>
      <c r="K521" s="2" t="s">
        <v>304</v>
      </c>
      <c r="L521" s="2" t="s">
        <v>119</v>
      </c>
      <c r="M521" s="8" t="str">
        <f>HYPERLINK("http://slimages.macys.com/is/image/MCY/13987628 ")</f>
        <v xml:space="preserve">http://slimages.macys.com/is/image/MCY/13987628 </v>
      </c>
    </row>
    <row r="522" spans="1:13" ht="60" x14ac:dyDescent="0.25">
      <c r="A522" s="7" t="s">
        <v>7300</v>
      </c>
      <c r="B522" s="2" t="s">
        <v>1399</v>
      </c>
      <c r="C522" s="4">
        <v>1</v>
      </c>
      <c r="D522" s="5">
        <v>1.97</v>
      </c>
      <c r="E522" s="5">
        <v>5.99</v>
      </c>
      <c r="F522" s="4" t="s">
        <v>1400</v>
      </c>
      <c r="G522" s="2" t="s">
        <v>657</v>
      </c>
      <c r="H522" s="7" t="s">
        <v>91</v>
      </c>
      <c r="I522" s="2" t="s">
        <v>483</v>
      </c>
      <c r="J522" s="2" t="s">
        <v>536</v>
      </c>
      <c r="K522" s="2" t="s">
        <v>304</v>
      </c>
      <c r="L522" s="2" t="s">
        <v>119</v>
      </c>
      <c r="M522" s="8" t="str">
        <f>HYPERLINK("http://slimages.macys.com/is/image/MCY/13987628 ")</f>
        <v xml:space="preserve">http://slimages.macys.com/is/image/MCY/13987628 </v>
      </c>
    </row>
    <row r="523" spans="1:13" ht="60" x14ac:dyDescent="0.25">
      <c r="A523" s="7" t="s">
        <v>8084</v>
      </c>
      <c r="B523" s="2" t="s">
        <v>3579</v>
      </c>
      <c r="C523" s="4">
        <v>1</v>
      </c>
      <c r="D523" s="5">
        <v>10.3</v>
      </c>
      <c r="E523" s="5">
        <v>25.05</v>
      </c>
      <c r="F523" s="4">
        <v>17872211</v>
      </c>
      <c r="G523" s="2"/>
      <c r="H523" s="7" t="s">
        <v>442</v>
      </c>
      <c r="I523" s="2" t="s">
        <v>153</v>
      </c>
      <c r="J523" s="2" t="s">
        <v>3580</v>
      </c>
      <c r="K523" s="2"/>
      <c r="L523" s="2"/>
      <c r="M523" s="8"/>
    </row>
    <row r="524" spans="1:13" ht="36" x14ac:dyDescent="0.25">
      <c r="A524" s="7" t="s">
        <v>11234</v>
      </c>
      <c r="B524" s="2" t="s">
        <v>8513</v>
      </c>
      <c r="C524" s="4">
        <v>1</v>
      </c>
      <c r="D524" s="5">
        <v>7.6</v>
      </c>
      <c r="E524" s="5">
        <v>17.28</v>
      </c>
      <c r="F524" s="4">
        <v>17878210</v>
      </c>
      <c r="G524" s="2"/>
      <c r="H524" s="7" t="s">
        <v>438</v>
      </c>
      <c r="I524" s="2" t="s">
        <v>153</v>
      </c>
      <c r="J524" s="2" t="s">
        <v>154</v>
      </c>
      <c r="K524" s="2"/>
      <c r="L524" s="2"/>
      <c r="M524" s="8"/>
    </row>
    <row r="525" spans="1:13" ht="36" x14ac:dyDescent="0.25">
      <c r="A525" s="7" t="s">
        <v>8516</v>
      </c>
      <c r="B525" s="2" t="s">
        <v>6103</v>
      </c>
      <c r="C525" s="4">
        <v>1</v>
      </c>
      <c r="D525" s="5">
        <v>6.4</v>
      </c>
      <c r="E525" s="5">
        <v>14.55</v>
      </c>
      <c r="F525" s="4">
        <v>17889610</v>
      </c>
      <c r="G525" s="2" t="s">
        <v>48</v>
      </c>
      <c r="H525" s="7" t="s">
        <v>42</v>
      </c>
      <c r="I525" s="2" t="s">
        <v>153</v>
      </c>
      <c r="J525" s="2" t="s">
        <v>154</v>
      </c>
      <c r="K525" s="2"/>
      <c r="L525" s="2"/>
      <c r="M525" s="8"/>
    </row>
  </sheetData>
  <pageMargins left="0.5" right="0.5" top="0.25" bottom="0.25" header="0.3" footer="0.3"/>
  <pageSetup scale="65" orientation="landscape" horizontalDpi="0" verticalDpi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515"/>
  <sheetViews>
    <sheetView workbookViewId="0">
      <selection activeCell="N9" sqref="N9"/>
    </sheetView>
  </sheetViews>
  <sheetFormatPr defaultRowHeight="15" x14ac:dyDescent="0.25"/>
  <cols>
    <col min="1" max="1" width="14.28515625" customWidth="1"/>
    <col min="2" max="2" width="39.7109375" customWidth="1"/>
    <col min="3" max="3" width="15" customWidth="1"/>
    <col min="4" max="4" width="10.85546875" customWidth="1"/>
    <col min="5" max="6" width="15" customWidth="1"/>
    <col min="7" max="7" width="10.28515625" customWidth="1"/>
    <col min="8" max="8" width="13.7109375" customWidth="1"/>
    <col min="9" max="11" width="11.42578125" customWidth="1"/>
    <col min="12" max="12" width="7.42578125" customWidth="1"/>
    <col min="13" max="13" width="10.85546875" customWidth="1"/>
    <col min="14" max="14" width="12.140625" customWidth="1"/>
    <col min="15" max="15" width="36.5703125" bestFit="1" customWidth="1"/>
    <col min="16" max="17" width="20.7109375" customWidth="1"/>
    <col min="18" max="18" width="64.28515625" customWidth="1"/>
  </cols>
  <sheetData>
    <row r="1" spans="1:13" ht="36" x14ac:dyDescent="0.25">
      <c r="A1" s="25" t="s">
        <v>0</v>
      </c>
      <c r="B1" s="25" t="s">
        <v>1</v>
      </c>
      <c r="C1" s="25" t="s">
        <v>2</v>
      </c>
      <c r="D1" s="25" t="s">
        <v>3</v>
      </c>
      <c r="E1" s="25" t="s">
        <v>4</v>
      </c>
      <c r="F1" s="25" t="s">
        <v>5</v>
      </c>
      <c r="G1" s="25" t="s">
        <v>6</v>
      </c>
      <c r="H1" s="25" t="s">
        <v>7</v>
      </c>
      <c r="I1" s="25" t="s">
        <v>8</v>
      </c>
      <c r="J1" s="25" t="s">
        <v>9</v>
      </c>
    </row>
    <row r="2" spans="1:13" ht="36" x14ac:dyDescent="0.25">
      <c r="A2" s="2" t="s">
        <v>10</v>
      </c>
      <c r="B2" s="3">
        <v>12414060</v>
      </c>
      <c r="C2" s="2" t="s">
        <v>11</v>
      </c>
      <c r="D2" s="2" t="s">
        <v>12</v>
      </c>
      <c r="E2" s="4">
        <v>1</v>
      </c>
      <c r="F2" s="4">
        <v>21</v>
      </c>
      <c r="G2" s="2">
        <v>355</v>
      </c>
      <c r="H2" s="5">
        <v>5533.08</v>
      </c>
      <c r="I2" s="5">
        <v>13595.84</v>
      </c>
      <c r="J2" s="2">
        <v>942</v>
      </c>
    </row>
    <row r="4" spans="1:13" s="6" customFormat="1" x14ac:dyDescent="0.25"/>
    <row r="7" spans="1:13" s="6" customFormat="1" x14ac:dyDescent="0.25"/>
    <row r="8" spans="1:13" ht="36" x14ac:dyDescent="0.25">
      <c r="A8" s="25" t="s">
        <v>13</v>
      </c>
      <c r="B8" s="25" t="s">
        <v>14</v>
      </c>
      <c r="C8" s="25" t="s">
        <v>15</v>
      </c>
      <c r="D8" s="25" t="s">
        <v>16</v>
      </c>
      <c r="E8" s="25" t="s">
        <v>17</v>
      </c>
      <c r="F8" s="25" t="s">
        <v>18</v>
      </c>
      <c r="G8" s="25" t="s">
        <v>19</v>
      </c>
      <c r="H8" s="25" t="s">
        <v>20</v>
      </c>
      <c r="I8" s="25" t="s">
        <v>21</v>
      </c>
      <c r="J8" s="25" t="s">
        <v>22</v>
      </c>
      <c r="K8" s="25" t="s">
        <v>2737</v>
      </c>
      <c r="L8" s="25" t="s">
        <v>23</v>
      </c>
      <c r="M8" s="25" t="s">
        <v>24</v>
      </c>
    </row>
    <row r="9" spans="1:13" ht="60" x14ac:dyDescent="0.25">
      <c r="A9" s="7" t="s">
        <v>10333</v>
      </c>
      <c r="B9" s="2" t="s">
        <v>4630</v>
      </c>
      <c r="C9" s="4">
        <v>1</v>
      </c>
      <c r="D9" s="5">
        <v>38</v>
      </c>
      <c r="E9" s="5">
        <v>76.989999999999995</v>
      </c>
      <c r="F9" s="4" t="s">
        <v>4631</v>
      </c>
      <c r="G9" s="2" t="s">
        <v>262</v>
      </c>
      <c r="H9" s="7" t="s">
        <v>97</v>
      </c>
      <c r="I9" s="2" t="s">
        <v>30</v>
      </c>
      <c r="J9" s="2" t="s">
        <v>2986</v>
      </c>
      <c r="K9" s="2" t="s">
        <v>304</v>
      </c>
      <c r="L9" s="2" t="s">
        <v>712</v>
      </c>
      <c r="M9" s="8" t="str">
        <f>HYPERLINK("http://slimages.macys.com/is/image/MCY/12237744 ")</f>
        <v xml:space="preserve">http://slimages.macys.com/is/image/MCY/12237744 </v>
      </c>
    </row>
    <row r="10" spans="1:13" ht="60" x14ac:dyDescent="0.25">
      <c r="A10" s="7" t="s">
        <v>10334</v>
      </c>
      <c r="B10" s="2" t="s">
        <v>7308</v>
      </c>
      <c r="C10" s="4">
        <v>3</v>
      </c>
      <c r="D10" s="5">
        <v>38</v>
      </c>
      <c r="E10" s="5">
        <v>71.989999999999995</v>
      </c>
      <c r="F10" s="4" t="s">
        <v>7309</v>
      </c>
      <c r="G10" s="2" t="s">
        <v>41</v>
      </c>
      <c r="H10" s="7" t="s">
        <v>56</v>
      </c>
      <c r="I10" s="2" t="s">
        <v>30</v>
      </c>
      <c r="J10" s="2" t="s">
        <v>1409</v>
      </c>
      <c r="K10" s="2" t="s">
        <v>304</v>
      </c>
      <c r="L10" s="2" t="s">
        <v>100</v>
      </c>
      <c r="M10" s="8" t="str">
        <f>HYPERLINK("http://slimages.macys.com/is/image/MCY/11714503 ")</f>
        <v xml:space="preserve">http://slimages.macys.com/is/image/MCY/11714503 </v>
      </c>
    </row>
    <row r="11" spans="1:13" ht="60" x14ac:dyDescent="0.25">
      <c r="A11" s="7" t="s">
        <v>8087</v>
      </c>
      <c r="B11" s="2" t="s">
        <v>1407</v>
      </c>
      <c r="C11" s="4">
        <v>3</v>
      </c>
      <c r="D11" s="5">
        <v>38</v>
      </c>
      <c r="E11" s="5">
        <v>71.989999999999995</v>
      </c>
      <c r="F11" s="4" t="s">
        <v>1408</v>
      </c>
      <c r="G11" s="2" t="s">
        <v>814</v>
      </c>
      <c r="H11" s="7" t="s">
        <v>56</v>
      </c>
      <c r="I11" s="2" t="s">
        <v>30</v>
      </c>
      <c r="J11" s="2" t="s">
        <v>1409</v>
      </c>
      <c r="K11" s="2" t="s">
        <v>304</v>
      </c>
      <c r="L11" s="2" t="s">
        <v>206</v>
      </c>
      <c r="M11" s="8" t="str">
        <f>HYPERLINK("http://slimages.macys.com/is/image/MCY/11603207 ")</f>
        <v xml:space="preserve">http://slimages.macys.com/is/image/MCY/11603207 </v>
      </c>
    </row>
    <row r="12" spans="1:13" ht="60" x14ac:dyDescent="0.25">
      <c r="A12" s="7" t="s">
        <v>8086</v>
      </c>
      <c r="B12" s="2" t="s">
        <v>1407</v>
      </c>
      <c r="C12" s="4">
        <v>1</v>
      </c>
      <c r="D12" s="5">
        <v>38</v>
      </c>
      <c r="E12" s="5">
        <v>71.989999999999995</v>
      </c>
      <c r="F12" s="4" t="s">
        <v>1408</v>
      </c>
      <c r="G12" s="2" t="s">
        <v>814</v>
      </c>
      <c r="H12" s="7" t="s">
        <v>97</v>
      </c>
      <c r="I12" s="2" t="s">
        <v>30</v>
      </c>
      <c r="J12" s="2" t="s">
        <v>1409</v>
      </c>
      <c r="K12" s="2" t="s">
        <v>304</v>
      </c>
      <c r="L12" s="2" t="s">
        <v>206</v>
      </c>
      <c r="M12" s="8" t="str">
        <f>HYPERLINK("http://slimages.macys.com/is/image/MCY/11603207 ")</f>
        <v xml:space="preserve">http://slimages.macys.com/is/image/MCY/11603207 </v>
      </c>
    </row>
    <row r="13" spans="1:13" ht="60" x14ac:dyDescent="0.25">
      <c r="A13" s="7" t="s">
        <v>10335</v>
      </c>
      <c r="B13" s="2" t="s">
        <v>1407</v>
      </c>
      <c r="C13" s="4">
        <v>1</v>
      </c>
      <c r="D13" s="5">
        <v>38</v>
      </c>
      <c r="E13" s="5">
        <v>71.989999999999995</v>
      </c>
      <c r="F13" s="4" t="s">
        <v>1408</v>
      </c>
      <c r="G13" s="2" t="s">
        <v>814</v>
      </c>
      <c r="H13" s="7" t="s">
        <v>2740</v>
      </c>
      <c r="I13" s="2" t="s">
        <v>30</v>
      </c>
      <c r="J13" s="2" t="s">
        <v>1409</v>
      </c>
      <c r="K13" s="2" t="s">
        <v>304</v>
      </c>
      <c r="L13" s="2" t="s">
        <v>206</v>
      </c>
      <c r="M13" s="8" t="str">
        <f>HYPERLINK("http://slimages.macys.com/is/image/MCY/11603207 ")</f>
        <v xml:space="preserve">http://slimages.macys.com/is/image/MCY/11603207 </v>
      </c>
    </row>
    <row r="14" spans="1:13" ht="60" x14ac:dyDescent="0.25">
      <c r="A14" s="7" t="s">
        <v>1406</v>
      </c>
      <c r="B14" s="2" t="s">
        <v>1407</v>
      </c>
      <c r="C14" s="4">
        <v>4</v>
      </c>
      <c r="D14" s="5">
        <v>38</v>
      </c>
      <c r="E14" s="5">
        <v>71.989999999999995</v>
      </c>
      <c r="F14" s="4" t="s">
        <v>1408</v>
      </c>
      <c r="G14" s="2" t="s">
        <v>814</v>
      </c>
      <c r="H14" s="7" t="s">
        <v>172</v>
      </c>
      <c r="I14" s="2" t="s">
        <v>30</v>
      </c>
      <c r="J14" s="2" t="s">
        <v>1409</v>
      </c>
      <c r="K14" s="2" t="s">
        <v>304</v>
      </c>
      <c r="L14" s="2" t="s">
        <v>206</v>
      </c>
      <c r="M14" s="8" t="str">
        <f>HYPERLINK("http://slimages.macys.com/is/image/MCY/11603207 ")</f>
        <v xml:space="preserve">http://slimages.macys.com/is/image/MCY/11603207 </v>
      </c>
    </row>
    <row r="15" spans="1:13" ht="60" x14ac:dyDescent="0.25">
      <c r="A15" s="7" t="s">
        <v>10336</v>
      </c>
      <c r="B15" s="2" t="s">
        <v>7308</v>
      </c>
      <c r="C15" s="4">
        <v>1</v>
      </c>
      <c r="D15" s="5">
        <v>38</v>
      </c>
      <c r="E15" s="5">
        <v>71.989999999999995</v>
      </c>
      <c r="F15" s="4" t="s">
        <v>7309</v>
      </c>
      <c r="G15" s="2" t="s">
        <v>41</v>
      </c>
      <c r="H15" s="7" t="s">
        <v>2740</v>
      </c>
      <c r="I15" s="2" t="s">
        <v>30</v>
      </c>
      <c r="J15" s="2" t="s">
        <v>1409</v>
      </c>
      <c r="K15" s="2" t="s">
        <v>304</v>
      </c>
      <c r="L15" s="2" t="s">
        <v>100</v>
      </c>
      <c r="M15" s="8" t="str">
        <f>HYPERLINK("http://slimages.macys.com/is/image/MCY/11714503 ")</f>
        <v xml:space="preserve">http://slimages.macys.com/is/image/MCY/11714503 </v>
      </c>
    </row>
    <row r="16" spans="1:13" ht="60" x14ac:dyDescent="0.25">
      <c r="A16" s="7" t="s">
        <v>7307</v>
      </c>
      <c r="B16" s="2" t="s">
        <v>7308</v>
      </c>
      <c r="C16" s="4">
        <v>1</v>
      </c>
      <c r="D16" s="5">
        <v>38</v>
      </c>
      <c r="E16" s="5">
        <v>71.989999999999995</v>
      </c>
      <c r="F16" s="4" t="s">
        <v>7309</v>
      </c>
      <c r="G16" s="2" t="s">
        <v>41</v>
      </c>
      <c r="H16" s="7" t="s">
        <v>172</v>
      </c>
      <c r="I16" s="2" t="s">
        <v>30</v>
      </c>
      <c r="J16" s="2" t="s">
        <v>1409</v>
      </c>
      <c r="K16" s="2" t="s">
        <v>304</v>
      </c>
      <c r="L16" s="2" t="s">
        <v>100</v>
      </c>
      <c r="M16" s="8" t="str">
        <f>HYPERLINK("http://slimages.macys.com/is/image/MCY/11714503 ")</f>
        <v xml:space="preserve">http://slimages.macys.com/is/image/MCY/11714503 </v>
      </c>
    </row>
    <row r="17" spans="1:13" ht="60" x14ac:dyDescent="0.25">
      <c r="A17" s="7" t="s">
        <v>10337</v>
      </c>
      <c r="B17" s="2" t="s">
        <v>10338</v>
      </c>
      <c r="C17" s="4">
        <v>1</v>
      </c>
      <c r="D17" s="5">
        <v>27.75</v>
      </c>
      <c r="E17" s="5">
        <v>75</v>
      </c>
      <c r="F17" s="4">
        <v>1358</v>
      </c>
      <c r="G17" s="2" t="s">
        <v>41</v>
      </c>
      <c r="H17" s="7" t="s">
        <v>590</v>
      </c>
      <c r="I17" s="2" t="s">
        <v>43</v>
      </c>
      <c r="J17" s="2" t="s">
        <v>44</v>
      </c>
      <c r="K17" s="2" t="s">
        <v>8659</v>
      </c>
      <c r="L17" s="2" t="s">
        <v>125</v>
      </c>
      <c r="M17" s="8" t="str">
        <f>HYPERLINK("http://slimages.macys.com/is/image/MCY/2180894 ")</f>
        <v xml:space="preserve">http://slimages.macys.com/is/image/MCY/2180894 </v>
      </c>
    </row>
    <row r="18" spans="1:13" ht="60" x14ac:dyDescent="0.25">
      <c r="A18" s="7" t="s">
        <v>4663</v>
      </c>
      <c r="B18" s="2" t="s">
        <v>3611</v>
      </c>
      <c r="C18" s="4">
        <v>2</v>
      </c>
      <c r="D18" s="5">
        <v>24.75</v>
      </c>
      <c r="E18" s="5">
        <v>65</v>
      </c>
      <c r="F18" s="4">
        <v>1437</v>
      </c>
      <c r="G18" s="2" t="s">
        <v>41</v>
      </c>
      <c r="H18" s="7" t="s">
        <v>590</v>
      </c>
      <c r="I18" s="2" t="s">
        <v>43</v>
      </c>
      <c r="J18" s="2" t="s">
        <v>44</v>
      </c>
      <c r="K18" s="2" t="s">
        <v>304</v>
      </c>
      <c r="L18" s="2" t="s">
        <v>87</v>
      </c>
      <c r="M18" s="8" t="str">
        <f>HYPERLINK("http://slimages.macys.com/is/image/MCY/796474 ")</f>
        <v xml:space="preserve">http://slimages.macys.com/is/image/MCY/796474 </v>
      </c>
    </row>
    <row r="19" spans="1:13" ht="60" x14ac:dyDescent="0.25">
      <c r="A19" s="7" t="s">
        <v>10339</v>
      </c>
      <c r="B19" s="2" t="s">
        <v>10340</v>
      </c>
      <c r="C19" s="4">
        <v>1</v>
      </c>
      <c r="D19" s="5">
        <v>22.28</v>
      </c>
      <c r="E19" s="5">
        <v>49.5</v>
      </c>
      <c r="F19" s="4">
        <v>323736992001</v>
      </c>
      <c r="G19" s="2" t="s">
        <v>200</v>
      </c>
      <c r="H19" s="7" t="s">
        <v>217</v>
      </c>
      <c r="I19" s="2" t="s">
        <v>204</v>
      </c>
      <c r="J19" s="2" t="s">
        <v>205</v>
      </c>
      <c r="K19" s="2" t="s">
        <v>304</v>
      </c>
      <c r="L19" s="2" t="s">
        <v>206</v>
      </c>
      <c r="M19" s="8" t="str">
        <f>HYPERLINK("http://slimages.macys.com/is/image/MCY/10756398 ")</f>
        <v xml:space="preserve">http://slimages.macys.com/is/image/MCY/10756398 </v>
      </c>
    </row>
    <row r="20" spans="1:13" ht="108" x14ac:dyDescent="0.25">
      <c r="A20" s="7" t="s">
        <v>10341</v>
      </c>
      <c r="B20" s="2" t="s">
        <v>10342</v>
      </c>
      <c r="C20" s="4">
        <v>1</v>
      </c>
      <c r="D20" s="5">
        <v>21</v>
      </c>
      <c r="E20" s="5">
        <v>59.99</v>
      </c>
      <c r="F20" s="4" t="s">
        <v>10343</v>
      </c>
      <c r="G20" s="2" t="s">
        <v>297</v>
      </c>
      <c r="H20" s="7" t="s">
        <v>179</v>
      </c>
      <c r="I20" s="2" t="s">
        <v>668</v>
      </c>
      <c r="J20" s="2" t="s">
        <v>2923</v>
      </c>
      <c r="K20" s="2" t="s">
        <v>304</v>
      </c>
      <c r="L20" s="2" t="s">
        <v>10344</v>
      </c>
      <c r="M20" s="8" t="str">
        <f>HYPERLINK("http://slimages.macys.com/is/image/MCY/13061475 ")</f>
        <v xml:space="preserve">http://slimages.macys.com/is/image/MCY/13061475 </v>
      </c>
    </row>
    <row r="21" spans="1:13" ht="60" x14ac:dyDescent="0.25">
      <c r="A21" s="7" t="s">
        <v>10345</v>
      </c>
      <c r="B21" s="2" t="s">
        <v>10346</v>
      </c>
      <c r="C21" s="4">
        <v>1</v>
      </c>
      <c r="D21" s="5">
        <v>20.75</v>
      </c>
      <c r="E21" s="5">
        <v>54.99</v>
      </c>
      <c r="F21" s="4" t="s">
        <v>10347</v>
      </c>
      <c r="G21" s="2" t="s">
        <v>195</v>
      </c>
      <c r="H21" s="7" t="s">
        <v>97</v>
      </c>
      <c r="I21" s="2" t="s">
        <v>668</v>
      </c>
      <c r="J21" s="2" t="s">
        <v>5228</v>
      </c>
      <c r="K21" s="2" t="s">
        <v>304</v>
      </c>
      <c r="L21" s="2" t="s">
        <v>10348</v>
      </c>
      <c r="M21" s="8" t="str">
        <f>HYPERLINK("http://slimages.macys.com/is/image/MCY/11704128 ")</f>
        <v xml:space="preserve">http://slimages.macys.com/is/image/MCY/11704128 </v>
      </c>
    </row>
    <row r="22" spans="1:13" ht="60" x14ac:dyDescent="0.25">
      <c r="A22" s="7" t="s">
        <v>2447</v>
      </c>
      <c r="B22" s="2" t="s">
        <v>2448</v>
      </c>
      <c r="C22" s="4">
        <v>1</v>
      </c>
      <c r="D22" s="5">
        <v>20.25</v>
      </c>
      <c r="E22" s="5">
        <v>45</v>
      </c>
      <c r="F22" s="4">
        <v>321767529001</v>
      </c>
      <c r="G22" s="2" t="s">
        <v>657</v>
      </c>
      <c r="H22" s="7" t="s">
        <v>68</v>
      </c>
      <c r="I22" s="2" t="s">
        <v>204</v>
      </c>
      <c r="J22" s="2" t="s">
        <v>205</v>
      </c>
      <c r="K22" s="2" t="s">
        <v>304</v>
      </c>
      <c r="L22" s="2" t="s">
        <v>119</v>
      </c>
      <c r="M22" s="8" t="str">
        <f>HYPERLINK("http://slimages.macys.com/is/image/MCY/13745323 ")</f>
        <v xml:space="preserve">http://slimages.macys.com/is/image/MCY/13745323 </v>
      </c>
    </row>
    <row r="23" spans="1:13" ht="60" x14ac:dyDescent="0.25">
      <c r="A23" s="7" t="s">
        <v>2863</v>
      </c>
      <c r="B23" s="2" t="s">
        <v>2864</v>
      </c>
      <c r="C23" s="4">
        <v>1</v>
      </c>
      <c r="D23" s="5">
        <v>20.170000000000002</v>
      </c>
      <c r="E23" s="5">
        <v>54.5</v>
      </c>
      <c r="F23" s="4" t="s">
        <v>2865</v>
      </c>
      <c r="G23" s="2" t="s">
        <v>79</v>
      </c>
      <c r="H23" s="7" t="s">
        <v>172</v>
      </c>
      <c r="I23" s="2" t="s">
        <v>880</v>
      </c>
      <c r="J23" s="2" t="s">
        <v>881</v>
      </c>
      <c r="K23" s="2" t="s">
        <v>304</v>
      </c>
      <c r="L23" s="2" t="s">
        <v>87</v>
      </c>
      <c r="M23" s="8" t="str">
        <f>HYPERLINK("http://slimages.macys.com/is/image/MCY/12049413 ")</f>
        <v xml:space="preserve">http://slimages.macys.com/is/image/MCY/12049413 </v>
      </c>
    </row>
    <row r="24" spans="1:13" ht="60" x14ac:dyDescent="0.25">
      <c r="A24" s="7" t="s">
        <v>3620</v>
      </c>
      <c r="B24" s="2" t="s">
        <v>3619</v>
      </c>
      <c r="C24" s="4">
        <v>1</v>
      </c>
      <c r="D24" s="5">
        <v>19.8</v>
      </c>
      <c r="E24" s="5">
        <v>45</v>
      </c>
      <c r="F24" s="4">
        <v>1342652</v>
      </c>
      <c r="G24" s="2" t="s">
        <v>667</v>
      </c>
      <c r="H24" s="7" t="s">
        <v>1720</v>
      </c>
      <c r="I24" s="2" t="s">
        <v>815</v>
      </c>
      <c r="J24" s="2" t="s">
        <v>280</v>
      </c>
      <c r="K24" s="2" t="s">
        <v>304</v>
      </c>
      <c r="L24" s="2" t="s">
        <v>125</v>
      </c>
      <c r="M24" s="8" t="str">
        <f>HYPERLINK("http://slimages.macys.com/is/image/MCY/12953320 ")</f>
        <v xml:space="preserve">http://slimages.macys.com/is/image/MCY/12953320 </v>
      </c>
    </row>
    <row r="25" spans="1:13" ht="96" x14ac:dyDescent="0.25">
      <c r="A25" s="7" t="s">
        <v>10349</v>
      </c>
      <c r="B25" s="2" t="s">
        <v>10350</v>
      </c>
      <c r="C25" s="4">
        <v>1</v>
      </c>
      <c r="D25" s="5">
        <v>18</v>
      </c>
      <c r="E25" s="5">
        <v>49.99</v>
      </c>
      <c r="F25" s="4" t="s">
        <v>10351</v>
      </c>
      <c r="G25" s="2" t="s">
        <v>103</v>
      </c>
      <c r="H25" s="7" t="s">
        <v>209</v>
      </c>
      <c r="I25" s="2" t="s">
        <v>64</v>
      </c>
      <c r="J25" s="2" t="s">
        <v>239</v>
      </c>
      <c r="K25" s="2" t="s">
        <v>304</v>
      </c>
      <c r="L25" s="2" t="s">
        <v>10352</v>
      </c>
      <c r="M25" s="8" t="str">
        <f>HYPERLINK("http://slimages.macys.com/is/image/MCY/13421726 ")</f>
        <v xml:space="preserve">http://slimages.macys.com/is/image/MCY/13421726 </v>
      </c>
    </row>
    <row r="26" spans="1:13" ht="60" x14ac:dyDescent="0.25">
      <c r="A26" s="7" t="s">
        <v>10353</v>
      </c>
      <c r="B26" s="2" t="s">
        <v>84</v>
      </c>
      <c r="C26" s="4">
        <v>2</v>
      </c>
      <c r="D26" s="5">
        <v>17.8</v>
      </c>
      <c r="E26" s="5">
        <v>44.5</v>
      </c>
      <c r="F26" s="4" t="s">
        <v>85</v>
      </c>
      <c r="G26" s="2" t="s">
        <v>86</v>
      </c>
      <c r="H26" s="7"/>
      <c r="I26" s="2" t="s">
        <v>57</v>
      </c>
      <c r="J26" s="2" t="s">
        <v>58</v>
      </c>
      <c r="K26" s="2" t="s">
        <v>304</v>
      </c>
      <c r="L26" s="2" t="s">
        <v>87</v>
      </c>
      <c r="M26" s="8" t="str">
        <f>HYPERLINK("http://slimages.macys.com/is/image/MCY/13043471 ")</f>
        <v xml:space="preserve">http://slimages.macys.com/is/image/MCY/13043471 </v>
      </c>
    </row>
    <row r="27" spans="1:13" ht="60" x14ac:dyDescent="0.25">
      <c r="A27" s="7" t="s">
        <v>83</v>
      </c>
      <c r="B27" s="2" t="s">
        <v>84</v>
      </c>
      <c r="C27" s="4">
        <v>1</v>
      </c>
      <c r="D27" s="5">
        <v>17.8</v>
      </c>
      <c r="E27" s="5">
        <v>44.5</v>
      </c>
      <c r="F27" s="4" t="s">
        <v>85</v>
      </c>
      <c r="G27" s="2" t="s">
        <v>86</v>
      </c>
      <c r="H27" s="7"/>
      <c r="I27" s="2" t="s">
        <v>57</v>
      </c>
      <c r="J27" s="2" t="s">
        <v>58</v>
      </c>
      <c r="K27" s="2" t="s">
        <v>304</v>
      </c>
      <c r="L27" s="2" t="s">
        <v>87</v>
      </c>
      <c r="M27" s="8" t="str">
        <f>HYPERLINK("http://slimages.macys.com/is/image/MCY/13043471 ")</f>
        <v xml:space="preserve">http://slimages.macys.com/is/image/MCY/13043471 </v>
      </c>
    </row>
    <row r="28" spans="1:13" ht="156" x14ac:dyDescent="0.25">
      <c r="A28" s="7" t="s">
        <v>10354</v>
      </c>
      <c r="B28" s="2" t="s">
        <v>10355</v>
      </c>
      <c r="C28" s="4">
        <v>1</v>
      </c>
      <c r="D28" s="5">
        <v>17.5</v>
      </c>
      <c r="E28" s="5">
        <v>38.99</v>
      </c>
      <c r="F28" s="4" t="s">
        <v>10356</v>
      </c>
      <c r="G28" s="2" t="s">
        <v>129</v>
      </c>
      <c r="H28" s="7" t="s">
        <v>68</v>
      </c>
      <c r="I28" s="2" t="s">
        <v>30</v>
      </c>
      <c r="J28" s="2" t="s">
        <v>10357</v>
      </c>
      <c r="K28" s="2" t="s">
        <v>304</v>
      </c>
      <c r="L28" s="2" t="s">
        <v>10358</v>
      </c>
      <c r="M28" s="8" t="str">
        <f>HYPERLINK("http://slimages.macys.com/is/image/MCY/12247644 ")</f>
        <v xml:space="preserve">http://slimages.macys.com/is/image/MCY/12247644 </v>
      </c>
    </row>
    <row r="29" spans="1:13" ht="60" x14ac:dyDescent="0.25">
      <c r="A29" s="7" t="s">
        <v>8590</v>
      </c>
      <c r="B29" s="2" t="s">
        <v>1467</v>
      </c>
      <c r="C29" s="4">
        <v>1</v>
      </c>
      <c r="D29" s="5">
        <v>15.8</v>
      </c>
      <c r="E29" s="5">
        <v>39.5</v>
      </c>
      <c r="F29" s="4" t="s">
        <v>1468</v>
      </c>
      <c r="G29" s="2" t="s">
        <v>437</v>
      </c>
      <c r="H29" s="7"/>
      <c r="I29" s="2" t="s">
        <v>57</v>
      </c>
      <c r="J29" s="2" t="s">
        <v>58</v>
      </c>
      <c r="K29" s="2" t="s">
        <v>304</v>
      </c>
      <c r="L29" s="2" t="s">
        <v>100</v>
      </c>
      <c r="M29" s="8" t="str">
        <f>HYPERLINK("http://slimages.macys.com/is/image/MCY/13043447 ")</f>
        <v xml:space="preserve">http://slimages.macys.com/is/image/MCY/13043447 </v>
      </c>
    </row>
    <row r="30" spans="1:13" ht="60" x14ac:dyDescent="0.25">
      <c r="A30" s="7" t="s">
        <v>10359</v>
      </c>
      <c r="B30" s="2" t="s">
        <v>10360</v>
      </c>
      <c r="C30" s="4">
        <v>2</v>
      </c>
      <c r="D30" s="5">
        <v>15.8</v>
      </c>
      <c r="E30" s="5">
        <v>39.5</v>
      </c>
      <c r="F30" s="4" t="s">
        <v>10361</v>
      </c>
      <c r="G30" s="2" t="s">
        <v>41</v>
      </c>
      <c r="H30" s="7"/>
      <c r="I30" s="2" t="s">
        <v>57</v>
      </c>
      <c r="J30" s="2" t="s">
        <v>58</v>
      </c>
      <c r="K30" s="2" t="s">
        <v>304</v>
      </c>
      <c r="L30" s="2" t="s">
        <v>38</v>
      </c>
      <c r="M30" s="8" t="str">
        <f>HYPERLINK("http://slimages.macys.com/is/image/MCY/13802820 ")</f>
        <v xml:space="preserve">http://slimages.macys.com/is/image/MCY/13802820 </v>
      </c>
    </row>
    <row r="31" spans="1:13" ht="60" x14ac:dyDescent="0.25">
      <c r="A31" s="7" t="s">
        <v>1466</v>
      </c>
      <c r="B31" s="2" t="s">
        <v>1467</v>
      </c>
      <c r="C31" s="4">
        <v>2</v>
      </c>
      <c r="D31" s="5">
        <v>15.8</v>
      </c>
      <c r="E31" s="5">
        <v>39.5</v>
      </c>
      <c r="F31" s="4" t="s">
        <v>1468</v>
      </c>
      <c r="G31" s="2" t="s">
        <v>437</v>
      </c>
      <c r="H31" s="7"/>
      <c r="I31" s="2" t="s">
        <v>57</v>
      </c>
      <c r="J31" s="2" t="s">
        <v>58</v>
      </c>
      <c r="K31" s="2" t="s">
        <v>304</v>
      </c>
      <c r="L31" s="2" t="s">
        <v>100</v>
      </c>
      <c r="M31" s="8" t="str">
        <f>HYPERLINK("http://slimages.macys.com/is/image/MCY/13043447 ")</f>
        <v xml:space="preserve">http://slimages.macys.com/is/image/MCY/13043447 </v>
      </c>
    </row>
    <row r="32" spans="1:13" ht="60" x14ac:dyDescent="0.25">
      <c r="A32" s="7" t="s">
        <v>10362</v>
      </c>
      <c r="B32" s="2" t="s">
        <v>5176</v>
      </c>
      <c r="C32" s="4">
        <v>2</v>
      </c>
      <c r="D32" s="5">
        <v>15.8</v>
      </c>
      <c r="E32" s="5">
        <v>39.5</v>
      </c>
      <c r="F32" s="4" t="s">
        <v>10363</v>
      </c>
      <c r="G32" s="2" t="s">
        <v>41</v>
      </c>
      <c r="H32" s="7"/>
      <c r="I32" s="2" t="s">
        <v>57</v>
      </c>
      <c r="J32" s="2" t="s">
        <v>58</v>
      </c>
      <c r="K32" s="2" t="s">
        <v>304</v>
      </c>
      <c r="L32" s="2" t="s">
        <v>100</v>
      </c>
      <c r="M32" s="8" t="str">
        <f>HYPERLINK("http://slimages.macys.com/is/image/MCY/13049148 ")</f>
        <v xml:space="preserve">http://slimages.macys.com/is/image/MCY/13049148 </v>
      </c>
    </row>
    <row r="33" spans="1:13" ht="60" x14ac:dyDescent="0.25">
      <c r="A33" s="7" t="s">
        <v>10364</v>
      </c>
      <c r="B33" s="2" t="s">
        <v>5176</v>
      </c>
      <c r="C33" s="4">
        <v>1</v>
      </c>
      <c r="D33" s="5">
        <v>15.8</v>
      </c>
      <c r="E33" s="5">
        <v>39.5</v>
      </c>
      <c r="F33" s="4" t="s">
        <v>10363</v>
      </c>
      <c r="G33" s="2" t="s">
        <v>41</v>
      </c>
      <c r="H33" s="7"/>
      <c r="I33" s="2" t="s">
        <v>57</v>
      </c>
      <c r="J33" s="2" t="s">
        <v>58</v>
      </c>
      <c r="K33" s="2" t="s">
        <v>304</v>
      </c>
      <c r="L33" s="2" t="s">
        <v>100</v>
      </c>
      <c r="M33" s="8" t="str">
        <f>HYPERLINK("http://slimages.macys.com/is/image/MCY/13049148 ")</f>
        <v xml:space="preserve">http://slimages.macys.com/is/image/MCY/13049148 </v>
      </c>
    </row>
    <row r="34" spans="1:13" ht="60" x14ac:dyDescent="0.25">
      <c r="A34" s="7" t="s">
        <v>10365</v>
      </c>
      <c r="B34" s="2" t="s">
        <v>10366</v>
      </c>
      <c r="C34" s="4">
        <v>1</v>
      </c>
      <c r="D34" s="5">
        <v>15.57</v>
      </c>
      <c r="E34" s="5">
        <v>31.99</v>
      </c>
      <c r="F34" s="4" t="s">
        <v>10367</v>
      </c>
      <c r="G34" s="2" t="s">
        <v>165</v>
      </c>
      <c r="H34" s="7" t="s">
        <v>284</v>
      </c>
      <c r="I34" s="2" t="s">
        <v>80</v>
      </c>
      <c r="J34" s="2" t="s">
        <v>160</v>
      </c>
      <c r="K34" s="2" t="s">
        <v>304</v>
      </c>
      <c r="L34" s="2" t="s">
        <v>125</v>
      </c>
      <c r="M34" s="8" t="str">
        <f>HYPERLINK("http://slimages.macys.com/is/image/MCY/12279690 ")</f>
        <v xml:space="preserve">http://slimages.macys.com/is/image/MCY/12279690 </v>
      </c>
    </row>
    <row r="35" spans="1:13" ht="60" x14ac:dyDescent="0.25">
      <c r="A35" s="7" t="s">
        <v>10368</v>
      </c>
      <c r="B35" s="2" t="s">
        <v>10369</v>
      </c>
      <c r="C35" s="4">
        <v>1</v>
      </c>
      <c r="D35" s="5">
        <v>15.57</v>
      </c>
      <c r="E35" s="5">
        <v>31.99</v>
      </c>
      <c r="F35" s="4" t="s">
        <v>10370</v>
      </c>
      <c r="G35" s="2" t="s">
        <v>657</v>
      </c>
      <c r="H35" s="7" t="s">
        <v>284</v>
      </c>
      <c r="I35" s="2" t="s">
        <v>80</v>
      </c>
      <c r="J35" s="2" t="s">
        <v>160</v>
      </c>
      <c r="K35" s="2" t="s">
        <v>304</v>
      </c>
      <c r="L35" s="2" t="s">
        <v>38</v>
      </c>
      <c r="M35" s="8" t="str">
        <f>HYPERLINK("http://slimages.macys.com/is/image/MCY/11485479 ")</f>
        <v xml:space="preserve">http://slimages.macys.com/is/image/MCY/11485479 </v>
      </c>
    </row>
    <row r="36" spans="1:13" ht="60" x14ac:dyDescent="0.25">
      <c r="A36" s="7" t="s">
        <v>10371</v>
      </c>
      <c r="B36" s="2" t="s">
        <v>10372</v>
      </c>
      <c r="C36" s="4">
        <v>1</v>
      </c>
      <c r="D36" s="5">
        <v>15</v>
      </c>
      <c r="E36" s="5">
        <v>37.5</v>
      </c>
      <c r="F36" s="4" t="s">
        <v>10373</v>
      </c>
      <c r="G36" s="2" t="s">
        <v>86</v>
      </c>
      <c r="H36" s="7" t="s">
        <v>144</v>
      </c>
      <c r="I36" s="2" t="s">
        <v>690</v>
      </c>
      <c r="J36" s="2" t="s">
        <v>58</v>
      </c>
      <c r="K36" s="2" t="s">
        <v>304</v>
      </c>
      <c r="L36" s="2" t="s">
        <v>100</v>
      </c>
      <c r="M36" s="8" t="str">
        <f>HYPERLINK("http://slimages.macys.com/is/image/MCY/11531970 ")</f>
        <v xml:space="preserve">http://slimages.macys.com/is/image/MCY/11531970 </v>
      </c>
    </row>
    <row r="37" spans="1:13" ht="60" x14ac:dyDescent="0.25">
      <c r="A37" s="7" t="s">
        <v>1487</v>
      </c>
      <c r="B37" s="2" t="s">
        <v>1488</v>
      </c>
      <c r="C37" s="4">
        <v>1</v>
      </c>
      <c r="D37" s="5">
        <v>14.62</v>
      </c>
      <c r="E37" s="5">
        <v>39.5</v>
      </c>
      <c r="F37" s="4" t="s">
        <v>1489</v>
      </c>
      <c r="G37" s="2" t="s">
        <v>28</v>
      </c>
      <c r="H37" s="7" t="s">
        <v>172</v>
      </c>
      <c r="I37" s="2" t="s">
        <v>880</v>
      </c>
      <c r="J37" s="2" t="s">
        <v>881</v>
      </c>
      <c r="K37" s="2" t="s">
        <v>304</v>
      </c>
      <c r="L37" s="2" t="s">
        <v>119</v>
      </c>
      <c r="M37" s="8" t="str">
        <f>HYPERLINK("http://slimages.macys.com/is/image/MCY/12051814 ")</f>
        <v xml:space="preserve">http://slimages.macys.com/is/image/MCY/12051814 </v>
      </c>
    </row>
    <row r="38" spans="1:13" ht="60" x14ac:dyDescent="0.25">
      <c r="A38" s="7" t="s">
        <v>10374</v>
      </c>
      <c r="B38" s="2" t="s">
        <v>1491</v>
      </c>
      <c r="C38" s="4">
        <v>1</v>
      </c>
      <c r="D38" s="5">
        <v>14.62</v>
      </c>
      <c r="E38" s="5">
        <v>39.5</v>
      </c>
      <c r="F38" s="4" t="s">
        <v>1492</v>
      </c>
      <c r="G38" s="2" t="s">
        <v>800</v>
      </c>
      <c r="H38" s="7" t="s">
        <v>172</v>
      </c>
      <c r="I38" s="2" t="s">
        <v>880</v>
      </c>
      <c r="J38" s="2" t="s">
        <v>881</v>
      </c>
      <c r="K38" s="2" t="s">
        <v>304</v>
      </c>
      <c r="L38" s="2" t="s">
        <v>119</v>
      </c>
      <c r="M38" s="8" t="str">
        <f>HYPERLINK("http://slimages.macys.com/is/image/MCY/13357740 ")</f>
        <v xml:space="preserve">http://slimages.macys.com/is/image/MCY/13357740 </v>
      </c>
    </row>
    <row r="39" spans="1:13" ht="60" x14ac:dyDescent="0.25">
      <c r="A39" s="7" t="s">
        <v>5188</v>
      </c>
      <c r="B39" s="2" t="s">
        <v>1488</v>
      </c>
      <c r="C39" s="4">
        <v>2</v>
      </c>
      <c r="D39" s="5">
        <v>14.62</v>
      </c>
      <c r="E39" s="5">
        <v>39.5</v>
      </c>
      <c r="F39" s="4" t="s">
        <v>1489</v>
      </c>
      <c r="G39" s="2" t="s">
        <v>28</v>
      </c>
      <c r="H39" s="7" t="s">
        <v>248</v>
      </c>
      <c r="I39" s="2" t="s">
        <v>880</v>
      </c>
      <c r="J39" s="2" t="s">
        <v>881</v>
      </c>
      <c r="K39" s="2" t="s">
        <v>304</v>
      </c>
      <c r="L39" s="2" t="s">
        <v>119</v>
      </c>
      <c r="M39" s="8" t="str">
        <f>HYPERLINK("http://slimages.macys.com/is/image/MCY/12051814 ")</f>
        <v xml:space="preserve">http://slimages.macys.com/is/image/MCY/12051814 </v>
      </c>
    </row>
    <row r="40" spans="1:13" ht="60" x14ac:dyDescent="0.25">
      <c r="A40" s="7" t="s">
        <v>7342</v>
      </c>
      <c r="B40" s="2" t="s">
        <v>1488</v>
      </c>
      <c r="C40" s="4">
        <v>1</v>
      </c>
      <c r="D40" s="5">
        <v>14.62</v>
      </c>
      <c r="E40" s="5">
        <v>39.5</v>
      </c>
      <c r="F40" s="4" t="s">
        <v>1489</v>
      </c>
      <c r="G40" s="2" t="s">
        <v>28</v>
      </c>
      <c r="H40" s="7" t="s">
        <v>166</v>
      </c>
      <c r="I40" s="2" t="s">
        <v>880</v>
      </c>
      <c r="J40" s="2" t="s">
        <v>881</v>
      </c>
      <c r="K40" s="2" t="s">
        <v>304</v>
      </c>
      <c r="L40" s="2" t="s">
        <v>119</v>
      </c>
      <c r="M40" s="8" t="str">
        <f>HYPERLINK("http://slimages.macys.com/is/image/MCY/12051814 ")</f>
        <v xml:space="preserve">http://slimages.macys.com/is/image/MCY/12051814 </v>
      </c>
    </row>
    <row r="41" spans="1:13" ht="96" x14ac:dyDescent="0.25">
      <c r="A41" s="7" t="s">
        <v>9317</v>
      </c>
      <c r="B41" s="2" t="s">
        <v>9318</v>
      </c>
      <c r="C41" s="4">
        <v>1</v>
      </c>
      <c r="D41" s="5">
        <v>14.5</v>
      </c>
      <c r="E41" s="5">
        <v>44.99</v>
      </c>
      <c r="F41" s="4" t="s">
        <v>9319</v>
      </c>
      <c r="G41" s="2" t="s">
        <v>28</v>
      </c>
      <c r="H41" s="7" t="s">
        <v>166</v>
      </c>
      <c r="I41" s="2" t="s">
        <v>668</v>
      </c>
      <c r="J41" s="2" t="s">
        <v>1427</v>
      </c>
      <c r="K41" s="2" t="s">
        <v>304</v>
      </c>
      <c r="L41" s="2" t="s">
        <v>1516</v>
      </c>
      <c r="M41" s="8" t="str">
        <f>HYPERLINK("http://slimages.macys.com/is/image/MCY/12712234 ")</f>
        <v xml:space="preserve">http://slimages.macys.com/is/image/MCY/12712234 </v>
      </c>
    </row>
    <row r="42" spans="1:13" ht="60" x14ac:dyDescent="0.25">
      <c r="A42" s="7" t="s">
        <v>8144</v>
      </c>
      <c r="B42" s="2" t="s">
        <v>8140</v>
      </c>
      <c r="C42" s="4">
        <v>2</v>
      </c>
      <c r="D42" s="5">
        <v>14.5</v>
      </c>
      <c r="E42" s="5">
        <v>29.99</v>
      </c>
      <c r="F42" s="4" t="s">
        <v>8141</v>
      </c>
      <c r="G42" s="2" t="s">
        <v>171</v>
      </c>
      <c r="H42" s="7"/>
      <c r="I42" s="2" t="s">
        <v>30</v>
      </c>
      <c r="J42" s="2" t="s">
        <v>2986</v>
      </c>
      <c r="K42" s="2" t="s">
        <v>304</v>
      </c>
      <c r="L42" s="2" t="s">
        <v>335</v>
      </c>
      <c r="M42" s="8" t="str">
        <f>HYPERLINK("http://slimages.macys.com/is/image/MCY/11603502 ")</f>
        <v xml:space="preserve">http://slimages.macys.com/is/image/MCY/11603502 </v>
      </c>
    </row>
    <row r="43" spans="1:13" ht="72" x14ac:dyDescent="0.25">
      <c r="A43" s="7" t="s">
        <v>10375</v>
      </c>
      <c r="B43" s="2" t="s">
        <v>10376</v>
      </c>
      <c r="C43" s="4">
        <v>1</v>
      </c>
      <c r="D43" s="5">
        <v>14</v>
      </c>
      <c r="E43" s="5">
        <v>29.99</v>
      </c>
      <c r="F43" s="4" t="s">
        <v>10377</v>
      </c>
      <c r="G43" s="2" t="s">
        <v>793</v>
      </c>
      <c r="H43" s="7" t="s">
        <v>228</v>
      </c>
      <c r="I43" s="2" t="s">
        <v>73</v>
      </c>
      <c r="J43" s="2" t="s">
        <v>223</v>
      </c>
      <c r="K43" s="2" t="s">
        <v>304</v>
      </c>
      <c r="L43" s="2" t="s">
        <v>10378</v>
      </c>
      <c r="M43" s="8" t="str">
        <f>HYPERLINK("http://slimages.macys.com/is/image/MCY/10320020 ")</f>
        <v xml:space="preserve">http://slimages.macys.com/is/image/MCY/10320020 </v>
      </c>
    </row>
    <row r="44" spans="1:13" ht="60" x14ac:dyDescent="0.25">
      <c r="A44" s="7" t="s">
        <v>10379</v>
      </c>
      <c r="B44" s="2" t="s">
        <v>9326</v>
      </c>
      <c r="C44" s="4">
        <v>1</v>
      </c>
      <c r="D44" s="5">
        <v>14</v>
      </c>
      <c r="E44" s="5">
        <v>34.99</v>
      </c>
      <c r="F44" s="4" t="s">
        <v>9327</v>
      </c>
      <c r="G44" s="2" t="s">
        <v>48</v>
      </c>
      <c r="H44" s="7" t="s">
        <v>311</v>
      </c>
      <c r="I44" s="2" t="s">
        <v>80</v>
      </c>
      <c r="J44" s="2" t="s">
        <v>647</v>
      </c>
      <c r="K44" s="2" t="s">
        <v>304</v>
      </c>
      <c r="L44" s="2" t="s">
        <v>125</v>
      </c>
      <c r="M44" s="8" t="str">
        <f>HYPERLINK("http://slimages.macys.com/is/image/MCY/13700119 ")</f>
        <v xml:space="preserve">http://slimages.macys.com/is/image/MCY/13700119 </v>
      </c>
    </row>
    <row r="45" spans="1:13" ht="84" x14ac:dyDescent="0.25">
      <c r="A45" s="7" t="s">
        <v>6147</v>
      </c>
      <c r="B45" s="2" t="s">
        <v>4793</v>
      </c>
      <c r="C45" s="4">
        <v>1</v>
      </c>
      <c r="D45" s="5">
        <v>13.6</v>
      </c>
      <c r="E45" s="5">
        <v>34</v>
      </c>
      <c r="F45" s="4">
        <v>333564</v>
      </c>
      <c r="G45" s="2" t="s">
        <v>1463</v>
      </c>
      <c r="H45" s="7" t="s">
        <v>4804</v>
      </c>
      <c r="I45" s="2" t="s">
        <v>50</v>
      </c>
      <c r="J45" s="2" t="s">
        <v>51</v>
      </c>
      <c r="K45" s="2" t="s">
        <v>304</v>
      </c>
      <c r="L45" s="2" t="s">
        <v>4794</v>
      </c>
      <c r="M45" s="8" t="str">
        <f>HYPERLINK("http://slimages.macys.com/is/image/MCY/12341767 ")</f>
        <v xml:space="preserve">http://slimages.macys.com/is/image/MCY/12341767 </v>
      </c>
    </row>
    <row r="46" spans="1:13" ht="84" x14ac:dyDescent="0.25">
      <c r="A46" s="7" t="s">
        <v>4792</v>
      </c>
      <c r="B46" s="2" t="s">
        <v>4793</v>
      </c>
      <c r="C46" s="4">
        <v>1</v>
      </c>
      <c r="D46" s="5">
        <v>13.6</v>
      </c>
      <c r="E46" s="5">
        <v>34</v>
      </c>
      <c r="F46" s="4">
        <v>333564</v>
      </c>
      <c r="G46" s="2" t="s">
        <v>1463</v>
      </c>
      <c r="H46" s="7" t="s">
        <v>786</v>
      </c>
      <c r="I46" s="2" t="s">
        <v>50</v>
      </c>
      <c r="J46" s="2" t="s">
        <v>51</v>
      </c>
      <c r="K46" s="2" t="s">
        <v>304</v>
      </c>
      <c r="L46" s="2" t="s">
        <v>4794</v>
      </c>
      <c r="M46" s="8" t="str">
        <f>HYPERLINK("http://slimages.macys.com/is/image/MCY/12341767 ")</f>
        <v xml:space="preserve">http://slimages.macys.com/is/image/MCY/12341767 </v>
      </c>
    </row>
    <row r="47" spans="1:13" ht="60" x14ac:dyDescent="0.25">
      <c r="A47" s="7" t="s">
        <v>10380</v>
      </c>
      <c r="B47" s="2" t="s">
        <v>8159</v>
      </c>
      <c r="C47" s="4">
        <v>1</v>
      </c>
      <c r="D47" s="5">
        <v>13.48</v>
      </c>
      <c r="E47" s="5">
        <v>38.5</v>
      </c>
      <c r="F47" s="4" t="s">
        <v>8160</v>
      </c>
      <c r="G47" s="2" t="s">
        <v>28</v>
      </c>
      <c r="H47" s="7" t="s">
        <v>172</v>
      </c>
      <c r="I47" s="2" t="s">
        <v>298</v>
      </c>
      <c r="J47" s="2" t="s">
        <v>99</v>
      </c>
      <c r="K47" s="2" t="s">
        <v>304</v>
      </c>
      <c r="L47" s="2" t="s">
        <v>119</v>
      </c>
      <c r="M47" s="8" t="str">
        <f>HYPERLINK("http://slimages.macys.com/is/image/MCY/13905981 ")</f>
        <v xml:space="preserve">http://slimages.macys.com/is/image/MCY/13905981 </v>
      </c>
    </row>
    <row r="48" spans="1:13" ht="60" x14ac:dyDescent="0.25">
      <c r="A48" s="7" t="s">
        <v>10381</v>
      </c>
      <c r="B48" s="2" t="s">
        <v>5223</v>
      </c>
      <c r="C48" s="4">
        <v>2</v>
      </c>
      <c r="D48" s="5">
        <v>13</v>
      </c>
      <c r="E48" s="5">
        <v>29.99</v>
      </c>
      <c r="F48" s="4" t="s">
        <v>5224</v>
      </c>
      <c r="G48" s="2" t="s">
        <v>1265</v>
      </c>
      <c r="H48" s="7" t="s">
        <v>172</v>
      </c>
      <c r="I48" s="2" t="s">
        <v>30</v>
      </c>
      <c r="J48" s="2" t="s">
        <v>2986</v>
      </c>
      <c r="K48" s="2" t="s">
        <v>304</v>
      </c>
      <c r="L48" s="2" t="s">
        <v>596</v>
      </c>
      <c r="M48" s="8" t="str">
        <f>HYPERLINK("http://slimages.macys.com/is/image/MCY/11603270 ")</f>
        <v xml:space="preserve">http://slimages.macys.com/is/image/MCY/11603270 </v>
      </c>
    </row>
    <row r="49" spans="1:13" ht="60" x14ac:dyDescent="0.25">
      <c r="A49" s="7" t="s">
        <v>6148</v>
      </c>
      <c r="B49" s="2" t="s">
        <v>3760</v>
      </c>
      <c r="C49" s="4">
        <v>1</v>
      </c>
      <c r="D49" s="5">
        <v>12.92</v>
      </c>
      <c r="E49" s="5">
        <v>34.99</v>
      </c>
      <c r="F49" s="4" t="s">
        <v>3761</v>
      </c>
      <c r="G49" s="2" t="s">
        <v>62</v>
      </c>
      <c r="H49" s="7" t="s">
        <v>159</v>
      </c>
      <c r="I49" s="2" t="s">
        <v>218</v>
      </c>
      <c r="J49" s="2" t="s">
        <v>1740</v>
      </c>
      <c r="K49" s="2" t="s">
        <v>304</v>
      </c>
      <c r="L49" s="2" t="s">
        <v>3452</v>
      </c>
      <c r="M49" s="8" t="str">
        <f>HYPERLINK("http://slimages.macys.com/is/image/MCY/11946901 ")</f>
        <v xml:space="preserve">http://slimages.macys.com/is/image/MCY/11946901 </v>
      </c>
    </row>
    <row r="50" spans="1:13" ht="60" x14ac:dyDescent="0.25">
      <c r="A50" s="7" t="s">
        <v>10382</v>
      </c>
      <c r="B50" s="2" t="s">
        <v>3763</v>
      </c>
      <c r="C50" s="4">
        <v>1</v>
      </c>
      <c r="D50" s="5">
        <v>12.77</v>
      </c>
      <c r="E50" s="5">
        <v>34.5</v>
      </c>
      <c r="F50" s="4" t="s">
        <v>3764</v>
      </c>
      <c r="G50" s="2" t="s">
        <v>41</v>
      </c>
      <c r="H50" s="7"/>
      <c r="I50" s="2" t="s">
        <v>57</v>
      </c>
      <c r="J50" s="2" t="s">
        <v>58</v>
      </c>
      <c r="K50" s="2" t="s">
        <v>304</v>
      </c>
      <c r="L50" s="2" t="s">
        <v>100</v>
      </c>
      <c r="M50" s="8" t="str">
        <f>HYPERLINK("http://slimages.macys.com/is/image/MCY/11692542 ")</f>
        <v xml:space="preserve">http://slimages.macys.com/is/image/MCY/11692542 </v>
      </c>
    </row>
    <row r="51" spans="1:13" ht="60" x14ac:dyDescent="0.25">
      <c r="A51" s="7" t="s">
        <v>10383</v>
      </c>
      <c r="B51" s="2" t="s">
        <v>8166</v>
      </c>
      <c r="C51" s="4">
        <v>1</v>
      </c>
      <c r="D51" s="5">
        <v>12.5</v>
      </c>
      <c r="E51" s="5">
        <v>34.99</v>
      </c>
      <c r="F51" s="4" t="s">
        <v>8167</v>
      </c>
      <c r="G51" s="2" t="s">
        <v>28</v>
      </c>
      <c r="H51" s="7" t="s">
        <v>172</v>
      </c>
      <c r="I51" s="2" t="s">
        <v>668</v>
      </c>
      <c r="J51" s="2" t="s">
        <v>1437</v>
      </c>
      <c r="K51" s="2" t="s">
        <v>304</v>
      </c>
      <c r="L51" s="2" t="s">
        <v>125</v>
      </c>
      <c r="M51" s="8" t="str">
        <f>HYPERLINK("http://slimages.macys.com/is/image/MCY/12849581 ")</f>
        <v xml:space="preserve">http://slimages.macys.com/is/image/MCY/12849581 </v>
      </c>
    </row>
    <row r="52" spans="1:13" ht="60" x14ac:dyDescent="0.25">
      <c r="A52" s="7" t="s">
        <v>10384</v>
      </c>
      <c r="B52" s="2" t="s">
        <v>9872</v>
      </c>
      <c r="C52" s="4">
        <v>1</v>
      </c>
      <c r="D52" s="5">
        <v>12.45</v>
      </c>
      <c r="E52" s="5">
        <v>34.99</v>
      </c>
      <c r="F52" s="4" t="s">
        <v>9873</v>
      </c>
      <c r="G52" s="2" t="s">
        <v>171</v>
      </c>
      <c r="H52" s="7" t="s">
        <v>228</v>
      </c>
      <c r="I52" s="2" t="s">
        <v>218</v>
      </c>
      <c r="J52" s="2" t="s">
        <v>219</v>
      </c>
      <c r="K52" s="2" t="s">
        <v>304</v>
      </c>
      <c r="L52" s="2" t="s">
        <v>125</v>
      </c>
      <c r="M52" s="8" t="str">
        <f>HYPERLINK("http://slimages.macys.com/is/image/MCY/11952649 ")</f>
        <v xml:space="preserve">http://slimages.macys.com/is/image/MCY/11952649 </v>
      </c>
    </row>
    <row r="53" spans="1:13" ht="60" x14ac:dyDescent="0.25">
      <c r="A53" s="7" t="s">
        <v>10385</v>
      </c>
      <c r="B53" s="2" t="s">
        <v>4812</v>
      </c>
      <c r="C53" s="4">
        <v>1</v>
      </c>
      <c r="D53" s="5">
        <v>12.45</v>
      </c>
      <c r="E53" s="5">
        <v>31.99</v>
      </c>
      <c r="F53" s="4" t="s">
        <v>4813</v>
      </c>
      <c r="G53" s="2" t="s">
        <v>310</v>
      </c>
      <c r="H53" s="7" t="s">
        <v>2740</v>
      </c>
      <c r="I53" s="2" t="s">
        <v>312</v>
      </c>
      <c r="J53" s="2" t="s">
        <v>1618</v>
      </c>
      <c r="K53" s="2" t="s">
        <v>304</v>
      </c>
      <c r="L53" s="2" t="s">
        <v>38</v>
      </c>
      <c r="M53" s="8" t="str">
        <f>HYPERLINK("http://slimages.macys.com/is/image/MCY/14540227 ")</f>
        <v xml:space="preserve">http://slimages.macys.com/is/image/MCY/14540227 </v>
      </c>
    </row>
    <row r="54" spans="1:13" ht="60" x14ac:dyDescent="0.25">
      <c r="A54" s="7" t="s">
        <v>10386</v>
      </c>
      <c r="B54" s="2" t="s">
        <v>10387</v>
      </c>
      <c r="C54" s="4">
        <v>1</v>
      </c>
      <c r="D54" s="5">
        <v>12.38</v>
      </c>
      <c r="E54" s="5">
        <v>27.5</v>
      </c>
      <c r="F54" s="4">
        <v>310750814007</v>
      </c>
      <c r="G54" s="2" t="s">
        <v>41</v>
      </c>
      <c r="H54" s="7" t="s">
        <v>675</v>
      </c>
      <c r="I54" s="2" t="s">
        <v>676</v>
      </c>
      <c r="J54" s="2" t="s">
        <v>677</v>
      </c>
      <c r="K54" s="2" t="s">
        <v>304</v>
      </c>
      <c r="L54" s="2" t="s">
        <v>38</v>
      </c>
      <c r="M54" s="8" t="str">
        <f>HYPERLINK("http://slimages.macys.com/is/image/MCY/13891359 ")</f>
        <v xml:space="preserve">http://slimages.macys.com/is/image/MCY/13891359 </v>
      </c>
    </row>
    <row r="55" spans="1:13" ht="60" x14ac:dyDescent="0.25">
      <c r="A55" s="7" t="s">
        <v>10388</v>
      </c>
      <c r="B55" s="2" t="s">
        <v>10389</v>
      </c>
      <c r="C55" s="4">
        <v>1</v>
      </c>
      <c r="D55" s="5">
        <v>12.25</v>
      </c>
      <c r="E55" s="5">
        <v>27.22</v>
      </c>
      <c r="F55" s="4" t="s">
        <v>10390</v>
      </c>
      <c r="G55" s="2" t="s">
        <v>62</v>
      </c>
      <c r="H55" s="7" t="s">
        <v>159</v>
      </c>
      <c r="I55" s="2" t="s">
        <v>700</v>
      </c>
      <c r="J55" s="2" t="s">
        <v>2123</v>
      </c>
      <c r="K55" s="2" t="s">
        <v>304</v>
      </c>
      <c r="L55" s="2" t="s">
        <v>75</v>
      </c>
      <c r="M55" s="8" t="str">
        <f>HYPERLINK("http://slimages.macys.com/is/image/MCY/12465361 ")</f>
        <v xml:space="preserve">http://slimages.macys.com/is/image/MCY/12465361 </v>
      </c>
    </row>
    <row r="56" spans="1:13" ht="60" x14ac:dyDescent="0.25">
      <c r="A56" s="7" t="s">
        <v>10391</v>
      </c>
      <c r="B56" s="2" t="s">
        <v>10392</v>
      </c>
      <c r="C56" s="4">
        <v>1</v>
      </c>
      <c r="D56" s="5">
        <v>12.21</v>
      </c>
      <c r="E56" s="5">
        <v>32.99</v>
      </c>
      <c r="F56" s="4" t="s">
        <v>10393</v>
      </c>
      <c r="G56" s="2" t="s">
        <v>103</v>
      </c>
      <c r="H56" s="7" t="s">
        <v>228</v>
      </c>
      <c r="I56" s="2" t="s">
        <v>389</v>
      </c>
      <c r="J56" s="2" t="s">
        <v>354</v>
      </c>
      <c r="K56" s="2" t="s">
        <v>304</v>
      </c>
      <c r="L56" s="2" t="s">
        <v>119</v>
      </c>
      <c r="M56" s="8" t="str">
        <f>HYPERLINK("http://slimages.macys.com/is/image/MCY/11163180 ")</f>
        <v xml:space="preserve">http://slimages.macys.com/is/image/MCY/11163180 </v>
      </c>
    </row>
    <row r="57" spans="1:13" ht="60" x14ac:dyDescent="0.25">
      <c r="A57" s="7" t="s">
        <v>10394</v>
      </c>
      <c r="B57" s="2" t="s">
        <v>3787</v>
      </c>
      <c r="C57" s="4">
        <v>1</v>
      </c>
      <c r="D57" s="5">
        <v>12.15</v>
      </c>
      <c r="E57" s="5">
        <v>28.99</v>
      </c>
      <c r="F57" s="4" t="s">
        <v>3788</v>
      </c>
      <c r="G57" s="2" t="s">
        <v>28</v>
      </c>
      <c r="H57" s="7"/>
      <c r="I57" s="2" t="s">
        <v>312</v>
      </c>
      <c r="J57" s="2" t="s">
        <v>1545</v>
      </c>
      <c r="K57" s="2" t="s">
        <v>304</v>
      </c>
      <c r="L57" s="2" t="s">
        <v>125</v>
      </c>
      <c r="M57" s="8" t="str">
        <f>HYPERLINK("http://slimages.macys.com/is/image/MCY/11647063 ")</f>
        <v xml:space="preserve">http://slimages.macys.com/is/image/MCY/11647063 </v>
      </c>
    </row>
    <row r="58" spans="1:13" ht="72" x14ac:dyDescent="0.25">
      <c r="A58" s="7" t="s">
        <v>10395</v>
      </c>
      <c r="B58" s="2" t="s">
        <v>6745</v>
      </c>
      <c r="C58" s="4">
        <v>1</v>
      </c>
      <c r="D58" s="5">
        <v>12</v>
      </c>
      <c r="E58" s="5">
        <v>27.5</v>
      </c>
      <c r="F58" s="4" t="s">
        <v>10396</v>
      </c>
      <c r="G58" s="2" t="s">
        <v>310</v>
      </c>
      <c r="H58" s="7" t="s">
        <v>166</v>
      </c>
      <c r="I58" s="2" t="s">
        <v>380</v>
      </c>
      <c r="J58" s="2" t="s">
        <v>99</v>
      </c>
      <c r="K58" s="2" t="s">
        <v>304</v>
      </c>
      <c r="L58" s="2" t="s">
        <v>6747</v>
      </c>
      <c r="M58" s="8" t="str">
        <f>HYPERLINK("http://slimages.macys.com/is/image/MCY/11950117 ")</f>
        <v xml:space="preserve">http://slimages.macys.com/is/image/MCY/11950117 </v>
      </c>
    </row>
    <row r="59" spans="1:13" ht="60" x14ac:dyDescent="0.25">
      <c r="A59" s="7" t="s">
        <v>10397</v>
      </c>
      <c r="B59" s="2" t="s">
        <v>10398</v>
      </c>
      <c r="C59" s="4">
        <v>1</v>
      </c>
      <c r="D59" s="5">
        <v>11.85</v>
      </c>
      <c r="E59" s="5">
        <v>39.5</v>
      </c>
      <c r="F59" s="4" t="s">
        <v>10399</v>
      </c>
      <c r="G59" s="2" t="s">
        <v>62</v>
      </c>
      <c r="H59" s="7"/>
      <c r="I59" s="2" t="s">
        <v>57</v>
      </c>
      <c r="J59" s="2" t="s">
        <v>58</v>
      </c>
      <c r="K59" s="2" t="s">
        <v>304</v>
      </c>
      <c r="L59" s="2" t="s">
        <v>119</v>
      </c>
      <c r="M59" s="8" t="str">
        <f>HYPERLINK("http://slimages.macys.com/is/image/MCY/12355290 ")</f>
        <v xml:space="preserve">http://slimages.macys.com/is/image/MCY/12355290 </v>
      </c>
    </row>
    <row r="60" spans="1:13" ht="60" x14ac:dyDescent="0.25">
      <c r="A60" s="7" t="s">
        <v>10400</v>
      </c>
      <c r="B60" s="2" t="s">
        <v>8173</v>
      </c>
      <c r="C60" s="4">
        <v>1</v>
      </c>
      <c r="D60" s="5">
        <v>11.77</v>
      </c>
      <c r="E60" s="5">
        <v>30.99</v>
      </c>
      <c r="F60" s="4" t="s">
        <v>8174</v>
      </c>
      <c r="G60" s="2" t="s">
        <v>388</v>
      </c>
      <c r="H60" s="7" t="s">
        <v>159</v>
      </c>
      <c r="I60" s="2" t="s">
        <v>389</v>
      </c>
      <c r="J60" s="2" t="s">
        <v>354</v>
      </c>
      <c r="K60" s="2" t="s">
        <v>304</v>
      </c>
      <c r="L60" s="2" t="s">
        <v>38</v>
      </c>
      <c r="M60" s="8" t="str">
        <f>HYPERLINK("http://slimages.macys.com/is/image/MCY/11163177 ")</f>
        <v xml:space="preserve">http://slimages.macys.com/is/image/MCY/11163177 </v>
      </c>
    </row>
    <row r="61" spans="1:13" ht="60" x14ac:dyDescent="0.25">
      <c r="A61" s="7" t="s">
        <v>8172</v>
      </c>
      <c r="B61" s="2" t="s">
        <v>8173</v>
      </c>
      <c r="C61" s="4">
        <v>3</v>
      </c>
      <c r="D61" s="5">
        <v>11.77</v>
      </c>
      <c r="E61" s="5">
        <v>30.99</v>
      </c>
      <c r="F61" s="4" t="s">
        <v>8174</v>
      </c>
      <c r="G61" s="2" t="s">
        <v>388</v>
      </c>
      <c r="H61" s="7" t="s">
        <v>228</v>
      </c>
      <c r="I61" s="2" t="s">
        <v>389</v>
      </c>
      <c r="J61" s="2" t="s">
        <v>354</v>
      </c>
      <c r="K61" s="2" t="s">
        <v>304</v>
      </c>
      <c r="L61" s="2" t="s">
        <v>38</v>
      </c>
      <c r="M61" s="8" t="str">
        <f>HYPERLINK("http://slimages.macys.com/is/image/MCY/11163177 ")</f>
        <v xml:space="preserve">http://slimages.macys.com/is/image/MCY/11163177 </v>
      </c>
    </row>
    <row r="62" spans="1:13" ht="60" x14ac:dyDescent="0.25">
      <c r="A62" s="7" t="s">
        <v>10401</v>
      </c>
      <c r="B62" s="2" t="s">
        <v>6752</v>
      </c>
      <c r="C62" s="4">
        <v>1</v>
      </c>
      <c r="D62" s="5">
        <v>11.72</v>
      </c>
      <c r="E62" s="5">
        <v>29.99</v>
      </c>
      <c r="F62" s="4" t="s">
        <v>6753</v>
      </c>
      <c r="G62" s="2" t="s">
        <v>41</v>
      </c>
      <c r="H62" s="7" t="s">
        <v>284</v>
      </c>
      <c r="I62" s="2" t="s">
        <v>389</v>
      </c>
      <c r="J62" s="2" t="s">
        <v>354</v>
      </c>
      <c r="K62" s="2" t="s">
        <v>304</v>
      </c>
      <c r="L62" s="2" t="s">
        <v>206</v>
      </c>
      <c r="M62" s="8" t="str">
        <f>HYPERLINK("http://slimages.macys.com/is/image/MCY/11374761 ")</f>
        <v xml:space="preserve">http://slimages.macys.com/is/image/MCY/11374761 </v>
      </c>
    </row>
    <row r="63" spans="1:13" ht="60" x14ac:dyDescent="0.25">
      <c r="A63" s="7" t="s">
        <v>10402</v>
      </c>
      <c r="B63" s="2" t="s">
        <v>791</v>
      </c>
      <c r="C63" s="4">
        <v>1</v>
      </c>
      <c r="D63" s="5">
        <v>11.5</v>
      </c>
      <c r="E63" s="5">
        <v>25.99</v>
      </c>
      <c r="F63" s="4" t="s">
        <v>792</v>
      </c>
      <c r="G63" s="2" t="s">
        <v>62</v>
      </c>
      <c r="H63" s="7" t="s">
        <v>196</v>
      </c>
      <c r="I63" s="2" t="s">
        <v>73</v>
      </c>
      <c r="J63" s="2" t="s">
        <v>223</v>
      </c>
      <c r="K63" s="2" t="s">
        <v>304</v>
      </c>
      <c r="L63" s="2" t="s">
        <v>75</v>
      </c>
      <c r="M63" s="8" t="str">
        <f>HYPERLINK("http://slimages.macys.com/is/image/MCY/14430977 ")</f>
        <v xml:space="preserve">http://slimages.macys.com/is/image/MCY/14430977 </v>
      </c>
    </row>
    <row r="64" spans="1:13" ht="60" x14ac:dyDescent="0.25">
      <c r="A64" s="7" t="s">
        <v>10403</v>
      </c>
      <c r="B64" s="2" t="s">
        <v>10404</v>
      </c>
      <c r="C64" s="4">
        <v>1</v>
      </c>
      <c r="D64" s="5">
        <v>11.5</v>
      </c>
      <c r="E64" s="5">
        <v>27.99</v>
      </c>
      <c r="F64" s="4" t="s">
        <v>10405</v>
      </c>
      <c r="G64" s="2" t="s">
        <v>36</v>
      </c>
      <c r="H64" s="7" t="s">
        <v>196</v>
      </c>
      <c r="I64" s="2" t="s">
        <v>312</v>
      </c>
      <c r="J64" s="2" t="s">
        <v>1638</v>
      </c>
      <c r="K64" s="2" t="s">
        <v>304</v>
      </c>
      <c r="L64" s="2" t="s">
        <v>125</v>
      </c>
      <c r="M64" s="8" t="str">
        <f>HYPERLINK("http://slimages.macys.com/is/image/MCY/12075459 ")</f>
        <v xml:space="preserve">http://slimages.macys.com/is/image/MCY/12075459 </v>
      </c>
    </row>
    <row r="65" spans="1:13" ht="60" x14ac:dyDescent="0.25">
      <c r="A65" s="7" t="s">
        <v>10406</v>
      </c>
      <c r="B65" s="2" t="s">
        <v>10407</v>
      </c>
      <c r="C65" s="4">
        <v>1</v>
      </c>
      <c r="D65" s="5">
        <v>11.33</v>
      </c>
      <c r="E65" s="5">
        <v>22.67</v>
      </c>
      <c r="F65" s="4">
        <v>25944411</v>
      </c>
      <c r="G65" s="2"/>
      <c r="H65" s="7" t="s">
        <v>209</v>
      </c>
      <c r="I65" s="2" t="s">
        <v>487</v>
      </c>
      <c r="J65" s="2" t="s">
        <v>2424</v>
      </c>
      <c r="K65" s="2" t="s">
        <v>304</v>
      </c>
      <c r="L65" s="2" t="s">
        <v>206</v>
      </c>
      <c r="M65" s="8" t="str">
        <f>HYPERLINK("http://slimages.macys.com/is/image/MCY/12284725 ")</f>
        <v xml:space="preserve">http://slimages.macys.com/is/image/MCY/12284725 </v>
      </c>
    </row>
    <row r="66" spans="1:13" ht="60" x14ac:dyDescent="0.25">
      <c r="A66" s="7" t="s">
        <v>10408</v>
      </c>
      <c r="B66" s="2" t="s">
        <v>10409</v>
      </c>
      <c r="C66" s="4">
        <v>1</v>
      </c>
      <c r="D66" s="5">
        <v>11.12</v>
      </c>
      <c r="E66" s="5">
        <v>22.99</v>
      </c>
      <c r="F66" s="4" t="s">
        <v>10410</v>
      </c>
      <c r="G66" s="2" t="s">
        <v>657</v>
      </c>
      <c r="H66" s="7" t="s">
        <v>159</v>
      </c>
      <c r="I66" s="2" t="s">
        <v>80</v>
      </c>
      <c r="J66" s="2" t="s">
        <v>160</v>
      </c>
      <c r="K66" s="2" t="s">
        <v>304</v>
      </c>
      <c r="L66" s="2" t="s">
        <v>206</v>
      </c>
      <c r="M66" s="8" t="str">
        <f>HYPERLINK("http://slimages.macys.com/is/image/MCY/12460874 ")</f>
        <v xml:space="preserve">http://slimages.macys.com/is/image/MCY/12460874 </v>
      </c>
    </row>
    <row r="67" spans="1:13" ht="60" x14ac:dyDescent="0.25">
      <c r="A67" s="7" t="s">
        <v>10411</v>
      </c>
      <c r="B67" s="2" t="s">
        <v>10409</v>
      </c>
      <c r="C67" s="4">
        <v>3</v>
      </c>
      <c r="D67" s="5">
        <v>11.12</v>
      </c>
      <c r="E67" s="5">
        <v>22.99</v>
      </c>
      <c r="F67" s="4" t="s">
        <v>10410</v>
      </c>
      <c r="G67" s="2" t="s">
        <v>657</v>
      </c>
      <c r="H67" s="7" t="s">
        <v>284</v>
      </c>
      <c r="I67" s="2" t="s">
        <v>80</v>
      </c>
      <c r="J67" s="2" t="s">
        <v>160</v>
      </c>
      <c r="K67" s="2" t="s">
        <v>304</v>
      </c>
      <c r="L67" s="2" t="s">
        <v>206</v>
      </c>
      <c r="M67" s="8" t="str">
        <f>HYPERLINK("http://slimages.macys.com/is/image/MCY/12460874 ")</f>
        <v xml:space="preserve">http://slimages.macys.com/is/image/MCY/12460874 </v>
      </c>
    </row>
    <row r="68" spans="1:13" ht="60" x14ac:dyDescent="0.25">
      <c r="A68" s="7" t="s">
        <v>10412</v>
      </c>
      <c r="B68" s="2" t="s">
        <v>10409</v>
      </c>
      <c r="C68" s="4">
        <v>1</v>
      </c>
      <c r="D68" s="5">
        <v>11.12</v>
      </c>
      <c r="E68" s="5">
        <v>22.99</v>
      </c>
      <c r="F68" s="4" t="s">
        <v>10410</v>
      </c>
      <c r="G68" s="2" t="s">
        <v>657</v>
      </c>
      <c r="H68" s="7" t="s">
        <v>217</v>
      </c>
      <c r="I68" s="2" t="s">
        <v>80</v>
      </c>
      <c r="J68" s="2" t="s">
        <v>160</v>
      </c>
      <c r="K68" s="2" t="s">
        <v>304</v>
      </c>
      <c r="L68" s="2" t="s">
        <v>206</v>
      </c>
      <c r="M68" s="8" t="str">
        <f>HYPERLINK("http://slimages.macys.com/is/image/MCY/12460874 ")</f>
        <v xml:space="preserve">http://slimages.macys.com/is/image/MCY/12460874 </v>
      </c>
    </row>
    <row r="69" spans="1:13" ht="60" x14ac:dyDescent="0.25">
      <c r="A69" s="7" t="s">
        <v>10413</v>
      </c>
      <c r="B69" s="2" t="s">
        <v>10414</v>
      </c>
      <c r="C69" s="4">
        <v>2</v>
      </c>
      <c r="D69" s="5">
        <v>11.12</v>
      </c>
      <c r="E69" s="5">
        <v>22.99</v>
      </c>
      <c r="F69" s="4" t="s">
        <v>10415</v>
      </c>
      <c r="G69" s="2" t="s">
        <v>165</v>
      </c>
      <c r="H69" s="7" t="s">
        <v>284</v>
      </c>
      <c r="I69" s="2" t="s">
        <v>80</v>
      </c>
      <c r="J69" s="2" t="s">
        <v>160</v>
      </c>
      <c r="K69" s="2" t="s">
        <v>304</v>
      </c>
      <c r="L69" s="2" t="s">
        <v>119</v>
      </c>
      <c r="M69" s="8" t="str">
        <f>HYPERLINK("http://slimages.macys.com/is/image/MCY/11787077 ")</f>
        <v xml:space="preserve">http://slimages.macys.com/is/image/MCY/11787077 </v>
      </c>
    </row>
    <row r="70" spans="1:13" ht="60" x14ac:dyDescent="0.25">
      <c r="A70" s="7" t="s">
        <v>10416</v>
      </c>
      <c r="B70" s="2" t="s">
        <v>10414</v>
      </c>
      <c r="C70" s="4">
        <v>2</v>
      </c>
      <c r="D70" s="5">
        <v>11.12</v>
      </c>
      <c r="E70" s="5">
        <v>22.99</v>
      </c>
      <c r="F70" s="4" t="s">
        <v>10415</v>
      </c>
      <c r="G70" s="2" t="s">
        <v>165</v>
      </c>
      <c r="H70" s="7" t="s">
        <v>159</v>
      </c>
      <c r="I70" s="2" t="s">
        <v>80</v>
      </c>
      <c r="J70" s="2" t="s">
        <v>160</v>
      </c>
      <c r="K70" s="2" t="s">
        <v>304</v>
      </c>
      <c r="L70" s="2" t="s">
        <v>119</v>
      </c>
      <c r="M70" s="8" t="str">
        <f>HYPERLINK("http://slimages.macys.com/is/image/MCY/11787077 ")</f>
        <v xml:space="preserve">http://slimages.macys.com/is/image/MCY/11787077 </v>
      </c>
    </row>
    <row r="71" spans="1:13" ht="60" x14ac:dyDescent="0.25">
      <c r="A71" s="7" t="s">
        <v>10417</v>
      </c>
      <c r="B71" s="2" t="s">
        <v>10409</v>
      </c>
      <c r="C71" s="4">
        <v>1</v>
      </c>
      <c r="D71" s="5">
        <v>11.12</v>
      </c>
      <c r="E71" s="5">
        <v>22.99</v>
      </c>
      <c r="F71" s="4" t="s">
        <v>10410</v>
      </c>
      <c r="G71" s="2" t="s">
        <v>657</v>
      </c>
      <c r="H71" s="7" t="s">
        <v>228</v>
      </c>
      <c r="I71" s="2" t="s">
        <v>80</v>
      </c>
      <c r="J71" s="2" t="s">
        <v>160</v>
      </c>
      <c r="K71" s="2" t="s">
        <v>304</v>
      </c>
      <c r="L71" s="2" t="s">
        <v>206</v>
      </c>
      <c r="M71" s="8" t="str">
        <f>HYPERLINK("http://slimages.macys.com/is/image/MCY/12460874 ")</f>
        <v xml:space="preserve">http://slimages.macys.com/is/image/MCY/12460874 </v>
      </c>
    </row>
    <row r="72" spans="1:13" ht="60" x14ac:dyDescent="0.25">
      <c r="A72" s="7" t="s">
        <v>10418</v>
      </c>
      <c r="B72" s="2" t="s">
        <v>10414</v>
      </c>
      <c r="C72" s="4">
        <v>1</v>
      </c>
      <c r="D72" s="5">
        <v>11.12</v>
      </c>
      <c r="E72" s="5">
        <v>22.99</v>
      </c>
      <c r="F72" s="4" t="s">
        <v>10415</v>
      </c>
      <c r="G72" s="2" t="s">
        <v>41</v>
      </c>
      <c r="H72" s="7" t="s">
        <v>217</v>
      </c>
      <c r="I72" s="2" t="s">
        <v>80</v>
      </c>
      <c r="J72" s="2" t="s">
        <v>160</v>
      </c>
      <c r="K72" s="2" t="s">
        <v>304</v>
      </c>
      <c r="L72" s="2" t="s">
        <v>119</v>
      </c>
      <c r="M72" s="8" t="str">
        <f>HYPERLINK("http://slimages.macys.com/is/image/MCY/11787077 ")</f>
        <v xml:space="preserve">http://slimages.macys.com/is/image/MCY/11787077 </v>
      </c>
    </row>
    <row r="73" spans="1:13" ht="60" x14ac:dyDescent="0.25">
      <c r="A73" s="7" t="s">
        <v>10419</v>
      </c>
      <c r="B73" s="2" t="s">
        <v>3763</v>
      </c>
      <c r="C73" s="4">
        <v>1</v>
      </c>
      <c r="D73" s="5">
        <v>10.92</v>
      </c>
      <c r="E73" s="5">
        <v>29.5</v>
      </c>
      <c r="F73" s="4" t="s">
        <v>4838</v>
      </c>
      <c r="G73" s="2" t="s">
        <v>41</v>
      </c>
      <c r="H73" s="7" t="s">
        <v>317</v>
      </c>
      <c r="I73" s="2" t="s">
        <v>690</v>
      </c>
      <c r="J73" s="2" t="s">
        <v>58</v>
      </c>
      <c r="K73" s="2" t="s">
        <v>304</v>
      </c>
      <c r="L73" s="2" t="s">
        <v>100</v>
      </c>
      <c r="M73" s="8" t="str">
        <f>HYPERLINK("http://slimages.macys.com/is/image/MCY/11692542 ")</f>
        <v xml:space="preserve">http://slimages.macys.com/is/image/MCY/11692542 </v>
      </c>
    </row>
    <row r="74" spans="1:13" ht="96" x14ac:dyDescent="0.25">
      <c r="A74" s="7" t="s">
        <v>10420</v>
      </c>
      <c r="B74" s="2" t="s">
        <v>3825</v>
      </c>
      <c r="C74" s="4">
        <v>1</v>
      </c>
      <c r="D74" s="5">
        <v>10.5</v>
      </c>
      <c r="E74" s="5">
        <v>26.5</v>
      </c>
      <c r="F74" s="4" t="s">
        <v>8726</v>
      </c>
      <c r="G74" s="2" t="s">
        <v>310</v>
      </c>
      <c r="H74" s="7" t="s">
        <v>209</v>
      </c>
      <c r="I74" s="2" t="s">
        <v>380</v>
      </c>
      <c r="J74" s="2" t="s">
        <v>99</v>
      </c>
      <c r="K74" s="2" t="s">
        <v>304</v>
      </c>
      <c r="L74" s="2" t="s">
        <v>3834</v>
      </c>
      <c r="M74" s="8" t="str">
        <f>HYPERLINK("http://slimages.macys.com/is/image/MCY/11451854 ")</f>
        <v xml:space="preserve">http://slimages.macys.com/is/image/MCY/11451854 </v>
      </c>
    </row>
    <row r="75" spans="1:13" ht="60" x14ac:dyDescent="0.25">
      <c r="A75" s="7" t="s">
        <v>5874</v>
      </c>
      <c r="B75" s="2" t="s">
        <v>255</v>
      </c>
      <c r="C75" s="4">
        <v>1</v>
      </c>
      <c r="D75" s="5">
        <v>10.5</v>
      </c>
      <c r="E75" s="5">
        <v>24.99</v>
      </c>
      <c r="F75" s="4" t="s">
        <v>256</v>
      </c>
      <c r="G75" s="2" t="s">
        <v>262</v>
      </c>
      <c r="H75" s="7" t="s">
        <v>172</v>
      </c>
      <c r="I75" s="2" t="s">
        <v>257</v>
      </c>
      <c r="J75" s="2" t="s">
        <v>258</v>
      </c>
      <c r="K75" s="2" t="s">
        <v>304</v>
      </c>
      <c r="L75" s="2" t="s">
        <v>206</v>
      </c>
      <c r="M75" s="8" t="str">
        <f>HYPERLINK("http://slimages.macys.com/is/image/MCY/11722983 ")</f>
        <v xml:space="preserve">http://slimages.macys.com/is/image/MCY/11722983 </v>
      </c>
    </row>
    <row r="76" spans="1:13" ht="60" x14ac:dyDescent="0.25">
      <c r="A76" s="7" t="s">
        <v>819</v>
      </c>
      <c r="B76" s="2" t="s">
        <v>255</v>
      </c>
      <c r="C76" s="4">
        <v>1</v>
      </c>
      <c r="D76" s="5">
        <v>10.5</v>
      </c>
      <c r="E76" s="5">
        <v>24.99</v>
      </c>
      <c r="F76" s="4" t="s">
        <v>256</v>
      </c>
      <c r="G76" s="2" t="s">
        <v>262</v>
      </c>
      <c r="H76" s="7" t="s">
        <v>172</v>
      </c>
      <c r="I76" s="2" t="s">
        <v>257</v>
      </c>
      <c r="J76" s="2" t="s">
        <v>258</v>
      </c>
      <c r="K76" s="2" t="s">
        <v>304</v>
      </c>
      <c r="L76" s="2" t="s">
        <v>206</v>
      </c>
      <c r="M76" s="8" t="str">
        <f>HYPERLINK("http://slimages.macys.com/is/image/MCY/11722982 ")</f>
        <v xml:space="preserve">http://slimages.macys.com/is/image/MCY/11722982 </v>
      </c>
    </row>
    <row r="77" spans="1:13" ht="60" x14ac:dyDescent="0.25">
      <c r="A77" s="7" t="s">
        <v>3850</v>
      </c>
      <c r="B77" s="2" t="s">
        <v>1605</v>
      </c>
      <c r="C77" s="4">
        <v>2</v>
      </c>
      <c r="D77" s="5">
        <v>10.35</v>
      </c>
      <c r="E77" s="5">
        <v>24.99</v>
      </c>
      <c r="F77" s="4" t="s">
        <v>1606</v>
      </c>
      <c r="G77" s="2" t="s">
        <v>28</v>
      </c>
      <c r="H77" s="7" t="s">
        <v>196</v>
      </c>
      <c r="I77" s="2" t="s">
        <v>389</v>
      </c>
      <c r="J77" s="2" t="s">
        <v>354</v>
      </c>
      <c r="K77" s="2" t="s">
        <v>304</v>
      </c>
      <c r="L77" s="2" t="s">
        <v>1607</v>
      </c>
      <c r="M77" s="8" t="str">
        <f>HYPERLINK("http://slimages.macys.com/is/image/MCY/12000846 ")</f>
        <v xml:space="preserve">http://slimages.macys.com/is/image/MCY/12000846 </v>
      </c>
    </row>
    <row r="78" spans="1:13" ht="60" x14ac:dyDescent="0.25">
      <c r="A78" s="7" t="s">
        <v>10421</v>
      </c>
      <c r="B78" s="2" t="s">
        <v>5879</v>
      </c>
      <c r="C78" s="4">
        <v>1</v>
      </c>
      <c r="D78" s="5">
        <v>10.29</v>
      </c>
      <c r="E78" s="5">
        <v>22.99</v>
      </c>
      <c r="F78" s="4" t="s">
        <v>5880</v>
      </c>
      <c r="G78" s="2" t="s">
        <v>28</v>
      </c>
      <c r="H78" s="7" t="s">
        <v>228</v>
      </c>
      <c r="I78" s="2" t="s">
        <v>292</v>
      </c>
      <c r="J78" s="2" t="s">
        <v>293</v>
      </c>
      <c r="K78" s="2" t="s">
        <v>304</v>
      </c>
      <c r="L78" s="2" t="s">
        <v>596</v>
      </c>
      <c r="M78" s="8" t="str">
        <f>HYPERLINK("http://slimages.macys.com/is/image/MCY/11527671 ")</f>
        <v xml:space="preserve">http://slimages.macys.com/is/image/MCY/11527671 </v>
      </c>
    </row>
    <row r="79" spans="1:13" ht="60" x14ac:dyDescent="0.25">
      <c r="A79" s="7" t="s">
        <v>10422</v>
      </c>
      <c r="B79" s="2" t="s">
        <v>10423</v>
      </c>
      <c r="C79" s="4">
        <v>1</v>
      </c>
      <c r="D79" s="5">
        <v>10.27</v>
      </c>
      <c r="E79" s="5">
        <v>24.99</v>
      </c>
      <c r="F79" s="4" t="s">
        <v>10424</v>
      </c>
      <c r="G79" s="2" t="s">
        <v>62</v>
      </c>
      <c r="H79" s="7" t="s">
        <v>228</v>
      </c>
      <c r="I79" s="2" t="s">
        <v>515</v>
      </c>
      <c r="J79" s="2" t="s">
        <v>827</v>
      </c>
      <c r="K79" s="2" t="s">
        <v>304</v>
      </c>
      <c r="L79" s="2" t="s">
        <v>125</v>
      </c>
      <c r="M79" s="8" t="str">
        <f>HYPERLINK("http://slimages.macys.com/is/image/MCY/12052315 ")</f>
        <v xml:space="preserve">http://slimages.macys.com/is/image/MCY/12052315 </v>
      </c>
    </row>
    <row r="80" spans="1:13" ht="60" x14ac:dyDescent="0.25">
      <c r="A80" s="7" t="s">
        <v>4846</v>
      </c>
      <c r="B80" s="2" t="s">
        <v>4847</v>
      </c>
      <c r="C80" s="4">
        <v>1</v>
      </c>
      <c r="D80" s="5">
        <v>10.09</v>
      </c>
      <c r="E80" s="5">
        <v>24.99</v>
      </c>
      <c r="F80" s="4" t="s">
        <v>4848</v>
      </c>
      <c r="G80" s="2" t="s">
        <v>62</v>
      </c>
      <c r="H80" s="7" t="s">
        <v>228</v>
      </c>
      <c r="I80" s="2" t="s">
        <v>218</v>
      </c>
      <c r="J80" s="2" t="s">
        <v>219</v>
      </c>
      <c r="K80" s="2" t="s">
        <v>304</v>
      </c>
      <c r="L80" s="2" t="s">
        <v>119</v>
      </c>
      <c r="M80" s="8" t="str">
        <f>HYPERLINK("http://slimages.macys.com/is/image/MCY/9275149 ")</f>
        <v xml:space="preserve">http://slimages.macys.com/is/image/MCY/9275149 </v>
      </c>
    </row>
    <row r="81" spans="1:13" ht="60" x14ac:dyDescent="0.25">
      <c r="A81" s="7" t="s">
        <v>9924</v>
      </c>
      <c r="B81" s="2" t="s">
        <v>1620</v>
      </c>
      <c r="C81" s="4">
        <v>1</v>
      </c>
      <c r="D81" s="5">
        <v>10.06</v>
      </c>
      <c r="E81" s="5">
        <v>22.99</v>
      </c>
      <c r="F81" s="4" t="s">
        <v>1621</v>
      </c>
      <c r="G81" s="2" t="s">
        <v>171</v>
      </c>
      <c r="H81" s="7" t="s">
        <v>578</v>
      </c>
      <c r="I81" s="2" t="s">
        <v>515</v>
      </c>
      <c r="J81" s="2" t="s">
        <v>516</v>
      </c>
      <c r="K81" s="2" t="s">
        <v>304</v>
      </c>
      <c r="L81" s="2" t="s">
        <v>358</v>
      </c>
      <c r="M81" s="8" t="str">
        <f>HYPERLINK("http://slimages.macys.com/is/image/MCY/11606059 ")</f>
        <v xml:space="preserve">http://slimages.macys.com/is/image/MCY/11606059 </v>
      </c>
    </row>
    <row r="82" spans="1:13" ht="60" x14ac:dyDescent="0.25">
      <c r="A82" s="7" t="s">
        <v>10425</v>
      </c>
      <c r="B82" s="2" t="s">
        <v>928</v>
      </c>
      <c r="C82" s="4">
        <v>3</v>
      </c>
      <c r="D82" s="5">
        <v>10</v>
      </c>
      <c r="E82" s="5">
        <v>22.99</v>
      </c>
      <c r="F82" s="4" t="s">
        <v>10426</v>
      </c>
      <c r="G82" s="2" t="s">
        <v>657</v>
      </c>
      <c r="H82" s="7" t="s">
        <v>159</v>
      </c>
      <c r="I82" s="2" t="s">
        <v>80</v>
      </c>
      <c r="J82" s="2" t="s">
        <v>694</v>
      </c>
      <c r="K82" s="2" t="s">
        <v>304</v>
      </c>
      <c r="L82" s="2" t="s">
        <v>125</v>
      </c>
      <c r="M82" s="8" t="str">
        <f>HYPERLINK("http://slimages.macys.com/is/image/MCY/11647335 ")</f>
        <v xml:space="preserve">http://slimages.macys.com/is/image/MCY/11647335 </v>
      </c>
    </row>
    <row r="83" spans="1:13" ht="60" x14ac:dyDescent="0.25">
      <c r="A83" s="7" t="s">
        <v>10427</v>
      </c>
      <c r="B83" s="2" t="s">
        <v>928</v>
      </c>
      <c r="C83" s="4">
        <v>3</v>
      </c>
      <c r="D83" s="5">
        <v>10</v>
      </c>
      <c r="E83" s="5">
        <v>22.99</v>
      </c>
      <c r="F83" s="4" t="s">
        <v>10426</v>
      </c>
      <c r="G83" s="2" t="s">
        <v>657</v>
      </c>
      <c r="H83" s="7" t="s">
        <v>228</v>
      </c>
      <c r="I83" s="2" t="s">
        <v>80</v>
      </c>
      <c r="J83" s="2" t="s">
        <v>694</v>
      </c>
      <c r="K83" s="2" t="s">
        <v>304</v>
      </c>
      <c r="L83" s="2" t="s">
        <v>125</v>
      </c>
      <c r="M83" s="8" t="str">
        <f>HYPERLINK("http://slimages.macys.com/is/image/MCY/11647335 ")</f>
        <v xml:space="preserve">http://slimages.macys.com/is/image/MCY/11647335 </v>
      </c>
    </row>
    <row r="84" spans="1:13" ht="60" x14ac:dyDescent="0.25">
      <c r="A84" s="7" t="s">
        <v>10428</v>
      </c>
      <c r="B84" s="2" t="s">
        <v>928</v>
      </c>
      <c r="C84" s="4">
        <v>1</v>
      </c>
      <c r="D84" s="5">
        <v>10</v>
      </c>
      <c r="E84" s="5">
        <v>22.99</v>
      </c>
      <c r="F84" s="4" t="s">
        <v>10426</v>
      </c>
      <c r="G84" s="2" t="s">
        <v>657</v>
      </c>
      <c r="H84" s="7" t="s">
        <v>217</v>
      </c>
      <c r="I84" s="2" t="s">
        <v>80</v>
      </c>
      <c r="J84" s="2" t="s">
        <v>694</v>
      </c>
      <c r="K84" s="2" t="s">
        <v>304</v>
      </c>
      <c r="L84" s="2" t="s">
        <v>125</v>
      </c>
      <c r="M84" s="8" t="str">
        <f>HYPERLINK("http://slimages.macys.com/is/image/MCY/11647335 ")</f>
        <v xml:space="preserve">http://slimages.macys.com/is/image/MCY/11647335 </v>
      </c>
    </row>
    <row r="85" spans="1:13" ht="60" x14ac:dyDescent="0.25">
      <c r="A85" s="7" t="s">
        <v>10429</v>
      </c>
      <c r="B85" s="2" t="s">
        <v>10430</v>
      </c>
      <c r="C85" s="4">
        <v>1</v>
      </c>
      <c r="D85" s="5">
        <v>9.8000000000000007</v>
      </c>
      <c r="E85" s="5">
        <v>24.5</v>
      </c>
      <c r="F85" s="4" t="s">
        <v>10431</v>
      </c>
      <c r="G85" s="2" t="s">
        <v>62</v>
      </c>
      <c r="H85" s="7"/>
      <c r="I85" s="2" t="s">
        <v>57</v>
      </c>
      <c r="J85" s="2" t="s">
        <v>58</v>
      </c>
      <c r="K85" s="2" t="s">
        <v>304</v>
      </c>
      <c r="L85" s="2" t="s">
        <v>119</v>
      </c>
      <c r="M85" s="8" t="str">
        <f>HYPERLINK("http://slimages.macys.com/is/image/MCY/13049165 ")</f>
        <v xml:space="preserve">http://slimages.macys.com/is/image/MCY/13049165 </v>
      </c>
    </row>
    <row r="86" spans="1:13" ht="60" x14ac:dyDescent="0.25">
      <c r="A86" s="7" t="s">
        <v>4855</v>
      </c>
      <c r="B86" s="2" t="s">
        <v>4853</v>
      </c>
      <c r="C86" s="4">
        <v>1</v>
      </c>
      <c r="D86" s="5">
        <v>9.8000000000000007</v>
      </c>
      <c r="E86" s="5">
        <v>24.5</v>
      </c>
      <c r="F86" s="4" t="s">
        <v>4854</v>
      </c>
      <c r="G86" s="2" t="s">
        <v>86</v>
      </c>
      <c r="H86" s="7"/>
      <c r="I86" s="2" t="s">
        <v>57</v>
      </c>
      <c r="J86" s="2" t="s">
        <v>58</v>
      </c>
      <c r="K86" s="2" t="s">
        <v>304</v>
      </c>
      <c r="L86" s="2" t="s">
        <v>38</v>
      </c>
      <c r="M86" s="8" t="str">
        <f>HYPERLINK("http://slimages.macys.com/is/image/MCY/13049176 ")</f>
        <v xml:space="preserve">http://slimages.macys.com/is/image/MCY/13049176 </v>
      </c>
    </row>
    <row r="87" spans="1:13" ht="60" x14ac:dyDescent="0.25">
      <c r="A87" s="7" t="s">
        <v>10432</v>
      </c>
      <c r="B87" s="2" t="s">
        <v>10433</v>
      </c>
      <c r="C87" s="4">
        <v>1</v>
      </c>
      <c r="D87" s="5">
        <v>9.75</v>
      </c>
      <c r="E87" s="5">
        <v>22.41</v>
      </c>
      <c r="F87" s="4">
        <v>13605110</v>
      </c>
      <c r="G87" s="2"/>
      <c r="H87" s="7" t="s">
        <v>438</v>
      </c>
      <c r="I87" s="2" t="s">
        <v>153</v>
      </c>
      <c r="J87" s="2" t="s">
        <v>3580</v>
      </c>
      <c r="K87" s="2" t="s">
        <v>304</v>
      </c>
      <c r="L87" s="2" t="s">
        <v>206</v>
      </c>
      <c r="M87" s="8" t="str">
        <f>HYPERLINK("http://slimages.macys.com/is/image/MCY/9439858 ")</f>
        <v xml:space="preserve">http://slimages.macys.com/is/image/MCY/9439858 </v>
      </c>
    </row>
    <row r="88" spans="1:13" ht="60" x14ac:dyDescent="0.25">
      <c r="A88" s="7" t="s">
        <v>10434</v>
      </c>
      <c r="B88" s="2" t="s">
        <v>7399</v>
      </c>
      <c r="C88" s="4">
        <v>1</v>
      </c>
      <c r="D88" s="5">
        <v>9.75</v>
      </c>
      <c r="E88" s="5">
        <v>22.41</v>
      </c>
      <c r="F88" s="4">
        <v>16484311</v>
      </c>
      <c r="G88" s="2"/>
      <c r="H88" s="7" t="s">
        <v>442</v>
      </c>
      <c r="I88" s="2" t="s">
        <v>153</v>
      </c>
      <c r="J88" s="2" t="s">
        <v>3580</v>
      </c>
      <c r="K88" s="2" t="s">
        <v>304</v>
      </c>
      <c r="L88" s="2" t="s">
        <v>38</v>
      </c>
      <c r="M88" s="8" t="str">
        <f>HYPERLINK("http://slimages.macys.com/is/image/MCY/11386967 ")</f>
        <v xml:space="preserve">http://slimages.macys.com/is/image/MCY/11386967 </v>
      </c>
    </row>
    <row r="89" spans="1:13" ht="60" x14ac:dyDescent="0.25">
      <c r="A89" s="7" t="s">
        <v>10435</v>
      </c>
      <c r="B89" s="2" t="s">
        <v>10433</v>
      </c>
      <c r="C89" s="4">
        <v>1</v>
      </c>
      <c r="D89" s="5">
        <v>9.75</v>
      </c>
      <c r="E89" s="5">
        <v>22.41</v>
      </c>
      <c r="F89" s="4">
        <v>13605110</v>
      </c>
      <c r="G89" s="2"/>
      <c r="H89" s="7" t="s">
        <v>91</v>
      </c>
      <c r="I89" s="2" t="s">
        <v>153</v>
      </c>
      <c r="J89" s="2" t="s">
        <v>3580</v>
      </c>
      <c r="K89" s="2" t="s">
        <v>304</v>
      </c>
      <c r="L89" s="2" t="s">
        <v>206</v>
      </c>
      <c r="M89" s="8" t="str">
        <f>HYPERLINK("http://slimages.macys.com/is/image/MCY/9439858 ")</f>
        <v xml:space="preserve">http://slimages.macys.com/is/image/MCY/9439858 </v>
      </c>
    </row>
    <row r="90" spans="1:13" ht="96" x14ac:dyDescent="0.25">
      <c r="A90" s="7" t="s">
        <v>7397</v>
      </c>
      <c r="B90" s="2" t="s">
        <v>1629</v>
      </c>
      <c r="C90" s="4">
        <v>1</v>
      </c>
      <c r="D90" s="5">
        <v>9.75</v>
      </c>
      <c r="E90" s="5">
        <v>24.99</v>
      </c>
      <c r="F90" s="4" t="s">
        <v>1630</v>
      </c>
      <c r="G90" s="2" t="s">
        <v>41</v>
      </c>
      <c r="H90" s="7" t="s">
        <v>166</v>
      </c>
      <c r="I90" s="2" t="s">
        <v>321</v>
      </c>
      <c r="J90" s="2" t="s">
        <v>1631</v>
      </c>
      <c r="K90" s="2" t="s">
        <v>304</v>
      </c>
      <c r="L90" s="2" t="s">
        <v>1516</v>
      </c>
      <c r="M90" s="8" t="str">
        <f>HYPERLINK("http://slimages.macys.com/is/image/MCY/11545084 ")</f>
        <v xml:space="preserve">http://slimages.macys.com/is/image/MCY/11545084 </v>
      </c>
    </row>
    <row r="91" spans="1:13" ht="60" x14ac:dyDescent="0.25">
      <c r="A91" s="7" t="s">
        <v>8770</v>
      </c>
      <c r="B91" s="2" t="s">
        <v>7413</v>
      </c>
      <c r="C91" s="4">
        <v>1</v>
      </c>
      <c r="D91" s="5">
        <v>9.5</v>
      </c>
      <c r="E91" s="5">
        <v>21.99</v>
      </c>
      <c r="F91" s="4" t="s">
        <v>7414</v>
      </c>
      <c r="G91" s="2" t="s">
        <v>892</v>
      </c>
      <c r="H91" s="7"/>
      <c r="I91" s="2" t="s">
        <v>321</v>
      </c>
      <c r="J91" s="2" t="s">
        <v>1671</v>
      </c>
      <c r="K91" s="2" t="s">
        <v>304</v>
      </c>
      <c r="L91" s="2" t="s">
        <v>125</v>
      </c>
      <c r="M91" s="8" t="str">
        <f>HYPERLINK("http://slimages.macys.com/is/image/MCY/11647208 ")</f>
        <v xml:space="preserve">http://slimages.macys.com/is/image/MCY/11647208 </v>
      </c>
    </row>
    <row r="92" spans="1:13" ht="60" x14ac:dyDescent="0.25">
      <c r="A92" s="7" t="s">
        <v>324</v>
      </c>
      <c r="B92" s="2" t="s">
        <v>325</v>
      </c>
      <c r="C92" s="4">
        <v>1</v>
      </c>
      <c r="D92" s="5">
        <v>9.4499999999999993</v>
      </c>
      <c r="E92" s="5">
        <v>22.99</v>
      </c>
      <c r="F92" s="4">
        <v>103409</v>
      </c>
      <c r="G92" s="2" t="s">
        <v>28</v>
      </c>
      <c r="H92" s="7" t="s">
        <v>320</v>
      </c>
      <c r="I92" s="2" t="s">
        <v>321</v>
      </c>
      <c r="J92" s="2" t="s">
        <v>322</v>
      </c>
      <c r="K92" s="2" t="s">
        <v>304</v>
      </c>
      <c r="L92" s="2" t="s">
        <v>125</v>
      </c>
      <c r="M92" s="8" t="str">
        <f>HYPERLINK("http://slimages.macys.com/is/image/MCY/10627955 ")</f>
        <v xml:space="preserve">http://slimages.macys.com/is/image/MCY/10627955 </v>
      </c>
    </row>
    <row r="93" spans="1:13" ht="60" x14ac:dyDescent="0.25">
      <c r="A93" s="7" t="s">
        <v>10436</v>
      </c>
      <c r="B93" s="2" t="s">
        <v>325</v>
      </c>
      <c r="C93" s="4">
        <v>1</v>
      </c>
      <c r="D93" s="5">
        <v>9.4499999999999993</v>
      </c>
      <c r="E93" s="5">
        <v>22.99</v>
      </c>
      <c r="F93" s="4">
        <v>103409</v>
      </c>
      <c r="G93" s="2" t="s">
        <v>28</v>
      </c>
      <c r="H93" s="7" t="s">
        <v>4732</v>
      </c>
      <c r="I93" s="2" t="s">
        <v>321</v>
      </c>
      <c r="J93" s="2" t="s">
        <v>322</v>
      </c>
      <c r="K93" s="2" t="s">
        <v>304</v>
      </c>
      <c r="L93" s="2" t="s">
        <v>125</v>
      </c>
      <c r="M93" s="8" t="str">
        <f>HYPERLINK("http://slimages.macys.com/is/image/MCY/10627955 ")</f>
        <v xml:space="preserve">http://slimages.macys.com/is/image/MCY/10627955 </v>
      </c>
    </row>
    <row r="94" spans="1:13" ht="60" x14ac:dyDescent="0.25">
      <c r="A94" s="7" t="s">
        <v>10437</v>
      </c>
      <c r="B94" s="2" t="s">
        <v>10438</v>
      </c>
      <c r="C94" s="4">
        <v>1</v>
      </c>
      <c r="D94" s="5">
        <v>9.31</v>
      </c>
      <c r="E94" s="5">
        <v>26.99</v>
      </c>
      <c r="F94" s="4" t="s">
        <v>10439</v>
      </c>
      <c r="G94" s="2" t="s">
        <v>582</v>
      </c>
      <c r="H94" s="7" t="s">
        <v>196</v>
      </c>
      <c r="I94" s="2" t="s">
        <v>389</v>
      </c>
      <c r="J94" s="2" t="s">
        <v>354</v>
      </c>
      <c r="K94" s="2" t="s">
        <v>304</v>
      </c>
      <c r="L94" s="2" t="s">
        <v>10440</v>
      </c>
      <c r="M94" s="8" t="str">
        <f>HYPERLINK("http://slimages.macys.com/is/image/MCY/12122272 ")</f>
        <v xml:space="preserve">http://slimages.macys.com/is/image/MCY/12122272 </v>
      </c>
    </row>
    <row r="95" spans="1:13" ht="60" x14ac:dyDescent="0.25">
      <c r="A95" s="7" t="s">
        <v>8203</v>
      </c>
      <c r="B95" s="2" t="s">
        <v>7434</v>
      </c>
      <c r="C95" s="4">
        <v>1</v>
      </c>
      <c r="D95" s="5">
        <v>9.25</v>
      </c>
      <c r="E95" s="5">
        <v>21.99</v>
      </c>
      <c r="F95" s="4" t="s">
        <v>7435</v>
      </c>
      <c r="G95" s="2" t="s">
        <v>62</v>
      </c>
      <c r="H95" s="7" t="s">
        <v>123</v>
      </c>
      <c r="I95" s="2" t="s">
        <v>218</v>
      </c>
      <c r="J95" s="2" t="s">
        <v>2008</v>
      </c>
      <c r="K95" s="2" t="s">
        <v>304</v>
      </c>
      <c r="L95" s="2" t="s">
        <v>119</v>
      </c>
      <c r="M95" s="8" t="str">
        <f>HYPERLINK("http://slimages.macys.com/is/image/MCY/12953518 ")</f>
        <v xml:space="preserve">http://slimages.macys.com/is/image/MCY/12953518 </v>
      </c>
    </row>
    <row r="96" spans="1:13" ht="60" x14ac:dyDescent="0.25">
      <c r="A96" s="7" t="s">
        <v>10441</v>
      </c>
      <c r="B96" s="2" t="s">
        <v>5317</v>
      </c>
      <c r="C96" s="4">
        <v>1</v>
      </c>
      <c r="D96" s="5">
        <v>9.1999999999999993</v>
      </c>
      <c r="E96" s="5">
        <v>21.99</v>
      </c>
      <c r="F96" s="4">
        <v>16519810</v>
      </c>
      <c r="G96" s="2" t="s">
        <v>653</v>
      </c>
      <c r="H96" s="7" t="s">
        <v>233</v>
      </c>
      <c r="I96" s="2" t="s">
        <v>153</v>
      </c>
      <c r="J96" s="2" t="s">
        <v>154</v>
      </c>
      <c r="K96" s="2" t="s">
        <v>304</v>
      </c>
      <c r="L96" s="2" t="s">
        <v>38</v>
      </c>
      <c r="M96" s="8" t="str">
        <f>HYPERLINK("http://slimages.macys.com/is/image/MCY/11867480 ")</f>
        <v xml:space="preserve">http://slimages.macys.com/is/image/MCY/11867480 </v>
      </c>
    </row>
    <row r="97" spans="1:13" ht="60" x14ac:dyDescent="0.25">
      <c r="A97" s="7" t="s">
        <v>10442</v>
      </c>
      <c r="B97" s="2" t="s">
        <v>10443</v>
      </c>
      <c r="C97" s="4">
        <v>2</v>
      </c>
      <c r="D97" s="5">
        <v>9.15</v>
      </c>
      <c r="E97" s="5">
        <v>24.99</v>
      </c>
      <c r="F97" s="4" t="s">
        <v>10444</v>
      </c>
      <c r="G97" s="2" t="s">
        <v>28</v>
      </c>
      <c r="H97" s="7" t="s">
        <v>196</v>
      </c>
      <c r="I97" s="2" t="s">
        <v>515</v>
      </c>
      <c r="J97" s="2" t="s">
        <v>827</v>
      </c>
      <c r="K97" s="2" t="s">
        <v>304</v>
      </c>
      <c r="L97" s="2" t="s">
        <v>358</v>
      </c>
      <c r="M97" s="8" t="str">
        <f>HYPERLINK("http://slimages.macys.com/is/image/MCY/3344456 ")</f>
        <v xml:space="preserve">http://slimages.macys.com/is/image/MCY/3344456 </v>
      </c>
    </row>
    <row r="98" spans="1:13" ht="60" x14ac:dyDescent="0.25">
      <c r="A98" s="7" t="s">
        <v>10445</v>
      </c>
      <c r="B98" s="2" t="s">
        <v>10443</v>
      </c>
      <c r="C98" s="4">
        <v>2</v>
      </c>
      <c r="D98" s="5">
        <v>9.15</v>
      </c>
      <c r="E98" s="5">
        <v>24.99</v>
      </c>
      <c r="F98" s="4" t="s">
        <v>10444</v>
      </c>
      <c r="G98" s="2" t="s">
        <v>28</v>
      </c>
      <c r="H98" s="7" t="s">
        <v>159</v>
      </c>
      <c r="I98" s="2" t="s">
        <v>515</v>
      </c>
      <c r="J98" s="2" t="s">
        <v>827</v>
      </c>
      <c r="K98" s="2" t="s">
        <v>304</v>
      </c>
      <c r="L98" s="2" t="s">
        <v>358</v>
      </c>
      <c r="M98" s="8" t="str">
        <f>HYPERLINK("http://slimages.macys.com/is/image/MCY/3344456 ")</f>
        <v xml:space="preserve">http://slimages.macys.com/is/image/MCY/3344456 </v>
      </c>
    </row>
    <row r="99" spans="1:13" ht="60" x14ac:dyDescent="0.25">
      <c r="A99" s="7" t="s">
        <v>10446</v>
      </c>
      <c r="B99" s="2" t="s">
        <v>10443</v>
      </c>
      <c r="C99" s="4">
        <v>1</v>
      </c>
      <c r="D99" s="5">
        <v>9.15</v>
      </c>
      <c r="E99" s="5">
        <v>24.99</v>
      </c>
      <c r="F99" s="4" t="s">
        <v>10444</v>
      </c>
      <c r="G99" s="2" t="s">
        <v>28</v>
      </c>
      <c r="H99" s="7" t="s">
        <v>284</v>
      </c>
      <c r="I99" s="2" t="s">
        <v>515</v>
      </c>
      <c r="J99" s="2" t="s">
        <v>827</v>
      </c>
      <c r="K99" s="2" t="s">
        <v>304</v>
      </c>
      <c r="L99" s="2" t="s">
        <v>358</v>
      </c>
      <c r="M99" s="8" t="str">
        <f>HYPERLINK("http://slimages.macys.com/is/image/MCY/3344456 ")</f>
        <v xml:space="preserve">http://slimages.macys.com/is/image/MCY/3344456 </v>
      </c>
    </row>
    <row r="100" spans="1:13" ht="60" x14ac:dyDescent="0.25">
      <c r="A100" s="7" t="s">
        <v>5321</v>
      </c>
      <c r="B100" s="2" t="s">
        <v>333</v>
      </c>
      <c r="C100" s="4">
        <v>1</v>
      </c>
      <c r="D100" s="5">
        <v>9.1</v>
      </c>
      <c r="E100" s="5">
        <v>19.989999999999998</v>
      </c>
      <c r="F100" s="4" t="s">
        <v>841</v>
      </c>
      <c r="G100" s="2" t="s">
        <v>62</v>
      </c>
      <c r="H100" s="7" t="s">
        <v>248</v>
      </c>
      <c r="I100" s="2" t="s">
        <v>73</v>
      </c>
      <c r="J100" s="2" t="s">
        <v>249</v>
      </c>
      <c r="K100" s="2" t="s">
        <v>304</v>
      </c>
      <c r="L100" s="2" t="s">
        <v>335</v>
      </c>
      <c r="M100" s="8" t="str">
        <f>HYPERLINK("http://slimages.macys.com/is/image/MCY/14365354 ")</f>
        <v xml:space="preserve">http://slimages.macys.com/is/image/MCY/14365354 </v>
      </c>
    </row>
    <row r="101" spans="1:13" ht="60" x14ac:dyDescent="0.25">
      <c r="A101" s="7" t="s">
        <v>10447</v>
      </c>
      <c r="B101" s="2" t="s">
        <v>843</v>
      </c>
      <c r="C101" s="4">
        <v>1</v>
      </c>
      <c r="D101" s="5">
        <v>9.09</v>
      </c>
      <c r="E101" s="5">
        <v>24.99</v>
      </c>
      <c r="F101" s="4" t="s">
        <v>844</v>
      </c>
      <c r="G101" s="2" t="s">
        <v>62</v>
      </c>
      <c r="H101" s="7" t="s">
        <v>1151</v>
      </c>
      <c r="I101" s="2" t="s">
        <v>515</v>
      </c>
      <c r="J101" s="2" t="s">
        <v>516</v>
      </c>
      <c r="K101" s="2" t="s">
        <v>304</v>
      </c>
      <c r="L101" s="2" t="s">
        <v>358</v>
      </c>
      <c r="M101" s="8" t="str">
        <f>HYPERLINK("http://slimages.macys.com/is/image/MCY/12953210 ")</f>
        <v xml:space="preserve">http://slimages.macys.com/is/image/MCY/12953210 </v>
      </c>
    </row>
    <row r="102" spans="1:13" ht="60" x14ac:dyDescent="0.25">
      <c r="A102" s="7" t="s">
        <v>7444</v>
      </c>
      <c r="B102" s="2" t="s">
        <v>6205</v>
      </c>
      <c r="C102" s="4">
        <v>3</v>
      </c>
      <c r="D102" s="5">
        <v>9.09</v>
      </c>
      <c r="E102" s="5">
        <v>26.99</v>
      </c>
      <c r="F102" s="4" t="s">
        <v>6206</v>
      </c>
      <c r="G102" s="2" t="s">
        <v>86</v>
      </c>
      <c r="H102" s="7" t="s">
        <v>196</v>
      </c>
      <c r="I102" s="2" t="s">
        <v>389</v>
      </c>
      <c r="J102" s="2" t="s">
        <v>354</v>
      </c>
      <c r="K102" s="2" t="s">
        <v>304</v>
      </c>
      <c r="L102" s="2" t="s">
        <v>6207</v>
      </c>
      <c r="M102" s="8" t="str">
        <f>HYPERLINK("http://slimages.macys.com/is/image/MCY/13079495 ")</f>
        <v xml:space="preserve">http://slimages.macys.com/is/image/MCY/13079495 </v>
      </c>
    </row>
    <row r="103" spans="1:13" ht="60" x14ac:dyDescent="0.25">
      <c r="A103" s="7" t="s">
        <v>6204</v>
      </c>
      <c r="B103" s="2" t="s">
        <v>6205</v>
      </c>
      <c r="C103" s="4">
        <v>1</v>
      </c>
      <c r="D103" s="5">
        <v>9.09</v>
      </c>
      <c r="E103" s="5">
        <v>26.99</v>
      </c>
      <c r="F103" s="4" t="s">
        <v>6206</v>
      </c>
      <c r="G103" s="2" t="s">
        <v>86</v>
      </c>
      <c r="H103" s="7" t="s">
        <v>284</v>
      </c>
      <c r="I103" s="2" t="s">
        <v>389</v>
      </c>
      <c r="J103" s="2" t="s">
        <v>354</v>
      </c>
      <c r="K103" s="2" t="s">
        <v>304</v>
      </c>
      <c r="L103" s="2" t="s">
        <v>6207</v>
      </c>
      <c r="M103" s="8" t="str">
        <f>HYPERLINK("http://slimages.macys.com/is/image/MCY/13079495 ")</f>
        <v xml:space="preserve">http://slimages.macys.com/is/image/MCY/13079495 </v>
      </c>
    </row>
    <row r="104" spans="1:13" ht="60" x14ac:dyDescent="0.25">
      <c r="A104" s="7" t="s">
        <v>7445</v>
      </c>
      <c r="B104" s="2" t="s">
        <v>6205</v>
      </c>
      <c r="C104" s="4">
        <v>1</v>
      </c>
      <c r="D104" s="5">
        <v>9.09</v>
      </c>
      <c r="E104" s="5">
        <v>26.99</v>
      </c>
      <c r="F104" s="4" t="s">
        <v>6206</v>
      </c>
      <c r="G104" s="2" t="s">
        <v>86</v>
      </c>
      <c r="H104" s="7" t="s">
        <v>228</v>
      </c>
      <c r="I104" s="2" t="s">
        <v>389</v>
      </c>
      <c r="J104" s="2" t="s">
        <v>354</v>
      </c>
      <c r="K104" s="2" t="s">
        <v>304</v>
      </c>
      <c r="L104" s="2" t="s">
        <v>6207</v>
      </c>
      <c r="M104" s="8" t="str">
        <f>HYPERLINK("http://slimages.macys.com/is/image/MCY/13079495 ")</f>
        <v xml:space="preserve">http://slimages.macys.com/is/image/MCY/13079495 </v>
      </c>
    </row>
    <row r="105" spans="1:13" ht="60" x14ac:dyDescent="0.25">
      <c r="A105" s="7" t="s">
        <v>5341</v>
      </c>
      <c r="B105" s="2" t="s">
        <v>5342</v>
      </c>
      <c r="C105" s="4">
        <v>7</v>
      </c>
      <c r="D105" s="5">
        <v>9</v>
      </c>
      <c r="E105" s="5">
        <v>22.5</v>
      </c>
      <c r="F105" s="4" t="s">
        <v>5343</v>
      </c>
      <c r="G105" s="2" t="s">
        <v>86</v>
      </c>
      <c r="H105" s="7" t="s">
        <v>166</v>
      </c>
      <c r="I105" s="2" t="s">
        <v>690</v>
      </c>
      <c r="J105" s="2" t="s">
        <v>58</v>
      </c>
      <c r="K105" s="2" t="s">
        <v>304</v>
      </c>
      <c r="L105" s="2" t="s">
        <v>206</v>
      </c>
      <c r="M105" s="8" t="str">
        <f>HYPERLINK("http://slimages.macys.com/is/image/MCY/13804046 ")</f>
        <v xml:space="preserve">http://slimages.macys.com/is/image/MCY/13804046 </v>
      </c>
    </row>
    <row r="106" spans="1:13" ht="60" x14ac:dyDescent="0.25">
      <c r="A106" s="7" t="s">
        <v>10448</v>
      </c>
      <c r="B106" s="2" t="s">
        <v>10449</v>
      </c>
      <c r="C106" s="4">
        <v>1</v>
      </c>
      <c r="D106" s="5">
        <v>9</v>
      </c>
      <c r="E106" s="5">
        <v>21.99</v>
      </c>
      <c r="F106" s="4" t="s">
        <v>10450</v>
      </c>
      <c r="G106" s="2" t="s">
        <v>41</v>
      </c>
      <c r="H106" s="7" t="s">
        <v>196</v>
      </c>
      <c r="I106" s="2" t="s">
        <v>173</v>
      </c>
      <c r="J106" s="2" t="s">
        <v>174</v>
      </c>
      <c r="K106" s="2" t="s">
        <v>304</v>
      </c>
      <c r="L106" s="2" t="s">
        <v>38</v>
      </c>
      <c r="M106" s="8" t="str">
        <f>HYPERLINK("http://slimages.macys.com/is/image/MCY/11646976 ")</f>
        <v xml:space="preserve">http://slimages.macys.com/is/image/MCY/11646976 </v>
      </c>
    </row>
    <row r="107" spans="1:13" ht="60" x14ac:dyDescent="0.25">
      <c r="A107" s="7" t="s">
        <v>10451</v>
      </c>
      <c r="B107" s="2" t="s">
        <v>10449</v>
      </c>
      <c r="C107" s="4">
        <v>1</v>
      </c>
      <c r="D107" s="5">
        <v>9</v>
      </c>
      <c r="E107" s="5">
        <v>21.99</v>
      </c>
      <c r="F107" s="4" t="s">
        <v>10450</v>
      </c>
      <c r="G107" s="2" t="s">
        <v>41</v>
      </c>
      <c r="H107" s="7" t="s">
        <v>284</v>
      </c>
      <c r="I107" s="2" t="s">
        <v>173</v>
      </c>
      <c r="J107" s="2" t="s">
        <v>174</v>
      </c>
      <c r="K107" s="2" t="s">
        <v>304</v>
      </c>
      <c r="L107" s="2" t="s">
        <v>38</v>
      </c>
      <c r="M107" s="8" t="str">
        <f>HYPERLINK("http://slimages.macys.com/is/image/MCY/11646976 ")</f>
        <v xml:space="preserve">http://slimages.macys.com/is/image/MCY/11646976 </v>
      </c>
    </row>
    <row r="108" spans="1:13" ht="60" x14ac:dyDescent="0.25">
      <c r="A108" s="7" t="s">
        <v>10452</v>
      </c>
      <c r="B108" s="2" t="s">
        <v>10453</v>
      </c>
      <c r="C108" s="4">
        <v>1</v>
      </c>
      <c r="D108" s="5">
        <v>9</v>
      </c>
      <c r="E108" s="5">
        <v>22.5</v>
      </c>
      <c r="F108" s="4" t="s">
        <v>10454</v>
      </c>
      <c r="G108" s="2" t="s">
        <v>800</v>
      </c>
      <c r="H108" s="7" t="s">
        <v>123</v>
      </c>
      <c r="I108" s="2" t="s">
        <v>690</v>
      </c>
      <c r="J108" s="2" t="s">
        <v>58</v>
      </c>
      <c r="K108" s="2" t="s">
        <v>304</v>
      </c>
      <c r="L108" s="2" t="s">
        <v>119</v>
      </c>
      <c r="M108" s="8" t="str">
        <f>HYPERLINK("http://slimages.macys.com/is/image/MCY/12355287 ")</f>
        <v xml:space="preserve">http://slimages.macys.com/is/image/MCY/12355287 </v>
      </c>
    </row>
    <row r="109" spans="1:13" ht="72" x14ac:dyDescent="0.25">
      <c r="A109" s="7" t="s">
        <v>10455</v>
      </c>
      <c r="B109" s="2" t="s">
        <v>10456</v>
      </c>
      <c r="C109" s="4">
        <v>1</v>
      </c>
      <c r="D109" s="5">
        <v>9</v>
      </c>
      <c r="E109" s="5">
        <v>20.99</v>
      </c>
      <c r="F109" s="4" t="s">
        <v>10457</v>
      </c>
      <c r="G109" s="2" t="s">
        <v>171</v>
      </c>
      <c r="H109" s="7" t="s">
        <v>317</v>
      </c>
      <c r="I109" s="2" t="s">
        <v>173</v>
      </c>
      <c r="J109" s="2" t="s">
        <v>1967</v>
      </c>
      <c r="K109" s="2" t="s">
        <v>304</v>
      </c>
      <c r="L109" s="2" t="s">
        <v>2540</v>
      </c>
      <c r="M109" s="8" t="str">
        <f>HYPERLINK("http://slimages.macys.com/is/image/MCY/13314037 ")</f>
        <v xml:space="preserve">http://slimages.macys.com/is/image/MCY/13314037 </v>
      </c>
    </row>
    <row r="110" spans="1:13" ht="60" x14ac:dyDescent="0.25">
      <c r="A110" s="7" t="s">
        <v>10458</v>
      </c>
      <c r="B110" s="2" t="s">
        <v>10449</v>
      </c>
      <c r="C110" s="4">
        <v>1</v>
      </c>
      <c r="D110" s="5">
        <v>9</v>
      </c>
      <c r="E110" s="5">
        <v>21.99</v>
      </c>
      <c r="F110" s="4" t="s">
        <v>10450</v>
      </c>
      <c r="G110" s="2" t="s">
        <v>41</v>
      </c>
      <c r="H110" s="7" t="s">
        <v>228</v>
      </c>
      <c r="I110" s="2" t="s">
        <v>173</v>
      </c>
      <c r="J110" s="2" t="s">
        <v>174</v>
      </c>
      <c r="K110" s="2" t="s">
        <v>304</v>
      </c>
      <c r="L110" s="2" t="s">
        <v>38</v>
      </c>
      <c r="M110" s="8" t="str">
        <f>HYPERLINK("http://slimages.macys.com/is/image/MCY/11646976 ")</f>
        <v xml:space="preserve">http://slimages.macys.com/is/image/MCY/11646976 </v>
      </c>
    </row>
    <row r="111" spans="1:13" ht="60" x14ac:dyDescent="0.25">
      <c r="A111" s="7" t="s">
        <v>10459</v>
      </c>
      <c r="B111" s="2" t="s">
        <v>9975</v>
      </c>
      <c r="C111" s="4">
        <v>1</v>
      </c>
      <c r="D111" s="5">
        <v>8.92</v>
      </c>
      <c r="E111" s="5">
        <v>22.99</v>
      </c>
      <c r="F111" s="4" t="s">
        <v>9976</v>
      </c>
      <c r="G111" s="2" t="s">
        <v>353</v>
      </c>
      <c r="H111" s="7" t="s">
        <v>284</v>
      </c>
      <c r="I111" s="2" t="s">
        <v>292</v>
      </c>
      <c r="J111" s="2" t="s">
        <v>293</v>
      </c>
      <c r="K111" s="2" t="s">
        <v>304</v>
      </c>
      <c r="L111" s="2" t="s">
        <v>100</v>
      </c>
      <c r="M111" s="8" t="str">
        <f>HYPERLINK("http://slimages.macys.com/is/image/MCY/12000806 ")</f>
        <v xml:space="preserve">http://slimages.macys.com/is/image/MCY/12000806 </v>
      </c>
    </row>
    <row r="112" spans="1:13" ht="96" x14ac:dyDescent="0.25">
      <c r="A112" s="7" t="s">
        <v>859</v>
      </c>
      <c r="B112" s="2" t="s">
        <v>860</v>
      </c>
      <c r="C112" s="4">
        <v>5</v>
      </c>
      <c r="D112" s="5">
        <v>8.75</v>
      </c>
      <c r="E112" s="5">
        <v>15.99</v>
      </c>
      <c r="F112" s="4" t="s">
        <v>861</v>
      </c>
      <c r="G112" s="2" t="s">
        <v>28</v>
      </c>
      <c r="H112" s="7"/>
      <c r="I112" s="2" t="s">
        <v>815</v>
      </c>
      <c r="J112" s="2" t="s">
        <v>778</v>
      </c>
      <c r="K112" s="2" t="s">
        <v>304</v>
      </c>
      <c r="L112" s="2" t="s">
        <v>816</v>
      </c>
      <c r="M112" s="8" t="str">
        <f>HYPERLINK("http://slimages.macys.com/is/image/MCY/11234452 ")</f>
        <v xml:space="preserve">http://slimages.macys.com/is/image/MCY/11234452 </v>
      </c>
    </row>
    <row r="113" spans="1:13" ht="60" x14ac:dyDescent="0.25">
      <c r="A113" s="7" t="s">
        <v>865</v>
      </c>
      <c r="B113" s="2" t="s">
        <v>860</v>
      </c>
      <c r="C113" s="4">
        <v>7</v>
      </c>
      <c r="D113" s="5">
        <v>8.75</v>
      </c>
      <c r="E113" s="5">
        <v>19.989999999999998</v>
      </c>
      <c r="F113" s="4" t="s">
        <v>864</v>
      </c>
      <c r="G113" s="2" t="s">
        <v>165</v>
      </c>
      <c r="H113" s="7"/>
      <c r="I113" s="2" t="s">
        <v>815</v>
      </c>
      <c r="J113" s="2" t="s">
        <v>778</v>
      </c>
      <c r="K113" s="2" t="s">
        <v>304</v>
      </c>
      <c r="L113" s="2" t="s">
        <v>125</v>
      </c>
      <c r="M113" s="8" t="str">
        <f>HYPERLINK("http://slimages.macys.com/is/image/MCY/11954929 ")</f>
        <v xml:space="preserve">http://slimages.macys.com/is/image/MCY/11954929 </v>
      </c>
    </row>
    <row r="114" spans="1:13" ht="60" x14ac:dyDescent="0.25">
      <c r="A114" s="7" t="s">
        <v>870</v>
      </c>
      <c r="B114" s="2" t="s">
        <v>853</v>
      </c>
      <c r="C114" s="4">
        <v>8</v>
      </c>
      <c r="D114" s="5">
        <v>8.75</v>
      </c>
      <c r="E114" s="5">
        <v>19.989999999999998</v>
      </c>
      <c r="F114" s="4" t="s">
        <v>854</v>
      </c>
      <c r="G114" s="2" t="s">
        <v>858</v>
      </c>
      <c r="H114" s="7"/>
      <c r="I114" s="2" t="s">
        <v>815</v>
      </c>
      <c r="J114" s="2" t="s">
        <v>778</v>
      </c>
      <c r="K114" s="2" t="s">
        <v>304</v>
      </c>
      <c r="L114" s="2" t="s">
        <v>125</v>
      </c>
      <c r="M114" s="8" t="str">
        <f>HYPERLINK("http://slimages.macys.com/is/image/MCY/11724609 ")</f>
        <v xml:space="preserve">http://slimages.macys.com/is/image/MCY/11724609 </v>
      </c>
    </row>
    <row r="115" spans="1:13" ht="60" x14ac:dyDescent="0.25">
      <c r="A115" s="7" t="s">
        <v>852</v>
      </c>
      <c r="B115" s="2" t="s">
        <v>853</v>
      </c>
      <c r="C115" s="4">
        <v>6</v>
      </c>
      <c r="D115" s="5">
        <v>8.75</v>
      </c>
      <c r="E115" s="5">
        <v>19.989999999999998</v>
      </c>
      <c r="F115" s="4" t="s">
        <v>854</v>
      </c>
      <c r="G115" s="2" t="s">
        <v>165</v>
      </c>
      <c r="H115" s="7"/>
      <c r="I115" s="2" t="s">
        <v>815</v>
      </c>
      <c r="J115" s="2" t="s">
        <v>778</v>
      </c>
      <c r="K115" s="2" t="s">
        <v>304</v>
      </c>
      <c r="L115" s="2" t="s">
        <v>125</v>
      </c>
      <c r="M115" s="8" t="str">
        <f>HYPERLINK("http://slimages.macys.com/is/image/MCY/11724609 ")</f>
        <v xml:space="preserve">http://slimages.macys.com/is/image/MCY/11724609 </v>
      </c>
    </row>
    <row r="116" spans="1:13" ht="60" x14ac:dyDescent="0.25">
      <c r="A116" s="7" t="s">
        <v>866</v>
      </c>
      <c r="B116" s="2" t="s">
        <v>867</v>
      </c>
      <c r="C116" s="4">
        <v>2</v>
      </c>
      <c r="D116" s="5">
        <v>8.75</v>
      </c>
      <c r="E116" s="5">
        <v>19.989999999999998</v>
      </c>
      <c r="F116" s="4" t="s">
        <v>868</v>
      </c>
      <c r="G116" s="2" t="s">
        <v>858</v>
      </c>
      <c r="H116" s="7"/>
      <c r="I116" s="2" t="s">
        <v>815</v>
      </c>
      <c r="J116" s="2" t="s">
        <v>778</v>
      </c>
      <c r="K116" s="2" t="s">
        <v>304</v>
      </c>
      <c r="L116" s="2" t="s">
        <v>125</v>
      </c>
      <c r="M116" s="8" t="str">
        <f>HYPERLINK("http://slimages.macys.com/is/image/MCY/9953202 ")</f>
        <v xml:space="preserve">http://slimages.macys.com/is/image/MCY/9953202 </v>
      </c>
    </row>
    <row r="117" spans="1:13" ht="60" x14ac:dyDescent="0.25">
      <c r="A117" s="7" t="s">
        <v>869</v>
      </c>
      <c r="B117" s="2" t="s">
        <v>867</v>
      </c>
      <c r="C117" s="4">
        <v>6</v>
      </c>
      <c r="D117" s="5">
        <v>8.75</v>
      </c>
      <c r="E117" s="5">
        <v>19.989999999999998</v>
      </c>
      <c r="F117" s="4" t="s">
        <v>868</v>
      </c>
      <c r="G117" s="2" t="s">
        <v>165</v>
      </c>
      <c r="H117" s="7"/>
      <c r="I117" s="2" t="s">
        <v>815</v>
      </c>
      <c r="J117" s="2" t="s">
        <v>778</v>
      </c>
      <c r="K117" s="2" t="s">
        <v>304</v>
      </c>
      <c r="L117" s="2" t="s">
        <v>125</v>
      </c>
      <c r="M117" s="8" t="str">
        <f>HYPERLINK("http://slimages.macys.com/is/image/MCY/9953202 ")</f>
        <v xml:space="preserve">http://slimages.macys.com/is/image/MCY/9953202 </v>
      </c>
    </row>
    <row r="118" spans="1:13" ht="96" x14ac:dyDescent="0.25">
      <c r="A118" s="7" t="s">
        <v>855</v>
      </c>
      <c r="B118" s="2" t="s">
        <v>856</v>
      </c>
      <c r="C118" s="4">
        <v>2</v>
      </c>
      <c r="D118" s="5">
        <v>8.75</v>
      </c>
      <c r="E118" s="5">
        <v>19.989999999999998</v>
      </c>
      <c r="F118" s="4" t="s">
        <v>857</v>
      </c>
      <c r="G118" s="2" t="s">
        <v>858</v>
      </c>
      <c r="H118" s="7"/>
      <c r="I118" s="2" t="s">
        <v>815</v>
      </c>
      <c r="J118" s="2" t="s">
        <v>778</v>
      </c>
      <c r="K118" s="2" t="s">
        <v>304</v>
      </c>
      <c r="L118" s="2" t="s">
        <v>816</v>
      </c>
      <c r="M118" s="8" t="str">
        <f>HYPERLINK("http://slimages.macys.com/is/image/MCY/11234478 ")</f>
        <v xml:space="preserve">http://slimages.macys.com/is/image/MCY/11234478 </v>
      </c>
    </row>
    <row r="119" spans="1:13" ht="60" x14ac:dyDescent="0.25">
      <c r="A119" s="7" t="s">
        <v>9434</v>
      </c>
      <c r="B119" s="2" t="s">
        <v>9435</v>
      </c>
      <c r="C119" s="4">
        <v>4</v>
      </c>
      <c r="D119" s="5">
        <v>8.75</v>
      </c>
      <c r="E119" s="5">
        <v>19.989999999999998</v>
      </c>
      <c r="F119" s="4" t="s">
        <v>9436</v>
      </c>
      <c r="G119" s="2" t="s">
        <v>858</v>
      </c>
      <c r="H119" s="7"/>
      <c r="I119" s="2" t="s">
        <v>815</v>
      </c>
      <c r="J119" s="2" t="s">
        <v>778</v>
      </c>
      <c r="K119" s="2" t="s">
        <v>304</v>
      </c>
      <c r="L119" s="2" t="s">
        <v>125</v>
      </c>
      <c r="M119" s="8" t="str">
        <f>HYPERLINK("http://slimages.macys.com/is/image/MCY/12671528 ")</f>
        <v xml:space="preserve">http://slimages.macys.com/is/image/MCY/12671528 </v>
      </c>
    </row>
    <row r="120" spans="1:13" ht="120" x14ac:dyDescent="0.25">
      <c r="A120" s="7" t="s">
        <v>10460</v>
      </c>
      <c r="B120" s="2" t="s">
        <v>10461</v>
      </c>
      <c r="C120" s="4">
        <v>1</v>
      </c>
      <c r="D120" s="5">
        <v>8.6</v>
      </c>
      <c r="E120" s="5">
        <v>22.99</v>
      </c>
      <c r="F120" s="4" t="s">
        <v>10462</v>
      </c>
      <c r="G120" s="2"/>
      <c r="H120" s="7" t="s">
        <v>42</v>
      </c>
      <c r="I120" s="2" t="s">
        <v>92</v>
      </c>
      <c r="J120" s="2" t="s">
        <v>187</v>
      </c>
      <c r="K120" s="2" t="s">
        <v>304</v>
      </c>
      <c r="L120" s="2" t="s">
        <v>10463</v>
      </c>
      <c r="M120" s="8" t="str">
        <f>HYPERLINK("http://slimages.macys.com/is/image/MCY/12319578 ")</f>
        <v xml:space="preserve">http://slimages.macys.com/is/image/MCY/12319578 </v>
      </c>
    </row>
    <row r="121" spans="1:13" ht="60" x14ac:dyDescent="0.25">
      <c r="A121" s="7" t="s">
        <v>6226</v>
      </c>
      <c r="B121" s="2" t="s">
        <v>3928</v>
      </c>
      <c r="C121" s="4">
        <v>1</v>
      </c>
      <c r="D121" s="5">
        <v>8.4499999999999993</v>
      </c>
      <c r="E121" s="5">
        <v>17.98</v>
      </c>
      <c r="F121" s="4" t="s">
        <v>6224</v>
      </c>
      <c r="G121" s="2" t="s">
        <v>262</v>
      </c>
      <c r="H121" s="7"/>
      <c r="I121" s="2" t="s">
        <v>523</v>
      </c>
      <c r="J121" s="2" t="s">
        <v>3930</v>
      </c>
      <c r="K121" s="2" t="s">
        <v>304</v>
      </c>
      <c r="L121" s="2" t="s">
        <v>206</v>
      </c>
      <c r="M121" s="8" t="str">
        <f>HYPERLINK("http://slimages.macys.com/is/image/MCY/11671060 ")</f>
        <v xml:space="preserve">http://slimages.macys.com/is/image/MCY/11671060 </v>
      </c>
    </row>
    <row r="122" spans="1:13" ht="60" x14ac:dyDescent="0.25">
      <c r="A122" s="7" t="s">
        <v>10464</v>
      </c>
      <c r="B122" s="2" t="s">
        <v>3928</v>
      </c>
      <c r="C122" s="4">
        <v>1</v>
      </c>
      <c r="D122" s="5">
        <v>8.4499999999999993</v>
      </c>
      <c r="E122" s="5">
        <v>17.98</v>
      </c>
      <c r="F122" s="4" t="s">
        <v>6224</v>
      </c>
      <c r="G122" s="2" t="s">
        <v>262</v>
      </c>
      <c r="H122" s="7" t="s">
        <v>217</v>
      </c>
      <c r="I122" s="2" t="s">
        <v>523</v>
      </c>
      <c r="J122" s="2" t="s">
        <v>3930</v>
      </c>
      <c r="K122" s="2" t="s">
        <v>304</v>
      </c>
      <c r="L122" s="2" t="s">
        <v>206</v>
      </c>
      <c r="M122" s="8" t="str">
        <f>HYPERLINK("http://slimages.macys.com/is/image/MCY/11671060 ")</f>
        <v xml:space="preserve">http://slimages.macys.com/is/image/MCY/11671060 </v>
      </c>
    </row>
    <row r="123" spans="1:13" ht="60" x14ac:dyDescent="0.25">
      <c r="A123" s="7" t="s">
        <v>9458</v>
      </c>
      <c r="B123" s="2" t="s">
        <v>1687</v>
      </c>
      <c r="C123" s="4">
        <v>1</v>
      </c>
      <c r="D123" s="5">
        <v>8.3800000000000008</v>
      </c>
      <c r="E123" s="5">
        <v>24.99</v>
      </c>
      <c r="F123" s="4" t="s">
        <v>1688</v>
      </c>
      <c r="G123" s="2" t="s">
        <v>28</v>
      </c>
      <c r="H123" s="7" t="s">
        <v>1151</v>
      </c>
      <c r="I123" s="2" t="s">
        <v>1689</v>
      </c>
      <c r="J123" s="2" t="s">
        <v>354</v>
      </c>
      <c r="K123" s="2" t="s">
        <v>304</v>
      </c>
      <c r="L123" s="2" t="s">
        <v>1569</v>
      </c>
      <c r="M123" s="8" t="str">
        <f>HYPERLINK("http://slimages.macys.com/is/image/MCY/13076988 ")</f>
        <v xml:space="preserve">http://slimages.macys.com/is/image/MCY/13076988 </v>
      </c>
    </row>
    <row r="124" spans="1:13" ht="60" x14ac:dyDescent="0.25">
      <c r="A124" s="7" t="s">
        <v>5911</v>
      </c>
      <c r="B124" s="2" t="s">
        <v>883</v>
      </c>
      <c r="C124" s="4">
        <v>2</v>
      </c>
      <c r="D124" s="5">
        <v>8.3000000000000007</v>
      </c>
      <c r="E124" s="5">
        <v>19.989999999999998</v>
      </c>
      <c r="F124" s="4">
        <v>10005486000</v>
      </c>
      <c r="G124" s="2" t="s">
        <v>171</v>
      </c>
      <c r="H124" s="7" t="s">
        <v>149</v>
      </c>
      <c r="I124" s="2" t="s">
        <v>483</v>
      </c>
      <c r="J124" s="2" t="s">
        <v>536</v>
      </c>
      <c r="K124" s="2" t="s">
        <v>304</v>
      </c>
      <c r="L124" s="2" t="s">
        <v>87</v>
      </c>
      <c r="M124" s="8" t="str">
        <f>HYPERLINK("http://slimages.macys.com/is/image/MCY/12466147 ")</f>
        <v xml:space="preserve">http://slimages.macys.com/is/image/MCY/12466147 </v>
      </c>
    </row>
    <row r="125" spans="1:13" ht="60" x14ac:dyDescent="0.25">
      <c r="A125" s="7" t="s">
        <v>5904</v>
      </c>
      <c r="B125" s="2" t="s">
        <v>883</v>
      </c>
      <c r="C125" s="4">
        <v>1</v>
      </c>
      <c r="D125" s="5">
        <v>8.3000000000000007</v>
      </c>
      <c r="E125" s="5">
        <v>19.989999999999998</v>
      </c>
      <c r="F125" s="4">
        <v>10005486000</v>
      </c>
      <c r="G125" s="2" t="s">
        <v>171</v>
      </c>
      <c r="H125" s="7" t="s">
        <v>482</v>
      </c>
      <c r="I125" s="2" t="s">
        <v>483</v>
      </c>
      <c r="J125" s="2" t="s">
        <v>536</v>
      </c>
      <c r="K125" s="2" t="s">
        <v>304</v>
      </c>
      <c r="L125" s="2" t="s">
        <v>87</v>
      </c>
      <c r="M125" s="8" t="str">
        <f>HYPERLINK("http://slimages.macys.com/is/image/MCY/12466147 ")</f>
        <v xml:space="preserve">http://slimages.macys.com/is/image/MCY/12466147 </v>
      </c>
    </row>
    <row r="126" spans="1:13" ht="60" x14ac:dyDescent="0.25">
      <c r="A126" s="7" t="s">
        <v>5905</v>
      </c>
      <c r="B126" s="2" t="s">
        <v>883</v>
      </c>
      <c r="C126" s="4">
        <v>2</v>
      </c>
      <c r="D126" s="5">
        <v>8.3000000000000007</v>
      </c>
      <c r="E126" s="5">
        <v>19.989999999999998</v>
      </c>
      <c r="F126" s="4">
        <v>10005486000</v>
      </c>
      <c r="G126" s="2" t="s">
        <v>171</v>
      </c>
      <c r="H126" s="7" t="s">
        <v>590</v>
      </c>
      <c r="I126" s="2" t="s">
        <v>483</v>
      </c>
      <c r="J126" s="2" t="s">
        <v>536</v>
      </c>
      <c r="K126" s="2" t="s">
        <v>304</v>
      </c>
      <c r="L126" s="2" t="s">
        <v>87</v>
      </c>
      <c r="M126" s="8" t="str">
        <f>HYPERLINK("http://slimages.macys.com/is/image/MCY/12466147 ")</f>
        <v xml:space="preserve">http://slimages.macys.com/is/image/MCY/12466147 </v>
      </c>
    </row>
    <row r="127" spans="1:13" ht="60" x14ac:dyDescent="0.25">
      <c r="A127" s="7" t="s">
        <v>882</v>
      </c>
      <c r="B127" s="2" t="s">
        <v>883</v>
      </c>
      <c r="C127" s="4">
        <v>4</v>
      </c>
      <c r="D127" s="5">
        <v>8.3000000000000007</v>
      </c>
      <c r="E127" s="5">
        <v>19.989999999999998</v>
      </c>
      <c r="F127" s="4">
        <v>10005486000</v>
      </c>
      <c r="G127" s="2" t="s">
        <v>171</v>
      </c>
      <c r="H127" s="7"/>
      <c r="I127" s="2" t="s">
        <v>483</v>
      </c>
      <c r="J127" s="2" t="s">
        <v>536</v>
      </c>
      <c r="K127" s="2" t="s">
        <v>304</v>
      </c>
      <c r="L127" s="2" t="s">
        <v>87</v>
      </c>
      <c r="M127" s="8" t="str">
        <f>HYPERLINK("http://slimages.macys.com/is/image/MCY/12466147 ")</f>
        <v xml:space="preserve">http://slimages.macys.com/is/image/MCY/12466147 </v>
      </c>
    </row>
    <row r="128" spans="1:13" ht="60" x14ac:dyDescent="0.25">
      <c r="A128" s="7" t="s">
        <v>6239</v>
      </c>
      <c r="B128" s="2" t="s">
        <v>1694</v>
      </c>
      <c r="C128" s="4">
        <v>1</v>
      </c>
      <c r="D128" s="5">
        <v>8.02</v>
      </c>
      <c r="E128" s="5">
        <v>21.99</v>
      </c>
      <c r="F128" s="4" t="s">
        <v>1695</v>
      </c>
      <c r="G128" s="2" t="s">
        <v>62</v>
      </c>
      <c r="H128" s="7" t="s">
        <v>159</v>
      </c>
      <c r="I128" s="2" t="s">
        <v>515</v>
      </c>
      <c r="J128" s="2" t="s">
        <v>827</v>
      </c>
      <c r="K128" s="2" t="s">
        <v>304</v>
      </c>
      <c r="L128" s="2" t="s">
        <v>125</v>
      </c>
      <c r="M128" s="8" t="str">
        <f>HYPERLINK("http://slimages.macys.com/is/image/MCY/12052339 ")</f>
        <v xml:space="preserve">http://slimages.macys.com/is/image/MCY/12052339 </v>
      </c>
    </row>
    <row r="129" spans="1:13" ht="60" x14ac:dyDescent="0.25">
      <c r="A129" s="7" t="s">
        <v>10465</v>
      </c>
      <c r="B129" s="2" t="s">
        <v>10466</v>
      </c>
      <c r="C129" s="4">
        <v>1</v>
      </c>
      <c r="D129" s="5">
        <v>8.01</v>
      </c>
      <c r="E129" s="5">
        <v>17.989999999999998</v>
      </c>
      <c r="F129" s="4" t="s">
        <v>10467</v>
      </c>
      <c r="G129" s="2" t="s">
        <v>165</v>
      </c>
      <c r="H129" s="7" t="s">
        <v>228</v>
      </c>
      <c r="I129" s="2" t="s">
        <v>80</v>
      </c>
      <c r="J129" s="2" t="s">
        <v>160</v>
      </c>
      <c r="K129" s="2" t="s">
        <v>304</v>
      </c>
      <c r="L129" s="2" t="s">
        <v>206</v>
      </c>
      <c r="M129" s="8" t="str">
        <f>HYPERLINK("http://slimages.macys.com/is/image/MCY/12225606 ")</f>
        <v xml:space="preserve">http://slimages.macys.com/is/image/MCY/12225606 </v>
      </c>
    </row>
    <row r="130" spans="1:13" ht="60" x14ac:dyDescent="0.25">
      <c r="A130" s="7" t="s">
        <v>3964</v>
      </c>
      <c r="B130" s="2" t="s">
        <v>3965</v>
      </c>
      <c r="C130" s="4">
        <v>1</v>
      </c>
      <c r="D130" s="5">
        <v>8</v>
      </c>
      <c r="E130" s="5">
        <v>14.99</v>
      </c>
      <c r="F130" s="4" t="s">
        <v>3966</v>
      </c>
      <c r="G130" s="2" t="s">
        <v>28</v>
      </c>
      <c r="H130" s="7"/>
      <c r="I130" s="2" t="s">
        <v>30</v>
      </c>
      <c r="J130" s="2" t="s">
        <v>31</v>
      </c>
      <c r="K130" s="2" t="s">
        <v>304</v>
      </c>
      <c r="L130" s="2" t="s">
        <v>416</v>
      </c>
      <c r="M130" s="8" t="str">
        <f>HYPERLINK("http://slimages.macys.com/is/image/MCY/11938060 ")</f>
        <v xml:space="preserve">http://slimages.macys.com/is/image/MCY/11938060 </v>
      </c>
    </row>
    <row r="131" spans="1:13" ht="96" x14ac:dyDescent="0.25">
      <c r="A131" s="7" t="s">
        <v>10468</v>
      </c>
      <c r="B131" s="2" t="s">
        <v>10469</v>
      </c>
      <c r="C131" s="4">
        <v>1</v>
      </c>
      <c r="D131" s="5">
        <v>7.6</v>
      </c>
      <c r="E131" s="5">
        <v>15.99</v>
      </c>
      <c r="F131" s="4" t="s">
        <v>10470</v>
      </c>
      <c r="G131" s="2"/>
      <c r="H131" s="7" t="s">
        <v>233</v>
      </c>
      <c r="I131" s="2" t="s">
        <v>153</v>
      </c>
      <c r="J131" s="2" t="s">
        <v>154</v>
      </c>
      <c r="K131" s="2" t="s">
        <v>304</v>
      </c>
      <c r="L131" s="2" t="s">
        <v>6237</v>
      </c>
      <c r="M131" s="8" t="str">
        <f>HYPERLINK("http://slimages.macys.com/is/image/MCY/11671953 ")</f>
        <v xml:space="preserve">http://slimages.macys.com/is/image/MCY/11671953 </v>
      </c>
    </row>
    <row r="132" spans="1:13" ht="120" x14ac:dyDescent="0.25">
      <c r="A132" s="7" t="s">
        <v>10471</v>
      </c>
      <c r="B132" s="2" t="s">
        <v>6254</v>
      </c>
      <c r="C132" s="4">
        <v>1</v>
      </c>
      <c r="D132" s="5">
        <v>7.6</v>
      </c>
      <c r="E132" s="5">
        <v>17.28</v>
      </c>
      <c r="F132" s="4">
        <v>18374010</v>
      </c>
      <c r="G132" s="2"/>
      <c r="H132" s="7" t="s">
        <v>442</v>
      </c>
      <c r="I132" s="2" t="s">
        <v>153</v>
      </c>
      <c r="J132" s="2" t="s">
        <v>154</v>
      </c>
      <c r="K132" s="2" t="s">
        <v>304</v>
      </c>
      <c r="L132" s="2" t="s">
        <v>6255</v>
      </c>
      <c r="M132" s="8" t="str">
        <f>HYPERLINK("http://slimages.macys.com/is/image/MCY/14608284 ")</f>
        <v xml:space="preserve">http://slimages.macys.com/is/image/MCY/14608284 </v>
      </c>
    </row>
    <row r="133" spans="1:13" ht="60" x14ac:dyDescent="0.25">
      <c r="A133" s="7" t="s">
        <v>3985</v>
      </c>
      <c r="B133" s="2" t="s">
        <v>3986</v>
      </c>
      <c r="C133" s="4">
        <v>1</v>
      </c>
      <c r="D133" s="5">
        <v>7.6</v>
      </c>
      <c r="E133" s="5">
        <v>17.28</v>
      </c>
      <c r="F133" s="4">
        <v>18389710</v>
      </c>
      <c r="G133" s="2" t="s">
        <v>48</v>
      </c>
      <c r="H133" s="7" t="s">
        <v>675</v>
      </c>
      <c r="I133" s="2" t="s">
        <v>153</v>
      </c>
      <c r="J133" s="2" t="s">
        <v>154</v>
      </c>
      <c r="K133" s="2" t="s">
        <v>304</v>
      </c>
      <c r="L133" s="2" t="s">
        <v>38</v>
      </c>
      <c r="M133" s="8" t="str">
        <f>HYPERLINK("http://slimages.macys.com/is/image/MCY/14608342 ")</f>
        <v xml:space="preserve">http://slimages.macys.com/is/image/MCY/14608342 </v>
      </c>
    </row>
    <row r="134" spans="1:13" ht="168" x14ac:dyDescent="0.25">
      <c r="A134" s="7" t="s">
        <v>10472</v>
      </c>
      <c r="B134" s="2" t="s">
        <v>3997</v>
      </c>
      <c r="C134" s="4">
        <v>1</v>
      </c>
      <c r="D134" s="5">
        <v>7.6</v>
      </c>
      <c r="E134" s="5">
        <v>17.28</v>
      </c>
      <c r="F134" s="4">
        <v>18374410</v>
      </c>
      <c r="G134" s="2" t="s">
        <v>62</v>
      </c>
      <c r="H134" s="7" t="s">
        <v>442</v>
      </c>
      <c r="I134" s="2" t="s">
        <v>153</v>
      </c>
      <c r="J134" s="2" t="s">
        <v>154</v>
      </c>
      <c r="K134" s="2" t="s">
        <v>304</v>
      </c>
      <c r="L134" s="2" t="s">
        <v>3998</v>
      </c>
      <c r="M134" s="8" t="str">
        <f>HYPERLINK("http://slimages.macys.com/is/image/MCY/14662110 ")</f>
        <v xml:space="preserve">http://slimages.macys.com/is/image/MCY/14662110 </v>
      </c>
    </row>
    <row r="135" spans="1:13" ht="60" x14ac:dyDescent="0.25">
      <c r="A135" s="7" t="s">
        <v>7515</v>
      </c>
      <c r="B135" s="2" t="s">
        <v>5923</v>
      </c>
      <c r="C135" s="4">
        <v>1</v>
      </c>
      <c r="D135" s="5">
        <v>7.59</v>
      </c>
      <c r="E135" s="5">
        <v>17.989999999999998</v>
      </c>
      <c r="F135" s="4" t="s">
        <v>5924</v>
      </c>
      <c r="G135" s="2" t="s">
        <v>595</v>
      </c>
      <c r="H135" s="7" t="s">
        <v>123</v>
      </c>
      <c r="I135" s="2" t="s">
        <v>515</v>
      </c>
      <c r="J135" s="2" t="s">
        <v>875</v>
      </c>
      <c r="K135" s="2" t="s">
        <v>304</v>
      </c>
      <c r="L135" s="2" t="s">
        <v>4196</v>
      </c>
      <c r="M135" s="8" t="str">
        <f>HYPERLINK("http://slimages.macys.com/is/image/MCY/11603707 ")</f>
        <v xml:space="preserve">http://slimages.macys.com/is/image/MCY/11603707 </v>
      </c>
    </row>
    <row r="136" spans="1:13" ht="60" x14ac:dyDescent="0.25">
      <c r="A136" s="7" t="s">
        <v>10473</v>
      </c>
      <c r="B136" s="2" t="s">
        <v>10474</v>
      </c>
      <c r="C136" s="4">
        <v>1</v>
      </c>
      <c r="D136" s="5">
        <v>7.55</v>
      </c>
      <c r="E136" s="5">
        <v>15.1</v>
      </c>
      <c r="F136" s="4" t="s">
        <v>10475</v>
      </c>
      <c r="G136" s="2"/>
      <c r="H136" s="7" t="s">
        <v>179</v>
      </c>
      <c r="I136" s="2" t="s">
        <v>487</v>
      </c>
      <c r="J136" s="2" t="s">
        <v>488</v>
      </c>
      <c r="K136" s="2" t="s">
        <v>304</v>
      </c>
      <c r="L136" s="2" t="s">
        <v>119</v>
      </c>
      <c r="M136" s="8" t="str">
        <f>HYPERLINK("http://slimages.macys.com/is/image/MCY/12077337 ")</f>
        <v xml:space="preserve">http://slimages.macys.com/is/image/MCY/12077337 </v>
      </c>
    </row>
    <row r="137" spans="1:13" ht="60" x14ac:dyDescent="0.25">
      <c r="A137" s="7" t="s">
        <v>10476</v>
      </c>
      <c r="B137" s="2" t="s">
        <v>10477</v>
      </c>
      <c r="C137" s="4">
        <v>1</v>
      </c>
      <c r="D137" s="5">
        <v>7.55</v>
      </c>
      <c r="E137" s="5">
        <v>13.98</v>
      </c>
      <c r="F137" s="4">
        <v>16635110</v>
      </c>
      <c r="G137" s="2" t="s">
        <v>28</v>
      </c>
      <c r="H137" s="7" t="s">
        <v>675</v>
      </c>
      <c r="I137" s="2" t="s">
        <v>153</v>
      </c>
      <c r="J137" s="2" t="s">
        <v>154</v>
      </c>
      <c r="K137" s="2" t="s">
        <v>304</v>
      </c>
      <c r="L137" s="2" t="s">
        <v>87</v>
      </c>
      <c r="M137" s="8" t="str">
        <f>HYPERLINK("http://slimages.macys.com/is/image/MCY/12051636 ")</f>
        <v xml:space="preserve">http://slimages.macys.com/is/image/MCY/12051636 </v>
      </c>
    </row>
    <row r="138" spans="1:13" ht="120" x14ac:dyDescent="0.25">
      <c r="A138" s="7" t="s">
        <v>10478</v>
      </c>
      <c r="B138" s="2" t="s">
        <v>10479</v>
      </c>
      <c r="C138" s="4">
        <v>1</v>
      </c>
      <c r="D138" s="5">
        <v>7.55</v>
      </c>
      <c r="E138" s="5">
        <v>13.98</v>
      </c>
      <c r="F138" s="4">
        <v>16635510</v>
      </c>
      <c r="G138" s="2"/>
      <c r="H138" s="7" t="s">
        <v>442</v>
      </c>
      <c r="I138" s="2" t="s">
        <v>153</v>
      </c>
      <c r="J138" s="2" t="s">
        <v>154</v>
      </c>
      <c r="K138" s="2" t="s">
        <v>304</v>
      </c>
      <c r="L138" s="2" t="s">
        <v>10480</v>
      </c>
      <c r="M138" s="8" t="str">
        <f>HYPERLINK("http://slimages.macys.com/is/image/MCY/12051763 ")</f>
        <v xml:space="preserve">http://slimages.macys.com/is/image/MCY/12051763 </v>
      </c>
    </row>
    <row r="139" spans="1:13" ht="60" x14ac:dyDescent="0.25">
      <c r="A139" s="7" t="s">
        <v>10481</v>
      </c>
      <c r="B139" s="2" t="s">
        <v>10482</v>
      </c>
      <c r="C139" s="4">
        <v>1</v>
      </c>
      <c r="D139" s="5">
        <v>7.5</v>
      </c>
      <c r="E139" s="5">
        <v>14.99</v>
      </c>
      <c r="F139" s="4">
        <v>71006</v>
      </c>
      <c r="G139" s="2" t="s">
        <v>41</v>
      </c>
      <c r="H139" s="7"/>
      <c r="I139" s="2" t="s">
        <v>30</v>
      </c>
      <c r="J139" s="2" t="s">
        <v>10483</v>
      </c>
      <c r="K139" s="2" t="s">
        <v>304</v>
      </c>
      <c r="L139" s="2" t="s">
        <v>460</v>
      </c>
      <c r="M139" s="8" t="str">
        <f>HYPERLINK("http://slimages.macys.com/is/image/MCY/12035609 ")</f>
        <v xml:space="preserve">http://slimages.macys.com/is/image/MCY/12035609 </v>
      </c>
    </row>
    <row r="140" spans="1:13" ht="60" x14ac:dyDescent="0.25">
      <c r="A140" s="7" t="s">
        <v>10484</v>
      </c>
      <c r="B140" s="2" t="s">
        <v>3318</v>
      </c>
      <c r="C140" s="4">
        <v>1</v>
      </c>
      <c r="D140" s="5">
        <v>7.45</v>
      </c>
      <c r="E140" s="5">
        <v>16.989999999999998</v>
      </c>
      <c r="F140" s="4" t="s">
        <v>3319</v>
      </c>
      <c r="G140" s="2" t="s">
        <v>62</v>
      </c>
      <c r="H140" s="7" t="s">
        <v>284</v>
      </c>
      <c r="I140" s="2" t="s">
        <v>218</v>
      </c>
      <c r="J140" s="2" t="s">
        <v>1740</v>
      </c>
      <c r="K140" s="2" t="s">
        <v>304</v>
      </c>
      <c r="L140" s="2" t="s">
        <v>125</v>
      </c>
      <c r="M140" s="8" t="str">
        <f>HYPERLINK("http://slimages.macys.com/is/image/MCY/11483765 ")</f>
        <v xml:space="preserve">http://slimages.macys.com/is/image/MCY/11483765 </v>
      </c>
    </row>
    <row r="141" spans="1:13" ht="60" x14ac:dyDescent="0.25">
      <c r="A141" s="7" t="s">
        <v>10485</v>
      </c>
      <c r="B141" s="2" t="s">
        <v>3318</v>
      </c>
      <c r="C141" s="4">
        <v>1</v>
      </c>
      <c r="D141" s="5">
        <v>7.45</v>
      </c>
      <c r="E141" s="5">
        <v>16.989999999999998</v>
      </c>
      <c r="F141" s="4" t="s">
        <v>3319</v>
      </c>
      <c r="G141" s="2" t="s">
        <v>297</v>
      </c>
      <c r="H141" s="7" t="s">
        <v>217</v>
      </c>
      <c r="I141" s="2" t="s">
        <v>218</v>
      </c>
      <c r="J141" s="2" t="s">
        <v>1740</v>
      </c>
      <c r="K141" s="2" t="s">
        <v>304</v>
      </c>
      <c r="L141" s="2" t="s">
        <v>125</v>
      </c>
      <c r="M141" s="8" t="str">
        <f>HYPERLINK("http://slimages.macys.com/is/image/MCY/11483765 ")</f>
        <v xml:space="preserve">http://slimages.macys.com/is/image/MCY/11483765 </v>
      </c>
    </row>
    <row r="142" spans="1:13" ht="72" x14ac:dyDescent="0.25">
      <c r="A142" s="7" t="s">
        <v>4016</v>
      </c>
      <c r="B142" s="2" t="s">
        <v>4017</v>
      </c>
      <c r="C142" s="4">
        <v>2</v>
      </c>
      <c r="D142" s="5">
        <v>7.29</v>
      </c>
      <c r="E142" s="5">
        <v>18</v>
      </c>
      <c r="F142" s="4" t="s">
        <v>4018</v>
      </c>
      <c r="G142" s="2" t="s">
        <v>4019</v>
      </c>
      <c r="H142" s="7" t="s">
        <v>789</v>
      </c>
      <c r="I142" s="2" t="s">
        <v>523</v>
      </c>
      <c r="J142" s="2" t="s">
        <v>1042</v>
      </c>
      <c r="K142" s="2" t="s">
        <v>304</v>
      </c>
      <c r="L142" s="2" t="s">
        <v>4020</v>
      </c>
      <c r="M142" s="8" t="str">
        <f>HYPERLINK("http://slimages.macys.com/is/image/MCY/10428877 ")</f>
        <v xml:space="preserve">http://slimages.macys.com/is/image/MCY/10428877 </v>
      </c>
    </row>
    <row r="143" spans="1:13" ht="60" x14ac:dyDescent="0.25">
      <c r="A143" s="7" t="s">
        <v>10486</v>
      </c>
      <c r="B143" s="2" t="s">
        <v>10487</v>
      </c>
      <c r="C143" s="4">
        <v>1</v>
      </c>
      <c r="D143" s="5">
        <v>7.25</v>
      </c>
      <c r="E143" s="5">
        <v>14.99</v>
      </c>
      <c r="F143" s="4" t="s">
        <v>10488</v>
      </c>
      <c r="G143" s="2"/>
      <c r="H143" s="7" t="s">
        <v>311</v>
      </c>
      <c r="I143" s="2" t="s">
        <v>312</v>
      </c>
      <c r="J143" s="2" t="s">
        <v>10489</v>
      </c>
      <c r="K143" s="2" t="s">
        <v>304</v>
      </c>
      <c r="L143" s="2" t="s">
        <v>87</v>
      </c>
      <c r="M143" s="8" t="str">
        <f>HYPERLINK("http://slimages.macys.com/is/image/MCY/2821897 ")</f>
        <v xml:space="preserve">http://slimages.macys.com/is/image/MCY/2821897 </v>
      </c>
    </row>
    <row r="144" spans="1:13" ht="72" x14ac:dyDescent="0.25">
      <c r="A144" s="7" t="s">
        <v>10490</v>
      </c>
      <c r="B144" s="2" t="s">
        <v>10491</v>
      </c>
      <c r="C144" s="4">
        <v>1</v>
      </c>
      <c r="D144" s="5">
        <v>7.25</v>
      </c>
      <c r="E144" s="5">
        <v>14.98</v>
      </c>
      <c r="F144" s="4" t="s">
        <v>10492</v>
      </c>
      <c r="G144" s="2" t="s">
        <v>41</v>
      </c>
      <c r="H144" s="7" t="s">
        <v>4085</v>
      </c>
      <c r="I144" s="2" t="s">
        <v>523</v>
      </c>
      <c r="J144" s="2" t="s">
        <v>4086</v>
      </c>
      <c r="K144" s="2" t="s">
        <v>304</v>
      </c>
      <c r="L144" s="2" t="s">
        <v>10493</v>
      </c>
      <c r="M144" s="8" t="str">
        <f>HYPERLINK("http://slimages.macys.com/is/image/MCY/11722413 ")</f>
        <v xml:space="preserve">http://slimages.macys.com/is/image/MCY/11722413 </v>
      </c>
    </row>
    <row r="145" spans="1:13" ht="60" x14ac:dyDescent="0.25">
      <c r="A145" s="7" t="s">
        <v>9511</v>
      </c>
      <c r="B145" s="2" t="s">
        <v>9512</v>
      </c>
      <c r="C145" s="4">
        <v>4</v>
      </c>
      <c r="D145" s="5">
        <v>7.25</v>
      </c>
      <c r="E145" s="5">
        <v>21.99</v>
      </c>
      <c r="F145" s="4" t="s">
        <v>9513</v>
      </c>
      <c r="G145" s="2" t="s">
        <v>582</v>
      </c>
      <c r="H145" s="7" t="s">
        <v>284</v>
      </c>
      <c r="I145" s="2" t="s">
        <v>342</v>
      </c>
      <c r="J145" s="2" t="s">
        <v>1789</v>
      </c>
      <c r="K145" s="2" t="s">
        <v>304</v>
      </c>
      <c r="L145" s="2" t="s">
        <v>9514</v>
      </c>
      <c r="M145" s="8" t="str">
        <f>HYPERLINK("http://slimages.macys.com/is/image/MCY/12342315 ")</f>
        <v xml:space="preserve">http://slimages.macys.com/is/image/MCY/12342315 </v>
      </c>
    </row>
    <row r="146" spans="1:13" ht="60" x14ac:dyDescent="0.25">
      <c r="A146" s="7" t="s">
        <v>10494</v>
      </c>
      <c r="B146" s="2" t="s">
        <v>10495</v>
      </c>
      <c r="C146" s="4">
        <v>1</v>
      </c>
      <c r="D146" s="5">
        <v>7.25</v>
      </c>
      <c r="E146" s="5">
        <v>21.99</v>
      </c>
      <c r="F146" s="4" t="s">
        <v>10496</v>
      </c>
      <c r="G146" s="2" t="s">
        <v>582</v>
      </c>
      <c r="H146" s="7" t="s">
        <v>228</v>
      </c>
      <c r="I146" s="2" t="s">
        <v>342</v>
      </c>
      <c r="J146" s="2" t="s">
        <v>1789</v>
      </c>
      <c r="K146" s="2" t="s">
        <v>304</v>
      </c>
      <c r="L146" s="2" t="s">
        <v>10497</v>
      </c>
      <c r="M146" s="8" t="str">
        <f>HYPERLINK("http://slimages.macys.com/is/image/MCY/12236935 ")</f>
        <v xml:space="preserve">http://slimages.macys.com/is/image/MCY/12236935 </v>
      </c>
    </row>
    <row r="147" spans="1:13" ht="60" x14ac:dyDescent="0.25">
      <c r="A147" s="7" t="s">
        <v>10498</v>
      </c>
      <c r="B147" s="2" t="s">
        <v>9975</v>
      </c>
      <c r="C147" s="4">
        <v>1</v>
      </c>
      <c r="D147" s="5">
        <v>7.23</v>
      </c>
      <c r="E147" s="5">
        <v>16.989999999999998</v>
      </c>
      <c r="F147" s="4" t="s">
        <v>10499</v>
      </c>
      <c r="G147" s="2" t="s">
        <v>353</v>
      </c>
      <c r="H147" s="7" t="s">
        <v>379</v>
      </c>
      <c r="I147" s="2" t="s">
        <v>292</v>
      </c>
      <c r="J147" s="2" t="s">
        <v>354</v>
      </c>
      <c r="K147" s="2" t="s">
        <v>304</v>
      </c>
      <c r="L147" s="2" t="s">
        <v>100</v>
      </c>
      <c r="M147" s="8" t="str">
        <f>HYPERLINK("http://slimages.macys.com/is/image/MCY/10893901 ")</f>
        <v xml:space="preserve">http://slimages.macys.com/is/image/MCY/10893901 </v>
      </c>
    </row>
    <row r="148" spans="1:13" ht="72" x14ac:dyDescent="0.25">
      <c r="A148" s="7" t="s">
        <v>946</v>
      </c>
      <c r="B148" s="2" t="s">
        <v>935</v>
      </c>
      <c r="C148" s="4">
        <v>6</v>
      </c>
      <c r="D148" s="5">
        <v>7.2</v>
      </c>
      <c r="E148" s="5">
        <v>18</v>
      </c>
      <c r="F148" s="4" t="s">
        <v>936</v>
      </c>
      <c r="G148" s="2" t="s">
        <v>62</v>
      </c>
      <c r="H148" s="7"/>
      <c r="I148" s="2" t="s">
        <v>523</v>
      </c>
      <c r="J148" s="2" t="s">
        <v>937</v>
      </c>
      <c r="K148" s="2" t="s">
        <v>304</v>
      </c>
      <c r="L148" s="2" t="s">
        <v>938</v>
      </c>
      <c r="M148" s="8" t="str">
        <f>HYPERLINK("http://slimages.macys.com/is/image/MCY/9628134 ")</f>
        <v xml:space="preserve">http://slimages.macys.com/is/image/MCY/9628134 </v>
      </c>
    </row>
    <row r="149" spans="1:13" ht="60" x14ac:dyDescent="0.25">
      <c r="A149" s="7" t="s">
        <v>945</v>
      </c>
      <c r="B149" s="2" t="s">
        <v>935</v>
      </c>
      <c r="C149" s="4">
        <v>4</v>
      </c>
      <c r="D149" s="5">
        <v>7.2</v>
      </c>
      <c r="E149" s="5">
        <v>18</v>
      </c>
      <c r="F149" s="4" t="s">
        <v>940</v>
      </c>
      <c r="G149" s="2" t="s">
        <v>62</v>
      </c>
      <c r="H149" s="7"/>
      <c r="I149" s="2" t="s">
        <v>523</v>
      </c>
      <c r="J149" s="2" t="s">
        <v>937</v>
      </c>
      <c r="K149" s="2" t="s">
        <v>304</v>
      </c>
      <c r="L149" s="2" t="s">
        <v>263</v>
      </c>
      <c r="M149" s="8" t="str">
        <f>HYPERLINK("http://slimages.macys.com/is/image/MCY/9628127 ")</f>
        <v xml:space="preserve">http://slimages.macys.com/is/image/MCY/9628127 </v>
      </c>
    </row>
    <row r="150" spans="1:13" ht="60" x14ac:dyDescent="0.25">
      <c r="A150" s="7" t="s">
        <v>947</v>
      </c>
      <c r="B150" s="2" t="s">
        <v>942</v>
      </c>
      <c r="C150" s="4">
        <v>1</v>
      </c>
      <c r="D150" s="5">
        <v>7.2</v>
      </c>
      <c r="E150" s="5">
        <v>18</v>
      </c>
      <c r="F150" s="4" t="s">
        <v>943</v>
      </c>
      <c r="G150" s="2" t="s">
        <v>41</v>
      </c>
      <c r="H150" s="7"/>
      <c r="I150" s="2" t="s">
        <v>523</v>
      </c>
      <c r="J150" s="2" t="s">
        <v>937</v>
      </c>
      <c r="K150" s="2" t="s">
        <v>304</v>
      </c>
      <c r="L150" s="2" t="s">
        <v>944</v>
      </c>
      <c r="M150" s="8" t="str">
        <f>HYPERLINK("http://slimages.macys.com/is/image/MCY/10426043 ")</f>
        <v xml:space="preserve">http://slimages.macys.com/is/image/MCY/10426043 </v>
      </c>
    </row>
    <row r="151" spans="1:13" ht="60" x14ac:dyDescent="0.25">
      <c r="A151" s="7" t="s">
        <v>939</v>
      </c>
      <c r="B151" s="2" t="s">
        <v>935</v>
      </c>
      <c r="C151" s="4">
        <v>6</v>
      </c>
      <c r="D151" s="5">
        <v>7.2</v>
      </c>
      <c r="E151" s="5">
        <v>18</v>
      </c>
      <c r="F151" s="4" t="s">
        <v>940</v>
      </c>
      <c r="G151" s="2" t="s">
        <v>41</v>
      </c>
      <c r="H151" s="7"/>
      <c r="I151" s="2" t="s">
        <v>523</v>
      </c>
      <c r="J151" s="2" t="s">
        <v>937</v>
      </c>
      <c r="K151" s="2" t="s">
        <v>304</v>
      </c>
      <c r="L151" s="2" t="s">
        <v>263</v>
      </c>
      <c r="M151" s="8" t="str">
        <f>HYPERLINK("http://slimages.macys.com/is/image/MCY/9628127 ")</f>
        <v xml:space="preserve">http://slimages.macys.com/is/image/MCY/9628127 </v>
      </c>
    </row>
    <row r="152" spans="1:13" ht="60" x14ac:dyDescent="0.25">
      <c r="A152" s="7" t="s">
        <v>5392</v>
      </c>
      <c r="B152" s="2" t="s">
        <v>5393</v>
      </c>
      <c r="C152" s="4">
        <v>1</v>
      </c>
      <c r="D152" s="5">
        <v>7.12</v>
      </c>
      <c r="E152" s="5">
        <v>19.989999999999998</v>
      </c>
      <c r="F152" s="4" t="s">
        <v>5394</v>
      </c>
      <c r="G152" s="2" t="s">
        <v>86</v>
      </c>
      <c r="H152" s="7" t="s">
        <v>159</v>
      </c>
      <c r="I152" s="2" t="s">
        <v>389</v>
      </c>
      <c r="J152" s="2" t="s">
        <v>354</v>
      </c>
      <c r="K152" s="2" t="s">
        <v>304</v>
      </c>
      <c r="L152" s="2" t="s">
        <v>596</v>
      </c>
      <c r="M152" s="8" t="str">
        <f>HYPERLINK("http://slimages.macys.com/is/image/MCY/12121982 ")</f>
        <v xml:space="preserve">http://slimages.macys.com/is/image/MCY/12121982 </v>
      </c>
    </row>
    <row r="153" spans="1:13" ht="60" x14ac:dyDescent="0.25">
      <c r="A153" s="7" t="s">
        <v>8263</v>
      </c>
      <c r="B153" s="2" t="s">
        <v>5393</v>
      </c>
      <c r="C153" s="4">
        <v>1</v>
      </c>
      <c r="D153" s="5">
        <v>7.12</v>
      </c>
      <c r="E153" s="5">
        <v>19.989999999999998</v>
      </c>
      <c r="F153" s="4" t="s">
        <v>5394</v>
      </c>
      <c r="G153" s="2" t="s">
        <v>86</v>
      </c>
      <c r="H153" s="7" t="s">
        <v>228</v>
      </c>
      <c r="I153" s="2" t="s">
        <v>389</v>
      </c>
      <c r="J153" s="2" t="s">
        <v>354</v>
      </c>
      <c r="K153" s="2" t="s">
        <v>304</v>
      </c>
      <c r="L153" s="2" t="s">
        <v>596</v>
      </c>
      <c r="M153" s="8" t="str">
        <f>HYPERLINK("http://slimages.macys.com/is/image/MCY/12121982 ")</f>
        <v xml:space="preserve">http://slimages.macys.com/is/image/MCY/12121982 </v>
      </c>
    </row>
    <row r="154" spans="1:13" ht="60" x14ac:dyDescent="0.25">
      <c r="A154" s="7" t="s">
        <v>10500</v>
      </c>
      <c r="B154" s="2" t="s">
        <v>10501</v>
      </c>
      <c r="C154" s="4">
        <v>1</v>
      </c>
      <c r="D154" s="5">
        <v>7.05</v>
      </c>
      <c r="E154" s="5">
        <v>11.99</v>
      </c>
      <c r="F154" s="4" t="s">
        <v>10502</v>
      </c>
      <c r="G154" s="2" t="s">
        <v>36</v>
      </c>
      <c r="H154" s="7" t="s">
        <v>159</v>
      </c>
      <c r="I154" s="2" t="s">
        <v>73</v>
      </c>
      <c r="J154" s="2" t="s">
        <v>1917</v>
      </c>
      <c r="K154" s="2" t="s">
        <v>304</v>
      </c>
      <c r="L154" s="2" t="s">
        <v>125</v>
      </c>
      <c r="M154" s="8" t="str">
        <f>HYPERLINK("http://slimages.macys.com/is/image/MCY/12688490 ")</f>
        <v xml:space="preserve">http://slimages.macys.com/is/image/MCY/12688490 </v>
      </c>
    </row>
    <row r="155" spans="1:13" ht="60" x14ac:dyDescent="0.25">
      <c r="A155" s="7" t="s">
        <v>10503</v>
      </c>
      <c r="B155" s="2" t="s">
        <v>10501</v>
      </c>
      <c r="C155" s="4">
        <v>2</v>
      </c>
      <c r="D155" s="5">
        <v>7.05</v>
      </c>
      <c r="E155" s="5">
        <v>11.99</v>
      </c>
      <c r="F155" s="4" t="s">
        <v>10502</v>
      </c>
      <c r="G155" s="2" t="s">
        <v>36</v>
      </c>
      <c r="H155" s="7" t="s">
        <v>228</v>
      </c>
      <c r="I155" s="2" t="s">
        <v>73</v>
      </c>
      <c r="J155" s="2" t="s">
        <v>1917</v>
      </c>
      <c r="K155" s="2" t="s">
        <v>304</v>
      </c>
      <c r="L155" s="2" t="s">
        <v>125</v>
      </c>
      <c r="M155" s="8" t="str">
        <f>HYPERLINK("http://slimages.macys.com/is/image/MCY/12688490 ")</f>
        <v xml:space="preserve">http://slimages.macys.com/is/image/MCY/12688490 </v>
      </c>
    </row>
    <row r="156" spans="1:13" ht="96" x14ac:dyDescent="0.25">
      <c r="A156" s="7" t="s">
        <v>977</v>
      </c>
      <c r="B156" s="2" t="s">
        <v>975</v>
      </c>
      <c r="C156" s="4">
        <v>2</v>
      </c>
      <c r="D156" s="5">
        <v>7</v>
      </c>
      <c r="E156" s="5">
        <v>15.99</v>
      </c>
      <c r="F156" s="4" t="s">
        <v>976</v>
      </c>
      <c r="G156" s="2" t="s">
        <v>62</v>
      </c>
      <c r="H156" s="7"/>
      <c r="I156" s="2" t="s">
        <v>815</v>
      </c>
      <c r="J156" s="2" t="s">
        <v>778</v>
      </c>
      <c r="K156" s="2" t="s">
        <v>304</v>
      </c>
      <c r="L156" s="2" t="s">
        <v>816</v>
      </c>
      <c r="M156" s="8" t="str">
        <f>HYPERLINK("http://slimages.macys.com/is/image/MCY/11234292 ")</f>
        <v xml:space="preserve">http://slimages.macys.com/is/image/MCY/11234292 </v>
      </c>
    </row>
    <row r="157" spans="1:13" ht="60" x14ac:dyDescent="0.25">
      <c r="A157" s="7" t="s">
        <v>10504</v>
      </c>
      <c r="B157" s="2" t="s">
        <v>4061</v>
      </c>
      <c r="C157" s="4">
        <v>1</v>
      </c>
      <c r="D157" s="5">
        <v>6.93</v>
      </c>
      <c r="E157" s="5">
        <v>19.5</v>
      </c>
      <c r="F157" s="4" t="s">
        <v>2583</v>
      </c>
      <c r="G157" s="2" t="s">
        <v>814</v>
      </c>
      <c r="H157" s="7"/>
      <c r="I157" s="2" t="s">
        <v>57</v>
      </c>
      <c r="J157" s="2" t="s">
        <v>58</v>
      </c>
      <c r="K157" s="2" t="s">
        <v>304</v>
      </c>
      <c r="L157" s="2" t="s">
        <v>87</v>
      </c>
      <c r="M157" s="8" t="str">
        <f>HYPERLINK("http://slimages.macys.com/is/image/MCY/8619272 ")</f>
        <v xml:space="preserve">http://slimages.macys.com/is/image/MCY/8619272 </v>
      </c>
    </row>
    <row r="158" spans="1:13" ht="60" x14ac:dyDescent="0.25">
      <c r="A158" s="7" t="s">
        <v>1767</v>
      </c>
      <c r="B158" s="2" t="s">
        <v>1768</v>
      </c>
      <c r="C158" s="4">
        <v>2</v>
      </c>
      <c r="D158" s="5">
        <v>6.85</v>
      </c>
      <c r="E158" s="5">
        <v>18</v>
      </c>
      <c r="F158" s="4" t="s">
        <v>1769</v>
      </c>
      <c r="G158" s="2" t="s">
        <v>48</v>
      </c>
      <c r="H158" s="7" t="s">
        <v>217</v>
      </c>
      <c r="I158" s="2" t="s">
        <v>468</v>
      </c>
      <c r="J158" s="2" t="s">
        <v>469</v>
      </c>
      <c r="K158" s="2" t="s">
        <v>304</v>
      </c>
      <c r="L158" s="2" t="s">
        <v>100</v>
      </c>
      <c r="M158" s="8" t="str">
        <f>HYPERLINK("http://slimages.macys.com/is/image/MCY/12809150 ")</f>
        <v xml:space="preserve">http://slimages.macys.com/is/image/MCY/12809150 </v>
      </c>
    </row>
    <row r="159" spans="1:13" ht="60" x14ac:dyDescent="0.25">
      <c r="A159" s="7" t="s">
        <v>1778</v>
      </c>
      <c r="B159" s="2" t="s">
        <v>1776</v>
      </c>
      <c r="C159" s="4">
        <v>2</v>
      </c>
      <c r="D159" s="5">
        <v>6.84</v>
      </c>
      <c r="E159" s="5">
        <v>19.989999999999998</v>
      </c>
      <c r="F159" s="4" t="s">
        <v>1777</v>
      </c>
      <c r="G159" s="2" t="s">
        <v>388</v>
      </c>
      <c r="H159" s="7" t="s">
        <v>1151</v>
      </c>
      <c r="I159" s="2" t="s">
        <v>1689</v>
      </c>
      <c r="J159" s="2" t="s">
        <v>354</v>
      </c>
      <c r="K159" s="2" t="s">
        <v>304</v>
      </c>
      <c r="L159" s="2" t="s">
        <v>390</v>
      </c>
      <c r="M159" s="8" t="str">
        <f>HYPERLINK("http://slimages.macys.com/is/image/MCY/12890114 ")</f>
        <v xml:space="preserve">http://slimages.macys.com/is/image/MCY/12890114 </v>
      </c>
    </row>
    <row r="160" spans="1:13" ht="60" x14ac:dyDescent="0.25">
      <c r="A160" s="7" t="s">
        <v>1779</v>
      </c>
      <c r="B160" s="2" t="s">
        <v>1776</v>
      </c>
      <c r="C160" s="4">
        <v>2</v>
      </c>
      <c r="D160" s="5">
        <v>6.84</v>
      </c>
      <c r="E160" s="5">
        <v>19.989999999999998</v>
      </c>
      <c r="F160" s="4" t="s">
        <v>1777</v>
      </c>
      <c r="G160" s="2" t="s">
        <v>388</v>
      </c>
      <c r="H160" s="7" t="s">
        <v>311</v>
      </c>
      <c r="I160" s="2" t="s">
        <v>1689</v>
      </c>
      <c r="J160" s="2" t="s">
        <v>354</v>
      </c>
      <c r="K160" s="2" t="s">
        <v>304</v>
      </c>
      <c r="L160" s="2" t="s">
        <v>390</v>
      </c>
      <c r="M160" s="8" t="str">
        <f>HYPERLINK("http://slimages.macys.com/is/image/MCY/12890114 ")</f>
        <v xml:space="preserve">http://slimages.macys.com/is/image/MCY/12890114 </v>
      </c>
    </row>
    <row r="161" spans="1:13" ht="60" x14ac:dyDescent="0.25">
      <c r="A161" s="7" t="s">
        <v>6287</v>
      </c>
      <c r="B161" s="2" t="s">
        <v>1776</v>
      </c>
      <c r="C161" s="4">
        <v>1</v>
      </c>
      <c r="D161" s="5">
        <v>6.84</v>
      </c>
      <c r="E161" s="5">
        <v>19.989999999999998</v>
      </c>
      <c r="F161" s="4" t="s">
        <v>1777</v>
      </c>
      <c r="G161" s="2" t="s">
        <v>388</v>
      </c>
      <c r="H161" s="7" t="s">
        <v>578</v>
      </c>
      <c r="I161" s="2" t="s">
        <v>1689</v>
      </c>
      <c r="J161" s="2" t="s">
        <v>354</v>
      </c>
      <c r="K161" s="2" t="s">
        <v>304</v>
      </c>
      <c r="L161" s="2" t="s">
        <v>390</v>
      </c>
      <c r="M161" s="8" t="str">
        <f>HYPERLINK("http://slimages.macys.com/is/image/MCY/12890114 ")</f>
        <v xml:space="preserve">http://slimages.macys.com/is/image/MCY/12890114 </v>
      </c>
    </row>
    <row r="162" spans="1:13" ht="60" x14ac:dyDescent="0.25">
      <c r="A162" s="7" t="s">
        <v>1775</v>
      </c>
      <c r="B162" s="2" t="s">
        <v>1776</v>
      </c>
      <c r="C162" s="4">
        <v>2</v>
      </c>
      <c r="D162" s="5">
        <v>6.84</v>
      </c>
      <c r="E162" s="5">
        <v>19.989999999999998</v>
      </c>
      <c r="F162" s="4" t="s">
        <v>1777</v>
      </c>
      <c r="G162" s="2" t="s">
        <v>388</v>
      </c>
      <c r="H162" s="7" t="s">
        <v>514</v>
      </c>
      <c r="I162" s="2" t="s">
        <v>1689</v>
      </c>
      <c r="J162" s="2" t="s">
        <v>354</v>
      </c>
      <c r="K162" s="2" t="s">
        <v>304</v>
      </c>
      <c r="L162" s="2" t="s">
        <v>390</v>
      </c>
      <c r="M162" s="8" t="str">
        <f>HYPERLINK("http://slimages.macys.com/is/image/MCY/12890114 ")</f>
        <v xml:space="preserve">http://slimages.macys.com/is/image/MCY/12890114 </v>
      </c>
    </row>
    <row r="163" spans="1:13" ht="60" x14ac:dyDescent="0.25">
      <c r="A163" s="7" t="s">
        <v>1780</v>
      </c>
      <c r="B163" s="2" t="s">
        <v>1776</v>
      </c>
      <c r="C163" s="4">
        <v>1</v>
      </c>
      <c r="D163" s="5">
        <v>6.84</v>
      </c>
      <c r="E163" s="5">
        <v>19.989999999999998</v>
      </c>
      <c r="F163" s="4" t="s">
        <v>1777</v>
      </c>
      <c r="G163" s="2" t="s">
        <v>388</v>
      </c>
      <c r="H163" s="7" t="s">
        <v>123</v>
      </c>
      <c r="I163" s="2" t="s">
        <v>1689</v>
      </c>
      <c r="J163" s="2" t="s">
        <v>354</v>
      </c>
      <c r="K163" s="2" t="s">
        <v>304</v>
      </c>
      <c r="L163" s="2" t="s">
        <v>390</v>
      </c>
      <c r="M163" s="8" t="str">
        <f>HYPERLINK("http://slimages.macys.com/is/image/MCY/12890114 ")</f>
        <v xml:space="preserve">http://slimages.macys.com/is/image/MCY/12890114 </v>
      </c>
    </row>
    <row r="164" spans="1:13" ht="96" x14ac:dyDescent="0.25">
      <c r="A164" s="7" t="s">
        <v>10505</v>
      </c>
      <c r="B164" s="2" t="s">
        <v>10506</v>
      </c>
      <c r="C164" s="4">
        <v>1</v>
      </c>
      <c r="D164" s="5">
        <v>6.8</v>
      </c>
      <c r="E164" s="5">
        <v>17.989999999999998</v>
      </c>
      <c r="F164" s="4" t="s">
        <v>10507</v>
      </c>
      <c r="G164" s="2" t="s">
        <v>41</v>
      </c>
      <c r="H164" s="7" t="s">
        <v>590</v>
      </c>
      <c r="I164" s="2" t="s">
        <v>483</v>
      </c>
      <c r="J164" s="2" t="s">
        <v>536</v>
      </c>
      <c r="K164" s="2" t="s">
        <v>304</v>
      </c>
      <c r="L164" s="2" t="s">
        <v>10508</v>
      </c>
      <c r="M164" s="8" t="str">
        <f>HYPERLINK("http://slimages.macys.com/is/image/MCY/12465693 ")</f>
        <v xml:space="preserve">http://slimages.macys.com/is/image/MCY/12465693 </v>
      </c>
    </row>
    <row r="165" spans="1:13" ht="120" x14ac:dyDescent="0.25">
      <c r="A165" s="7" t="s">
        <v>10509</v>
      </c>
      <c r="B165" s="2" t="s">
        <v>10510</v>
      </c>
      <c r="C165" s="4">
        <v>1</v>
      </c>
      <c r="D165" s="5">
        <v>6.78</v>
      </c>
      <c r="E165" s="5">
        <v>17.989999999999998</v>
      </c>
      <c r="F165" s="4" t="s">
        <v>10511</v>
      </c>
      <c r="G165" s="2" t="s">
        <v>1265</v>
      </c>
      <c r="H165" s="7" t="s">
        <v>590</v>
      </c>
      <c r="I165" s="2" t="s">
        <v>483</v>
      </c>
      <c r="J165" s="2" t="s">
        <v>536</v>
      </c>
      <c r="K165" s="2" t="s">
        <v>304</v>
      </c>
      <c r="L165" s="2" t="s">
        <v>10512</v>
      </c>
      <c r="M165" s="8" t="str">
        <f>HYPERLINK("http://slimages.macys.com/is/image/MCY/12634195 ")</f>
        <v xml:space="preserve">http://slimages.macys.com/is/image/MCY/12634195 </v>
      </c>
    </row>
    <row r="166" spans="1:13" ht="60" x14ac:dyDescent="0.25">
      <c r="A166" s="7" t="s">
        <v>7563</v>
      </c>
      <c r="B166" s="2" t="s">
        <v>7564</v>
      </c>
      <c r="C166" s="4">
        <v>1</v>
      </c>
      <c r="D166" s="5">
        <v>6.75</v>
      </c>
      <c r="E166" s="5">
        <v>21.99</v>
      </c>
      <c r="F166" s="4" t="s">
        <v>7565</v>
      </c>
      <c r="G166" s="2" t="s">
        <v>310</v>
      </c>
      <c r="H166" s="7" t="s">
        <v>63</v>
      </c>
      <c r="I166" s="2" t="s">
        <v>342</v>
      </c>
      <c r="J166" s="2" t="s">
        <v>362</v>
      </c>
      <c r="K166" s="2" t="s">
        <v>304</v>
      </c>
      <c r="L166" s="2" t="s">
        <v>3935</v>
      </c>
      <c r="M166" s="8" t="str">
        <f>HYPERLINK("http://slimages.macys.com/is/image/MCY/12227599 ")</f>
        <v xml:space="preserve">http://slimages.macys.com/is/image/MCY/12227599 </v>
      </c>
    </row>
    <row r="167" spans="1:13" ht="60" x14ac:dyDescent="0.25">
      <c r="A167" s="7" t="s">
        <v>10513</v>
      </c>
      <c r="B167" s="2" t="s">
        <v>10514</v>
      </c>
      <c r="C167" s="4">
        <v>1</v>
      </c>
      <c r="D167" s="5">
        <v>6.75</v>
      </c>
      <c r="E167" s="5">
        <v>15.7</v>
      </c>
      <c r="F167" s="4">
        <v>18496310</v>
      </c>
      <c r="G167" s="2" t="s">
        <v>643</v>
      </c>
      <c r="H167" s="7" t="s">
        <v>442</v>
      </c>
      <c r="I167" s="2" t="s">
        <v>153</v>
      </c>
      <c r="J167" s="2" t="s">
        <v>154</v>
      </c>
      <c r="K167" s="2" t="s">
        <v>304</v>
      </c>
      <c r="L167" s="2" t="s">
        <v>206</v>
      </c>
      <c r="M167" s="8" t="str">
        <f>HYPERLINK("http://slimages.macys.com/is/image/MCY/14662117 ")</f>
        <v xml:space="preserve">http://slimages.macys.com/is/image/MCY/14662117 </v>
      </c>
    </row>
    <row r="168" spans="1:13" ht="60" x14ac:dyDescent="0.25">
      <c r="A168" s="7" t="s">
        <v>10515</v>
      </c>
      <c r="B168" s="2" t="s">
        <v>10516</v>
      </c>
      <c r="C168" s="4">
        <v>1</v>
      </c>
      <c r="D168" s="5">
        <v>6.7</v>
      </c>
      <c r="E168" s="5">
        <v>16.989999999999998</v>
      </c>
      <c r="F168" s="4">
        <v>26509410</v>
      </c>
      <c r="G168" s="2"/>
      <c r="H168" s="7" t="s">
        <v>144</v>
      </c>
      <c r="I168" s="2" t="s">
        <v>321</v>
      </c>
      <c r="J168" s="2" t="s">
        <v>4958</v>
      </c>
      <c r="K168" s="2" t="s">
        <v>304</v>
      </c>
      <c r="L168" s="2" t="s">
        <v>224</v>
      </c>
      <c r="M168" s="8" t="str">
        <f>HYPERLINK("http://slimages.macys.com/is/image/MCY/11954871 ")</f>
        <v xml:space="preserve">http://slimages.macys.com/is/image/MCY/11954871 </v>
      </c>
    </row>
    <row r="169" spans="1:13" ht="60" x14ac:dyDescent="0.25">
      <c r="A169" s="7" t="s">
        <v>4099</v>
      </c>
      <c r="B169" s="2" t="s">
        <v>4100</v>
      </c>
      <c r="C169" s="4">
        <v>1</v>
      </c>
      <c r="D169" s="5">
        <v>6.67</v>
      </c>
      <c r="E169" s="5">
        <v>13.99</v>
      </c>
      <c r="F169" s="4" t="s">
        <v>4101</v>
      </c>
      <c r="G169" s="2" t="s">
        <v>393</v>
      </c>
      <c r="H169" s="7" t="s">
        <v>284</v>
      </c>
      <c r="I169" s="2" t="s">
        <v>523</v>
      </c>
      <c r="J169" s="2" t="s">
        <v>4102</v>
      </c>
      <c r="K169" s="2"/>
      <c r="L169" s="2"/>
      <c r="M169" s="8" t="str">
        <f>HYPERLINK("http://slimages.macys.com/is/image/MCY/8647388 ")</f>
        <v xml:space="preserve">http://slimages.macys.com/is/image/MCY/8647388 </v>
      </c>
    </row>
    <row r="170" spans="1:13" ht="60" x14ac:dyDescent="0.25">
      <c r="A170" s="7" t="s">
        <v>4103</v>
      </c>
      <c r="B170" s="2" t="s">
        <v>4100</v>
      </c>
      <c r="C170" s="4">
        <v>2</v>
      </c>
      <c r="D170" s="5">
        <v>6.67</v>
      </c>
      <c r="E170" s="5">
        <v>13.99</v>
      </c>
      <c r="F170" s="4" t="s">
        <v>4101</v>
      </c>
      <c r="G170" s="2" t="s">
        <v>393</v>
      </c>
      <c r="H170" s="7" t="s">
        <v>228</v>
      </c>
      <c r="I170" s="2" t="s">
        <v>523</v>
      </c>
      <c r="J170" s="2" t="s">
        <v>4102</v>
      </c>
      <c r="K170" s="2"/>
      <c r="L170" s="2"/>
      <c r="M170" s="8" t="str">
        <f>HYPERLINK("http://slimages.macys.com/is/image/MCY/8647388 ")</f>
        <v xml:space="preserve">http://slimages.macys.com/is/image/MCY/8647388 </v>
      </c>
    </row>
    <row r="171" spans="1:13" ht="96" x14ac:dyDescent="0.25">
      <c r="A171" s="7" t="s">
        <v>10517</v>
      </c>
      <c r="B171" s="2" t="s">
        <v>10090</v>
      </c>
      <c r="C171" s="4">
        <v>1</v>
      </c>
      <c r="D171" s="5">
        <v>6.63</v>
      </c>
      <c r="E171" s="5">
        <v>17.989999999999998</v>
      </c>
      <c r="F171" s="4" t="s">
        <v>10091</v>
      </c>
      <c r="G171" s="2" t="s">
        <v>297</v>
      </c>
      <c r="H171" s="7" t="s">
        <v>442</v>
      </c>
      <c r="I171" s="2" t="s">
        <v>483</v>
      </c>
      <c r="J171" s="2" t="s">
        <v>536</v>
      </c>
      <c r="K171" s="2" t="s">
        <v>304</v>
      </c>
      <c r="L171" s="2" t="s">
        <v>10092</v>
      </c>
      <c r="M171" s="8" t="str">
        <f>HYPERLINK("http://slimages.macys.com/is/image/MCY/12637465 ")</f>
        <v xml:space="preserve">http://slimages.macys.com/is/image/MCY/12637465 </v>
      </c>
    </row>
    <row r="172" spans="1:13" ht="60" x14ac:dyDescent="0.25">
      <c r="A172" s="7" t="s">
        <v>10518</v>
      </c>
      <c r="B172" s="2" t="s">
        <v>10519</v>
      </c>
      <c r="C172" s="4">
        <v>1</v>
      </c>
      <c r="D172" s="5">
        <v>6.62</v>
      </c>
      <c r="E172" s="5">
        <v>16.989999999999998</v>
      </c>
      <c r="F172" s="4" t="s">
        <v>10520</v>
      </c>
      <c r="G172" s="2" t="s">
        <v>103</v>
      </c>
      <c r="H172" s="7" t="s">
        <v>159</v>
      </c>
      <c r="I172" s="2" t="s">
        <v>389</v>
      </c>
      <c r="J172" s="2" t="s">
        <v>354</v>
      </c>
      <c r="K172" s="2" t="s">
        <v>304</v>
      </c>
      <c r="L172" s="2" t="s">
        <v>38</v>
      </c>
      <c r="M172" s="8" t="str">
        <f>HYPERLINK("http://slimages.macys.com/is/image/MCY/12655106 ")</f>
        <v xml:space="preserve">http://slimages.macys.com/is/image/MCY/12655106 </v>
      </c>
    </row>
    <row r="173" spans="1:13" ht="60" x14ac:dyDescent="0.25">
      <c r="A173" s="7" t="s">
        <v>5442</v>
      </c>
      <c r="B173" s="2" t="s">
        <v>1006</v>
      </c>
      <c r="C173" s="4">
        <v>3</v>
      </c>
      <c r="D173" s="5">
        <v>6.52</v>
      </c>
      <c r="E173" s="5">
        <v>14.99</v>
      </c>
      <c r="F173" s="4" t="s">
        <v>1007</v>
      </c>
      <c r="G173" s="2" t="s">
        <v>28</v>
      </c>
      <c r="H173" s="7" t="s">
        <v>311</v>
      </c>
      <c r="I173" s="2" t="s">
        <v>292</v>
      </c>
      <c r="J173" s="2" t="s">
        <v>354</v>
      </c>
      <c r="K173" s="2" t="s">
        <v>304</v>
      </c>
      <c r="L173" s="2" t="s">
        <v>119</v>
      </c>
      <c r="M173" s="8" t="str">
        <f>HYPERLINK("http://slimages.macys.com/is/image/MCY/11776479 ")</f>
        <v xml:space="preserve">http://slimages.macys.com/is/image/MCY/11776479 </v>
      </c>
    </row>
    <row r="174" spans="1:13" ht="60" x14ac:dyDescent="0.25">
      <c r="A174" s="7" t="s">
        <v>6293</v>
      </c>
      <c r="B174" s="2" t="s">
        <v>1006</v>
      </c>
      <c r="C174" s="4">
        <v>2</v>
      </c>
      <c r="D174" s="5">
        <v>6.52</v>
      </c>
      <c r="E174" s="5">
        <v>14.99</v>
      </c>
      <c r="F174" s="4" t="s">
        <v>1007</v>
      </c>
      <c r="G174" s="2" t="s">
        <v>28</v>
      </c>
      <c r="H174" s="7" t="s">
        <v>618</v>
      </c>
      <c r="I174" s="2" t="s">
        <v>292</v>
      </c>
      <c r="J174" s="2" t="s">
        <v>354</v>
      </c>
      <c r="K174" s="2" t="s">
        <v>304</v>
      </c>
      <c r="L174" s="2" t="s">
        <v>119</v>
      </c>
      <c r="M174" s="8" t="str">
        <f>HYPERLINK("http://slimages.macys.com/is/image/MCY/11776479 ")</f>
        <v xml:space="preserve">http://slimages.macys.com/is/image/MCY/11776479 </v>
      </c>
    </row>
    <row r="175" spans="1:13" ht="60" x14ac:dyDescent="0.25">
      <c r="A175" s="7" t="s">
        <v>5443</v>
      </c>
      <c r="B175" s="2" t="s">
        <v>1006</v>
      </c>
      <c r="C175" s="4">
        <v>2</v>
      </c>
      <c r="D175" s="5">
        <v>6.52</v>
      </c>
      <c r="E175" s="5">
        <v>14.99</v>
      </c>
      <c r="F175" s="4" t="s">
        <v>1007</v>
      </c>
      <c r="G175" s="2" t="s">
        <v>28</v>
      </c>
      <c r="H175" s="7" t="s">
        <v>379</v>
      </c>
      <c r="I175" s="2" t="s">
        <v>292</v>
      </c>
      <c r="J175" s="2" t="s">
        <v>354</v>
      </c>
      <c r="K175" s="2" t="s">
        <v>304</v>
      </c>
      <c r="L175" s="2" t="s">
        <v>119</v>
      </c>
      <c r="M175" s="8" t="str">
        <f>HYPERLINK("http://slimages.macys.com/is/image/MCY/11776479 ")</f>
        <v xml:space="preserve">http://slimages.macys.com/is/image/MCY/11776479 </v>
      </c>
    </row>
    <row r="176" spans="1:13" ht="60" x14ac:dyDescent="0.25">
      <c r="A176" s="7" t="s">
        <v>1809</v>
      </c>
      <c r="B176" s="2" t="s">
        <v>1006</v>
      </c>
      <c r="C176" s="4">
        <v>5</v>
      </c>
      <c r="D176" s="5">
        <v>6.52</v>
      </c>
      <c r="E176" s="5">
        <v>14.99</v>
      </c>
      <c r="F176" s="4" t="s">
        <v>1007</v>
      </c>
      <c r="G176" s="2" t="s">
        <v>28</v>
      </c>
      <c r="H176" s="7" t="s">
        <v>166</v>
      </c>
      <c r="I176" s="2" t="s">
        <v>292</v>
      </c>
      <c r="J176" s="2" t="s">
        <v>354</v>
      </c>
      <c r="K176" s="2" t="s">
        <v>304</v>
      </c>
      <c r="L176" s="2" t="s">
        <v>119</v>
      </c>
      <c r="M176" s="8" t="str">
        <f>HYPERLINK("http://slimages.macys.com/is/image/MCY/11776479 ")</f>
        <v xml:space="preserve">http://slimages.macys.com/is/image/MCY/11776479 </v>
      </c>
    </row>
    <row r="177" spans="1:13" ht="60" x14ac:dyDescent="0.25">
      <c r="A177" s="7" t="s">
        <v>6294</v>
      </c>
      <c r="B177" s="2" t="s">
        <v>1006</v>
      </c>
      <c r="C177" s="4">
        <v>3</v>
      </c>
      <c r="D177" s="5">
        <v>6.52</v>
      </c>
      <c r="E177" s="5">
        <v>14.99</v>
      </c>
      <c r="F177" s="4" t="s">
        <v>1007</v>
      </c>
      <c r="G177" s="2" t="s">
        <v>28</v>
      </c>
      <c r="H177" s="7" t="s">
        <v>317</v>
      </c>
      <c r="I177" s="2" t="s">
        <v>292</v>
      </c>
      <c r="J177" s="2" t="s">
        <v>354</v>
      </c>
      <c r="K177" s="2" t="s">
        <v>304</v>
      </c>
      <c r="L177" s="2" t="s">
        <v>119</v>
      </c>
      <c r="M177" s="8" t="str">
        <f>HYPERLINK("http://slimages.macys.com/is/image/MCY/11776479 ")</f>
        <v xml:space="preserve">http://slimages.macys.com/is/image/MCY/11776479 </v>
      </c>
    </row>
    <row r="178" spans="1:13" ht="60" x14ac:dyDescent="0.25">
      <c r="A178" s="7" t="s">
        <v>10521</v>
      </c>
      <c r="B178" s="2" t="s">
        <v>9566</v>
      </c>
      <c r="C178" s="4">
        <v>1</v>
      </c>
      <c r="D178" s="5">
        <v>6.5</v>
      </c>
      <c r="E178" s="5">
        <v>15.99</v>
      </c>
      <c r="F178" s="4">
        <v>811911750</v>
      </c>
      <c r="G178" s="2" t="s">
        <v>41</v>
      </c>
      <c r="H178" s="7" t="s">
        <v>196</v>
      </c>
      <c r="I178" s="2" t="s">
        <v>73</v>
      </c>
      <c r="J178" s="2" t="s">
        <v>5955</v>
      </c>
      <c r="K178" s="2" t="s">
        <v>304</v>
      </c>
      <c r="L178" s="2" t="s">
        <v>596</v>
      </c>
      <c r="M178" s="8" t="str">
        <f>HYPERLINK("http://slimages.macys.com/is/image/MCY/12754152 ")</f>
        <v xml:space="preserve">http://slimages.macys.com/is/image/MCY/12754152 </v>
      </c>
    </row>
    <row r="179" spans="1:13" ht="60" x14ac:dyDescent="0.25">
      <c r="A179" s="7" t="s">
        <v>1818</v>
      </c>
      <c r="B179" s="2" t="s">
        <v>1815</v>
      </c>
      <c r="C179" s="4">
        <v>1</v>
      </c>
      <c r="D179" s="5">
        <v>6.43</v>
      </c>
      <c r="E179" s="5">
        <v>16.989999999999998</v>
      </c>
      <c r="F179" s="4" t="s">
        <v>1816</v>
      </c>
      <c r="G179" s="2" t="s">
        <v>262</v>
      </c>
      <c r="H179" s="7" t="s">
        <v>284</v>
      </c>
      <c r="I179" s="2" t="s">
        <v>515</v>
      </c>
      <c r="J179" s="2" t="s">
        <v>827</v>
      </c>
      <c r="K179" s="2" t="s">
        <v>304</v>
      </c>
      <c r="L179" s="2" t="s">
        <v>358</v>
      </c>
      <c r="M179" s="8" t="str">
        <f>HYPERLINK("http://slimages.macys.com/is/image/MCY/13118981 ")</f>
        <v xml:space="preserve">http://slimages.macys.com/is/image/MCY/13118981 </v>
      </c>
    </row>
    <row r="180" spans="1:13" ht="72" x14ac:dyDescent="0.25">
      <c r="A180" s="7" t="s">
        <v>10522</v>
      </c>
      <c r="B180" s="2" t="s">
        <v>4946</v>
      </c>
      <c r="C180" s="4">
        <v>1</v>
      </c>
      <c r="D180" s="5">
        <v>6.4</v>
      </c>
      <c r="E180" s="5">
        <v>16</v>
      </c>
      <c r="F180" s="4" t="s">
        <v>8288</v>
      </c>
      <c r="G180" s="2" t="s">
        <v>62</v>
      </c>
      <c r="H180" s="7"/>
      <c r="I180" s="2" t="s">
        <v>523</v>
      </c>
      <c r="J180" s="2" t="s">
        <v>937</v>
      </c>
      <c r="K180" s="2" t="s">
        <v>304</v>
      </c>
      <c r="L180" s="2" t="s">
        <v>938</v>
      </c>
      <c r="M180" s="8" t="str">
        <f>HYPERLINK("http://slimages.macys.com/is/image/MCY/9628116 ")</f>
        <v xml:space="preserve">http://slimages.macys.com/is/image/MCY/9628116 </v>
      </c>
    </row>
    <row r="181" spans="1:13" ht="60" x14ac:dyDescent="0.25">
      <c r="A181" s="7" t="s">
        <v>1008</v>
      </c>
      <c r="B181" s="2" t="s">
        <v>1009</v>
      </c>
      <c r="C181" s="4">
        <v>1</v>
      </c>
      <c r="D181" s="5">
        <v>6.4</v>
      </c>
      <c r="E181" s="5">
        <v>16</v>
      </c>
      <c r="F181" s="4" t="s">
        <v>1010</v>
      </c>
      <c r="G181" s="2" t="s">
        <v>41</v>
      </c>
      <c r="H181" s="7"/>
      <c r="I181" s="2" t="s">
        <v>523</v>
      </c>
      <c r="J181" s="2" t="s">
        <v>937</v>
      </c>
      <c r="K181" s="2" t="s">
        <v>304</v>
      </c>
      <c r="L181" s="2" t="s">
        <v>944</v>
      </c>
      <c r="M181" s="8" t="str">
        <f>HYPERLINK("http://slimages.macys.com/is/image/MCY/10426067 ")</f>
        <v xml:space="preserve">http://slimages.macys.com/is/image/MCY/10426067 </v>
      </c>
    </row>
    <row r="182" spans="1:13" ht="60" x14ac:dyDescent="0.25">
      <c r="A182" s="7" t="s">
        <v>10523</v>
      </c>
      <c r="B182" s="2" t="s">
        <v>7602</v>
      </c>
      <c r="C182" s="4">
        <v>1</v>
      </c>
      <c r="D182" s="5">
        <v>6.35</v>
      </c>
      <c r="E182" s="5">
        <v>14.77</v>
      </c>
      <c r="F182" s="4">
        <v>18208710</v>
      </c>
      <c r="G182" s="2" t="s">
        <v>36</v>
      </c>
      <c r="H182" s="7" t="s">
        <v>91</v>
      </c>
      <c r="I182" s="2" t="s">
        <v>153</v>
      </c>
      <c r="J182" s="2" t="s">
        <v>154</v>
      </c>
      <c r="K182" s="2" t="s">
        <v>304</v>
      </c>
      <c r="L182" s="2" t="s">
        <v>125</v>
      </c>
      <c r="M182" s="8" t="str">
        <f>HYPERLINK("http://slimages.macys.com/is/image/MCY/15107836 ")</f>
        <v xml:space="preserve">http://slimages.macys.com/is/image/MCY/15107836 </v>
      </c>
    </row>
    <row r="183" spans="1:13" ht="60" x14ac:dyDescent="0.25">
      <c r="A183" s="7" t="s">
        <v>10524</v>
      </c>
      <c r="B183" s="2" t="s">
        <v>1843</v>
      </c>
      <c r="C183" s="4">
        <v>1</v>
      </c>
      <c r="D183" s="5">
        <v>6.15</v>
      </c>
      <c r="E183" s="5">
        <v>13.37</v>
      </c>
      <c r="F183" s="4" t="s">
        <v>1844</v>
      </c>
      <c r="G183" s="2" t="s">
        <v>28</v>
      </c>
      <c r="H183" s="7"/>
      <c r="I183" s="2" t="s">
        <v>30</v>
      </c>
      <c r="J183" s="2" t="s">
        <v>136</v>
      </c>
      <c r="K183" s="2" t="s">
        <v>304</v>
      </c>
      <c r="L183" s="2" t="s">
        <v>119</v>
      </c>
      <c r="M183" s="8" t="str">
        <f>HYPERLINK("http://slimages.macys.com/is/image/MCY/1624347 ")</f>
        <v xml:space="preserve">http://slimages.macys.com/is/image/MCY/1624347 </v>
      </c>
    </row>
    <row r="184" spans="1:13" ht="60" x14ac:dyDescent="0.25">
      <c r="A184" s="7" t="s">
        <v>10112</v>
      </c>
      <c r="B184" s="2" t="s">
        <v>4964</v>
      </c>
      <c r="C184" s="4">
        <v>1</v>
      </c>
      <c r="D184" s="5">
        <v>6.13</v>
      </c>
      <c r="E184" s="5">
        <v>16.989999999999998</v>
      </c>
      <c r="F184" s="4" t="s">
        <v>4965</v>
      </c>
      <c r="G184" s="2" t="s">
        <v>86</v>
      </c>
      <c r="H184" s="7" t="s">
        <v>228</v>
      </c>
      <c r="I184" s="2" t="s">
        <v>389</v>
      </c>
      <c r="J184" s="2" t="s">
        <v>354</v>
      </c>
      <c r="K184" s="2" t="s">
        <v>304</v>
      </c>
      <c r="L184" s="2" t="s">
        <v>596</v>
      </c>
      <c r="M184" s="8" t="str">
        <f>HYPERLINK("http://slimages.macys.com/is/image/MCY/12645407 ")</f>
        <v xml:space="preserve">http://slimages.macys.com/is/image/MCY/12645407 </v>
      </c>
    </row>
    <row r="185" spans="1:13" ht="72" x14ac:dyDescent="0.25">
      <c r="A185" s="7" t="s">
        <v>3377</v>
      </c>
      <c r="B185" s="2" t="s">
        <v>3378</v>
      </c>
      <c r="C185" s="4">
        <v>2</v>
      </c>
      <c r="D185" s="5">
        <v>6</v>
      </c>
      <c r="E185" s="5">
        <v>11.98</v>
      </c>
      <c r="F185" s="4" t="s">
        <v>3379</v>
      </c>
      <c r="G185" s="2" t="s">
        <v>41</v>
      </c>
      <c r="H185" s="7" t="s">
        <v>482</v>
      </c>
      <c r="I185" s="2" t="s">
        <v>43</v>
      </c>
      <c r="J185" s="2" t="s">
        <v>497</v>
      </c>
      <c r="K185" s="2" t="s">
        <v>304</v>
      </c>
      <c r="L185" s="2" t="s">
        <v>3380</v>
      </c>
      <c r="M185" s="8" t="str">
        <f>HYPERLINK("http://slimages.macys.com/is/image/MCY/2946656 ")</f>
        <v xml:space="preserve">http://slimages.macys.com/is/image/MCY/2946656 </v>
      </c>
    </row>
    <row r="186" spans="1:13" ht="60" x14ac:dyDescent="0.25">
      <c r="A186" s="7" t="s">
        <v>10525</v>
      </c>
      <c r="B186" s="2" t="s">
        <v>10526</v>
      </c>
      <c r="C186" s="4">
        <v>1</v>
      </c>
      <c r="D186" s="5">
        <v>6</v>
      </c>
      <c r="E186" s="5">
        <v>15.99</v>
      </c>
      <c r="F186" s="4" t="s">
        <v>10527</v>
      </c>
      <c r="G186" s="2" t="s">
        <v>28</v>
      </c>
      <c r="H186" s="7"/>
      <c r="I186" s="2" t="s">
        <v>321</v>
      </c>
      <c r="J186" s="2" t="s">
        <v>492</v>
      </c>
      <c r="K186" s="2" t="s">
        <v>304</v>
      </c>
      <c r="L186" s="2" t="s">
        <v>493</v>
      </c>
      <c r="M186" s="8" t="str">
        <f>HYPERLINK("http://slimages.macys.com/is/image/MCY/12236518 ")</f>
        <v xml:space="preserve">http://slimages.macys.com/is/image/MCY/12236518 </v>
      </c>
    </row>
    <row r="187" spans="1:13" ht="60" x14ac:dyDescent="0.25">
      <c r="A187" s="7" t="s">
        <v>10528</v>
      </c>
      <c r="B187" s="2" t="s">
        <v>490</v>
      </c>
      <c r="C187" s="4">
        <v>1</v>
      </c>
      <c r="D187" s="5">
        <v>6</v>
      </c>
      <c r="E187" s="5">
        <v>15.99</v>
      </c>
      <c r="F187" s="4" t="s">
        <v>491</v>
      </c>
      <c r="G187" s="2" t="s">
        <v>79</v>
      </c>
      <c r="H187" s="7" t="s">
        <v>179</v>
      </c>
      <c r="I187" s="2" t="s">
        <v>321</v>
      </c>
      <c r="J187" s="2" t="s">
        <v>492</v>
      </c>
      <c r="K187" s="2" t="s">
        <v>304</v>
      </c>
      <c r="L187" s="2" t="s">
        <v>493</v>
      </c>
      <c r="M187" s="8" t="str">
        <f>HYPERLINK("http://slimages.macys.com/is/image/MCY/11539243 ")</f>
        <v xml:space="preserve">http://slimages.macys.com/is/image/MCY/11539243 </v>
      </c>
    </row>
    <row r="188" spans="1:13" ht="60" x14ac:dyDescent="0.25">
      <c r="A188" s="7" t="s">
        <v>10529</v>
      </c>
      <c r="B188" s="2" t="s">
        <v>10526</v>
      </c>
      <c r="C188" s="4">
        <v>3</v>
      </c>
      <c r="D188" s="5">
        <v>6</v>
      </c>
      <c r="E188" s="5">
        <v>15.99</v>
      </c>
      <c r="F188" s="4" t="s">
        <v>10527</v>
      </c>
      <c r="G188" s="2" t="s">
        <v>28</v>
      </c>
      <c r="H188" s="7"/>
      <c r="I188" s="2" t="s">
        <v>321</v>
      </c>
      <c r="J188" s="2" t="s">
        <v>492</v>
      </c>
      <c r="K188" s="2" t="s">
        <v>304</v>
      </c>
      <c r="L188" s="2" t="s">
        <v>493</v>
      </c>
      <c r="M188" s="8" t="str">
        <f>HYPERLINK("http://slimages.macys.com/is/image/MCY/12236518 ")</f>
        <v xml:space="preserve">http://slimages.macys.com/is/image/MCY/12236518 </v>
      </c>
    </row>
    <row r="189" spans="1:13" ht="60" x14ac:dyDescent="0.25">
      <c r="A189" s="7" t="s">
        <v>10530</v>
      </c>
      <c r="B189" s="2" t="s">
        <v>10131</v>
      </c>
      <c r="C189" s="4">
        <v>1</v>
      </c>
      <c r="D189" s="5">
        <v>6</v>
      </c>
      <c r="E189" s="5">
        <v>15.99</v>
      </c>
      <c r="F189" s="4" t="s">
        <v>10132</v>
      </c>
      <c r="G189" s="2" t="s">
        <v>698</v>
      </c>
      <c r="H189" s="7" t="s">
        <v>179</v>
      </c>
      <c r="I189" s="2" t="s">
        <v>321</v>
      </c>
      <c r="J189" s="2" t="s">
        <v>492</v>
      </c>
      <c r="K189" s="2" t="s">
        <v>304</v>
      </c>
      <c r="L189" s="2" t="s">
        <v>493</v>
      </c>
      <c r="M189" s="8" t="str">
        <f>HYPERLINK("http://slimages.macys.com/is/image/MCY/11539256 ")</f>
        <v xml:space="preserve">http://slimages.macys.com/is/image/MCY/11539256 </v>
      </c>
    </row>
    <row r="190" spans="1:13" ht="60" x14ac:dyDescent="0.25">
      <c r="A190" s="7" t="s">
        <v>10531</v>
      </c>
      <c r="B190" s="2" t="s">
        <v>10526</v>
      </c>
      <c r="C190" s="4">
        <v>3</v>
      </c>
      <c r="D190" s="5">
        <v>6</v>
      </c>
      <c r="E190" s="5">
        <v>15.99</v>
      </c>
      <c r="F190" s="4" t="s">
        <v>10527</v>
      </c>
      <c r="G190" s="2" t="s">
        <v>28</v>
      </c>
      <c r="H190" s="7" t="s">
        <v>179</v>
      </c>
      <c r="I190" s="2" t="s">
        <v>321</v>
      </c>
      <c r="J190" s="2" t="s">
        <v>492</v>
      </c>
      <c r="K190" s="2" t="s">
        <v>304</v>
      </c>
      <c r="L190" s="2" t="s">
        <v>493</v>
      </c>
      <c r="M190" s="8" t="str">
        <f>HYPERLINK("http://slimages.macys.com/is/image/MCY/12236518 ")</f>
        <v xml:space="preserve">http://slimages.macys.com/is/image/MCY/12236518 </v>
      </c>
    </row>
    <row r="191" spans="1:13" ht="60" x14ac:dyDescent="0.25">
      <c r="A191" s="7" t="s">
        <v>10532</v>
      </c>
      <c r="B191" s="2" t="s">
        <v>10526</v>
      </c>
      <c r="C191" s="4">
        <v>2</v>
      </c>
      <c r="D191" s="5">
        <v>6</v>
      </c>
      <c r="E191" s="5">
        <v>15.99</v>
      </c>
      <c r="F191" s="4" t="s">
        <v>10527</v>
      </c>
      <c r="G191" s="2" t="s">
        <v>28</v>
      </c>
      <c r="H191" s="7"/>
      <c r="I191" s="2" t="s">
        <v>321</v>
      </c>
      <c r="J191" s="2" t="s">
        <v>492</v>
      </c>
      <c r="K191" s="2" t="s">
        <v>304</v>
      </c>
      <c r="L191" s="2" t="s">
        <v>493</v>
      </c>
      <c r="M191" s="8" t="str">
        <f>HYPERLINK("http://slimages.macys.com/is/image/MCY/12236518 ")</f>
        <v xml:space="preserve">http://slimages.macys.com/is/image/MCY/12236518 </v>
      </c>
    </row>
    <row r="192" spans="1:13" ht="60" x14ac:dyDescent="0.25">
      <c r="A192" s="7" t="s">
        <v>10533</v>
      </c>
      <c r="B192" s="2" t="s">
        <v>499</v>
      </c>
      <c r="C192" s="4">
        <v>1</v>
      </c>
      <c r="D192" s="5">
        <v>6</v>
      </c>
      <c r="E192" s="5">
        <v>15.99</v>
      </c>
      <c r="F192" s="4" t="s">
        <v>500</v>
      </c>
      <c r="G192" s="2" t="s">
        <v>79</v>
      </c>
      <c r="H192" s="7"/>
      <c r="I192" s="2" t="s">
        <v>321</v>
      </c>
      <c r="J192" s="2" t="s">
        <v>492</v>
      </c>
      <c r="K192" s="2" t="s">
        <v>304</v>
      </c>
      <c r="L192" s="2" t="s">
        <v>125</v>
      </c>
      <c r="M192" s="8" t="str">
        <f>HYPERLINK("http://slimages.macys.com/is/image/MCY/10924193 ")</f>
        <v xml:space="preserve">http://slimages.macys.com/is/image/MCY/10924193 </v>
      </c>
    </row>
    <row r="193" spans="1:13" ht="60" x14ac:dyDescent="0.25">
      <c r="A193" s="7" t="s">
        <v>10534</v>
      </c>
      <c r="B193" s="2" t="s">
        <v>499</v>
      </c>
      <c r="C193" s="4">
        <v>1</v>
      </c>
      <c r="D193" s="5">
        <v>6</v>
      </c>
      <c r="E193" s="5">
        <v>15.99</v>
      </c>
      <c r="F193" s="4" t="s">
        <v>500</v>
      </c>
      <c r="G193" s="2" t="s">
        <v>79</v>
      </c>
      <c r="H193" s="7" t="s">
        <v>179</v>
      </c>
      <c r="I193" s="2" t="s">
        <v>321</v>
      </c>
      <c r="J193" s="2" t="s">
        <v>492</v>
      </c>
      <c r="K193" s="2" t="s">
        <v>304</v>
      </c>
      <c r="L193" s="2" t="s">
        <v>125</v>
      </c>
      <c r="M193" s="8" t="str">
        <f>HYPERLINK("http://slimages.macys.com/is/image/MCY/10924193 ")</f>
        <v xml:space="preserve">http://slimages.macys.com/is/image/MCY/10924193 </v>
      </c>
    </row>
    <row r="194" spans="1:13" ht="60" x14ac:dyDescent="0.25">
      <c r="A194" s="7" t="s">
        <v>10535</v>
      </c>
      <c r="B194" s="2" t="s">
        <v>2621</v>
      </c>
      <c r="C194" s="4">
        <v>1</v>
      </c>
      <c r="D194" s="5">
        <v>6</v>
      </c>
      <c r="E194" s="5">
        <v>11.98</v>
      </c>
      <c r="F194" s="4" t="s">
        <v>2622</v>
      </c>
      <c r="G194" s="2" t="s">
        <v>36</v>
      </c>
      <c r="H194" s="7" t="s">
        <v>482</v>
      </c>
      <c r="I194" s="2" t="s">
        <v>43</v>
      </c>
      <c r="J194" s="2" t="s">
        <v>497</v>
      </c>
      <c r="K194" s="2" t="s">
        <v>304</v>
      </c>
      <c r="L194" s="2" t="s">
        <v>87</v>
      </c>
      <c r="M194" s="8" t="str">
        <f>HYPERLINK("http://slimages.macys.com/is/image/MCY/2666354 ")</f>
        <v xml:space="preserve">http://slimages.macys.com/is/image/MCY/2666354 </v>
      </c>
    </row>
    <row r="195" spans="1:13" ht="60" x14ac:dyDescent="0.25">
      <c r="A195" s="7" t="s">
        <v>1858</v>
      </c>
      <c r="B195" s="2" t="s">
        <v>1859</v>
      </c>
      <c r="C195" s="4">
        <v>4</v>
      </c>
      <c r="D195" s="5">
        <v>6</v>
      </c>
      <c r="E195" s="5">
        <v>15.99</v>
      </c>
      <c r="F195" s="4" t="s">
        <v>1860</v>
      </c>
      <c r="G195" s="2" t="s">
        <v>657</v>
      </c>
      <c r="H195" s="7"/>
      <c r="I195" s="2" t="s">
        <v>321</v>
      </c>
      <c r="J195" s="2" t="s">
        <v>492</v>
      </c>
      <c r="K195" s="2" t="s">
        <v>304</v>
      </c>
      <c r="L195" s="2" t="s">
        <v>125</v>
      </c>
      <c r="M195" s="8" t="str">
        <f>HYPERLINK("http://slimages.macys.com/is/image/MCY/10924234 ")</f>
        <v xml:space="preserve">http://slimages.macys.com/is/image/MCY/10924234 </v>
      </c>
    </row>
    <row r="196" spans="1:13" ht="60" x14ac:dyDescent="0.25">
      <c r="A196" s="7" t="s">
        <v>10536</v>
      </c>
      <c r="B196" s="2" t="s">
        <v>8969</v>
      </c>
      <c r="C196" s="4">
        <v>1</v>
      </c>
      <c r="D196" s="5">
        <v>6</v>
      </c>
      <c r="E196" s="5">
        <v>14.99</v>
      </c>
      <c r="F196" s="4" t="s">
        <v>8970</v>
      </c>
      <c r="G196" s="2" t="s">
        <v>165</v>
      </c>
      <c r="H196" s="7" t="s">
        <v>123</v>
      </c>
      <c r="I196" s="2" t="s">
        <v>80</v>
      </c>
      <c r="J196" s="2" t="s">
        <v>167</v>
      </c>
      <c r="K196" s="2" t="s">
        <v>304</v>
      </c>
      <c r="L196" s="2" t="s">
        <v>125</v>
      </c>
      <c r="M196" s="8" t="str">
        <f>HYPERLINK("http://slimages.macys.com/is/image/MCY/13117045 ")</f>
        <v xml:space="preserve">http://slimages.macys.com/is/image/MCY/13117045 </v>
      </c>
    </row>
    <row r="197" spans="1:13" ht="60" x14ac:dyDescent="0.25">
      <c r="A197" s="7" t="s">
        <v>4126</v>
      </c>
      <c r="B197" s="2" t="s">
        <v>1045</v>
      </c>
      <c r="C197" s="4">
        <v>1</v>
      </c>
      <c r="D197" s="5">
        <v>5.87</v>
      </c>
      <c r="E197" s="5">
        <v>16</v>
      </c>
      <c r="F197" s="4" t="s">
        <v>1046</v>
      </c>
      <c r="G197" s="2" t="s">
        <v>1047</v>
      </c>
      <c r="H197" s="7" t="s">
        <v>72</v>
      </c>
      <c r="I197" s="2" t="s">
        <v>523</v>
      </c>
      <c r="J197" s="2" t="s">
        <v>1042</v>
      </c>
      <c r="K197" s="2" t="s">
        <v>304</v>
      </c>
      <c r="L197" s="2" t="s">
        <v>1043</v>
      </c>
      <c r="M197" s="8" t="str">
        <f>HYPERLINK("http://slimages.macys.com/is/image/MCY/11647571 ")</f>
        <v xml:space="preserve">http://slimages.macys.com/is/image/MCY/11647571 </v>
      </c>
    </row>
    <row r="198" spans="1:13" ht="60" x14ac:dyDescent="0.25">
      <c r="A198" s="7" t="s">
        <v>1038</v>
      </c>
      <c r="B198" s="2" t="s">
        <v>1039</v>
      </c>
      <c r="C198" s="4">
        <v>6</v>
      </c>
      <c r="D198" s="5">
        <v>5.87</v>
      </c>
      <c r="E198" s="5">
        <v>16</v>
      </c>
      <c r="F198" s="4" t="s">
        <v>1040</v>
      </c>
      <c r="G198" s="2" t="s">
        <v>1041</v>
      </c>
      <c r="H198" s="7" t="s">
        <v>72</v>
      </c>
      <c r="I198" s="2" t="s">
        <v>523</v>
      </c>
      <c r="J198" s="2" t="s">
        <v>1042</v>
      </c>
      <c r="K198" s="2" t="s">
        <v>304</v>
      </c>
      <c r="L198" s="2" t="s">
        <v>1043</v>
      </c>
      <c r="M198" s="8" t="str">
        <f>HYPERLINK("http://slimages.macys.com/is/image/MCY/11647558 ")</f>
        <v xml:space="preserve">http://slimages.macys.com/is/image/MCY/11647558 </v>
      </c>
    </row>
    <row r="199" spans="1:13" ht="60" x14ac:dyDescent="0.25">
      <c r="A199" s="7" t="s">
        <v>1048</v>
      </c>
      <c r="B199" s="2" t="s">
        <v>1039</v>
      </c>
      <c r="C199" s="4">
        <v>9</v>
      </c>
      <c r="D199" s="5">
        <v>5.87</v>
      </c>
      <c r="E199" s="5">
        <v>16</v>
      </c>
      <c r="F199" s="4" t="s">
        <v>1040</v>
      </c>
      <c r="G199" s="2" t="s">
        <v>1041</v>
      </c>
      <c r="H199" s="7" t="s">
        <v>789</v>
      </c>
      <c r="I199" s="2" t="s">
        <v>523</v>
      </c>
      <c r="J199" s="2" t="s">
        <v>1042</v>
      </c>
      <c r="K199" s="2" t="s">
        <v>304</v>
      </c>
      <c r="L199" s="2" t="s">
        <v>1043</v>
      </c>
      <c r="M199" s="8" t="str">
        <f>HYPERLINK("http://slimages.macys.com/is/image/MCY/11647558 ")</f>
        <v xml:space="preserve">http://slimages.macys.com/is/image/MCY/11647558 </v>
      </c>
    </row>
    <row r="200" spans="1:13" ht="60" x14ac:dyDescent="0.25">
      <c r="A200" s="7" t="s">
        <v>10537</v>
      </c>
      <c r="B200" s="2" t="s">
        <v>1880</v>
      </c>
      <c r="C200" s="4">
        <v>1</v>
      </c>
      <c r="D200" s="5">
        <v>5.8</v>
      </c>
      <c r="E200" s="5">
        <v>13.19</v>
      </c>
      <c r="F200" s="4">
        <v>17894010</v>
      </c>
      <c r="G200" s="2"/>
      <c r="H200" s="7" t="s">
        <v>42</v>
      </c>
      <c r="I200" s="2" t="s">
        <v>153</v>
      </c>
      <c r="J200" s="2" t="s">
        <v>154</v>
      </c>
      <c r="K200" s="2" t="s">
        <v>304</v>
      </c>
      <c r="L200" s="2" t="s">
        <v>38</v>
      </c>
      <c r="M200" s="8" t="str">
        <f>HYPERLINK("http://slimages.macys.com/is/image/MCY/13729099 ")</f>
        <v xml:space="preserve">http://slimages.macys.com/is/image/MCY/13729099 </v>
      </c>
    </row>
    <row r="201" spans="1:13" ht="60" x14ac:dyDescent="0.25">
      <c r="A201" s="7" t="s">
        <v>3392</v>
      </c>
      <c r="B201" s="2" t="s">
        <v>3393</v>
      </c>
      <c r="C201" s="4">
        <v>1</v>
      </c>
      <c r="D201" s="5">
        <v>5.8</v>
      </c>
      <c r="E201" s="5">
        <v>13.19</v>
      </c>
      <c r="F201" s="4">
        <v>17892010</v>
      </c>
      <c r="G201" s="2"/>
      <c r="H201" s="7" t="s">
        <v>233</v>
      </c>
      <c r="I201" s="2" t="s">
        <v>153</v>
      </c>
      <c r="J201" s="2" t="s">
        <v>154</v>
      </c>
      <c r="K201" s="2" t="s">
        <v>304</v>
      </c>
      <c r="L201" s="2" t="s">
        <v>38</v>
      </c>
      <c r="M201" s="8" t="str">
        <f>HYPERLINK("http://slimages.macys.com/is/image/MCY/13341121 ")</f>
        <v xml:space="preserve">http://slimages.macys.com/is/image/MCY/13341121 </v>
      </c>
    </row>
    <row r="202" spans="1:13" ht="60" x14ac:dyDescent="0.25">
      <c r="A202" s="7" t="s">
        <v>10538</v>
      </c>
      <c r="B202" s="2" t="s">
        <v>1880</v>
      </c>
      <c r="C202" s="4">
        <v>1</v>
      </c>
      <c r="D202" s="5">
        <v>5.8</v>
      </c>
      <c r="E202" s="5">
        <v>13.19</v>
      </c>
      <c r="F202" s="4">
        <v>17894010</v>
      </c>
      <c r="G202" s="2"/>
      <c r="H202" s="7" t="s">
        <v>442</v>
      </c>
      <c r="I202" s="2" t="s">
        <v>153</v>
      </c>
      <c r="J202" s="2" t="s">
        <v>154</v>
      </c>
      <c r="K202" s="2" t="s">
        <v>304</v>
      </c>
      <c r="L202" s="2" t="s">
        <v>38</v>
      </c>
      <c r="M202" s="8" t="str">
        <f>HYPERLINK("http://slimages.macys.com/is/image/MCY/13729099 ")</f>
        <v xml:space="preserve">http://slimages.macys.com/is/image/MCY/13729099 </v>
      </c>
    </row>
    <row r="203" spans="1:13" ht="60" x14ac:dyDescent="0.25">
      <c r="A203" s="7" t="s">
        <v>4135</v>
      </c>
      <c r="B203" s="2" t="s">
        <v>1877</v>
      </c>
      <c r="C203" s="4">
        <v>1</v>
      </c>
      <c r="D203" s="5">
        <v>5.8</v>
      </c>
      <c r="E203" s="5">
        <v>13.19</v>
      </c>
      <c r="F203" s="4">
        <v>18634010</v>
      </c>
      <c r="G203" s="2" t="s">
        <v>28</v>
      </c>
      <c r="H203" s="7" t="s">
        <v>438</v>
      </c>
      <c r="I203" s="2" t="s">
        <v>153</v>
      </c>
      <c r="J203" s="2" t="s">
        <v>154</v>
      </c>
      <c r="K203" s="2" t="s">
        <v>304</v>
      </c>
      <c r="L203" s="2" t="s">
        <v>38</v>
      </c>
      <c r="M203" s="8" t="str">
        <f>HYPERLINK("http://slimages.macys.com/is/image/MCY/13941917 ")</f>
        <v xml:space="preserve">http://slimages.macys.com/is/image/MCY/13941917 </v>
      </c>
    </row>
    <row r="204" spans="1:13" ht="60" x14ac:dyDescent="0.25">
      <c r="A204" s="7" t="s">
        <v>10539</v>
      </c>
      <c r="B204" s="2" t="s">
        <v>1877</v>
      </c>
      <c r="C204" s="4">
        <v>1</v>
      </c>
      <c r="D204" s="5">
        <v>5.8</v>
      </c>
      <c r="E204" s="5">
        <v>13.19</v>
      </c>
      <c r="F204" s="4">
        <v>18633810</v>
      </c>
      <c r="G204" s="2" t="s">
        <v>752</v>
      </c>
      <c r="H204" s="7" t="s">
        <v>42</v>
      </c>
      <c r="I204" s="2" t="s">
        <v>153</v>
      </c>
      <c r="J204" s="2" t="s">
        <v>154</v>
      </c>
      <c r="K204" s="2" t="s">
        <v>304</v>
      </c>
      <c r="L204" s="2" t="s">
        <v>38</v>
      </c>
      <c r="M204" s="8" t="str">
        <f>HYPERLINK("http://slimages.macys.com/is/image/MCY/13941918 ")</f>
        <v xml:space="preserve">http://slimages.macys.com/is/image/MCY/13941918 </v>
      </c>
    </row>
    <row r="205" spans="1:13" ht="60" x14ac:dyDescent="0.25">
      <c r="A205" s="7" t="s">
        <v>6932</v>
      </c>
      <c r="B205" s="2" t="s">
        <v>1888</v>
      </c>
      <c r="C205" s="4">
        <v>2</v>
      </c>
      <c r="D205" s="5">
        <v>5.75</v>
      </c>
      <c r="E205" s="5">
        <v>14.99</v>
      </c>
      <c r="F205" s="4" t="s">
        <v>6933</v>
      </c>
      <c r="G205" s="2" t="s">
        <v>892</v>
      </c>
      <c r="H205" s="7"/>
      <c r="I205" s="2" t="s">
        <v>30</v>
      </c>
      <c r="J205" s="2" t="s">
        <v>1890</v>
      </c>
      <c r="K205" s="2" t="s">
        <v>304</v>
      </c>
      <c r="L205" s="2" t="s">
        <v>416</v>
      </c>
      <c r="M205" s="8" t="str">
        <f>HYPERLINK("http://slimages.macys.com/is/image/MCY/12224310 ")</f>
        <v xml:space="preserve">http://slimages.macys.com/is/image/MCY/12224310 </v>
      </c>
    </row>
    <row r="206" spans="1:13" ht="60" x14ac:dyDescent="0.25">
      <c r="A206" s="7" t="s">
        <v>10540</v>
      </c>
      <c r="B206" s="2" t="s">
        <v>4143</v>
      </c>
      <c r="C206" s="4">
        <v>1</v>
      </c>
      <c r="D206" s="5">
        <v>5.75</v>
      </c>
      <c r="E206" s="5">
        <v>11.98</v>
      </c>
      <c r="F206" s="4" t="s">
        <v>4144</v>
      </c>
      <c r="G206" s="2" t="s">
        <v>262</v>
      </c>
      <c r="H206" s="7" t="s">
        <v>6225</v>
      </c>
      <c r="I206" s="2" t="s">
        <v>523</v>
      </c>
      <c r="J206" s="2" t="s">
        <v>3930</v>
      </c>
      <c r="K206" s="2" t="s">
        <v>304</v>
      </c>
      <c r="L206" s="2" t="s">
        <v>206</v>
      </c>
      <c r="M206" s="8" t="str">
        <f>HYPERLINK("http://slimages.macys.com/is/image/MCY/11667346 ")</f>
        <v xml:space="preserve">http://slimages.macys.com/is/image/MCY/11667346 </v>
      </c>
    </row>
    <row r="207" spans="1:13" ht="60" x14ac:dyDescent="0.25">
      <c r="A207" s="7" t="s">
        <v>1887</v>
      </c>
      <c r="B207" s="2" t="s">
        <v>1888</v>
      </c>
      <c r="C207" s="4">
        <v>1</v>
      </c>
      <c r="D207" s="5">
        <v>5.75</v>
      </c>
      <c r="E207" s="5">
        <v>14.99</v>
      </c>
      <c r="F207" s="4" t="s">
        <v>1889</v>
      </c>
      <c r="G207" s="2" t="s">
        <v>892</v>
      </c>
      <c r="H207" s="7"/>
      <c r="I207" s="2" t="s">
        <v>30</v>
      </c>
      <c r="J207" s="2" t="s">
        <v>1890</v>
      </c>
      <c r="K207" s="2" t="s">
        <v>304</v>
      </c>
      <c r="L207" s="2" t="s">
        <v>416</v>
      </c>
      <c r="M207" s="8" t="str">
        <f>HYPERLINK("http://slimages.macys.com/is/image/MCY/12224320 ")</f>
        <v xml:space="preserve">http://slimages.macys.com/is/image/MCY/12224320 </v>
      </c>
    </row>
    <row r="208" spans="1:13" ht="60" x14ac:dyDescent="0.25">
      <c r="A208" s="7" t="s">
        <v>10541</v>
      </c>
      <c r="B208" s="2" t="s">
        <v>6939</v>
      </c>
      <c r="C208" s="4">
        <v>1</v>
      </c>
      <c r="D208" s="5">
        <v>5.75</v>
      </c>
      <c r="E208" s="5">
        <v>14.99</v>
      </c>
      <c r="F208" s="4" t="s">
        <v>10542</v>
      </c>
      <c r="G208" s="2" t="s">
        <v>36</v>
      </c>
      <c r="H208" s="7"/>
      <c r="I208" s="2" t="s">
        <v>30</v>
      </c>
      <c r="J208" s="2" t="s">
        <v>1890</v>
      </c>
      <c r="K208" s="2" t="s">
        <v>304</v>
      </c>
      <c r="L208" s="2" t="s">
        <v>416</v>
      </c>
      <c r="M208" s="8" t="str">
        <f>HYPERLINK("http://slimages.macys.com/is/image/MCY/12224309 ")</f>
        <v xml:space="preserve">http://slimages.macys.com/is/image/MCY/12224309 </v>
      </c>
    </row>
    <row r="209" spans="1:13" ht="60" x14ac:dyDescent="0.25">
      <c r="A209" s="7" t="s">
        <v>6938</v>
      </c>
      <c r="B209" s="2" t="s">
        <v>6939</v>
      </c>
      <c r="C209" s="4">
        <v>1</v>
      </c>
      <c r="D209" s="5">
        <v>5.75</v>
      </c>
      <c r="E209" s="5">
        <v>14.99</v>
      </c>
      <c r="F209" s="4" t="s">
        <v>6940</v>
      </c>
      <c r="G209" s="2" t="s">
        <v>36</v>
      </c>
      <c r="H209" s="7"/>
      <c r="I209" s="2" t="s">
        <v>30</v>
      </c>
      <c r="J209" s="2" t="s">
        <v>1890</v>
      </c>
      <c r="K209" s="2" t="s">
        <v>304</v>
      </c>
      <c r="L209" s="2" t="s">
        <v>416</v>
      </c>
      <c r="M209" s="8" t="str">
        <f>HYPERLINK("http://slimages.macys.com/is/image/MCY/12224280 ")</f>
        <v xml:space="preserve">http://slimages.macys.com/is/image/MCY/12224280 </v>
      </c>
    </row>
    <row r="210" spans="1:13" ht="60" x14ac:dyDescent="0.25">
      <c r="A210" s="7" t="s">
        <v>1891</v>
      </c>
      <c r="B210" s="2" t="s">
        <v>1888</v>
      </c>
      <c r="C210" s="4">
        <v>1</v>
      </c>
      <c r="D210" s="5">
        <v>5.75</v>
      </c>
      <c r="E210" s="5">
        <v>14.99</v>
      </c>
      <c r="F210" s="4" t="s">
        <v>1889</v>
      </c>
      <c r="G210" s="2" t="s">
        <v>36</v>
      </c>
      <c r="H210" s="7"/>
      <c r="I210" s="2" t="s">
        <v>30</v>
      </c>
      <c r="J210" s="2" t="s">
        <v>1890</v>
      </c>
      <c r="K210" s="2" t="s">
        <v>304</v>
      </c>
      <c r="L210" s="2" t="s">
        <v>416</v>
      </c>
      <c r="M210" s="8" t="str">
        <f>HYPERLINK("http://slimages.macys.com/is/image/MCY/12224320 ")</f>
        <v xml:space="preserve">http://slimages.macys.com/is/image/MCY/12224320 </v>
      </c>
    </row>
    <row r="211" spans="1:13" ht="60" x14ac:dyDescent="0.25">
      <c r="A211" s="7" t="s">
        <v>10543</v>
      </c>
      <c r="B211" s="2" t="s">
        <v>1899</v>
      </c>
      <c r="C211" s="4">
        <v>1</v>
      </c>
      <c r="D211" s="5">
        <v>5.68</v>
      </c>
      <c r="E211" s="5">
        <v>16.989999999999998</v>
      </c>
      <c r="F211" s="4" t="s">
        <v>1900</v>
      </c>
      <c r="G211" s="2" t="s">
        <v>165</v>
      </c>
      <c r="H211" s="7" t="s">
        <v>196</v>
      </c>
      <c r="I211" s="2" t="s">
        <v>515</v>
      </c>
      <c r="J211" s="2" t="s">
        <v>827</v>
      </c>
      <c r="K211" s="2" t="s">
        <v>304</v>
      </c>
      <c r="L211" s="2" t="s">
        <v>358</v>
      </c>
      <c r="M211" s="8" t="str">
        <f>HYPERLINK("http://slimages.macys.com/is/image/MCY/3487948 ")</f>
        <v xml:space="preserve">http://slimages.macys.com/is/image/MCY/3487948 </v>
      </c>
    </row>
    <row r="212" spans="1:13" ht="60" x14ac:dyDescent="0.25">
      <c r="A212" s="7" t="s">
        <v>5962</v>
      </c>
      <c r="B212" s="2" t="s">
        <v>1899</v>
      </c>
      <c r="C212" s="4">
        <v>1</v>
      </c>
      <c r="D212" s="5">
        <v>5.68</v>
      </c>
      <c r="E212" s="5">
        <v>16.989999999999998</v>
      </c>
      <c r="F212" s="4" t="s">
        <v>1900</v>
      </c>
      <c r="G212" s="2" t="s">
        <v>165</v>
      </c>
      <c r="H212" s="7" t="s">
        <v>228</v>
      </c>
      <c r="I212" s="2" t="s">
        <v>515</v>
      </c>
      <c r="J212" s="2" t="s">
        <v>827</v>
      </c>
      <c r="K212" s="2" t="s">
        <v>304</v>
      </c>
      <c r="L212" s="2" t="s">
        <v>358</v>
      </c>
      <c r="M212" s="8" t="str">
        <f>HYPERLINK("http://slimages.macys.com/is/image/MCY/3487948 ")</f>
        <v xml:space="preserve">http://slimages.macys.com/is/image/MCY/3487948 </v>
      </c>
    </row>
    <row r="213" spans="1:13" ht="60" x14ac:dyDescent="0.25">
      <c r="A213" s="7" t="s">
        <v>1898</v>
      </c>
      <c r="B213" s="2" t="s">
        <v>1899</v>
      </c>
      <c r="C213" s="4">
        <v>1</v>
      </c>
      <c r="D213" s="5">
        <v>5.68</v>
      </c>
      <c r="E213" s="5">
        <v>16.989999999999998</v>
      </c>
      <c r="F213" s="4" t="s">
        <v>1900</v>
      </c>
      <c r="G213" s="2" t="s">
        <v>165</v>
      </c>
      <c r="H213" s="7" t="s">
        <v>159</v>
      </c>
      <c r="I213" s="2" t="s">
        <v>515</v>
      </c>
      <c r="J213" s="2" t="s">
        <v>827</v>
      </c>
      <c r="K213" s="2" t="s">
        <v>304</v>
      </c>
      <c r="L213" s="2" t="s">
        <v>358</v>
      </c>
      <c r="M213" s="8" t="str">
        <f>HYPERLINK("http://slimages.macys.com/is/image/MCY/3487948 ")</f>
        <v xml:space="preserve">http://slimages.macys.com/is/image/MCY/3487948 </v>
      </c>
    </row>
    <row r="214" spans="1:13" ht="60" x14ac:dyDescent="0.25">
      <c r="A214" s="7" t="s">
        <v>9020</v>
      </c>
      <c r="B214" s="2" t="s">
        <v>3370</v>
      </c>
      <c r="C214" s="4">
        <v>1</v>
      </c>
      <c r="D214" s="5">
        <v>5.64</v>
      </c>
      <c r="E214" s="5">
        <v>12.99</v>
      </c>
      <c r="F214" s="4" t="s">
        <v>5964</v>
      </c>
      <c r="G214" s="2" t="s">
        <v>62</v>
      </c>
      <c r="H214" s="7" t="s">
        <v>209</v>
      </c>
      <c r="I214" s="2" t="s">
        <v>218</v>
      </c>
      <c r="J214" s="2" t="s">
        <v>2008</v>
      </c>
      <c r="K214" s="2" t="s">
        <v>304</v>
      </c>
      <c r="L214" s="2" t="s">
        <v>125</v>
      </c>
      <c r="M214" s="8" t="str">
        <f>HYPERLINK("http://slimages.macys.com/is/image/MCY/12742409 ")</f>
        <v xml:space="preserve">http://slimages.macys.com/is/image/MCY/12742409 </v>
      </c>
    </row>
    <row r="215" spans="1:13" ht="60" x14ac:dyDescent="0.25">
      <c r="A215" s="7" t="s">
        <v>8308</v>
      </c>
      <c r="B215" s="2" t="s">
        <v>1069</v>
      </c>
      <c r="C215" s="4">
        <v>1</v>
      </c>
      <c r="D215" s="5">
        <v>5.6</v>
      </c>
      <c r="E215" s="5">
        <v>14</v>
      </c>
      <c r="F215" s="4" t="s">
        <v>8309</v>
      </c>
      <c r="G215" s="2" t="s">
        <v>165</v>
      </c>
      <c r="H215" s="7"/>
      <c r="I215" s="2" t="s">
        <v>523</v>
      </c>
      <c r="J215" s="2" t="s">
        <v>937</v>
      </c>
      <c r="K215" s="2" t="s">
        <v>304</v>
      </c>
      <c r="L215" s="2" t="s">
        <v>224</v>
      </c>
      <c r="M215" s="8" t="str">
        <f>HYPERLINK("http://slimages.macys.com/is/image/MCY/11954954 ")</f>
        <v xml:space="preserve">http://slimages.macys.com/is/image/MCY/11954954 </v>
      </c>
    </row>
    <row r="216" spans="1:13" ht="60" x14ac:dyDescent="0.25">
      <c r="A216" s="7" t="s">
        <v>10544</v>
      </c>
      <c r="B216" s="2" t="s">
        <v>6952</v>
      </c>
      <c r="C216" s="4">
        <v>1</v>
      </c>
      <c r="D216" s="5">
        <v>5.54</v>
      </c>
      <c r="E216" s="5">
        <v>16.989999999999998</v>
      </c>
      <c r="F216" s="4" t="s">
        <v>6953</v>
      </c>
      <c r="G216" s="2" t="s">
        <v>28</v>
      </c>
      <c r="H216" s="7" t="s">
        <v>228</v>
      </c>
      <c r="I216" s="2" t="s">
        <v>515</v>
      </c>
      <c r="J216" s="2" t="s">
        <v>827</v>
      </c>
      <c r="K216" s="2" t="s">
        <v>304</v>
      </c>
      <c r="L216" s="2" t="s">
        <v>358</v>
      </c>
      <c r="M216" s="8" t="str">
        <f>HYPERLINK("http://slimages.macys.com/is/image/MCY/3336452 ")</f>
        <v xml:space="preserve">http://slimages.macys.com/is/image/MCY/3336452 </v>
      </c>
    </row>
    <row r="217" spans="1:13" ht="60" x14ac:dyDescent="0.25">
      <c r="A217" s="7" t="s">
        <v>10545</v>
      </c>
      <c r="B217" s="2" t="s">
        <v>6952</v>
      </c>
      <c r="C217" s="4">
        <v>2</v>
      </c>
      <c r="D217" s="5">
        <v>5.54</v>
      </c>
      <c r="E217" s="5">
        <v>16.989999999999998</v>
      </c>
      <c r="F217" s="4" t="s">
        <v>6953</v>
      </c>
      <c r="G217" s="2" t="s">
        <v>28</v>
      </c>
      <c r="H217" s="7" t="s">
        <v>284</v>
      </c>
      <c r="I217" s="2" t="s">
        <v>515</v>
      </c>
      <c r="J217" s="2" t="s">
        <v>827</v>
      </c>
      <c r="K217" s="2" t="s">
        <v>304</v>
      </c>
      <c r="L217" s="2" t="s">
        <v>358</v>
      </c>
      <c r="M217" s="8" t="str">
        <f>HYPERLINK("http://slimages.macys.com/is/image/MCY/3336452 ")</f>
        <v xml:space="preserve">http://slimages.macys.com/is/image/MCY/3336452 </v>
      </c>
    </row>
    <row r="218" spans="1:13" ht="60" x14ac:dyDescent="0.25">
      <c r="A218" s="7" t="s">
        <v>10546</v>
      </c>
      <c r="B218" s="2" t="s">
        <v>6952</v>
      </c>
      <c r="C218" s="4">
        <v>2</v>
      </c>
      <c r="D218" s="5">
        <v>5.54</v>
      </c>
      <c r="E218" s="5">
        <v>16.989999999999998</v>
      </c>
      <c r="F218" s="4" t="s">
        <v>6953</v>
      </c>
      <c r="G218" s="2" t="s">
        <v>28</v>
      </c>
      <c r="H218" s="7" t="s">
        <v>196</v>
      </c>
      <c r="I218" s="2" t="s">
        <v>515</v>
      </c>
      <c r="J218" s="2" t="s">
        <v>827</v>
      </c>
      <c r="K218" s="2" t="s">
        <v>304</v>
      </c>
      <c r="L218" s="2" t="s">
        <v>358</v>
      </c>
      <c r="M218" s="8" t="str">
        <f>HYPERLINK("http://slimages.macys.com/is/image/MCY/3336452 ")</f>
        <v xml:space="preserve">http://slimages.macys.com/is/image/MCY/3336452 </v>
      </c>
    </row>
    <row r="219" spans="1:13" ht="60" x14ac:dyDescent="0.25">
      <c r="A219" s="7" t="s">
        <v>6332</v>
      </c>
      <c r="B219" s="2" t="s">
        <v>521</v>
      </c>
      <c r="C219" s="4">
        <v>3</v>
      </c>
      <c r="D219" s="5">
        <v>5.5</v>
      </c>
      <c r="E219" s="5">
        <v>14</v>
      </c>
      <c r="F219" s="4" t="s">
        <v>522</v>
      </c>
      <c r="G219" s="2" t="s">
        <v>62</v>
      </c>
      <c r="H219" s="7"/>
      <c r="I219" s="2" t="s">
        <v>523</v>
      </c>
      <c r="J219" s="2" t="s">
        <v>524</v>
      </c>
      <c r="K219" s="2" t="s">
        <v>304</v>
      </c>
      <c r="L219" s="2" t="s">
        <v>224</v>
      </c>
      <c r="M219" s="8" t="str">
        <f>HYPERLINK("http://slimages.macys.com/is/image/MCY/11797079 ")</f>
        <v xml:space="preserve">http://slimages.macys.com/is/image/MCY/11797079 </v>
      </c>
    </row>
    <row r="220" spans="1:13" ht="60" x14ac:dyDescent="0.25">
      <c r="A220" s="7" t="s">
        <v>5496</v>
      </c>
      <c r="B220" s="2" t="s">
        <v>1915</v>
      </c>
      <c r="C220" s="4">
        <v>2</v>
      </c>
      <c r="D220" s="5">
        <v>5.5</v>
      </c>
      <c r="E220" s="5">
        <v>10.99</v>
      </c>
      <c r="F220" s="4" t="s">
        <v>1916</v>
      </c>
      <c r="G220" s="2" t="s">
        <v>36</v>
      </c>
      <c r="H220" s="7" t="s">
        <v>228</v>
      </c>
      <c r="I220" s="2" t="s">
        <v>73</v>
      </c>
      <c r="J220" s="2" t="s">
        <v>1917</v>
      </c>
      <c r="K220" s="2" t="s">
        <v>304</v>
      </c>
      <c r="L220" s="2" t="s">
        <v>125</v>
      </c>
      <c r="M220" s="8" t="str">
        <f>HYPERLINK("http://slimages.macys.com/is/image/MCY/12235600 ")</f>
        <v xml:space="preserve">http://slimages.macys.com/is/image/MCY/12235600 </v>
      </c>
    </row>
    <row r="221" spans="1:13" ht="60" x14ac:dyDescent="0.25">
      <c r="A221" s="7" t="s">
        <v>1918</v>
      </c>
      <c r="B221" s="2" t="s">
        <v>1915</v>
      </c>
      <c r="C221" s="4">
        <v>2</v>
      </c>
      <c r="D221" s="5">
        <v>5.5</v>
      </c>
      <c r="E221" s="5">
        <v>10.99</v>
      </c>
      <c r="F221" s="4" t="s">
        <v>1916</v>
      </c>
      <c r="G221" s="2" t="s">
        <v>41</v>
      </c>
      <c r="H221" s="7" t="s">
        <v>159</v>
      </c>
      <c r="I221" s="2" t="s">
        <v>73</v>
      </c>
      <c r="J221" s="2" t="s">
        <v>1917</v>
      </c>
      <c r="K221" s="2" t="s">
        <v>304</v>
      </c>
      <c r="L221" s="2" t="s">
        <v>125</v>
      </c>
      <c r="M221" s="8" t="str">
        <f>HYPERLINK("http://slimages.macys.com/is/image/MCY/12235600 ")</f>
        <v xml:space="preserve">http://slimages.macys.com/is/image/MCY/12235600 </v>
      </c>
    </row>
    <row r="222" spans="1:13" ht="60" x14ac:dyDescent="0.25">
      <c r="A222" s="7" t="s">
        <v>5495</v>
      </c>
      <c r="B222" s="2" t="s">
        <v>1915</v>
      </c>
      <c r="C222" s="4">
        <v>3</v>
      </c>
      <c r="D222" s="5">
        <v>5.5</v>
      </c>
      <c r="E222" s="5">
        <v>10.99</v>
      </c>
      <c r="F222" s="4" t="s">
        <v>1916</v>
      </c>
      <c r="G222" s="2" t="s">
        <v>36</v>
      </c>
      <c r="H222" s="7" t="s">
        <v>196</v>
      </c>
      <c r="I222" s="2" t="s">
        <v>73</v>
      </c>
      <c r="J222" s="2" t="s">
        <v>1917</v>
      </c>
      <c r="K222" s="2" t="s">
        <v>304</v>
      </c>
      <c r="L222" s="2" t="s">
        <v>125</v>
      </c>
      <c r="M222" s="8" t="str">
        <f>HYPERLINK("http://slimages.macys.com/is/image/MCY/12235600 ")</f>
        <v xml:space="preserve">http://slimages.macys.com/is/image/MCY/12235600 </v>
      </c>
    </row>
    <row r="223" spans="1:13" ht="60" x14ac:dyDescent="0.25">
      <c r="A223" s="7" t="s">
        <v>5497</v>
      </c>
      <c r="B223" s="2" t="s">
        <v>1915</v>
      </c>
      <c r="C223" s="4">
        <v>2</v>
      </c>
      <c r="D223" s="5">
        <v>5.5</v>
      </c>
      <c r="E223" s="5">
        <v>10.99</v>
      </c>
      <c r="F223" s="4" t="s">
        <v>1916</v>
      </c>
      <c r="G223" s="2" t="s">
        <v>41</v>
      </c>
      <c r="H223" s="7" t="s">
        <v>196</v>
      </c>
      <c r="I223" s="2" t="s">
        <v>73</v>
      </c>
      <c r="J223" s="2" t="s">
        <v>1917</v>
      </c>
      <c r="K223" s="2" t="s">
        <v>304</v>
      </c>
      <c r="L223" s="2" t="s">
        <v>125</v>
      </c>
      <c r="M223" s="8" t="str">
        <f>HYPERLINK("http://slimages.macys.com/is/image/MCY/12235600 ")</f>
        <v xml:space="preserve">http://slimages.macys.com/is/image/MCY/12235600 </v>
      </c>
    </row>
    <row r="224" spans="1:13" ht="60" x14ac:dyDescent="0.25">
      <c r="A224" s="7" t="s">
        <v>520</v>
      </c>
      <c r="B224" s="2" t="s">
        <v>521</v>
      </c>
      <c r="C224" s="4">
        <v>2</v>
      </c>
      <c r="D224" s="5">
        <v>5.5</v>
      </c>
      <c r="E224" s="5">
        <v>14</v>
      </c>
      <c r="F224" s="4" t="s">
        <v>522</v>
      </c>
      <c r="G224" s="2" t="s">
        <v>62</v>
      </c>
      <c r="H224" s="7"/>
      <c r="I224" s="2" t="s">
        <v>523</v>
      </c>
      <c r="J224" s="2" t="s">
        <v>524</v>
      </c>
      <c r="K224" s="2" t="s">
        <v>304</v>
      </c>
      <c r="L224" s="2" t="s">
        <v>224</v>
      </c>
      <c r="M224" s="8" t="str">
        <f>HYPERLINK("http://slimages.macys.com/is/image/MCY/11797079 ")</f>
        <v xml:space="preserve">http://slimages.macys.com/is/image/MCY/11797079 </v>
      </c>
    </row>
    <row r="225" spans="1:13" ht="60" x14ac:dyDescent="0.25">
      <c r="A225" s="7" t="s">
        <v>6333</v>
      </c>
      <c r="B225" s="2" t="s">
        <v>521</v>
      </c>
      <c r="C225" s="4">
        <v>1</v>
      </c>
      <c r="D225" s="5">
        <v>5.5</v>
      </c>
      <c r="E225" s="5">
        <v>14</v>
      </c>
      <c r="F225" s="4" t="s">
        <v>522</v>
      </c>
      <c r="G225" s="2" t="s">
        <v>62</v>
      </c>
      <c r="H225" s="7"/>
      <c r="I225" s="2" t="s">
        <v>523</v>
      </c>
      <c r="J225" s="2" t="s">
        <v>524</v>
      </c>
      <c r="K225" s="2" t="s">
        <v>304</v>
      </c>
      <c r="L225" s="2" t="s">
        <v>224</v>
      </c>
      <c r="M225" s="8" t="str">
        <f>HYPERLINK("http://slimages.macys.com/is/image/MCY/11797079 ")</f>
        <v xml:space="preserve">http://slimages.macys.com/is/image/MCY/11797079 </v>
      </c>
    </row>
    <row r="226" spans="1:13" ht="60" x14ac:dyDescent="0.25">
      <c r="A226" s="7" t="s">
        <v>5033</v>
      </c>
      <c r="B226" s="2" t="s">
        <v>521</v>
      </c>
      <c r="C226" s="4">
        <v>1</v>
      </c>
      <c r="D226" s="5">
        <v>5.5</v>
      </c>
      <c r="E226" s="5">
        <v>14</v>
      </c>
      <c r="F226" s="4" t="s">
        <v>522</v>
      </c>
      <c r="G226" s="2" t="s">
        <v>41</v>
      </c>
      <c r="H226" s="7"/>
      <c r="I226" s="2" t="s">
        <v>523</v>
      </c>
      <c r="J226" s="2" t="s">
        <v>524</v>
      </c>
      <c r="K226" s="2" t="s">
        <v>304</v>
      </c>
      <c r="L226" s="2" t="s">
        <v>224</v>
      </c>
      <c r="M226" s="8" t="str">
        <f>HYPERLINK("http://slimages.macys.com/is/image/MCY/11797079 ")</f>
        <v xml:space="preserve">http://slimages.macys.com/is/image/MCY/11797079 </v>
      </c>
    </row>
    <row r="227" spans="1:13" ht="60" x14ac:dyDescent="0.25">
      <c r="A227" s="7" t="s">
        <v>7685</v>
      </c>
      <c r="B227" s="2" t="s">
        <v>1915</v>
      </c>
      <c r="C227" s="4">
        <v>3</v>
      </c>
      <c r="D227" s="5">
        <v>5.5</v>
      </c>
      <c r="E227" s="5">
        <v>10.99</v>
      </c>
      <c r="F227" s="4" t="s">
        <v>1916</v>
      </c>
      <c r="G227" s="2" t="s">
        <v>41</v>
      </c>
      <c r="H227" s="7" t="s">
        <v>228</v>
      </c>
      <c r="I227" s="2" t="s">
        <v>73</v>
      </c>
      <c r="J227" s="2" t="s">
        <v>1917</v>
      </c>
      <c r="K227" s="2" t="s">
        <v>304</v>
      </c>
      <c r="L227" s="2" t="s">
        <v>125</v>
      </c>
      <c r="M227" s="8" t="str">
        <f>HYPERLINK("http://slimages.macys.com/is/image/MCY/12235600 ")</f>
        <v xml:space="preserve">http://slimages.macys.com/is/image/MCY/12235600 </v>
      </c>
    </row>
    <row r="228" spans="1:13" ht="60" x14ac:dyDescent="0.25">
      <c r="A228" s="7" t="s">
        <v>6954</v>
      </c>
      <c r="B228" s="2" t="s">
        <v>521</v>
      </c>
      <c r="C228" s="4">
        <v>4</v>
      </c>
      <c r="D228" s="5">
        <v>5.5</v>
      </c>
      <c r="E228" s="5">
        <v>14</v>
      </c>
      <c r="F228" s="4" t="s">
        <v>522</v>
      </c>
      <c r="G228" s="2" t="s">
        <v>41</v>
      </c>
      <c r="H228" s="7"/>
      <c r="I228" s="2" t="s">
        <v>523</v>
      </c>
      <c r="J228" s="2" t="s">
        <v>524</v>
      </c>
      <c r="K228" s="2" t="s">
        <v>304</v>
      </c>
      <c r="L228" s="2" t="s">
        <v>224</v>
      </c>
      <c r="M228" s="8" t="str">
        <f>HYPERLINK("http://slimages.macys.com/is/image/MCY/11797079 ")</f>
        <v xml:space="preserve">http://slimages.macys.com/is/image/MCY/11797079 </v>
      </c>
    </row>
    <row r="229" spans="1:13" ht="84" x14ac:dyDescent="0.25">
      <c r="A229" s="7" t="s">
        <v>9037</v>
      </c>
      <c r="B229" s="2" t="s">
        <v>1924</v>
      </c>
      <c r="C229" s="4">
        <v>1</v>
      </c>
      <c r="D229" s="5">
        <v>5.41</v>
      </c>
      <c r="E229" s="5">
        <v>16.989999999999998</v>
      </c>
      <c r="F229" s="4" t="s">
        <v>1925</v>
      </c>
      <c r="G229" s="2" t="s">
        <v>86</v>
      </c>
      <c r="H229" s="7" t="s">
        <v>196</v>
      </c>
      <c r="I229" s="2" t="s">
        <v>515</v>
      </c>
      <c r="J229" s="2" t="s">
        <v>827</v>
      </c>
      <c r="K229" s="2" t="s">
        <v>304</v>
      </c>
      <c r="L229" s="2" t="s">
        <v>1117</v>
      </c>
      <c r="M229" s="8" t="str">
        <f>HYPERLINK("http://slimages.macys.com/is/image/MCY/11605918 ")</f>
        <v xml:space="preserve">http://slimages.macys.com/is/image/MCY/11605918 </v>
      </c>
    </row>
    <row r="230" spans="1:13" ht="60" x14ac:dyDescent="0.25">
      <c r="A230" s="7" t="s">
        <v>10547</v>
      </c>
      <c r="B230" s="2" t="s">
        <v>5971</v>
      </c>
      <c r="C230" s="4">
        <v>1</v>
      </c>
      <c r="D230" s="5">
        <v>5.25</v>
      </c>
      <c r="E230" s="5">
        <v>12.99</v>
      </c>
      <c r="F230" s="4" t="s">
        <v>5972</v>
      </c>
      <c r="G230" s="2" t="s">
        <v>1360</v>
      </c>
      <c r="H230" s="7" t="s">
        <v>228</v>
      </c>
      <c r="I230" s="2" t="s">
        <v>218</v>
      </c>
      <c r="J230" s="2" t="s">
        <v>1740</v>
      </c>
      <c r="K230" s="2" t="s">
        <v>304</v>
      </c>
      <c r="L230" s="2" t="s">
        <v>119</v>
      </c>
      <c r="M230" s="8" t="str">
        <f>HYPERLINK("http://slimages.macys.com/is/image/MCY/12688051 ")</f>
        <v xml:space="preserve">http://slimages.macys.com/is/image/MCY/12688051 </v>
      </c>
    </row>
    <row r="231" spans="1:13" ht="60" x14ac:dyDescent="0.25">
      <c r="A231" s="7" t="s">
        <v>6969</v>
      </c>
      <c r="B231" s="2" t="s">
        <v>6970</v>
      </c>
      <c r="C231" s="4">
        <v>1</v>
      </c>
      <c r="D231" s="5">
        <v>5.25</v>
      </c>
      <c r="E231" s="5">
        <v>12.77</v>
      </c>
      <c r="F231" s="4">
        <v>17880810</v>
      </c>
      <c r="G231" s="2"/>
      <c r="H231" s="7" t="s">
        <v>442</v>
      </c>
      <c r="I231" s="2" t="s">
        <v>153</v>
      </c>
      <c r="J231" s="2" t="s">
        <v>3580</v>
      </c>
      <c r="K231" s="2" t="s">
        <v>304</v>
      </c>
      <c r="L231" s="2" t="s">
        <v>125</v>
      </c>
      <c r="M231" s="8" t="str">
        <f>HYPERLINK("http://slimages.macys.com/is/image/MCY/13728577 ")</f>
        <v xml:space="preserve">http://slimages.macys.com/is/image/MCY/13728577 </v>
      </c>
    </row>
    <row r="232" spans="1:13" ht="96" x14ac:dyDescent="0.25">
      <c r="A232" s="7" t="s">
        <v>1945</v>
      </c>
      <c r="B232" s="2" t="s">
        <v>1946</v>
      </c>
      <c r="C232" s="4">
        <v>2</v>
      </c>
      <c r="D232" s="5">
        <v>5.25</v>
      </c>
      <c r="E232" s="5">
        <v>14.99</v>
      </c>
      <c r="F232" s="4" t="s">
        <v>1947</v>
      </c>
      <c r="G232" s="2"/>
      <c r="H232" s="7" t="s">
        <v>144</v>
      </c>
      <c r="I232" s="2" t="s">
        <v>92</v>
      </c>
      <c r="J232" s="2" t="s">
        <v>1076</v>
      </c>
      <c r="K232" s="2" t="s">
        <v>304</v>
      </c>
      <c r="L232" s="2" t="s">
        <v>1948</v>
      </c>
      <c r="M232" s="8" t="str">
        <f>HYPERLINK("http://slimages.macys.com/is/image/MCY/15654526 ")</f>
        <v xml:space="preserve">http://slimages.macys.com/is/image/MCY/15654526 </v>
      </c>
    </row>
    <row r="233" spans="1:13" ht="96" x14ac:dyDescent="0.25">
      <c r="A233" s="7" t="s">
        <v>1955</v>
      </c>
      <c r="B233" s="2" t="s">
        <v>1946</v>
      </c>
      <c r="C233" s="4">
        <v>1</v>
      </c>
      <c r="D233" s="5">
        <v>5.25</v>
      </c>
      <c r="E233" s="5">
        <v>14.99</v>
      </c>
      <c r="F233" s="4" t="s">
        <v>1947</v>
      </c>
      <c r="G233" s="2"/>
      <c r="H233" s="7" t="s">
        <v>442</v>
      </c>
      <c r="I233" s="2" t="s">
        <v>92</v>
      </c>
      <c r="J233" s="2" t="s">
        <v>1076</v>
      </c>
      <c r="K233" s="2" t="s">
        <v>304</v>
      </c>
      <c r="L233" s="2" t="s">
        <v>1948</v>
      </c>
      <c r="M233" s="8" t="str">
        <f>HYPERLINK("http://slimages.macys.com/is/image/MCY/15654526 ")</f>
        <v xml:space="preserve">http://slimages.macys.com/is/image/MCY/15654526 </v>
      </c>
    </row>
    <row r="234" spans="1:13" ht="60" x14ac:dyDescent="0.25">
      <c r="A234" s="7" t="s">
        <v>10548</v>
      </c>
      <c r="B234" s="2" t="s">
        <v>9066</v>
      </c>
      <c r="C234" s="4">
        <v>1</v>
      </c>
      <c r="D234" s="5">
        <v>5.04</v>
      </c>
      <c r="E234" s="5">
        <v>12.99</v>
      </c>
      <c r="F234" s="4" t="s">
        <v>9067</v>
      </c>
      <c r="G234" s="2" t="s">
        <v>86</v>
      </c>
      <c r="H234" s="7" t="s">
        <v>166</v>
      </c>
      <c r="I234" s="2" t="s">
        <v>218</v>
      </c>
      <c r="J234" s="2" t="s">
        <v>2008</v>
      </c>
      <c r="K234" s="2" t="s">
        <v>304</v>
      </c>
      <c r="L234" s="2" t="s">
        <v>358</v>
      </c>
      <c r="M234" s="8" t="str">
        <f>HYPERLINK("http://slimages.macys.com/is/image/MCY/11947902 ")</f>
        <v xml:space="preserve">http://slimages.macys.com/is/image/MCY/11947902 </v>
      </c>
    </row>
    <row r="235" spans="1:13" ht="60" x14ac:dyDescent="0.25">
      <c r="A235" s="7" t="s">
        <v>10549</v>
      </c>
      <c r="B235" s="2" t="s">
        <v>6343</v>
      </c>
      <c r="C235" s="4">
        <v>1</v>
      </c>
      <c r="D235" s="5">
        <v>5</v>
      </c>
      <c r="E235" s="5">
        <v>11.99</v>
      </c>
      <c r="F235" s="4" t="s">
        <v>6344</v>
      </c>
      <c r="G235" s="2" t="s">
        <v>310</v>
      </c>
      <c r="H235" s="7" t="s">
        <v>42</v>
      </c>
      <c r="I235" s="2" t="s">
        <v>92</v>
      </c>
      <c r="J235" s="2" t="s">
        <v>430</v>
      </c>
      <c r="K235" s="2" t="s">
        <v>304</v>
      </c>
      <c r="L235" s="2" t="s">
        <v>3935</v>
      </c>
      <c r="M235" s="8" t="str">
        <f>HYPERLINK("http://slimages.macys.com/is/image/MCY/13039862 ")</f>
        <v xml:space="preserve">http://slimages.macys.com/is/image/MCY/13039862 </v>
      </c>
    </row>
    <row r="236" spans="1:13" ht="60" x14ac:dyDescent="0.25">
      <c r="A236" s="7" t="s">
        <v>10550</v>
      </c>
      <c r="B236" s="2" t="s">
        <v>10551</v>
      </c>
      <c r="C236" s="4">
        <v>1</v>
      </c>
      <c r="D236" s="5">
        <v>5</v>
      </c>
      <c r="E236" s="5">
        <v>13.99</v>
      </c>
      <c r="F236" s="4" t="s">
        <v>10552</v>
      </c>
      <c r="G236" s="2" t="s">
        <v>310</v>
      </c>
      <c r="H236" s="7" t="s">
        <v>42</v>
      </c>
      <c r="I236" s="2" t="s">
        <v>92</v>
      </c>
      <c r="J236" s="2" t="s">
        <v>430</v>
      </c>
      <c r="K236" s="2" t="s">
        <v>304</v>
      </c>
      <c r="L236" s="2" t="s">
        <v>3935</v>
      </c>
      <c r="M236" s="8" t="str">
        <f>HYPERLINK("http://slimages.macys.com/is/image/MCY/13039804 ")</f>
        <v xml:space="preserve">http://slimages.macys.com/is/image/MCY/13039804 </v>
      </c>
    </row>
    <row r="237" spans="1:13" ht="60" x14ac:dyDescent="0.25">
      <c r="A237" s="7" t="s">
        <v>9637</v>
      </c>
      <c r="B237" s="2" t="s">
        <v>1969</v>
      </c>
      <c r="C237" s="4">
        <v>1</v>
      </c>
      <c r="D237" s="5">
        <v>4.9800000000000004</v>
      </c>
      <c r="E237" s="5">
        <v>12.99</v>
      </c>
      <c r="F237" s="4" t="s">
        <v>1970</v>
      </c>
      <c r="G237" s="2" t="s">
        <v>437</v>
      </c>
      <c r="H237" s="7" t="s">
        <v>284</v>
      </c>
      <c r="I237" s="2" t="s">
        <v>515</v>
      </c>
      <c r="J237" s="2" t="s">
        <v>1971</v>
      </c>
      <c r="K237" s="2" t="s">
        <v>304</v>
      </c>
      <c r="L237" s="2" t="s">
        <v>119</v>
      </c>
      <c r="M237" s="8" t="str">
        <f>HYPERLINK("http://slimages.macys.com/is/image/MCY/13586213 ")</f>
        <v xml:space="preserve">http://slimages.macys.com/is/image/MCY/13586213 </v>
      </c>
    </row>
    <row r="238" spans="1:13" ht="60" x14ac:dyDescent="0.25">
      <c r="A238" s="7" t="s">
        <v>10553</v>
      </c>
      <c r="B238" s="2" t="s">
        <v>10554</v>
      </c>
      <c r="C238" s="4">
        <v>1</v>
      </c>
      <c r="D238" s="5">
        <v>4.93</v>
      </c>
      <c r="E238" s="5">
        <v>12.99</v>
      </c>
      <c r="F238" s="4" t="s">
        <v>10555</v>
      </c>
      <c r="G238" s="2" t="s">
        <v>86</v>
      </c>
      <c r="H238" s="7" t="s">
        <v>196</v>
      </c>
      <c r="I238" s="2" t="s">
        <v>389</v>
      </c>
      <c r="J238" s="2" t="s">
        <v>354</v>
      </c>
      <c r="K238" s="2" t="s">
        <v>304</v>
      </c>
      <c r="L238" s="2" t="s">
        <v>358</v>
      </c>
      <c r="M238" s="8" t="str">
        <f>HYPERLINK("http://slimages.macys.com/is/image/MCY/12101601 ")</f>
        <v xml:space="preserve">http://slimages.macys.com/is/image/MCY/12101601 </v>
      </c>
    </row>
    <row r="239" spans="1:13" ht="60" x14ac:dyDescent="0.25">
      <c r="A239" s="7" t="s">
        <v>10556</v>
      </c>
      <c r="B239" s="2" t="s">
        <v>5510</v>
      </c>
      <c r="C239" s="4">
        <v>10</v>
      </c>
      <c r="D239" s="5">
        <v>4.92</v>
      </c>
      <c r="E239" s="5">
        <v>11.99</v>
      </c>
      <c r="F239" s="4" t="s">
        <v>5511</v>
      </c>
      <c r="G239" s="2" t="s">
        <v>353</v>
      </c>
      <c r="H239" s="7" t="s">
        <v>228</v>
      </c>
      <c r="I239" s="2" t="s">
        <v>292</v>
      </c>
      <c r="J239" s="2" t="s">
        <v>293</v>
      </c>
      <c r="K239" s="2" t="s">
        <v>304</v>
      </c>
      <c r="L239" s="2" t="s">
        <v>119</v>
      </c>
      <c r="M239" s="8" t="str">
        <f>HYPERLINK("http://slimages.macys.com/is/image/MCY/13080815 ")</f>
        <v xml:space="preserve">http://slimages.macys.com/is/image/MCY/13080815 </v>
      </c>
    </row>
    <row r="240" spans="1:13" ht="60" x14ac:dyDescent="0.25">
      <c r="A240" s="7" t="s">
        <v>10179</v>
      </c>
      <c r="B240" s="2" t="s">
        <v>5510</v>
      </c>
      <c r="C240" s="4">
        <v>8</v>
      </c>
      <c r="D240" s="5">
        <v>4.92</v>
      </c>
      <c r="E240" s="5">
        <v>11.99</v>
      </c>
      <c r="F240" s="4" t="s">
        <v>5511</v>
      </c>
      <c r="G240" s="2" t="s">
        <v>353</v>
      </c>
      <c r="H240" s="7" t="s">
        <v>217</v>
      </c>
      <c r="I240" s="2" t="s">
        <v>292</v>
      </c>
      <c r="J240" s="2" t="s">
        <v>293</v>
      </c>
      <c r="K240" s="2" t="s">
        <v>304</v>
      </c>
      <c r="L240" s="2" t="s">
        <v>119</v>
      </c>
      <c r="M240" s="8" t="str">
        <f>HYPERLINK("http://slimages.macys.com/is/image/MCY/13080815 ")</f>
        <v xml:space="preserve">http://slimages.macys.com/is/image/MCY/13080815 </v>
      </c>
    </row>
    <row r="241" spans="1:13" ht="60" x14ac:dyDescent="0.25">
      <c r="A241" s="7" t="s">
        <v>10557</v>
      </c>
      <c r="B241" s="2" t="s">
        <v>5510</v>
      </c>
      <c r="C241" s="4">
        <v>3</v>
      </c>
      <c r="D241" s="5">
        <v>4.92</v>
      </c>
      <c r="E241" s="5">
        <v>11.99</v>
      </c>
      <c r="F241" s="4" t="s">
        <v>5511</v>
      </c>
      <c r="G241" s="2" t="s">
        <v>353</v>
      </c>
      <c r="H241" s="7" t="s">
        <v>159</v>
      </c>
      <c r="I241" s="2" t="s">
        <v>292</v>
      </c>
      <c r="J241" s="2" t="s">
        <v>293</v>
      </c>
      <c r="K241" s="2" t="s">
        <v>304</v>
      </c>
      <c r="L241" s="2" t="s">
        <v>119</v>
      </c>
      <c r="M241" s="8" t="str">
        <f>HYPERLINK("http://slimages.macys.com/is/image/MCY/13080815 ")</f>
        <v xml:space="preserve">http://slimages.macys.com/is/image/MCY/13080815 </v>
      </c>
    </row>
    <row r="242" spans="1:13" ht="60" x14ac:dyDescent="0.25">
      <c r="A242" s="7" t="s">
        <v>10558</v>
      </c>
      <c r="B242" s="2" t="s">
        <v>10559</v>
      </c>
      <c r="C242" s="4">
        <v>2</v>
      </c>
      <c r="D242" s="5">
        <v>4.9000000000000004</v>
      </c>
      <c r="E242" s="5">
        <v>10.99</v>
      </c>
      <c r="F242" s="4" t="s">
        <v>10560</v>
      </c>
      <c r="G242" s="2" t="s">
        <v>28</v>
      </c>
      <c r="H242" s="7" t="s">
        <v>159</v>
      </c>
      <c r="I242" s="2" t="s">
        <v>468</v>
      </c>
      <c r="J242" s="2" t="s">
        <v>544</v>
      </c>
      <c r="K242" s="2" t="s">
        <v>304</v>
      </c>
      <c r="L242" s="2" t="s">
        <v>119</v>
      </c>
      <c r="M242" s="8" t="str">
        <f>HYPERLINK("http://slimages.macys.com/is/image/MCY/11950204 ")</f>
        <v xml:space="preserve">http://slimages.macys.com/is/image/MCY/11950204 </v>
      </c>
    </row>
    <row r="243" spans="1:13" ht="60" x14ac:dyDescent="0.25">
      <c r="A243" s="7" t="s">
        <v>10561</v>
      </c>
      <c r="B243" s="2" t="s">
        <v>10559</v>
      </c>
      <c r="C243" s="4">
        <v>1</v>
      </c>
      <c r="D243" s="5">
        <v>4.9000000000000004</v>
      </c>
      <c r="E243" s="5">
        <v>10.99</v>
      </c>
      <c r="F243" s="4" t="s">
        <v>10560</v>
      </c>
      <c r="G243" s="2" t="s">
        <v>28</v>
      </c>
      <c r="H243" s="7" t="s">
        <v>228</v>
      </c>
      <c r="I243" s="2" t="s">
        <v>468</v>
      </c>
      <c r="J243" s="2" t="s">
        <v>544</v>
      </c>
      <c r="K243" s="2" t="s">
        <v>304</v>
      </c>
      <c r="L243" s="2" t="s">
        <v>119</v>
      </c>
      <c r="M243" s="8" t="str">
        <f>HYPERLINK("http://slimages.macys.com/is/image/MCY/11950204 ")</f>
        <v xml:space="preserve">http://slimages.macys.com/is/image/MCY/11950204 </v>
      </c>
    </row>
    <row r="244" spans="1:13" ht="60" x14ac:dyDescent="0.25">
      <c r="A244" s="7" t="s">
        <v>5981</v>
      </c>
      <c r="B244" s="2" t="s">
        <v>5978</v>
      </c>
      <c r="C244" s="4">
        <v>13</v>
      </c>
      <c r="D244" s="5">
        <v>4.8499999999999996</v>
      </c>
      <c r="E244" s="5">
        <v>10.99</v>
      </c>
      <c r="F244" s="4" t="s">
        <v>5979</v>
      </c>
      <c r="G244" s="2" t="s">
        <v>86</v>
      </c>
      <c r="H244" s="7" t="s">
        <v>196</v>
      </c>
      <c r="I244" s="2" t="s">
        <v>389</v>
      </c>
      <c r="J244" s="2" t="s">
        <v>354</v>
      </c>
      <c r="K244" s="2" t="s">
        <v>304</v>
      </c>
      <c r="L244" s="2" t="s">
        <v>100</v>
      </c>
      <c r="M244" s="8" t="str">
        <f>HYPERLINK("http://slimages.macys.com/is/image/MCY/11135810 ")</f>
        <v xml:space="preserve">http://slimages.macys.com/is/image/MCY/11135810 </v>
      </c>
    </row>
    <row r="245" spans="1:13" ht="60" x14ac:dyDescent="0.25">
      <c r="A245" s="7" t="s">
        <v>10562</v>
      </c>
      <c r="B245" s="2" t="s">
        <v>10563</v>
      </c>
      <c r="C245" s="4">
        <v>1</v>
      </c>
      <c r="D245" s="5">
        <v>4.82</v>
      </c>
      <c r="E245" s="5">
        <v>11.99</v>
      </c>
      <c r="F245" s="4" t="s">
        <v>10564</v>
      </c>
      <c r="G245" s="2" t="s">
        <v>36</v>
      </c>
      <c r="H245" s="7" t="s">
        <v>159</v>
      </c>
      <c r="I245" s="2" t="s">
        <v>292</v>
      </c>
      <c r="J245" s="2" t="s">
        <v>293</v>
      </c>
      <c r="K245" s="2" t="s">
        <v>304</v>
      </c>
      <c r="L245" s="2" t="s">
        <v>119</v>
      </c>
      <c r="M245" s="8" t="str">
        <f>HYPERLINK("http://slimages.macys.com/is/image/MCY/12001052 ")</f>
        <v xml:space="preserve">http://slimages.macys.com/is/image/MCY/12001052 </v>
      </c>
    </row>
    <row r="246" spans="1:13" ht="60" x14ac:dyDescent="0.25">
      <c r="A246" s="7" t="s">
        <v>10565</v>
      </c>
      <c r="B246" s="2" t="s">
        <v>10566</v>
      </c>
      <c r="C246" s="4">
        <v>1</v>
      </c>
      <c r="D246" s="5">
        <v>4.8099999999999996</v>
      </c>
      <c r="E246" s="5">
        <v>11.99</v>
      </c>
      <c r="F246" s="4" t="s">
        <v>10567</v>
      </c>
      <c r="G246" s="2" t="s">
        <v>28</v>
      </c>
      <c r="H246" s="7" t="s">
        <v>159</v>
      </c>
      <c r="I246" s="2" t="s">
        <v>292</v>
      </c>
      <c r="J246" s="2" t="s">
        <v>293</v>
      </c>
      <c r="K246" s="2" t="s">
        <v>304</v>
      </c>
      <c r="L246" s="2" t="s">
        <v>119</v>
      </c>
      <c r="M246" s="8" t="str">
        <f>HYPERLINK("http://slimages.macys.com/is/image/MCY/12685836 ")</f>
        <v xml:space="preserve">http://slimages.macys.com/is/image/MCY/12685836 </v>
      </c>
    </row>
    <row r="247" spans="1:13" ht="60" x14ac:dyDescent="0.25">
      <c r="A247" s="7" t="s">
        <v>1993</v>
      </c>
      <c r="B247" s="2" t="s">
        <v>1991</v>
      </c>
      <c r="C247" s="4">
        <v>1</v>
      </c>
      <c r="D247" s="5">
        <v>4.75</v>
      </c>
      <c r="E247" s="5">
        <v>8.99</v>
      </c>
      <c r="F247" s="4" t="s">
        <v>1992</v>
      </c>
      <c r="G247" s="2" t="s">
        <v>653</v>
      </c>
      <c r="H247" s="7" t="s">
        <v>228</v>
      </c>
      <c r="I247" s="2" t="s">
        <v>73</v>
      </c>
      <c r="J247" s="2" t="s">
        <v>1917</v>
      </c>
      <c r="K247" s="2" t="s">
        <v>304</v>
      </c>
      <c r="L247" s="2" t="s">
        <v>125</v>
      </c>
      <c r="M247" s="8" t="str">
        <f>HYPERLINK("http://slimages.macys.com/is/image/MCY/13726811 ")</f>
        <v xml:space="preserve">http://slimages.macys.com/is/image/MCY/13726811 </v>
      </c>
    </row>
    <row r="248" spans="1:13" ht="60" x14ac:dyDescent="0.25">
      <c r="A248" s="7" t="s">
        <v>5531</v>
      </c>
      <c r="B248" s="2" t="s">
        <v>2002</v>
      </c>
      <c r="C248" s="4">
        <v>5</v>
      </c>
      <c r="D248" s="5">
        <v>4.6500000000000004</v>
      </c>
      <c r="E248" s="5">
        <v>14.99</v>
      </c>
      <c r="F248" s="4" t="s">
        <v>2003</v>
      </c>
      <c r="G248" s="2" t="s">
        <v>657</v>
      </c>
      <c r="H248" s="7" t="s">
        <v>311</v>
      </c>
      <c r="I248" s="2" t="s">
        <v>292</v>
      </c>
      <c r="J248" s="2" t="s">
        <v>354</v>
      </c>
      <c r="K248" s="2" t="s">
        <v>304</v>
      </c>
      <c r="L248" s="2" t="s">
        <v>125</v>
      </c>
      <c r="M248" s="8" t="str">
        <f>HYPERLINK("http://slimages.macys.com/is/image/MCY/13893167 ")</f>
        <v xml:space="preserve">http://slimages.macys.com/is/image/MCY/13893167 </v>
      </c>
    </row>
    <row r="249" spans="1:13" ht="60" x14ac:dyDescent="0.25">
      <c r="A249" s="7" t="s">
        <v>5530</v>
      </c>
      <c r="B249" s="2" t="s">
        <v>2002</v>
      </c>
      <c r="C249" s="4">
        <v>4</v>
      </c>
      <c r="D249" s="5">
        <v>4.6500000000000004</v>
      </c>
      <c r="E249" s="5">
        <v>14.99</v>
      </c>
      <c r="F249" s="4" t="s">
        <v>2003</v>
      </c>
      <c r="G249" s="2" t="s">
        <v>657</v>
      </c>
      <c r="H249" s="7" t="s">
        <v>166</v>
      </c>
      <c r="I249" s="2" t="s">
        <v>292</v>
      </c>
      <c r="J249" s="2" t="s">
        <v>354</v>
      </c>
      <c r="K249" s="2" t="s">
        <v>304</v>
      </c>
      <c r="L249" s="2" t="s">
        <v>125</v>
      </c>
      <c r="M249" s="8" t="str">
        <f>HYPERLINK("http://slimages.macys.com/is/image/MCY/13893167 ")</f>
        <v xml:space="preserve">http://slimages.macys.com/is/image/MCY/13893167 </v>
      </c>
    </row>
    <row r="250" spans="1:13" ht="60" x14ac:dyDescent="0.25">
      <c r="A250" s="7" t="s">
        <v>2001</v>
      </c>
      <c r="B250" s="2" t="s">
        <v>2002</v>
      </c>
      <c r="C250" s="4">
        <v>1</v>
      </c>
      <c r="D250" s="5">
        <v>4.6500000000000004</v>
      </c>
      <c r="E250" s="5">
        <v>14.99</v>
      </c>
      <c r="F250" s="4" t="s">
        <v>2003</v>
      </c>
      <c r="G250" s="2" t="s">
        <v>657</v>
      </c>
      <c r="H250" s="7" t="s">
        <v>123</v>
      </c>
      <c r="I250" s="2" t="s">
        <v>292</v>
      </c>
      <c r="J250" s="2" t="s">
        <v>354</v>
      </c>
      <c r="K250" s="2" t="s">
        <v>304</v>
      </c>
      <c r="L250" s="2" t="s">
        <v>125</v>
      </c>
      <c r="M250" s="8" t="str">
        <f>HYPERLINK("http://slimages.macys.com/is/image/MCY/13893167 ")</f>
        <v xml:space="preserve">http://slimages.macys.com/is/image/MCY/13893167 </v>
      </c>
    </row>
    <row r="251" spans="1:13" ht="60" x14ac:dyDescent="0.25">
      <c r="A251" s="7" t="s">
        <v>9650</v>
      </c>
      <c r="B251" s="2" t="s">
        <v>2138</v>
      </c>
      <c r="C251" s="4">
        <v>2</v>
      </c>
      <c r="D251" s="5">
        <v>4.5999999999999996</v>
      </c>
      <c r="E251" s="5">
        <v>10.99</v>
      </c>
      <c r="F251" s="4" t="s">
        <v>9100</v>
      </c>
      <c r="G251" s="2" t="s">
        <v>86</v>
      </c>
      <c r="H251" s="7" t="s">
        <v>228</v>
      </c>
      <c r="I251" s="2" t="s">
        <v>389</v>
      </c>
      <c r="J251" s="2" t="s">
        <v>354</v>
      </c>
      <c r="K251" s="2" t="s">
        <v>304</v>
      </c>
      <c r="L251" s="2" t="s">
        <v>119</v>
      </c>
      <c r="M251" s="8" t="str">
        <f>HYPERLINK("http://slimages.macys.com/is/image/MCY/10178268 ")</f>
        <v xml:space="preserve">http://slimages.macys.com/is/image/MCY/10178268 </v>
      </c>
    </row>
    <row r="252" spans="1:13" ht="60" x14ac:dyDescent="0.25">
      <c r="A252" s="7" t="s">
        <v>3456</v>
      </c>
      <c r="B252" s="2" t="s">
        <v>3457</v>
      </c>
      <c r="C252" s="4">
        <v>1</v>
      </c>
      <c r="D252" s="5">
        <v>4.59</v>
      </c>
      <c r="E252" s="5">
        <v>11.99</v>
      </c>
      <c r="F252" s="4" t="s">
        <v>3458</v>
      </c>
      <c r="G252" s="2" t="s">
        <v>129</v>
      </c>
      <c r="H252" s="7" t="s">
        <v>228</v>
      </c>
      <c r="I252" s="2" t="s">
        <v>292</v>
      </c>
      <c r="J252" s="2" t="s">
        <v>293</v>
      </c>
      <c r="K252" s="2" t="s">
        <v>304</v>
      </c>
      <c r="L252" s="2" t="s">
        <v>119</v>
      </c>
      <c r="M252" s="8" t="str">
        <f>HYPERLINK("http://slimages.macys.com/is/image/MCY/12685690 ")</f>
        <v xml:space="preserve">http://slimages.macys.com/is/image/MCY/12685690 </v>
      </c>
    </row>
    <row r="253" spans="1:13" ht="60" x14ac:dyDescent="0.25">
      <c r="A253" s="7" t="s">
        <v>10568</v>
      </c>
      <c r="B253" s="2" t="s">
        <v>3457</v>
      </c>
      <c r="C253" s="4">
        <v>1</v>
      </c>
      <c r="D253" s="5">
        <v>4.59</v>
      </c>
      <c r="E253" s="5">
        <v>11.99</v>
      </c>
      <c r="F253" s="4" t="s">
        <v>3458</v>
      </c>
      <c r="G253" s="2" t="s">
        <v>129</v>
      </c>
      <c r="H253" s="7" t="s">
        <v>159</v>
      </c>
      <c r="I253" s="2" t="s">
        <v>292</v>
      </c>
      <c r="J253" s="2" t="s">
        <v>293</v>
      </c>
      <c r="K253" s="2" t="s">
        <v>304</v>
      </c>
      <c r="L253" s="2" t="s">
        <v>119</v>
      </c>
      <c r="M253" s="8" t="str">
        <f>HYPERLINK("http://slimages.macys.com/is/image/MCY/12685690 ")</f>
        <v xml:space="preserve">http://slimages.macys.com/is/image/MCY/12685690 </v>
      </c>
    </row>
    <row r="254" spans="1:13" ht="60" x14ac:dyDescent="0.25">
      <c r="A254" s="7" t="s">
        <v>10569</v>
      </c>
      <c r="B254" s="2" t="s">
        <v>3457</v>
      </c>
      <c r="C254" s="4">
        <v>2</v>
      </c>
      <c r="D254" s="5">
        <v>4.59</v>
      </c>
      <c r="E254" s="5">
        <v>11.99</v>
      </c>
      <c r="F254" s="4" t="s">
        <v>3458</v>
      </c>
      <c r="G254" s="2" t="s">
        <v>129</v>
      </c>
      <c r="H254" s="7" t="s">
        <v>217</v>
      </c>
      <c r="I254" s="2" t="s">
        <v>292</v>
      </c>
      <c r="J254" s="2" t="s">
        <v>293</v>
      </c>
      <c r="K254" s="2" t="s">
        <v>304</v>
      </c>
      <c r="L254" s="2" t="s">
        <v>119</v>
      </c>
      <c r="M254" s="8" t="str">
        <f>HYPERLINK("http://slimages.macys.com/is/image/MCY/12685690 ")</f>
        <v xml:space="preserve">http://slimages.macys.com/is/image/MCY/12685690 </v>
      </c>
    </row>
    <row r="255" spans="1:13" ht="60" x14ac:dyDescent="0.25">
      <c r="A255" s="7" t="s">
        <v>10570</v>
      </c>
      <c r="B255" s="2" t="s">
        <v>10571</v>
      </c>
      <c r="C255" s="4">
        <v>1</v>
      </c>
      <c r="D255" s="5">
        <v>4.57</v>
      </c>
      <c r="E255" s="5">
        <v>11.99</v>
      </c>
      <c r="F255" s="4" t="s">
        <v>10572</v>
      </c>
      <c r="G255" s="2" t="s">
        <v>28</v>
      </c>
      <c r="H255" s="7" t="s">
        <v>217</v>
      </c>
      <c r="I255" s="2" t="s">
        <v>292</v>
      </c>
      <c r="J255" s="2" t="s">
        <v>293</v>
      </c>
      <c r="K255" s="2" t="s">
        <v>304</v>
      </c>
      <c r="L255" s="2" t="s">
        <v>119</v>
      </c>
      <c r="M255" s="8" t="str">
        <f>HYPERLINK("http://slimages.macys.com/is/image/MCY/11526005 ")</f>
        <v xml:space="preserve">http://slimages.macys.com/is/image/MCY/11526005 </v>
      </c>
    </row>
    <row r="256" spans="1:13" ht="60" x14ac:dyDescent="0.25">
      <c r="A256" s="7" t="s">
        <v>10573</v>
      </c>
      <c r="B256" s="2" t="s">
        <v>6356</v>
      </c>
      <c r="C256" s="4">
        <v>1</v>
      </c>
      <c r="D256" s="5">
        <v>4.54</v>
      </c>
      <c r="E256" s="5">
        <v>10.99</v>
      </c>
      <c r="F256" s="4" t="s">
        <v>6357</v>
      </c>
      <c r="G256" s="2" t="s">
        <v>62</v>
      </c>
      <c r="H256" s="7" t="s">
        <v>209</v>
      </c>
      <c r="I256" s="2" t="s">
        <v>218</v>
      </c>
      <c r="J256" s="2" t="s">
        <v>2008</v>
      </c>
      <c r="K256" s="2" t="s">
        <v>304</v>
      </c>
      <c r="L256" s="2" t="s">
        <v>358</v>
      </c>
      <c r="M256" s="8" t="str">
        <f>HYPERLINK("http://slimages.macys.com/is/image/MCY/12684315 ")</f>
        <v xml:space="preserve">http://slimages.macys.com/is/image/MCY/12684315 </v>
      </c>
    </row>
    <row r="257" spans="1:13" ht="60" x14ac:dyDescent="0.25">
      <c r="A257" s="7" t="s">
        <v>10574</v>
      </c>
      <c r="B257" s="2" t="s">
        <v>10575</v>
      </c>
      <c r="C257" s="4">
        <v>1</v>
      </c>
      <c r="D257" s="5">
        <v>4.42</v>
      </c>
      <c r="E257" s="5">
        <v>10.99</v>
      </c>
      <c r="F257" s="4" t="s">
        <v>10576</v>
      </c>
      <c r="G257" s="2" t="s">
        <v>41</v>
      </c>
      <c r="H257" s="7" t="s">
        <v>228</v>
      </c>
      <c r="I257" s="2" t="s">
        <v>389</v>
      </c>
      <c r="J257" s="2" t="s">
        <v>354</v>
      </c>
      <c r="K257" s="2" t="s">
        <v>304</v>
      </c>
      <c r="L257" s="2" t="s">
        <v>119</v>
      </c>
      <c r="M257" s="8" t="str">
        <f>HYPERLINK("http://slimages.macys.com/is/image/MCY/12938559 ")</f>
        <v xml:space="preserve">http://slimages.macys.com/is/image/MCY/12938559 </v>
      </c>
    </row>
    <row r="258" spans="1:13" ht="60" x14ac:dyDescent="0.25">
      <c r="A258" s="7" t="s">
        <v>10577</v>
      </c>
      <c r="B258" s="2" t="s">
        <v>10578</v>
      </c>
      <c r="C258" s="4">
        <v>1</v>
      </c>
      <c r="D258" s="5">
        <v>4.4000000000000004</v>
      </c>
      <c r="E258" s="5">
        <v>8.99</v>
      </c>
      <c r="F258" s="4">
        <v>16556918</v>
      </c>
      <c r="G258" s="2"/>
      <c r="H258" s="7" t="s">
        <v>42</v>
      </c>
      <c r="I258" s="2" t="s">
        <v>153</v>
      </c>
      <c r="J258" s="2" t="s">
        <v>154</v>
      </c>
      <c r="K258" s="2" t="s">
        <v>304</v>
      </c>
      <c r="L258" s="2" t="s">
        <v>206</v>
      </c>
      <c r="M258" s="8" t="str">
        <f>HYPERLINK("http://slimages.macys.com/is/image/MCY/11867425 ")</f>
        <v xml:space="preserve">http://slimages.macys.com/is/image/MCY/11867425 </v>
      </c>
    </row>
    <row r="259" spans="1:13" ht="60" x14ac:dyDescent="0.25">
      <c r="A259" s="7" t="s">
        <v>10579</v>
      </c>
      <c r="B259" s="2" t="s">
        <v>7761</v>
      </c>
      <c r="C259" s="4">
        <v>4</v>
      </c>
      <c r="D259" s="5">
        <v>4.38</v>
      </c>
      <c r="E259" s="5">
        <v>11.99</v>
      </c>
      <c r="F259" s="4" t="s">
        <v>7762</v>
      </c>
      <c r="G259" s="2" t="s">
        <v>129</v>
      </c>
      <c r="H259" s="7" t="s">
        <v>217</v>
      </c>
      <c r="I259" s="2" t="s">
        <v>292</v>
      </c>
      <c r="J259" s="2" t="s">
        <v>293</v>
      </c>
      <c r="K259" s="2" t="s">
        <v>304</v>
      </c>
      <c r="L259" s="2" t="s">
        <v>119</v>
      </c>
      <c r="M259" s="8" t="str">
        <f>HYPERLINK("http://slimages.macys.com/is/image/MCY/13938960 ")</f>
        <v xml:space="preserve">http://slimages.macys.com/is/image/MCY/13938960 </v>
      </c>
    </row>
    <row r="260" spans="1:13" ht="60" x14ac:dyDescent="0.25">
      <c r="A260" s="7" t="s">
        <v>7760</v>
      </c>
      <c r="B260" s="2" t="s">
        <v>7761</v>
      </c>
      <c r="C260" s="4">
        <v>7</v>
      </c>
      <c r="D260" s="5">
        <v>4.38</v>
      </c>
      <c r="E260" s="5">
        <v>11.99</v>
      </c>
      <c r="F260" s="4" t="s">
        <v>7762</v>
      </c>
      <c r="G260" s="2" t="s">
        <v>129</v>
      </c>
      <c r="H260" s="7" t="s">
        <v>228</v>
      </c>
      <c r="I260" s="2" t="s">
        <v>292</v>
      </c>
      <c r="J260" s="2" t="s">
        <v>293</v>
      </c>
      <c r="K260" s="2" t="s">
        <v>304</v>
      </c>
      <c r="L260" s="2" t="s">
        <v>119</v>
      </c>
      <c r="M260" s="8" t="str">
        <f>HYPERLINK("http://slimages.macys.com/is/image/MCY/13938960 ")</f>
        <v xml:space="preserve">http://slimages.macys.com/is/image/MCY/13938960 </v>
      </c>
    </row>
    <row r="261" spans="1:13" ht="60" x14ac:dyDescent="0.25">
      <c r="A261" s="7" t="s">
        <v>10580</v>
      </c>
      <c r="B261" s="2" t="s">
        <v>10581</v>
      </c>
      <c r="C261" s="4">
        <v>1</v>
      </c>
      <c r="D261" s="5">
        <v>4.38</v>
      </c>
      <c r="E261" s="5">
        <v>10.99</v>
      </c>
      <c r="F261" s="4" t="s">
        <v>10582</v>
      </c>
      <c r="G261" s="2" t="s">
        <v>476</v>
      </c>
      <c r="H261" s="7" t="s">
        <v>196</v>
      </c>
      <c r="I261" s="2" t="s">
        <v>389</v>
      </c>
      <c r="J261" s="2" t="s">
        <v>354</v>
      </c>
      <c r="K261" s="2" t="s">
        <v>304</v>
      </c>
      <c r="L261" s="2" t="s">
        <v>390</v>
      </c>
      <c r="M261" s="8" t="str">
        <f>HYPERLINK("http://slimages.macys.com/is/image/MCY/12121917 ")</f>
        <v xml:space="preserve">http://slimages.macys.com/is/image/MCY/12121917 </v>
      </c>
    </row>
    <row r="262" spans="1:13" ht="60" x14ac:dyDescent="0.25">
      <c r="A262" s="7" t="s">
        <v>10213</v>
      </c>
      <c r="B262" s="2" t="s">
        <v>7761</v>
      </c>
      <c r="C262" s="4">
        <v>8</v>
      </c>
      <c r="D262" s="5">
        <v>4.38</v>
      </c>
      <c r="E262" s="5">
        <v>11.99</v>
      </c>
      <c r="F262" s="4" t="s">
        <v>7762</v>
      </c>
      <c r="G262" s="2" t="s">
        <v>129</v>
      </c>
      <c r="H262" s="7" t="s">
        <v>159</v>
      </c>
      <c r="I262" s="2" t="s">
        <v>292</v>
      </c>
      <c r="J262" s="2" t="s">
        <v>293</v>
      </c>
      <c r="K262" s="2" t="s">
        <v>304</v>
      </c>
      <c r="L262" s="2" t="s">
        <v>119</v>
      </c>
      <c r="M262" s="8" t="str">
        <f>HYPERLINK("http://slimages.macys.com/is/image/MCY/13938960 ")</f>
        <v xml:space="preserve">http://slimages.macys.com/is/image/MCY/13938960 </v>
      </c>
    </row>
    <row r="263" spans="1:13" ht="60" x14ac:dyDescent="0.25">
      <c r="A263" s="7" t="s">
        <v>10583</v>
      </c>
      <c r="B263" s="2" t="s">
        <v>7761</v>
      </c>
      <c r="C263" s="4">
        <v>3</v>
      </c>
      <c r="D263" s="5">
        <v>4.38</v>
      </c>
      <c r="E263" s="5">
        <v>11.99</v>
      </c>
      <c r="F263" s="4" t="s">
        <v>7762</v>
      </c>
      <c r="G263" s="2" t="s">
        <v>129</v>
      </c>
      <c r="H263" s="7" t="s">
        <v>284</v>
      </c>
      <c r="I263" s="2" t="s">
        <v>292</v>
      </c>
      <c r="J263" s="2" t="s">
        <v>293</v>
      </c>
      <c r="K263" s="2" t="s">
        <v>304</v>
      </c>
      <c r="L263" s="2" t="s">
        <v>119</v>
      </c>
      <c r="M263" s="8" t="str">
        <f>HYPERLINK("http://slimages.macys.com/is/image/MCY/13938960 ")</f>
        <v xml:space="preserve">http://slimages.macys.com/is/image/MCY/13938960 </v>
      </c>
    </row>
    <row r="264" spans="1:13" ht="60" x14ac:dyDescent="0.25">
      <c r="A264" s="7" t="s">
        <v>10584</v>
      </c>
      <c r="B264" s="2" t="s">
        <v>10585</v>
      </c>
      <c r="C264" s="4">
        <v>1</v>
      </c>
      <c r="D264" s="5">
        <v>4.3600000000000003</v>
      </c>
      <c r="E264" s="5">
        <v>9.99</v>
      </c>
      <c r="F264" s="4" t="s">
        <v>10586</v>
      </c>
      <c r="G264" s="2" t="s">
        <v>62</v>
      </c>
      <c r="H264" s="7" t="s">
        <v>228</v>
      </c>
      <c r="I264" s="2" t="s">
        <v>389</v>
      </c>
      <c r="J264" s="2" t="s">
        <v>354</v>
      </c>
      <c r="K264" s="2" t="s">
        <v>304</v>
      </c>
      <c r="L264" s="2" t="s">
        <v>358</v>
      </c>
      <c r="M264" s="8" t="str">
        <f>HYPERLINK("http://slimages.macys.com/is/image/MCY/3119399 ")</f>
        <v xml:space="preserve">http://slimages.macys.com/is/image/MCY/3119399 </v>
      </c>
    </row>
    <row r="265" spans="1:13" ht="60" x14ac:dyDescent="0.25">
      <c r="A265" s="7" t="s">
        <v>10587</v>
      </c>
      <c r="B265" s="2" t="s">
        <v>10585</v>
      </c>
      <c r="C265" s="4">
        <v>1</v>
      </c>
      <c r="D265" s="5">
        <v>4.3600000000000003</v>
      </c>
      <c r="E265" s="5">
        <v>9.99</v>
      </c>
      <c r="F265" s="4" t="s">
        <v>10586</v>
      </c>
      <c r="G265" s="2" t="s">
        <v>62</v>
      </c>
      <c r="H265" s="7" t="s">
        <v>196</v>
      </c>
      <c r="I265" s="2" t="s">
        <v>389</v>
      </c>
      <c r="J265" s="2" t="s">
        <v>354</v>
      </c>
      <c r="K265" s="2" t="s">
        <v>304</v>
      </c>
      <c r="L265" s="2" t="s">
        <v>358</v>
      </c>
      <c r="M265" s="8" t="str">
        <f>HYPERLINK("http://slimages.macys.com/is/image/MCY/3119399 ")</f>
        <v xml:space="preserve">http://slimages.macys.com/is/image/MCY/3119399 </v>
      </c>
    </row>
    <row r="266" spans="1:13" ht="60" x14ac:dyDescent="0.25">
      <c r="A266" s="7" t="s">
        <v>5556</v>
      </c>
      <c r="B266" s="2" t="s">
        <v>2049</v>
      </c>
      <c r="C266" s="4">
        <v>2</v>
      </c>
      <c r="D266" s="5">
        <v>4.32</v>
      </c>
      <c r="E266" s="5">
        <v>10.99</v>
      </c>
      <c r="F266" s="4">
        <v>10005384800</v>
      </c>
      <c r="G266" s="2" t="s">
        <v>86</v>
      </c>
      <c r="H266" s="7" t="s">
        <v>149</v>
      </c>
      <c r="I266" s="2" t="s">
        <v>483</v>
      </c>
      <c r="J266" s="2" t="s">
        <v>536</v>
      </c>
      <c r="K266" s="2" t="s">
        <v>304</v>
      </c>
      <c r="L266" s="2" t="s">
        <v>119</v>
      </c>
      <c r="M266" s="8" t="str">
        <f>HYPERLINK("http://slimages.macys.com/is/image/MCY/12465277 ")</f>
        <v xml:space="preserve">http://slimages.macys.com/is/image/MCY/12465277 </v>
      </c>
    </row>
    <row r="267" spans="1:13" ht="60" x14ac:dyDescent="0.25">
      <c r="A267" s="7" t="s">
        <v>7012</v>
      </c>
      <c r="B267" s="2" t="s">
        <v>2049</v>
      </c>
      <c r="C267" s="4">
        <v>1</v>
      </c>
      <c r="D267" s="5">
        <v>4.32</v>
      </c>
      <c r="E267" s="5">
        <v>10.99</v>
      </c>
      <c r="F267" s="4">
        <v>10005384800</v>
      </c>
      <c r="G267" s="2" t="s">
        <v>86</v>
      </c>
      <c r="H267" s="7"/>
      <c r="I267" s="2" t="s">
        <v>483</v>
      </c>
      <c r="J267" s="2" t="s">
        <v>536</v>
      </c>
      <c r="K267" s="2" t="s">
        <v>304</v>
      </c>
      <c r="L267" s="2" t="s">
        <v>119</v>
      </c>
      <c r="M267" s="8" t="str">
        <f>HYPERLINK("http://slimages.macys.com/is/image/MCY/12465277 ")</f>
        <v xml:space="preserve">http://slimages.macys.com/is/image/MCY/12465277 </v>
      </c>
    </row>
    <row r="268" spans="1:13" ht="60" x14ac:dyDescent="0.25">
      <c r="A268" s="7" t="s">
        <v>2053</v>
      </c>
      <c r="B268" s="2" t="s">
        <v>2049</v>
      </c>
      <c r="C268" s="4">
        <v>1</v>
      </c>
      <c r="D268" s="5">
        <v>4.32</v>
      </c>
      <c r="E268" s="5">
        <v>10.99</v>
      </c>
      <c r="F268" s="4">
        <v>10005384800</v>
      </c>
      <c r="G268" s="2" t="s">
        <v>86</v>
      </c>
      <c r="H268" s="7" t="s">
        <v>442</v>
      </c>
      <c r="I268" s="2" t="s">
        <v>483</v>
      </c>
      <c r="J268" s="2" t="s">
        <v>536</v>
      </c>
      <c r="K268" s="2" t="s">
        <v>304</v>
      </c>
      <c r="L268" s="2" t="s">
        <v>119</v>
      </c>
      <c r="M268" s="8" t="str">
        <f>HYPERLINK("http://slimages.macys.com/is/image/MCY/12465277 ")</f>
        <v xml:space="preserve">http://slimages.macys.com/is/image/MCY/12465277 </v>
      </c>
    </row>
    <row r="269" spans="1:13" ht="60" x14ac:dyDescent="0.25">
      <c r="A269" s="7" t="s">
        <v>2051</v>
      </c>
      <c r="B269" s="2" t="s">
        <v>2049</v>
      </c>
      <c r="C269" s="4">
        <v>1</v>
      </c>
      <c r="D269" s="5">
        <v>4.32</v>
      </c>
      <c r="E269" s="5">
        <v>10.99</v>
      </c>
      <c r="F269" s="4">
        <v>10005384800</v>
      </c>
      <c r="G269" s="2" t="s">
        <v>1360</v>
      </c>
      <c r="H269" s="7" t="s">
        <v>91</v>
      </c>
      <c r="I269" s="2" t="s">
        <v>483</v>
      </c>
      <c r="J269" s="2" t="s">
        <v>536</v>
      </c>
      <c r="K269" s="2" t="s">
        <v>304</v>
      </c>
      <c r="L269" s="2" t="s">
        <v>119</v>
      </c>
      <c r="M269" s="8" t="str">
        <f>HYPERLINK("http://slimages.macys.com/is/image/MCY/12465277 ")</f>
        <v xml:space="preserve">http://slimages.macys.com/is/image/MCY/12465277 </v>
      </c>
    </row>
    <row r="270" spans="1:13" ht="60" x14ac:dyDescent="0.25">
      <c r="A270" s="7" t="s">
        <v>7013</v>
      </c>
      <c r="B270" s="2" t="s">
        <v>2049</v>
      </c>
      <c r="C270" s="4">
        <v>2</v>
      </c>
      <c r="D270" s="5">
        <v>4.32</v>
      </c>
      <c r="E270" s="5">
        <v>10.99</v>
      </c>
      <c r="F270" s="4">
        <v>10005384800</v>
      </c>
      <c r="G270" s="2" t="s">
        <v>1360</v>
      </c>
      <c r="H270" s="7" t="s">
        <v>149</v>
      </c>
      <c r="I270" s="2" t="s">
        <v>483</v>
      </c>
      <c r="J270" s="2" t="s">
        <v>536</v>
      </c>
      <c r="K270" s="2" t="s">
        <v>304</v>
      </c>
      <c r="L270" s="2" t="s">
        <v>119</v>
      </c>
      <c r="M270" s="8" t="str">
        <f>HYPERLINK("http://slimages.macys.com/is/image/MCY/12465277 ")</f>
        <v xml:space="preserve">http://slimages.macys.com/is/image/MCY/12465277 </v>
      </c>
    </row>
    <row r="271" spans="1:13" ht="60" x14ac:dyDescent="0.25">
      <c r="A271" s="7" t="s">
        <v>10588</v>
      </c>
      <c r="B271" s="2" t="s">
        <v>5993</v>
      </c>
      <c r="C271" s="4">
        <v>1</v>
      </c>
      <c r="D271" s="5">
        <v>4.2699999999999996</v>
      </c>
      <c r="E271" s="5">
        <v>10.99</v>
      </c>
      <c r="F271" s="4" t="s">
        <v>5994</v>
      </c>
      <c r="G271" s="2" t="s">
        <v>28</v>
      </c>
      <c r="H271" s="7" t="s">
        <v>311</v>
      </c>
      <c r="I271" s="2" t="s">
        <v>218</v>
      </c>
      <c r="J271" s="2" t="s">
        <v>2008</v>
      </c>
      <c r="K271" s="2" t="s">
        <v>304</v>
      </c>
      <c r="L271" s="2" t="s">
        <v>119</v>
      </c>
      <c r="M271" s="8" t="str">
        <f>HYPERLINK("http://slimages.macys.com/is/image/MCY/12684312 ")</f>
        <v xml:space="preserve">http://slimages.macys.com/is/image/MCY/12684312 </v>
      </c>
    </row>
    <row r="272" spans="1:13" ht="60" x14ac:dyDescent="0.25">
      <c r="A272" s="7" t="s">
        <v>10589</v>
      </c>
      <c r="B272" s="2" t="s">
        <v>10590</v>
      </c>
      <c r="C272" s="4">
        <v>1</v>
      </c>
      <c r="D272" s="5">
        <v>4.25</v>
      </c>
      <c r="E272" s="5">
        <v>10.5</v>
      </c>
      <c r="F272" s="4" t="s">
        <v>10591</v>
      </c>
      <c r="G272" s="2" t="s">
        <v>48</v>
      </c>
      <c r="H272" s="7" t="s">
        <v>228</v>
      </c>
      <c r="I272" s="2" t="s">
        <v>468</v>
      </c>
      <c r="J272" s="2" t="s">
        <v>469</v>
      </c>
      <c r="K272" s="2" t="s">
        <v>304</v>
      </c>
      <c r="L272" s="2" t="s">
        <v>119</v>
      </c>
      <c r="M272" s="8" t="str">
        <f>HYPERLINK("http://slimages.macys.com/is/image/MCY/11030893 ")</f>
        <v xml:space="preserve">http://slimages.macys.com/is/image/MCY/11030893 </v>
      </c>
    </row>
    <row r="273" spans="1:13" ht="60" x14ac:dyDescent="0.25">
      <c r="A273" s="7" t="s">
        <v>8357</v>
      </c>
      <c r="B273" s="2" t="s">
        <v>2058</v>
      </c>
      <c r="C273" s="4">
        <v>1</v>
      </c>
      <c r="D273" s="5">
        <v>4.25</v>
      </c>
      <c r="E273" s="5">
        <v>7.99</v>
      </c>
      <c r="F273" s="4" t="s">
        <v>2059</v>
      </c>
      <c r="G273" s="2" t="s">
        <v>41</v>
      </c>
      <c r="H273" s="7" t="s">
        <v>123</v>
      </c>
      <c r="I273" s="2" t="s">
        <v>73</v>
      </c>
      <c r="J273" s="2" t="s">
        <v>1963</v>
      </c>
      <c r="K273" s="2" t="s">
        <v>304</v>
      </c>
      <c r="L273" s="2" t="s">
        <v>119</v>
      </c>
      <c r="M273" s="8" t="str">
        <f>HYPERLINK("http://slimages.macys.com/is/image/MCY/11272141 ")</f>
        <v xml:space="preserve">http://slimages.macys.com/is/image/MCY/11272141 </v>
      </c>
    </row>
    <row r="274" spans="1:13" ht="60" x14ac:dyDescent="0.25">
      <c r="A274" s="7" t="s">
        <v>2081</v>
      </c>
      <c r="B274" s="2" t="s">
        <v>2075</v>
      </c>
      <c r="C274" s="4">
        <v>2</v>
      </c>
      <c r="D274" s="5">
        <v>4.1500000000000004</v>
      </c>
      <c r="E274" s="5">
        <v>10.99</v>
      </c>
      <c r="F274" s="4" t="s">
        <v>2076</v>
      </c>
      <c r="G274" s="2"/>
      <c r="H274" s="7"/>
      <c r="I274" s="2" t="s">
        <v>312</v>
      </c>
      <c r="J274" s="2" t="s">
        <v>2077</v>
      </c>
      <c r="K274" s="2" t="s">
        <v>304</v>
      </c>
      <c r="L274" s="2" t="s">
        <v>2078</v>
      </c>
      <c r="M274" s="8" t="str">
        <f>HYPERLINK("http://slimages.macys.com/is/image/MCY/12045142 ")</f>
        <v xml:space="preserve">http://slimages.macys.com/is/image/MCY/12045142 </v>
      </c>
    </row>
    <row r="275" spans="1:13" ht="60" x14ac:dyDescent="0.25">
      <c r="A275" s="7" t="s">
        <v>2074</v>
      </c>
      <c r="B275" s="2" t="s">
        <v>2075</v>
      </c>
      <c r="C275" s="4">
        <v>2</v>
      </c>
      <c r="D275" s="5">
        <v>4.1500000000000004</v>
      </c>
      <c r="E275" s="5">
        <v>10.99</v>
      </c>
      <c r="F275" s="4" t="s">
        <v>2076</v>
      </c>
      <c r="G275" s="2"/>
      <c r="H275" s="7"/>
      <c r="I275" s="2" t="s">
        <v>312</v>
      </c>
      <c r="J275" s="2" t="s">
        <v>2077</v>
      </c>
      <c r="K275" s="2" t="s">
        <v>304</v>
      </c>
      <c r="L275" s="2" t="s">
        <v>2078</v>
      </c>
      <c r="M275" s="8" t="str">
        <f>HYPERLINK("http://slimages.macys.com/is/image/MCY/12045142 ")</f>
        <v xml:space="preserve">http://slimages.macys.com/is/image/MCY/12045142 </v>
      </c>
    </row>
    <row r="276" spans="1:13" ht="60" x14ac:dyDescent="0.25">
      <c r="A276" s="7" t="s">
        <v>2079</v>
      </c>
      <c r="B276" s="2" t="s">
        <v>2075</v>
      </c>
      <c r="C276" s="4">
        <v>1</v>
      </c>
      <c r="D276" s="5">
        <v>4.1500000000000004</v>
      </c>
      <c r="E276" s="5">
        <v>10.99</v>
      </c>
      <c r="F276" s="4" t="s">
        <v>2076</v>
      </c>
      <c r="G276" s="2"/>
      <c r="H276" s="7"/>
      <c r="I276" s="2" t="s">
        <v>312</v>
      </c>
      <c r="J276" s="2" t="s">
        <v>2077</v>
      </c>
      <c r="K276" s="2" t="s">
        <v>304</v>
      </c>
      <c r="L276" s="2" t="s">
        <v>2078</v>
      </c>
      <c r="M276" s="8" t="str">
        <f>HYPERLINK("http://slimages.macys.com/is/image/MCY/12045142 ")</f>
        <v xml:space="preserve">http://slimages.macys.com/is/image/MCY/12045142 </v>
      </c>
    </row>
    <row r="277" spans="1:13" ht="60" x14ac:dyDescent="0.25">
      <c r="A277" s="7" t="s">
        <v>2080</v>
      </c>
      <c r="B277" s="2" t="s">
        <v>2075</v>
      </c>
      <c r="C277" s="4">
        <v>3</v>
      </c>
      <c r="D277" s="5">
        <v>4.1500000000000004</v>
      </c>
      <c r="E277" s="5">
        <v>10.99</v>
      </c>
      <c r="F277" s="4" t="s">
        <v>2076</v>
      </c>
      <c r="G277" s="2"/>
      <c r="H277" s="7"/>
      <c r="I277" s="2" t="s">
        <v>312</v>
      </c>
      <c r="J277" s="2" t="s">
        <v>2077</v>
      </c>
      <c r="K277" s="2" t="s">
        <v>304</v>
      </c>
      <c r="L277" s="2" t="s">
        <v>2078</v>
      </c>
      <c r="M277" s="8" t="str">
        <f>HYPERLINK("http://slimages.macys.com/is/image/MCY/12045142 ")</f>
        <v xml:space="preserve">http://slimages.macys.com/is/image/MCY/12045142 </v>
      </c>
    </row>
    <row r="278" spans="1:13" ht="60" x14ac:dyDescent="0.25">
      <c r="A278" s="7" t="s">
        <v>10592</v>
      </c>
      <c r="B278" s="2" t="s">
        <v>2089</v>
      </c>
      <c r="C278" s="4">
        <v>1</v>
      </c>
      <c r="D278" s="5">
        <v>4.1100000000000003</v>
      </c>
      <c r="E278" s="5">
        <v>10.99</v>
      </c>
      <c r="F278" s="4" t="s">
        <v>2090</v>
      </c>
      <c r="G278" s="2" t="s">
        <v>36</v>
      </c>
      <c r="H278" s="7" t="s">
        <v>196</v>
      </c>
      <c r="I278" s="2" t="s">
        <v>389</v>
      </c>
      <c r="J278" s="2" t="s">
        <v>354</v>
      </c>
      <c r="K278" s="2" t="s">
        <v>304</v>
      </c>
      <c r="L278" s="2" t="s">
        <v>119</v>
      </c>
      <c r="M278" s="8" t="str">
        <f>HYPERLINK("http://slimages.macys.com/is/image/MCY/12650597 ")</f>
        <v xml:space="preserve">http://slimages.macys.com/is/image/MCY/12650597 </v>
      </c>
    </row>
    <row r="279" spans="1:13" ht="60" x14ac:dyDescent="0.25">
      <c r="A279" s="7" t="s">
        <v>10593</v>
      </c>
      <c r="B279" s="2" t="s">
        <v>10594</v>
      </c>
      <c r="C279" s="4">
        <v>1</v>
      </c>
      <c r="D279" s="5">
        <v>4</v>
      </c>
      <c r="E279" s="5">
        <v>8.99</v>
      </c>
      <c r="F279" s="4" t="s">
        <v>10595</v>
      </c>
      <c r="G279" s="2" t="s">
        <v>28</v>
      </c>
      <c r="H279" s="7" t="s">
        <v>91</v>
      </c>
      <c r="I279" s="2" t="s">
        <v>153</v>
      </c>
      <c r="J279" s="2" t="s">
        <v>154</v>
      </c>
      <c r="K279" s="2"/>
      <c r="L279" s="2"/>
      <c r="M279" s="8" t="str">
        <f>HYPERLINK("http://slimages.macys.com/is/image/MCY/9469104 ")</f>
        <v xml:space="preserve">http://slimages.macys.com/is/image/MCY/9469104 </v>
      </c>
    </row>
    <row r="280" spans="1:13" ht="60" x14ac:dyDescent="0.25">
      <c r="A280" s="7" t="s">
        <v>10596</v>
      </c>
      <c r="B280" s="2" t="s">
        <v>10594</v>
      </c>
      <c r="C280" s="4">
        <v>2</v>
      </c>
      <c r="D280" s="5">
        <v>4</v>
      </c>
      <c r="E280" s="5">
        <v>8.99</v>
      </c>
      <c r="F280" s="4" t="s">
        <v>10595</v>
      </c>
      <c r="G280" s="2" t="s">
        <v>28</v>
      </c>
      <c r="H280" s="7" t="s">
        <v>233</v>
      </c>
      <c r="I280" s="2" t="s">
        <v>153</v>
      </c>
      <c r="J280" s="2" t="s">
        <v>154</v>
      </c>
      <c r="K280" s="2"/>
      <c r="L280" s="2"/>
      <c r="M280" s="8" t="str">
        <f>HYPERLINK("http://slimages.macys.com/is/image/MCY/9469104 ")</f>
        <v xml:space="preserve">http://slimages.macys.com/is/image/MCY/9469104 </v>
      </c>
    </row>
    <row r="281" spans="1:13" ht="60" x14ac:dyDescent="0.25">
      <c r="A281" s="7" t="s">
        <v>5053</v>
      </c>
      <c r="B281" s="2" t="s">
        <v>5054</v>
      </c>
      <c r="C281" s="4">
        <v>9</v>
      </c>
      <c r="D281" s="5">
        <v>3.9</v>
      </c>
      <c r="E281" s="5">
        <v>7.99</v>
      </c>
      <c r="F281" s="4" t="s">
        <v>5055</v>
      </c>
      <c r="G281" s="2" t="s">
        <v>1047</v>
      </c>
      <c r="H281" s="7"/>
      <c r="I281" s="2" t="s">
        <v>523</v>
      </c>
      <c r="J281" s="2" t="s">
        <v>5056</v>
      </c>
      <c r="K281" s="2" t="s">
        <v>304</v>
      </c>
      <c r="L281" s="2" t="s">
        <v>358</v>
      </c>
      <c r="M281" s="8" t="str">
        <f>HYPERLINK("http://slimages.macys.com/is/image/MCY/3254673 ")</f>
        <v xml:space="preserve">http://slimages.macys.com/is/image/MCY/3254673 </v>
      </c>
    </row>
    <row r="282" spans="1:13" ht="60" x14ac:dyDescent="0.25">
      <c r="A282" s="7" t="s">
        <v>5583</v>
      </c>
      <c r="B282" s="2" t="s">
        <v>5584</v>
      </c>
      <c r="C282" s="4">
        <v>2</v>
      </c>
      <c r="D282" s="5">
        <v>3.9</v>
      </c>
      <c r="E282" s="5">
        <v>7.99</v>
      </c>
      <c r="F282" s="4" t="s">
        <v>5585</v>
      </c>
      <c r="G282" s="2" t="s">
        <v>1047</v>
      </c>
      <c r="H282" s="7" t="s">
        <v>5586</v>
      </c>
      <c r="I282" s="2" t="s">
        <v>523</v>
      </c>
      <c r="J282" s="2" t="s">
        <v>5056</v>
      </c>
      <c r="K282" s="2" t="s">
        <v>304</v>
      </c>
      <c r="L282" s="2" t="s">
        <v>358</v>
      </c>
      <c r="M282" s="8" t="str">
        <f>HYPERLINK("http://slimages.macys.com/is/image/MCY/8847919 ")</f>
        <v xml:space="preserve">http://slimages.macys.com/is/image/MCY/8847919 </v>
      </c>
    </row>
    <row r="283" spans="1:13" ht="60" x14ac:dyDescent="0.25">
      <c r="A283" s="7" t="s">
        <v>5587</v>
      </c>
      <c r="B283" s="2" t="s">
        <v>5588</v>
      </c>
      <c r="C283" s="4">
        <v>9</v>
      </c>
      <c r="D283" s="5">
        <v>3.9</v>
      </c>
      <c r="E283" s="5">
        <v>7.99</v>
      </c>
      <c r="F283" s="4" t="s">
        <v>5589</v>
      </c>
      <c r="G283" s="2" t="s">
        <v>1047</v>
      </c>
      <c r="H283" s="7" t="s">
        <v>5590</v>
      </c>
      <c r="I283" s="2" t="s">
        <v>523</v>
      </c>
      <c r="J283" s="2" t="s">
        <v>5056</v>
      </c>
      <c r="K283" s="2" t="s">
        <v>304</v>
      </c>
      <c r="L283" s="2" t="s">
        <v>358</v>
      </c>
      <c r="M283" s="8" t="str">
        <f>HYPERLINK("http://slimages.macys.com/is/image/MCY/3254673 ")</f>
        <v xml:space="preserve">http://slimages.macys.com/is/image/MCY/3254673 </v>
      </c>
    </row>
    <row r="284" spans="1:13" ht="60" x14ac:dyDescent="0.25">
      <c r="A284" s="7" t="s">
        <v>10597</v>
      </c>
      <c r="B284" s="2" t="s">
        <v>9697</v>
      </c>
      <c r="C284" s="4">
        <v>1</v>
      </c>
      <c r="D284" s="5">
        <v>3.88</v>
      </c>
      <c r="E284" s="5">
        <v>10.99</v>
      </c>
      <c r="F284" s="4" t="s">
        <v>9698</v>
      </c>
      <c r="G284" s="2" t="s">
        <v>582</v>
      </c>
      <c r="H284" s="7" t="s">
        <v>228</v>
      </c>
      <c r="I284" s="2" t="s">
        <v>389</v>
      </c>
      <c r="J284" s="2" t="s">
        <v>354</v>
      </c>
      <c r="K284" s="2" t="s">
        <v>304</v>
      </c>
      <c r="L284" s="2" t="s">
        <v>358</v>
      </c>
      <c r="M284" s="8" t="str">
        <f>HYPERLINK("http://slimages.macys.com/is/image/MCY/12121793 ")</f>
        <v xml:space="preserve">http://slimages.macys.com/is/image/MCY/12121793 </v>
      </c>
    </row>
    <row r="285" spans="1:13" ht="72" x14ac:dyDescent="0.25">
      <c r="A285" s="7" t="s">
        <v>10598</v>
      </c>
      <c r="B285" s="2" t="s">
        <v>6015</v>
      </c>
      <c r="C285" s="4">
        <v>1</v>
      </c>
      <c r="D285" s="5">
        <v>3.83</v>
      </c>
      <c r="E285" s="5">
        <v>9.99</v>
      </c>
      <c r="F285" s="4" t="s">
        <v>6016</v>
      </c>
      <c r="G285" s="2" t="s">
        <v>858</v>
      </c>
      <c r="H285" s="7" t="s">
        <v>1151</v>
      </c>
      <c r="I285" s="2" t="s">
        <v>515</v>
      </c>
      <c r="J285" s="2" t="s">
        <v>875</v>
      </c>
      <c r="K285" s="2" t="s">
        <v>304</v>
      </c>
      <c r="L285" s="2" t="s">
        <v>6017</v>
      </c>
      <c r="M285" s="8" t="str">
        <f>HYPERLINK("http://slimages.macys.com/is/image/MCY/12387472 ")</f>
        <v xml:space="preserve">http://slimages.macys.com/is/image/MCY/12387472 </v>
      </c>
    </row>
    <row r="286" spans="1:13" ht="60" x14ac:dyDescent="0.25">
      <c r="A286" s="7" t="s">
        <v>10599</v>
      </c>
      <c r="B286" s="2" t="s">
        <v>10600</v>
      </c>
      <c r="C286" s="4">
        <v>6</v>
      </c>
      <c r="D286" s="5">
        <v>3.68</v>
      </c>
      <c r="E286" s="5">
        <v>8.99</v>
      </c>
      <c r="F286" s="4" t="s">
        <v>10601</v>
      </c>
      <c r="G286" s="2" t="s">
        <v>41</v>
      </c>
      <c r="H286" s="7" t="s">
        <v>442</v>
      </c>
      <c r="I286" s="2" t="s">
        <v>483</v>
      </c>
      <c r="J286" s="2" t="s">
        <v>536</v>
      </c>
      <c r="K286" s="2" t="s">
        <v>304</v>
      </c>
      <c r="L286" s="2" t="s">
        <v>87</v>
      </c>
      <c r="M286" s="8" t="str">
        <f>HYPERLINK("http://slimages.macys.com/is/image/MCY/12644418 ")</f>
        <v xml:space="preserve">http://slimages.macys.com/is/image/MCY/12644418 </v>
      </c>
    </row>
    <row r="287" spans="1:13" ht="60" x14ac:dyDescent="0.25">
      <c r="A287" s="7" t="s">
        <v>10602</v>
      </c>
      <c r="B287" s="2" t="s">
        <v>10600</v>
      </c>
      <c r="C287" s="4">
        <v>1</v>
      </c>
      <c r="D287" s="5">
        <v>3.68</v>
      </c>
      <c r="E287" s="5">
        <v>8.99</v>
      </c>
      <c r="F287" s="4" t="s">
        <v>10601</v>
      </c>
      <c r="G287" s="2" t="s">
        <v>41</v>
      </c>
      <c r="H287" s="7" t="s">
        <v>590</v>
      </c>
      <c r="I287" s="2" t="s">
        <v>483</v>
      </c>
      <c r="J287" s="2" t="s">
        <v>536</v>
      </c>
      <c r="K287" s="2" t="s">
        <v>304</v>
      </c>
      <c r="L287" s="2" t="s">
        <v>87</v>
      </c>
      <c r="M287" s="8" t="str">
        <f>HYPERLINK("http://slimages.macys.com/is/image/MCY/12644418 ")</f>
        <v xml:space="preserve">http://slimages.macys.com/is/image/MCY/12644418 </v>
      </c>
    </row>
    <row r="288" spans="1:13" ht="60" x14ac:dyDescent="0.25">
      <c r="A288" s="7" t="s">
        <v>10603</v>
      </c>
      <c r="B288" s="2" t="s">
        <v>10600</v>
      </c>
      <c r="C288" s="4">
        <v>3</v>
      </c>
      <c r="D288" s="5">
        <v>3.68</v>
      </c>
      <c r="E288" s="5">
        <v>8.99</v>
      </c>
      <c r="F288" s="4" t="s">
        <v>10601</v>
      </c>
      <c r="G288" s="2" t="s">
        <v>41</v>
      </c>
      <c r="H288" s="7" t="s">
        <v>91</v>
      </c>
      <c r="I288" s="2" t="s">
        <v>483</v>
      </c>
      <c r="J288" s="2" t="s">
        <v>536</v>
      </c>
      <c r="K288" s="2" t="s">
        <v>304</v>
      </c>
      <c r="L288" s="2" t="s">
        <v>87</v>
      </c>
      <c r="M288" s="8" t="str">
        <f>HYPERLINK("http://slimages.macys.com/is/image/MCY/12644418 ")</f>
        <v xml:space="preserve">http://slimages.macys.com/is/image/MCY/12644418 </v>
      </c>
    </row>
    <row r="289" spans="1:13" ht="60" x14ac:dyDescent="0.25">
      <c r="A289" s="7" t="s">
        <v>10604</v>
      </c>
      <c r="B289" s="2" t="s">
        <v>10605</v>
      </c>
      <c r="C289" s="4">
        <v>1</v>
      </c>
      <c r="D289" s="5">
        <v>3.66</v>
      </c>
      <c r="E289" s="5">
        <v>7.99</v>
      </c>
      <c r="F289" s="4" t="s">
        <v>10606</v>
      </c>
      <c r="G289" s="2" t="s">
        <v>28</v>
      </c>
      <c r="H289" s="7" t="s">
        <v>618</v>
      </c>
      <c r="I289" s="2" t="s">
        <v>292</v>
      </c>
      <c r="J289" s="2" t="s">
        <v>354</v>
      </c>
      <c r="K289" s="2" t="s">
        <v>304</v>
      </c>
      <c r="L289" s="2" t="s">
        <v>119</v>
      </c>
      <c r="M289" s="8" t="str">
        <f>HYPERLINK("http://slimages.macys.com/is/image/MCY/11527526 ")</f>
        <v xml:space="preserve">http://slimages.macys.com/is/image/MCY/11527526 </v>
      </c>
    </row>
    <row r="290" spans="1:13" ht="60" x14ac:dyDescent="0.25">
      <c r="A290" s="7" t="s">
        <v>10607</v>
      </c>
      <c r="B290" s="2" t="s">
        <v>10605</v>
      </c>
      <c r="C290" s="4">
        <v>1</v>
      </c>
      <c r="D290" s="5">
        <v>3.66</v>
      </c>
      <c r="E290" s="5">
        <v>7.99</v>
      </c>
      <c r="F290" s="4" t="s">
        <v>10606</v>
      </c>
      <c r="G290" s="2" t="s">
        <v>28</v>
      </c>
      <c r="H290" s="7" t="s">
        <v>379</v>
      </c>
      <c r="I290" s="2" t="s">
        <v>292</v>
      </c>
      <c r="J290" s="2" t="s">
        <v>354</v>
      </c>
      <c r="K290" s="2" t="s">
        <v>304</v>
      </c>
      <c r="L290" s="2" t="s">
        <v>119</v>
      </c>
      <c r="M290" s="8" t="str">
        <f>HYPERLINK("http://slimages.macys.com/is/image/MCY/11527526 ")</f>
        <v xml:space="preserve">http://slimages.macys.com/is/image/MCY/11527526 </v>
      </c>
    </row>
    <row r="291" spans="1:13" ht="60" x14ac:dyDescent="0.25">
      <c r="A291" s="7" t="s">
        <v>10608</v>
      </c>
      <c r="B291" s="2" t="s">
        <v>7797</v>
      </c>
      <c r="C291" s="4">
        <v>1</v>
      </c>
      <c r="D291" s="5">
        <v>3.66</v>
      </c>
      <c r="E291" s="5">
        <v>7.99</v>
      </c>
      <c r="F291" s="4" t="s">
        <v>7798</v>
      </c>
      <c r="G291" s="2" t="s">
        <v>41</v>
      </c>
      <c r="H291" s="7" t="s">
        <v>1151</v>
      </c>
      <c r="I291" s="2" t="s">
        <v>292</v>
      </c>
      <c r="J291" s="2" t="s">
        <v>354</v>
      </c>
      <c r="K291" s="2" t="s">
        <v>304</v>
      </c>
      <c r="L291" s="2" t="s">
        <v>571</v>
      </c>
      <c r="M291" s="8" t="str">
        <f>HYPERLINK("http://slimages.macys.com/is/image/MCY/12684445 ")</f>
        <v xml:space="preserve">http://slimages.macys.com/is/image/MCY/12684445 </v>
      </c>
    </row>
    <row r="292" spans="1:13" ht="60" x14ac:dyDescent="0.25">
      <c r="A292" s="7" t="s">
        <v>10609</v>
      </c>
      <c r="B292" s="2" t="s">
        <v>8377</v>
      </c>
      <c r="C292" s="4">
        <v>1</v>
      </c>
      <c r="D292" s="5">
        <v>3.5</v>
      </c>
      <c r="E292" s="5">
        <v>8.14</v>
      </c>
      <c r="F292" s="4">
        <v>18494710</v>
      </c>
      <c r="G292" s="2" t="s">
        <v>62</v>
      </c>
      <c r="H292" s="7" t="s">
        <v>438</v>
      </c>
      <c r="I292" s="2" t="s">
        <v>153</v>
      </c>
      <c r="J292" s="2" t="s">
        <v>154</v>
      </c>
      <c r="K292" s="2" t="s">
        <v>304</v>
      </c>
      <c r="L292" s="2" t="s">
        <v>206</v>
      </c>
      <c r="M292" s="8" t="str">
        <f>HYPERLINK("http://slimages.macys.com/is/image/MCY/14661922 ")</f>
        <v xml:space="preserve">http://slimages.macys.com/is/image/MCY/14661922 </v>
      </c>
    </row>
    <row r="293" spans="1:13" ht="60" x14ac:dyDescent="0.25">
      <c r="A293" s="7" t="s">
        <v>10610</v>
      </c>
      <c r="B293" s="2" t="s">
        <v>5521</v>
      </c>
      <c r="C293" s="4">
        <v>1</v>
      </c>
      <c r="D293" s="5">
        <v>3.49</v>
      </c>
      <c r="E293" s="5">
        <v>7.99</v>
      </c>
      <c r="F293" s="4" t="s">
        <v>5612</v>
      </c>
      <c r="G293" s="2" t="s">
        <v>41</v>
      </c>
      <c r="H293" s="7" t="s">
        <v>166</v>
      </c>
      <c r="I293" s="2" t="s">
        <v>292</v>
      </c>
      <c r="J293" s="2" t="s">
        <v>354</v>
      </c>
      <c r="K293" s="2" t="s">
        <v>304</v>
      </c>
      <c r="L293" s="2" t="s">
        <v>571</v>
      </c>
      <c r="M293" s="8" t="str">
        <f>HYPERLINK("http://slimages.macys.com/is/image/MCY/12684342 ")</f>
        <v xml:space="preserve">http://slimages.macys.com/is/image/MCY/12684342 </v>
      </c>
    </row>
    <row r="294" spans="1:13" ht="60" x14ac:dyDescent="0.25">
      <c r="A294" s="7" t="s">
        <v>9167</v>
      </c>
      <c r="B294" s="2" t="s">
        <v>4316</v>
      </c>
      <c r="C294" s="4">
        <v>1</v>
      </c>
      <c r="D294" s="5">
        <v>3.49</v>
      </c>
      <c r="E294" s="5">
        <v>7.99</v>
      </c>
      <c r="F294" s="4" t="s">
        <v>4317</v>
      </c>
      <c r="G294" s="2" t="s">
        <v>103</v>
      </c>
      <c r="H294" s="7" t="s">
        <v>578</v>
      </c>
      <c r="I294" s="2" t="s">
        <v>1689</v>
      </c>
      <c r="J294" s="2" t="s">
        <v>354</v>
      </c>
      <c r="K294" s="2" t="s">
        <v>304</v>
      </c>
      <c r="L294" s="2" t="s">
        <v>596</v>
      </c>
      <c r="M294" s="8" t="str">
        <f>HYPERLINK("http://slimages.macys.com/is/image/MCY/12101731 ")</f>
        <v xml:space="preserve">http://slimages.macys.com/is/image/MCY/12101731 </v>
      </c>
    </row>
    <row r="295" spans="1:13" ht="60" x14ac:dyDescent="0.25">
      <c r="A295" s="7" t="s">
        <v>10611</v>
      </c>
      <c r="B295" s="2" t="s">
        <v>2128</v>
      </c>
      <c r="C295" s="4">
        <v>1</v>
      </c>
      <c r="D295" s="5">
        <v>3.48</v>
      </c>
      <c r="E295" s="5">
        <v>5.99</v>
      </c>
      <c r="F295" s="4" t="s">
        <v>2129</v>
      </c>
      <c r="G295" s="2" t="s">
        <v>28</v>
      </c>
      <c r="H295" s="7" t="s">
        <v>311</v>
      </c>
      <c r="I295" s="2" t="s">
        <v>80</v>
      </c>
      <c r="J295" s="2" t="s">
        <v>1857</v>
      </c>
      <c r="K295" s="2" t="s">
        <v>304</v>
      </c>
      <c r="L295" s="2" t="s">
        <v>125</v>
      </c>
      <c r="M295" s="8" t="str">
        <f>HYPERLINK("http://slimages.macys.com/is/image/MCY/12751351 ")</f>
        <v xml:space="preserve">http://slimages.macys.com/is/image/MCY/12751351 </v>
      </c>
    </row>
    <row r="296" spans="1:13" ht="60" x14ac:dyDescent="0.25">
      <c r="A296" s="7" t="s">
        <v>10612</v>
      </c>
      <c r="B296" s="2" t="s">
        <v>2128</v>
      </c>
      <c r="C296" s="4">
        <v>1</v>
      </c>
      <c r="D296" s="5">
        <v>3.48</v>
      </c>
      <c r="E296" s="5">
        <v>5.99</v>
      </c>
      <c r="F296" s="4" t="s">
        <v>2129</v>
      </c>
      <c r="G296" s="2" t="s">
        <v>28</v>
      </c>
      <c r="H296" s="7" t="s">
        <v>166</v>
      </c>
      <c r="I296" s="2" t="s">
        <v>80</v>
      </c>
      <c r="J296" s="2" t="s">
        <v>1857</v>
      </c>
      <c r="K296" s="2" t="s">
        <v>304</v>
      </c>
      <c r="L296" s="2" t="s">
        <v>125</v>
      </c>
      <c r="M296" s="8" t="str">
        <f>HYPERLINK("http://slimages.macys.com/is/image/MCY/12751351 ")</f>
        <v xml:space="preserve">http://slimages.macys.com/is/image/MCY/12751351 </v>
      </c>
    </row>
    <row r="297" spans="1:13" ht="108" x14ac:dyDescent="0.25">
      <c r="A297" s="7" t="s">
        <v>10613</v>
      </c>
      <c r="B297" s="2" t="s">
        <v>565</v>
      </c>
      <c r="C297" s="4">
        <v>1</v>
      </c>
      <c r="D297" s="5">
        <v>3.45</v>
      </c>
      <c r="E297" s="5">
        <v>7.99</v>
      </c>
      <c r="F297" s="4" t="s">
        <v>566</v>
      </c>
      <c r="G297" s="2" t="s">
        <v>28</v>
      </c>
      <c r="H297" s="7" t="s">
        <v>166</v>
      </c>
      <c r="I297" s="2" t="s">
        <v>292</v>
      </c>
      <c r="J297" s="2" t="s">
        <v>354</v>
      </c>
      <c r="K297" s="2" t="s">
        <v>304</v>
      </c>
      <c r="L297" s="2" t="s">
        <v>567</v>
      </c>
      <c r="M297" s="8" t="str">
        <f>HYPERLINK("http://slimages.macys.com/is/image/MCY/12684419 ")</f>
        <v xml:space="preserve">http://slimages.macys.com/is/image/MCY/12684419 </v>
      </c>
    </row>
    <row r="298" spans="1:13" ht="60" x14ac:dyDescent="0.25">
      <c r="A298" s="7" t="s">
        <v>4318</v>
      </c>
      <c r="B298" s="2" t="s">
        <v>3502</v>
      </c>
      <c r="C298" s="4">
        <v>1</v>
      </c>
      <c r="D298" s="5">
        <v>3.44</v>
      </c>
      <c r="E298" s="5">
        <v>7.99</v>
      </c>
      <c r="F298" s="4" t="s">
        <v>3503</v>
      </c>
      <c r="G298" s="2" t="s">
        <v>752</v>
      </c>
      <c r="H298" s="7" t="s">
        <v>1151</v>
      </c>
      <c r="I298" s="2" t="s">
        <v>1689</v>
      </c>
      <c r="J298" s="2" t="s">
        <v>354</v>
      </c>
      <c r="K298" s="2" t="s">
        <v>304</v>
      </c>
      <c r="L298" s="2" t="s">
        <v>596</v>
      </c>
      <c r="M298" s="8" t="str">
        <f>HYPERLINK("http://slimages.macys.com/is/image/MCY/12938521 ")</f>
        <v xml:space="preserve">http://slimages.macys.com/is/image/MCY/12938521 </v>
      </c>
    </row>
    <row r="299" spans="1:13" ht="60" x14ac:dyDescent="0.25">
      <c r="A299" s="7" t="s">
        <v>10614</v>
      </c>
      <c r="B299" s="2" t="s">
        <v>10615</v>
      </c>
      <c r="C299" s="4">
        <v>2</v>
      </c>
      <c r="D299" s="5">
        <v>3.31</v>
      </c>
      <c r="E299" s="5">
        <v>8.99</v>
      </c>
      <c r="F299" s="4">
        <v>100022397</v>
      </c>
      <c r="G299" s="2" t="s">
        <v>28</v>
      </c>
      <c r="H299" s="7" t="s">
        <v>590</v>
      </c>
      <c r="I299" s="2" t="s">
        <v>483</v>
      </c>
      <c r="J299" s="2" t="s">
        <v>536</v>
      </c>
      <c r="K299" s="2" t="s">
        <v>304</v>
      </c>
      <c r="L299" s="2" t="s">
        <v>10616</v>
      </c>
      <c r="M299" s="8" t="str">
        <f>HYPERLINK("http://slimages.macys.com/is/image/MCY/9883866 ")</f>
        <v xml:space="preserve">http://slimages.macys.com/is/image/MCY/9883866 </v>
      </c>
    </row>
    <row r="300" spans="1:13" ht="60" x14ac:dyDescent="0.25">
      <c r="A300" s="7" t="s">
        <v>10617</v>
      </c>
      <c r="B300" s="2" t="s">
        <v>10615</v>
      </c>
      <c r="C300" s="4">
        <v>1</v>
      </c>
      <c r="D300" s="5">
        <v>3.31</v>
      </c>
      <c r="E300" s="5">
        <v>8.99</v>
      </c>
      <c r="F300" s="4">
        <v>100022397</v>
      </c>
      <c r="G300" s="2" t="s">
        <v>28</v>
      </c>
      <c r="H300" s="7" t="s">
        <v>91</v>
      </c>
      <c r="I300" s="2" t="s">
        <v>483</v>
      </c>
      <c r="J300" s="2" t="s">
        <v>536</v>
      </c>
      <c r="K300" s="2" t="s">
        <v>304</v>
      </c>
      <c r="L300" s="2" t="s">
        <v>10616</v>
      </c>
      <c r="M300" s="8" t="str">
        <f>HYPERLINK("http://slimages.macys.com/is/image/MCY/9883866 ")</f>
        <v xml:space="preserve">http://slimages.macys.com/is/image/MCY/9883866 </v>
      </c>
    </row>
    <row r="301" spans="1:13" ht="60" x14ac:dyDescent="0.25">
      <c r="A301" s="7" t="s">
        <v>10618</v>
      </c>
      <c r="B301" s="2" t="s">
        <v>10615</v>
      </c>
      <c r="C301" s="4">
        <v>3</v>
      </c>
      <c r="D301" s="5">
        <v>3.31</v>
      </c>
      <c r="E301" s="5">
        <v>8.99</v>
      </c>
      <c r="F301" s="4">
        <v>100022397</v>
      </c>
      <c r="G301" s="2" t="s">
        <v>28</v>
      </c>
      <c r="H301" s="7" t="s">
        <v>442</v>
      </c>
      <c r="I301" s="2" t="s">
        <v>483</v>
      </c>
      <c r="J301" s="2" t="s">
        <v>536</v>
      </c>
      <c r="K301" s="2" t="s">
        <v>304</v>
      </c>
      <c r="L301" s="2" t="s">
        <v>10616</v>
      </c>
      <c r="M301" s="8" t="str">
        <f>HYPERLINK("http://slimages.macys.com/is/image/MCY/9883866 ")</f>
        <v xml:space="preserve">http://slimages.macys.com/is/image/MCY/9883866 </v>
      </c>
    </row>
    <row r="302" spans="1:13" ht="60" x14ac:dyDescent="0.25">
      <c r="A302" s="7" t="s">
        <v>10619</v>
      </c>
      <c r="B302" s="2" t="s">
        <v>4354</v>
      </c>
      <c r="C302" s="4">
        <v>1</v>
      </c>
      <c r="D302" s="5">
        <v>3.29</v>
      </c>
      <c r="E302" s="5">
        <v>7.99</v>
      </c>
      <c r="F302" s="4" t="s">
        <v>4355</v>
      </c>
      <c r="G302" s="2" t="s">
        <v>793</v>
      </c>
      <c r="H302" s="7" t="s">
        <v>123</v>
      </c>
      <c r="I302" s="2" t="s">
        <v>1689</v>
      </c>
      <c r="J302" s="2" t="s">
        <v>354</v>
      </c>
      <c r="K302" s="2" t="s">
        <v>304</v>
      </c>
      <c r="L302" s="2" t="s">
        <v>119</v>
      </c>
      <c r="M302" s="8" t="str">
        <f>HYPERLINK("http://slimages.macys.com/is/image/MCY/12101657 ")</f>
        <v xml:space="preserve">http://slimages.macys.com/is/image/MCY/12101657 </v>
      </c>
    </row>
    <row r="303" spans="1:13" ht="60" x14ac:dyDescent="0.25">
      <c r="A303" s="7" t="s">
        <v>10620</v>
      </c>
      <c r="B303" s="2" t="s">
        <v>10273</v>
      </c>
      <c r="C303" s="4">
        <v>1</v>
      </c>
      <c r="D303" s="5">
        <v>3.29</v>
      </c>
      <c r="E303" s="5">
        <v>7.99</v>
      </c>
      <c r="F303" s="4" t="s">
        <v>10274</v>
      </c>
      <c r="G303" s="2" t="s">
        <v>582</v>
      </c>
      <c r="H303" s="7" t="s">
        <v>63</v>
      </c>
      <c r="I303" s="2" t="s">
        <v>1689</v>
      </c>
      <c r="J303" s="2" t="s">
        <v>354</v>
      </c>
      <c r="K303" s="2" t="s">
        <v>304</v>
      </c>
      <c r="L303" s="2" t="s">
        <v>119</v>
      </c>
      <c r="M303" s="8" t="str">
        <f>HYPERLINK("http://slimages.macys.com/is/image/MCY/11976245 ")</f>
        <v xml:space="preserve">http://slimages.macys.com/is/image/MCY/11976245 </v>
      </c>
    </row>
    <row r="304" spans="1:13" ht="60" x14ac:dyDescent="0.25">
      <c r="A304" s="7" t="s">
        <v>10621</v>
      </c>
      <c r="B304" s="2" t="s">
        <v>10622</v>
      </c>
      <c r="C304" s="4">
        <v>1</v>
      </c>
      <c r="D304" s="5">
        <v>3.25</v>
      </c>
      <c r="E304" s="5">
        <v>7.99</v>
      </c>
      <c r="F304" s="4" t="s">
        <v>10623</v>
      </c>
      <c r="G304" s="2" t="s">
        <v>595</v>
      </c>
      <c r="H304" s="7"/>
      <c r="I304" s="2" t="s">
        <v>523</v>
      </c>
      <c r="J304" s="2" t="s">
        <v>583</v>
      </c>
      <c r="K304" s="2" t="s">
        <v>304</v>
      </c>
      <c r="L304" s="2" t="s">
        <v>358</v>
      </c>
      <c r="M304" s="8" t="str">
        <f>HYPERLINK("http://slimages.macys.com/is/image/MCY/10085485 ")</f>
        <v xml:space="preserve">http://slimages.macys.com/is/image/MCY/10085485 </v>
      </c>
    </row>
    <row r="305" spans="1:13" ht="60" x14ac:dyDescent="0.25">
      <c r="A305" s="7" t="s">
        <v>1175</v>
      </c>
      <c r="B305" s="2" t="s">
        <v>1176</v>
      </c>
      <c r="C305" s="4">
        <v>1</v>
      </c>
      <c r="D305" s="5">
        <v>3.21</v>
      </c>
      <c r="E305" s="5">
        <v>7.99</v>
      </c>
      <c r="F305" s="4" t="s">
        <v>1177</v>
      </c>
      <c r="G305" s="2" t="s">
        <v>527</v>
      </c>
      <c r="H305" s="7" t="s">
        <v>514</v>
      </c>
      <c r="I305" s="2" t="s">
        <v>483</v>
      </c>
      <c r="J305" s="2" t="s">
        <v>536</v>
      </c>
      <c r="K305" s="2" t="s">
        <v>304</v>
      </c>
      <c r="L305" s="2" t="s">
        <v>119</v>
      </c>
      <c r="M305" s="8" t="str">
        <f>HYPERLINK("http://slimages.macys.com/is/image/MCY/13987326 ")</f>
        <v xml:space="preserve">http://slimages.macys.com/is/image/MCY/13987326 </v>
      </c>
    </row>
    <row r="306" spans="1:13" ht="60" x14ac:dyDescent="0.25">
      <c r="A306" s="7" t="s">
        <v>10624</v>
      </c>
      <c r="B306" s="2" t="s">
        <v>10625</v>
      </c>
      <c r="C306" s="4">
        <v>1</v>
      </c>
      <c r="D306" s="5">
        <v>3.16</v>
      </c>
      <c r="E306" s="5">
        <v>7.99</v>
      </c>
      <c r="F306" s="4" t="s">
        <v>10626</v>
      </c>
      <c r="G306" s="2" t="s">
        <v>28</v>
      </c>
      <c r="H306" s="7" t="s">
        <v>1151</v>
      </c>
      <c r="I306" s="2" t="s">
        <v>483</v>
      </c>
      <c r="J306" s="2" t="s">
        <v>536</v>
      </c>
      <c r="K306" s="2" t="s">
        <v>304</v>
      </c>
      <c r="L306" s="2" t="s">
        <v>38</v>
      </c>
      <c r="M306" s="8" t="str">
        <f>HYPERLINK("http://slimages.macys.com/is/image/MCY/11794320 ")</f>
        <v xml:space="preserve">http://slimages.macys.com/is/image/MCY/11794320 </v>
      </c>
    </row>
    <row r="307" spans="1:13" ht="60" x14ac:dyDescent="0.25">
      <c r="A307" s="7" t="s">
        <v>6459</v>
      </c>
      <c r="B307" s="2" t="s">
        <v>4368</v>
      </c>
      <c r="C307" s="4">
        <v>1</v>
      </c>
      <c r="D307" s="5">
        <v>3.15</v>
      </c>
      <c r="E307" s="5">
        <v>7.99</v>
      </c>
      <c r="F307" s="4" t="s">
        <v>4369</v>
      </c>
      <c r="G307" s="2" t="s">
        <v>62</v>
      </c>
      <c r="H307" s="7" t="s">
        <v>578</v>
      </c>
      <c r="I307" s="2" t="s">
        <v>483</v>
      </c>
      <c r="J307" s="2" t="s">
        <v>536</v>
      </c>
      <c r="K307" s="2" t="s">
        <v>304</v>
      </c>
      <c r="L307" s="2" t="s">
        <v>87</v>
      </c>
      <c r="M307" s="8" t="str">
        <f>HYPERLINK("http://slimages.macys.com/is/image/MCY/11436881 ")</f>
        <v xml:space="preserve">http://slimages.macys.com/is/image/MCY/11436881 </v>
      </c>
    </row>
    <row r="308" spans="1:13" ht="60" x14ac:dyDescent="0.25">
      <c r="A308" s="7" t="s">
        <v>7100</v>
      </c>
      <c r="B308" s="2" t="s">
        <v>4368</v>
      </c>
      <c r="C308" s="4">
        <v>2</v>
      </c>
      <c r="D308" s="5">
        <v>3.15</v>
      </c>
      <c r="E308" s="5">
        <v>7.99</v>
      </c>
      <c r="F308" s="4" t="s">
        <v>4369</v>
      </c>
      <c r="G308" s="2" t="s">
        <v>238</v>
      </c>
      <c r="H308" s="7" t="s">
        <v>578</v>
      </c>
      <c r="I308" s="2" t="s">
        <v>483</v>
      </c>
      <c r="J308" s="2" t="s">
        <v>536</v>
      </c>
      <c r="K308" s="2" t="s">
        <v>304</v>
      </c>
      <c r="L308" s="2" t="s">
        <v>87</v>
      </c>
      <c r="M308" s="8" t="str">
        <f>HYPERLINK("http://slimages.macys.com/is/image/MCY/11436881 ")</f>
        <v xml:space="preserve">http://slimages.macys.com/is/image/MCY/11436881 </v>
      </c>
    </row>
    <row r="309" spans="1:13" ht="60" x14ac:dyDescent="0.25">
      <c r="A309" s="7" t="s">
        <v>10627</v>
      </c>
      <c r="B309" s="2" t="s">
        <v>4368</v>
      </c>
      <c r="C309" s="4">
        <v>8</v>
      </c>
      <c r="D309" s="5">
        <v>3.15</v>
      </c>
      <c r="E309" s="5">
        <v>7.99</v>
      </c>
      <c r="F309" s="4" t="s">
        <v>4369</v>
      </c>
      <c r="G309" s="2" t="s">
        <v>238</v>
      </c>
      <c r="H309" s="7" t="s">
        <v>1151</v>
      </c>
      <c r="I309" s="2" t="s">
        <v>483</v>
      </c>
      <c r="J309" s="2" t="s">
        <v>536</v>
      </c>
      <c r="K309" s="2" t="s">
        <v>304</v>
      </c>
      <c r="L309" s="2" t="s">
        <v>87</v>
      </c>
      <c r="M309" s="8" t="str">
        <f>HYPERLINK("http://slimages.macys.com/is/image/MCY/11436881 ")</f>
        <v xml:space="preserve">http://slimages.macys.com/is/image/MCY/11436881 </v>
      </c>
    </row>
    <row r="310" spans="1:13" ht="60" x14ac:dyDescent="0.25">
      <c r="A310" s="7" t="s">
        <v>6458</v>
      </c>
      <c r="B310" s="2" t="s">
        <v>4368</v>
      </c>
      <c r="C310" s="4">
        <v>1</v>
      </c>
      <c r="D310" s="5">
        <v>3.15</v>
      </c>
      <c r="E310" s="5">
        <v>7.99</v>
      </c>
      <c r="F310" s="4" t="s">
        <v>4369</v>
      </c>
      <c r="G310" s="2" t="s">
        <v>62</v>
      </c>
      <c r="H310" s="7" t="s">
        <v>1151</v>
      </c>
      <c r="I310" s="2" t="s">
        <v>483</v>
      </c>
      <c r="J310" s="2" t="s">
        <v>536</v>
      </c>
      <c r="K310" s="2" t="s">
        <v>304</v>
      </c>
      <c r="L310" s="2" t="s">
        <v>87</v>
      </c>
      <c r="M310" s="8" t="str">
        <f>HYPERLINK("http://slimages.macys.com/is/image/MCY/11436881 ")</f>
        <v xml:space="preserve">http://slimages.macys.com/is/image/MCY/11436881 </v>
      </c>
    </row>
    <row r="311" spans="1:13" ht="60" x14ac:dyDescent="0.25">
      <c r="A311" s="7" t="s">
        <v>8411</v>
      </c>
      <c r="B311" s="2" t="s">
        <v>585</v>
      </c>
      <c r="C311" s="4">
        <v>1</v>
      </c>
      <c r="D311" s="5">
        <v>3.14</v>
      </c>
      <c r="E311" s="5">
        <v>7.99</v>
      </c>
      <c r="F311" s="4">
        <v>10004192500</v>
      </c>
      <c r="G311" s="2" t="s">
        <v>171</v>
      </c>
      <c r="H311" s="7" t="s">
        <v>604</v>
      </c>
      <c r="I311" s="2" t="s">
        <v>483</v>
      </c>
      <c r="J311" s="2" t="s">
        <v>536</v>
      </c>
      <c r="K311" s="2" t="s">
        <v>304</v>
      </c>
      <c r="L311" s="2" t="s">
        <v>75</v>
      </c>
      <c r="M311" s="8" t="str">
        <f>HYPERLINK("http://slimages.macys.com/is/image/MCY/11519409 ")</f>
        <v xml:space="preserve">http://slimages.macys.com/is/image/MCY/11519409 </v>
      </c>
    </row>
    <row r="312" spans="1:13" ht="60" x14ac:dyDescent="0.25">
      <c r="A312" s="7" t="s">
        <v>2162</v>
      </c>
      <c r="B312" s="2" t="s">
        <v>2163</v>
      </c>
      <c r="C312" s="4">
        <v>1</v>
      </c>
      <c r="D312" s="5">
        <v>3.05</v>
      </c>
      <c r="E312" s="5">
        <v>7.99</v>
      </c>
      <c r="F312" s="4" t="s">
        <v>2164</v>
      </c>
      <c r="G312" s="2" t="s">
        <v>28</v>
      </c>
      <c r="H312" s="7" t="s">
        <v>1151</v>
      </c>
      <c r="I312" s="2" t="s">
        <v>483</v>
      </c>
      <c r="J312" s="2" t="s">
        <v>536</v>
      </c>
      <c r="K312" s="2" t="s">
        <v>304</v>
      </c>
      <c r="L312" s="2" t="s">
        <v>119</v>
      </c>
      <c r="M312" s="8" t="str">
        <f>HYPERLINK("http://slimages.macys.com/is/image/MCY/11436914 ")</f>
        <v xml:space="preserve">http://slimages.macys.com/is/image/MCY/11436914 </v>
      </c>
    </row>
    <row r="313" spans="1:13" ht="60" x14ac:dyDescent="0.25">
      <c r="A313" s="7" t="s">
        <v>10628</v>
      </c>
      <c r="B313" s="2" t="s">
        <v>10629</v>
      </c>
      <c r="C313" s="4">
        <v>2</v>
      </c>
      <c r="D313" s="5">
        <v>3.04</v>
      </c>
      <c r="E313" s="5">
        <v>7.99</v>
      </c>
      <c r="F313" s="4" t="s">
        <v>10630</v>
      </c>
      <c r="G313" s="2" t="s">
        <v>36</v>
      </c>
      <c r="H313" s="7" t="s">
        <v>578</v>
      </c>
      <c r="I313" s="2" t="s">
        <v>7609</v>
      </c>
      <c r="J313" s="2" t="s">
        <v>536</v>
      </c>
      <c r="K313" s="2"/>
      <c r="L313" s="2"/>
      <c r="M313" s="8" t="str">
        <f>HYPERLINK("http://slimages.macys.com/is/image/MCY/9939675 ")</f>
        <v xml:space="preserve">http://slimages.macys.com/is/image/MCY/9939675 </v>
      </c>
    </row>
    <row r="314" spans="1:13" ht="60" x14ac:dyDescent="0.25">
      <c r="A314" s="7" t="s">
        <v>4398</v>
      </c>
      <c r="B314" s="2" t="s">
        <v>4399</v>
      </c>
      <c r="C314" s="4">
        <v>1</v>
      </c>
      <c r="D314" s="5">
        <v>2.97</v>
      </c>
      <c r="E314" s="5">
        <v>7.99</v>
      </c>
      <c r="F314" s="4" t="s">
        <v>4400</v>
      </c>
      <c r="G314" s="2" t="s">
        <v>171</v>
      </c>
      <c r="H314" s="7"/>
      <c r="I314" s="2" t="s">
        <v>483</v>
      </c>
      <c r="J314" s="2" t="s">
        <v>536</v>
      </c>
      <c r="K314" s="2" t="s">
        <v>304</v>
      </c>
      <c r="L314" s="2" t="s">
        <v>100</v>
      </c>
      <c r="M314" s="8" t="str">
        <f>HYPERLINK("http://slimages.macys.com/is/image/MCY/12465404 ")</f>
        <v xml:space="preserve">http://slimages.macys.com/is/image/MCY/12465404 </v>
      </c>
    </row>
    <row r="315" spans="1:13" ht="60" x14ac:dyDescent="0.25">
      <c r="A315" s="7" t="s">
        <v>10631</v>
      </c>
      <c r="B315" s="2" t="s">
        <v>7112</v>
      </c>
      <c r="C315" s="4">
        <v>1</v>
      </c>
      <c r="D315" s="5">
        <v>2.97</v>
      </c>
      <c r="E315" s="5">
        <v>7.99</v>
      </c>
      <c r="F315" s="4" t="s">
        <v>7113</v>
      </c>
      <c r="G315" s="2" t="s">
        <v>195</v>
      </c>
      <c r="H315" s="7" t="s">
        <v>442</v>
      </c>
      <c r="I315" s="2" t="s">
        <v>483</v>
      </c>
      <c r="J315" s="2" t="s">
        <v>536</v>
      </c>
      <c r="K315" s="2" t="s">
        <v>304</v>
      </c>
      <c r="L315" s="2" t="s">
        <v>119</v>
      </c>
      <c r="M315" s="8" t="str">
        <f>HYPERLINK("http://slimages.macys.com/is/image/MCY/12465251 ")</f>
        <v xml:space="preserve">http://slimages.macys.com/is/image/MCY/12465251 </v>
      </c>
    </row>
    <row r="316" spans="1:13" ht="60" x14ac:dyDescent="0.25">
      <c r="A316" s="7" t="s">
        <v>7110</v>
      </c>
      <c r="B316" s="2" t="s">
        <v>2180</v>
      </c>
      <c r="C316" s="4">
        <v>1</v>
      </c>
      <c r="D316" s="5">
        <v>2.97</v>
      </c>
      <c r="E316" s="5">
        <v>7.99</v>
      </c>
      <c r="F316" s="4" t="s">
        <v>2181</v>
      </c>
      <c r="G316" s="2" t="s">
        <v>41</v>
      </c>
      <c r="H316" s="7" t="s">
        <v>442</v>
      </c>
      <c r="I316" s="2" t="s">
        <v>483</v>
      </c>
      <c r="J316" s="2" t="s">
        <v>536</v>
      </c>
      <c r="K316" s="2" t="s">
        <v>304</v>
      </c>
      <c r="L316" s="2" t="s">
        <v>119</v>
      </c>
      <c r="M316" s="8" t="str">
        <f>HYPERLINK("http://slimages.macys.com/is/image/MCY/12465218 ")</f>
        <v xml:space="preserve">http://slimages.macys.com/is/image/MCY/12465218 </v>
      </c>
    </row>
    <row r="317" spans="1:13" ht="60" x14ac:dyDescent="0.25">
      <c r="A317" s="7" t="s">
        <v>2182</v>
      </c>
      <c r="B317" s="2" t="s">
        <v>2183</v>
      </c>
      <c r="C317" s="4">
        <v>1</v>
      </c>
      <c r="D317" s="5">
        <v>2.97</v>
      </c>
      <c r="E317" s="5">
        <v>7.99</v>
      </c>
      <c r="F317" s="4" t="s">
        <v>2184</v>
      </c>
      <c r="G317" s="2" t="s">
        <v>595</v>
      </c>
      <c r="H317" s="7" t="s">
        <v>149</v>
      </c>
      <c r="I317" s="2" t="s">
        <v>483</v>
      </c>
      <c r="J317" s="2" t="s">
        <v>536</v>
      </c>
      <c r="K317" s="2" t="s">
        <v>304</v>
      </c>
      <c r="L317" s="2" t="s">
        <v>119</v>
      </c>
      <c r="M317" s="8" t="str">
        <f>HYPERLINK("http://slimages.macys.com/is/image/MCY/12465363 ")</f>
        <v xml:space="preserve">http://slimages.macys.com/is/image/MCY/12465363 </v>
      </c>
    </row>
    <row r="318" spans="1:13" ht="60" x14ac:dyDescent="0.25">
      <c r="A318" s="7" t="s">
        <v>4394</v>
      </c>
      <c r="B318" s="2" t="s">
        <v>2177</v>
      </c>
      <c r="C318" s="4">
        <v>1</v>
      </c>
      <c r="D318" s="5">
        <v>2.97</v>
      </c>
      <c r="E318" s="5">
        <v>7.99</v>
      </c>
      <c r="F318" s="4" t="s">
        <v>2178</v>
      </c>
      <c r="G318" s="2" t="s">
        <v>86</v>
      </c>
      <c r="H318" s="7"/>
      <c r="I318" s="2" t="s">
        <v>483</v>
      </c>
      <c r="J318" s="2" t="s">
        <v>536</v>
      </c>
      <c r="K318" s="2" t="s">
        <v>304</v>
      </c>
      <c r="L318" s="2" t="s">
        <v>119</v>
      </c>
      <c r="M318" s="8" t="str">
        <f>HYPERLINK("http://slimages.macys.com/is/image/MCY/12465218 ")</f>
        <v xml:space="preserve">http://slimages.macys.com/is/image/MCY/12465218 </v>
      </c>
    </row>
    <row r="319" spans="1:13" ht="60" x14ac:dyDescent="0.25">
      <c r="A319" s="7" t="s">
        <v>6476</v>
      </c>
      <c r="B319" s="2" t="s">
        <v>2183</v>
      </c>
      <c r="C319" s="4">
        <v>2</v>
      </c>
      <c r="D319" s="5">
        <v>2.97</v>
      </c>
      <c r="E319" s="5">
        <v>7.99</v>
      </c>
      <c r="F319" s="4" t="s">
        <v>2184</v>
      </c>
      <c r="G319" s="2" t="s">
        <v>595</v>
      </c>
      <c r="H319" s="7"/>
      <c r="I319" s="2" t="s">
        <v>483</v>
      </c>
      <c r="J319" s="2" t="s">
        <v>536</v>
      </c>
      <c r="K319" s="2" t="s">
        <v>304</v>
      </c>
      <c r="L319" s="2" t="s">
        <v>119</v>
      </c>
      <c r="M319" s="8" t="str">
        <f>HYPERLINK("http://slimages.macys.com/is/image/MCY/12465363 ")</f>
        <v xml:space="preserve">http://slimages.macys.com/is/image/MCY/12465363 </v>
      </c>
    </row>
    <row r="320" spans="1:13" ht="60" x14ac:dyDescent="0.25">
      <c r="A320" s="7" t="s">
        <v>7111</v>
      </c>
      <c r="B320" s="2" t="s">
        <v>7112</v>
      </c>
      <c r="C320" s="4">
        <v>1</v>
      </c>
      <c r="D320" s="5">
        <v>2.97</v>
      </c>
      <c r="E320" s="5">
        <v>7.99</v>
      </c>
      <c r="F320" s="4" t="s">
        <v>7113</v>
      </c>
      <c r="G320" s="2" t="s">
        <v>195</v>
      </c>
      <c r="H320" s="7"/>
      <c r="I320" s="2" t="s">
        <v>483</v>
      </c>
      <c r="J320" s="2" t="s">
        <v>536</v>
      </c>
      <c r="K320" s="2" t="s">
        <v>304</v>
      </c>
      <c r="L320" s="2" t="s">
        <v>119</v>
      </c>
      <c r="M320" s="8" t="str">
        <f>HYPERLINK("http://slimages.macys.com/is/image/MCY/12465251 ")</f>
        <v xml:space="preserve">http://slimages.macys.com/is/image/MCY/12465251 </v>
      </c>
    </row>
    <row r="321" spans="1:13" ht="60" x14ac:dyDescent="0.25">
      <c r="A321" s="7" t="s">
        <v>10632</v>
      </c>
      <c r="B321" s="2" t="s">
        <v>9735</v>
      </c>
      <c r="C321" s="4">
        <v>1</v>
      </c>
      <c r="D321" s="5">
        <v>2.97</v>
      </c>
      <c r="E321" s="5">
        <v>7.99</v>
      </c>
      <c r="F321" s="4" t="s">
        <v>9736</v>
      </c>
      <c r="G321" s="2" t="s">
        <v>1147</v>
      </c>
      <c r="H321" s="7" t="s">
        <v>442</v>
      </c>
      <c r="I321" s="2" t="s">
        <v>483</v>
      </c>
      <c r="J321" s="2" t="s">
        <v>536</v>
      </c>
      <c r="K321" s="2" t="s">
        <v>304</v>
      </c>
      <c r="L321" s="2" t="s">
        <v>100</v>
      </c>
      <c r="M321" s="8" t="str">
        <f>HYPERLINK("http://slimages.macys.com/is/image/MCY/12465404 ")</f>
        <v xml:space="preserve">http://slimages.macys.com/is/image/MCY/12465404 </v>
      </c>
    </row>
    <row r="322" spans="1:13" ht="60" x14ac:dyDescent="0.25">
      <c r="A322" s="7" t="s">
        <v>10633</v>
      </c>
      <c r="B322" s="2" t="s">
        <v>4399</v>
      </c>
      <c r="C322" s="4">
        <v>1</v>
      </c>
      <c r="D322" s="5">
        <v>2.97</v>
      </c>
      <c r="E322" s="5">
        <v>7.99</v>
      </c>
      <c r="F322" s="4" t="s">
        <v>4400</v>
      </c>
      <c r="G322" s="2" t="s">
        <v>171</v>
      </c>
      <c r="H322" s="7" t="s">
        <v>149</v>
      </c>
      <c r="I322" s="2" t="s">
        <v>483</v>
      </c>
      <c r="J322" s="2" t="s">
        <v>536</v>
      </c>
      <c r="K322" s="2" t="s">
        <v>304</v>
      </c>
      <c r="L322" s="2" t="s">
        <v>100</v>
      </c>
      <c r="M322" s="8" t="str">
        <f>HYPERLINK("http://slimages.macys.com/is/image/MCY/12465404 ")</f>
        <v xml:space="preserve">http://slimages.macys.com/is/image/MCY/12465404 </v>
      </c>
    </row>
    <row r="323" spans="1:13" ht="60" x14ac:dyDescent="0.25">
      <c r="A323" s="7" t="s">
        <v>10634</v>
      </c>
      <c r="B323" s="2" t="s">
        <v>10635</v>
      </c>
      <c r="C323" s="4">
        <v>1</v>
      </c>
      <c r="D323" s="5">
        <v>2.96</v>
      </c>
      <c r="E323" s="5">
        <v>7.99</v>
      </c>
      <c r="F323" s="4" t="s">
        <v>10636</v>
      </c>
      <c r="G323" s="2" t="s">
        <v>62</v>
      </c>
      <c r="H323" s="7" t="s">
        <v>1151</v>
      </c>
      <c r="I323" s="2" t="s">
        <v>7609</v>
      </c>
      <c r="J323" s="2" t="s">
        <v>536</v>
      </c>
      <c r="K323" s="2"/>
      <c r="L323" s="2"/>
      <c r="M323" s="8" t="str">
        <f>HYPERLINK("http://slimages.macys.com/is/image/MCY/9915050 ")</f>
        <v xml:space="preserve">http://slimages.macys.com/is/image/MCY/9915050 </v>
      </c>
    </row>
    <row r="324" spans="1:13" ht="60" x14ac:dyDescent="0.25">
      <c r="A324" s="7" t="s">
        <v>10637</v>
      </c>
      <c r="B324" s="2" t="s">
        <v>10635</v>
      </c>
      <c r="C324" s="4">
        <v>1</v>
      </c>
      <c r="D324" s="5">
        <v>2.96</v>
      </c>
      <c r="E324" s="5">
        <v>7.99</v>
      </c>
      <c r="F324" s="4" t="s">
        <v>10636</v>
      </c>
      <c r="G324" s="2" t="s">
        <v>62</v>
      </c>
      <c r="H324" s="7" t="s">
        <v>578</v>
      </c>
      <c r="I324" s="2" t="s">
        <v>7609</v>
      </c>
      <c r="J324" s="2" t="s">
        <v>536</v>
      </c>
      <c r="K324" s="2"/>
      <c r="L324" s="2"/>
      <c r="M324" s="8" t="str">
        <f>HYPERLINK("http://slimages.macys.com/is/image/MCY/9915050 ")</f>
        <v xml:space="preserve">http://slimages.macys.com/is/image/MCY/9915050 </v>
      </c>
    </row>
    <row r="325" spans="1:13" ht="60" x14ac:dyDescent="0.25">
      <c r="A325" s="7" t="s">
        <v>5666</v>
      </c>
      <c r="B325" s="2" t="s">
        <v>5077</v>
      </c>
      <c r="C325" s="4">
        <v>1</v>
      </c>
      <c r="D325" s="5">
        <v>2.94</v>
      </c>
      <c r="E325" s="5">
        <v>6.99</v>
      </c>
      <c r="F325" s="4" t="s">
        <v>5078</v>
      </c>
      <c r="G325" s="2" t="s">
        <v>200</v>
      </c>
      <c r="H325" s="7" t="s">
        <v>149</v>
      </c>
      <c r="I325" s="2" t="s">
        <v>483</v>
      </c>
      <c r="J325" s="2" t="s">
        <v>536</v>
      </c>
      <c r="K325" s="2" t="s">
        <v>304</v>
      </c>
      <c r="L325" s="2" t="s">
        <v>119</v>
      </c>
      <c r="M325" s="8" t="str">
        <f>HYPERLINK("http://slimages.macys.com/is/image/MCY/10528643 ")</f>
        <v xml:space="preserve">http://slimages.macys.com/is/image/MCY/10528643 </v>
      </c>
    </row>
    <row r="326" spans="1:13" ht="60" x14ac:dyDescent="0.25">
      <c r="A326" s="7" t="s">
        <v>10638</v>
      </c>
      <c r="B326" s="2" t="s">
        <v>4428</v>
      </c>
      <c r="C326" s="4">
        <v>1</v>
      </c>
      <c r="D326" s="5">
        <v>2.93</v>
      </c>
      <c r="E326" s="5">
        <v>8.99</v>
      </c>
      <c r="F326" s="4">
        <v>10006317700</v>
      </c>
      <c r="G326" s="2" t="s">
        <v>134</v>
      </c>
      <c r="H326" s="7" t="s">
        <v>482</v>
      </c>
      <c r="I326" s="2" t="s">
        <v>483</v>
      </c>
      <c r="J326" s="2" t="s">
        <v>536</v>
      </c>
      <c r="K326" s="2" t="s">
        <v>304</v>
      </c>
      <c r="L326" s="2" t="s">
        <v>38</v>
      </c>
      <c r="M326" s="8" t="str">
        <f>HYPERLINK("http://slimages.macys.com/is/image/MCY/13987487 ")</f>
        <v xml:space="preserve">http://slimages.macys.com/is/image/MCY/13987487 </v>
      </c>
    </row>
    <row r="327" spans="1:13" ht="60" x14ac:dyDescent="0.25">
      <c r="A327" s="7" t="s">
        <v>1204</v>
      </c>
      <c r="B327" s="2" t="s">
        <v>1205</v>
      </c>
      <c r="C327" s="4">
        <v>4</v>
      </c>
      <c r="D327" s="5">
        <v>2.87</v>
      </c>
      <c r="E327" s="5">
        <v>7.99</v>
      </c>
      <c r="F327" s="4" t="s">
        <v>1206</v>
      </c>
      <c r="G327" s="2" t="s">
        <v>437</v>
      </c>
      <c r="H327" s="7" t="s">
        <v>531</v>
      </c>
      <c r="I327" s="2" t="s">
        <v>483</v>
      </c>
      <c r="J327" s="2" t="s">
        <v>536</v>
      </c>
      <c r="K327" s="2" t="s">
        <v>304</v>
      </c>
      <c r="L327" s="2" t="s">
        <v>1207</v>
      </c>
      <c r="M327" s="8" t="str">
        <f>HYPERLINK("http://slimages.macys.com/is/image/MCY/12466264 ")</f>
        <v xml:space="preserve">http://slimages.macys.com/is/image/MCY/12466264 </v>
      </c>
    </row>
    <row r="328" spans="1:13" ht="60" x14ac:dyDescent="0.25">
      <c r="A328" s="7" t="s">
        <v>5678</v>
      </c>
      <c r="B328" s="2" t="s">
        <v>5675</v>
      </c>
      <c r="C328" s="4">
        <v>1</v>
      </c>
      <c r="D328" s="5">
        <v>2.84</v>
      </c>
      <c r="E328" s="5">
        <v>7.99</v>
      </c>
      <c r="F328" s="4" t="s">
        <v>5676</v>
      </c>
      <c r="G328" s="2" t="s">
        <v>41</v>
      </c>
      <c r="H328" s="7"/>
      <c r="I328" s="2" t="s">
        <v>483</v>
      </c>
      <c r="J328" s="2" t="s">
        <v>536</v>
      </c>
      <c r="K328" s="2" t="s">
        <v>304</v>
      </c>
      <c r="L328" s="2" t="s">
        <v>87</v>
      </c>
      <c r="M328" s="8" t="str">
        <f>HYPERLINK("http://slimages.macys.com/is/image/MCY/14384843 ")</f>
        <v xml:space="preserve">http://slimages.macys.com/is/image/MCY/14384843 </v>
      </c>
    </row>
    <row r="329" spans="1:13" ht="120" x14ac:dyDescent="0.25">
      <c r="A329" s="7" t="s">
        <v>2200</v>
      </c>
      <c r="B329" s="2" t="s">
        <v>598</v>
      </c>
      <c r="C329" s="4">
        <v>11</v>
      </c>
      <c r="D329" s="5">
        <v>2.84</v>
      </c>
      <c r="E329" s="5">
        <v>7.99</v>
      </c>
      <c r="F329" s="4" t="s">
        <v>599</v>
      </c>
      <c r="G329" s="2" t="s">
        <v>62</v>
      </c>
      <c r="H329" s="7" t="s">
        <v>149</v>
      </c>
      <c r="I329" s="2" t="s">
        <v>483</v>
      </c>
      <c r="J329" s="2" t="s">
        <v>536</v>
      </c>
      <c r="K329" s="2" t="s">
        <v>304</v>
      </c>
      <c r="L329" s="2" t="s">
        <v>600</v>
      </c>
      <c r="M329" s="8" t="str">
        <f>HYPERLINK("http://slimages.macys.com/is/image/MCY/14384837 ")</f>
        <v xml:space="preserve">http://slimages.macys.com/is/image/MCY/14384837 </v>
      </c>
    </row>
    <row r="330" spans="1:13" ht="120" x14ac:dyDescent="0.25">
      <c r="A330" s="7" t="s">
        <v>597</v>
      </c>
      <c r="B330" s="2" t="s">
        <v>598</v>
      </c>
      <c r="C330" s="4">
        <v>4</v>
      </c>
      <c r="D330" s="5">
        <v>2.84</v>
      </c>
      <c r="E330" s="5">
        <v>7.99</v>
      </c>
      <c r="F330" s="4" t="s">
        <v>599</v>
      </c>
      <c r="G330" s="2" t="s">
        <v>62</v>
      </c>
      <c r="H330" s="7"/>
      <c r="I330" s="2" t="s">
        <v>483</v>
      </c>
      <c r="J330" s="2" t="s">
        <v>536</v>
      </c>
      <c r="K330" s="2" t="s">
        <v>304</v>
      </c>
      <c r="L330" s="2" t="s">
        <v>600</v>
      </c>
      <c r="M330" s="8" t="str">
        <f>HYPERLINK("http://slimages.macys.com/is/image/MCY/14384837 ")</f>
        <v xml:space="preserve">http://slimages.macys.com/is/image/MCY/14384837 </v>
      </c>
    </row>
    <row r="331" spans="1:13" ht="120" x14ac:dyDescent="0.25">
      <c r="A331" s="7" t="s">
        <v>2199</v>
      </c>
      <c r="B331" s="2" t="s">
        <v>598</v>
      </c>
      <c r="C331" s="4">
        <v>4</v>
      </c>
      <c r="D331" s="5">
        <v>2.84</v>
      </c>
      <c r="E331" s="5">
        <v>7.99</v>
      </c>
      <c r="F331" s="4" t="s">
        <v>599</v>
      </c>
      <c r="G331" s="2" t="s">
        <v>62</v>
      </c>
      <c r="H331" s="7" t="s">
        <v>590</v>
      </c>
      <c r="I331" s="2" t="s">
        <v>483</v>
      </c>
      <c r="J331" s="2" t="s">
        <v>536</v>
      </c>
      <c r="K331" s="2" t="s">
        <v>304</v>
      </c>
      <c r="L331" s="2" t="s">
        <v>600</v>
      </c>
      <c r="M331" s="8" t="str">
        <f>HYPERLINK("http://slimages.macys.com/is/image/MCY/14384837 ")</f>
        <v xml:space="preserve">http://slimages.macys.com/is/image/MCY/14384837 </v>
      </c>
    </row>
    <row r="332" spans="1:13" ht="60" x14ac:dyDescent="0.25">
      <c r="A332" s="7" t="s">
        <v>10639</v>
      </c>
      <c r="B332" s="2" t="s">
        <v>10640</v>
      </c>
      <c r="C332" s="4">
        <v>1</v>
      </c>
      <c r="D332" s="5">
        <v>2.8</v>
      </c>
      <c r="E332" s="5">
        <v>6.99</v>
      </c>
      <c r="F332" s="4">
        <v>100021553</v>
      </c>
      <c r="G332" s="2" t="s">
        <v>28</v>
      </c>
      <c r="H332" s="7" t="s">
        <v>42</v>
      </c>
      <c r="I332" s="2" t="s">
        <v>7609</v>
      </c>
      <c r="J332" s="2" t="s">
        <v>536</v>
      </c>
      <c r="K332" s="2" t="s">
        <v>304</v>
      </c>
      <c r="L332" s="2" t="s">
        <v>38</v>
      </c>
      <c r="M332" s="8" t="str">
        <f>HYPERLINK("http://slimages.macys.com/is/image/MCY/9877593 ")</f>
        <v xml:space="preserve">http://slimages.macys.com/is/image/MCY/9877593 </v>
      </c>
    </row>
    <row r="333" spans="1:13" ht="60" x14ac:dyDescent="0.25">
      <c r="A333" s="7" t="s">
        <v>2217</v>
      </c>
      <c r="B333" s="2" t="s">
        <v>1219</v>
      </c>
      <c r="C333" s="4">
        <v>1</v>
      </c>
      <c r="D333" s="5">
        <v>2.75</v>
      </c>
      <c r="E333" s="5">
        <v>6.99</v>
      </c>
      <c r="F333" s="4" t="s">
        <v>1220</v>
      </c>
      <c r="G333" s="2" t="s">
        <v>527</v>
      </c>
      <c r="H333" s="7" t="s">
        <v>42</v>
      </c>
      <c r="I333" s="2" t="s">
        <v>483</v>
      </c>
      <c r="J333" s="2" t="s">
        <v>536</v>
      </c>
      <c r="K333" s="2" t="s">
        <v>304</v>
      </c>
      <c r="L333" s="2" t="s">
        <v>119</v>
      </c>
      <c r="M333" s="8" t="str">
        <f>HYPERLINK("http://slimages.macys.com/is/image/MCY/13987326 ")</f>
        <v xml:space="preserve">http://slimages.macys.com/is/image/MCY/13987326 </v>
      </c>
    </row>
    <row r="334" spans="1:13" ht="60" x14ac:dyDescent="0.25">
      <c r="A334" s="7" t="s">
        <v>10641</v>
      </c>
      <c r="B334" s="2" t="s">
        <v>10642</v>
      </c>
      <c r="C334" s="4">
        <v>1</v>
      </c>
      <c r="D334" s="5">
        <v>2.72</v>
      </c>
      <c r="E334" s="5">
        <v>7.99</v>
      </c>
      <c r="F334" s="4" t="s">
        <v>10643</v>
      </c>
      <c r="G334" s="2" t="s">
        <v>793</v>
      </c>
      <c r="H334" s="7" t="s">
        <v>578</v>
      </c>
      <c r="I334" s="2" t="s">
        <v>7609</v>
      </c>
      <c r="J334" s="2" t="s">
        <v>536</v>
      </c>
      <c r="K334" s="2" t="s">
        <v>304</v>
      </c>
      <c r="L334" s="2" t="s">
        <v>119</v>
      </c>
      <c r="M334" s="8" t="str">
        <f>HYPERLINK("http://slimages.macys.com/is/image/MCY/9999149 ")</f>
        <v xml:space="preserve">http://slimages.macys.com/is/image/MCY/9999149 </v>
      </c>
    </row>
    <row r="335" spans="1:13" ht="60" x14ac:dyDescent="0.25">
      <c r="A335" s="7" t="s">
        <v>10644</v>
      </c>
      <c r="B335" s="2" t="s">
        <v>10642</v>
      </c>
      <c r="C335" s="4">
        <v>1</v>
      </c>
      <c r="D335" s="5">
        <v>2.72</v>
      </c>
      <c r="E335" s="5">
        <v>7.99</v>
      </c>
      <c r="F335" s="4" t="s">
        <v>10643</v>
      </c>
      <c r="G335" s="2" t="s">
        <v>793</v>
      </c>
      <c r="H335" s="7" t="s">
        <v>1151</v>
      </c>
      <c r="I335" s="2" t="s">
        <v>7609</v>
      </c>
      <c r="J335" s="2" t="s">
        <v>536</v>
      </c>
      <c r="K335" s="2" t="s">
        <v>304</v>
      </c>
      <c r="L335" s="2" t="s">
        <v>119</v>
      </c>
      <c r="M335" s="8" t="str">
        <f>HYPERLINK("http://slimages.macys.com/is/image/MCY/9999149 ")</f>
        <v xml:space="preserve">http://slimages.macys.com/is/image/MCY/9999149 </v>
      </c>
    </row>
    <row r="336" spans="1:13" ht="60" x14ac:dyDescent="0.25">
      <c r="A336" s="7" t="s">
        <v>4465</v>
      </c>
      <c r="B336" s="2" t="s">
        <v>4460</v>
      </c>
      <c r="C336" s="4">
        <v>1</v>
      </c>
      <c r="D336" s="5">
        <v>2.71</v>
      </c>
      <c r="E336" s="5">
        <v>7.99</v>
      </c>
      <c r="F336" s="4" t="s">
        <v>4461</v>
      </c>
      <c r="G336" s="2" t="s">
        <v>28</v>
      </c>
      <c r="H336" s="7" t="s">
        <v>1151</v>
      </c>
      <c r="I336" s="2" t="s">
        <v>483</v>
      </c>
      <c r="J336" s="2" t="s">
        <v>536</v>
      </c>
      <c r="K336" s="2" t="s">
        <v>304</v>
      </c>
      <c r="L336" s="2" t="s">
        <v>119</v>
      </c>
      <c r="M336" s="8" t="str">
        <f>HYPERLINK("http://slimages.macys.com/is/image/MCY/12644507 ")</f>
        <v xml:space="preserve">http://slimages.macys.com/is/image/MCY/12644507 </v>
      </c>
    </row>
    <row r="337" spans="1:13" ht="60" x14ac:dyDescent="0.25">
      <c r="A337" s="7" t="s">
        <v>2226</v>
      </c>
      <c r="B337" s="2" t="s">
        <v>2223</v>
      </c>
      <c r="C337" s="4">
        <v>3</v>
      </c>
      <c r="D337" s="5">
        <v>2.69</v>
      </c>
      <c r="E337" s="5">
        <v>5.99</v>
      </c>
      <c r="F337" s="4" t="s">
        <v>2224</v>
      </c>
      <c r="G337" s="2" t="s">
        <v>28</v>
      </c>
      <c r="H337" s="7" t="s">
        <v>42</v>
      </c>
      <c r="I337" s="2" t="s">
        <v>483</v>
      </c>
      <c r="J337" s="2" t="s">
        <v>536</v>
      </c>
      <c r="K337" s="2" t="s">
        <v>304</v>
      </c>
      <c r="L337" s="2" t="s">
        <v>206</v>
      </c>
      <c r="M337" s="8" t="str">
        <f>HYPERLINK("http://slimages.macys.com/is/image/MCY/11436881 ")</f>
        <v xml:space="preserve">http://slimages.macys.com/is/image/MCY/11436881 </v>
      </c>
    </row>
    <row r="338" spans="1:13" ht="60" x14ac:dyDescent="0.25">
      <c r="A338" s="7" t="s">
        <v>10645</v>
      </c>
      <c r="B338" s="2" t="s">
        <v>10646</v>
      </c>
      <c r="C338" s="4">
        <v>2</v>
      </c>
      <c r="D338" s="5">
        <v>2.69</v>
      </c>
      <c r="E338" s="5">
        <v>7.99</v>
      </c>
      <c r="F338" s="4" t="s">
        <v>10647</v>
      </c>
      <c r="G338" s="2" t="s">
        <v>476</v>
      </c>
      <c r="H338" s="7" t="s">
        <v>514</v>
      </c>
      <c r="I338" s="2" t="s">
        <v>7609</v>
      </c>
      <c r="J338" s="2" t="s">
        <v>536</v>
      </c>
      <c r="K338" s="2"/>
      <c r="L338" s="2"/>
      <c r="M338" s="8" t="str">
        <f>HYPERLINK("http://slimages.macys.com/is/image/MCY/9886675 ")</f>
        <v xml:space="preserve">http://slimages.macys.com/is/image/MCY/9886675 </v>
      </c>
    </row>
    <row r="339" spans="1:13" ht="60" x14ac:dyDescent="0.25">
      <c r="A339" s="7" t="s">
        <v>6487</v>
      </c>
      <c r="B339" s="2" t="s">
        <v>2223</v>
      </c>
      <c r="C339" s="4">
        <v>3</v>
      </c>
      <c r="D339" s="5">
        <v>2.69</v>
      </c>
      <c r="E339" s="5">
        <v>5.99</v>
      </c>
      <c r="F339" s="4" t="s">
        <v>2224</v>
      </c>
      <c r="G339" s="2" t="s">
        <v>28</v>
      </c>
      <c r="H339" s="7" t="s">
        <v>149</v>
      </c>
      <c r="I339" s="2" t="s">
        <v>483</v>
      </c>
      <c r="J339" s="2" t="s">
        <v>536</v>
      </c>
      <c r="K339" s="2" t="s">
        <v>304</v>
      </c>
      <c r="L339" s="2" t="s">
        <v>206</v>
      </c>
      <c r="M339" s="8" t="str">
        <f>HYPERLINK("http://slimages.macys.com/is/image/MCY/11436881 ")</f>
        <v xml:space="preserve">http://slimages.macys.com/is/image/MCY/11436881 </v>
      </c>
    </row>
    <row r="340" spans="1:13" ht="60" x14ac:dyDescent="0.25">
      <c r="A340" s="7" t="s">
        <v>10648</v>
      </c>
      <c r="B340" s="2" t="s">
        <v>10646</v>
      </c>
      <c r="C340" s="4">
        <v>2</v>
      </c>
      <c r="D340" s="5">
        <v>2.69</v>
      </c>
      <c r="E340" s="5">
        <v>7.99</v>
      </c>
      <c r="F340" s="4" t="s">
        <v>10647</v>
      </c>
      <c r="G340" s="2" t="s">
        <v>476</v>
      </c>
      <c r="H340" s="7" t="s">
        <v>578</v>
      </c>
      <c r="I340" s="2" t="s">
        <v>7609</v>
      </c>
      <c r="J340" s="2" t="s">
        <v>536</v>
      </c>
      <c r="K340" s="2" t="s">
        <v>304</v>
      </c>
      <c r="L340" s="2" t="s">
        <v>38</v>
      </c>
      <c r="M340" s="8" t="str">
        <f>HYPERLINK("http://slimages.macys.com/is/image/MCY/9886675 ")</f>
        <v xml:space="preserve">http://slimages.macys.com/is/image/MCY/9886675 </v>
      </c>
    </row>
    <row r="341" spans="1:13" ht="60" x14ac:dyDescent="0.25">
      <c r="A341" s="7" t="s">
        <v>6489</v>
      </c>
      <c r="B341" s="2" t="s">
        <v>2223</v>
      </c>
      <c r="C341" s="4">
        <v>1</v>
      </c>
      <c r="D341" s="5">
        <v>2.69</v>
      </c>
      <c r="E341" s="5">
        <v>5.99</v>
      </c>
      <c r="F341" s="4" t="s">
        <v>2224</v>
      </c>
      <c r="G341" s="2" t="s">
        <v>62</v>
      </c>
      <c r="H341" s="7" t="s">
        <v>442</v>
      </c>
      <c r="I341" s="2" t="s">
        <v>483</v>
      </c>
      <c r="J341" s="2" t="s">
        <v>536</v>
      </c>
      <c r="K341" s="2" t="s">
        <v>304</v>
      </c>
      <c r="L341" s="2" t="s">
        <v>206</v>
      </c>
      <c r="M341" s="8" t="str">
        <f>HYPERLINK("http://slimages.macys.com/is/image/MCY/11436881 ")</f>
        <v xml:space="preserve">http://slimages.macys.com/is/image/MCY/11436881 </v>
      </c>
    </row>
    <row r="342" spans="1:13" ht="60" x14ac:dyDescent="0.25">
      <c r="A342" s="7" t="s">
        <v>2222</v>
      </c>
      <c r="B342" s="2" t="s">
        <v>2223</v>
      </c>
      <c r="C342" s="4">
        <v>2</v>
      </c>
      <c r="D342" s="5">
        <v>2.69</v>
      </c>
      <c r="E342" s="5">
        <v>5.99</v>
      </c>
      <c r="F342" s="4" t="s">
        <v>2224</v>
      </c>
      <c r="G342" s="2" t="s">
        <v>62</v>
      </c>
      <c r="H342" s="7" t="s">
        <v>91</v>
      </c>
      <c r="I342" s="2" t="s">
        <v>483</v>
      </c>
      <c r="J342" s="2" t="s">
        <v>536</v>
      </c>
      <c r="K342" s="2" t="s">
        <v>304</v>
      </c>
      <c r="L342" s="2" t="s">
        <v>206</v>
      </c>
      <c r="M342" s="8" t="str">
        <f>HYPERLINK("http://slimages.macys.com/is/image/MCY/11436881 ")</f>
        <v xml:space="preserve">http://slimages.macys.com/is/image/MCY/11436881 </v>
      </c>
    </row>
    <row r="343" spans="1:13" ht="60" x14ac:dyDescent="0.25">
      <c r="A343" s="7" t="s">
        <v>10649</v>
      </c>
      <c r="B343" s="2" t="s">
        <v>10646</v>
      </c>
      <c r="C343" s="4">
        <v>2</v>
      </c>
      <c r="D343" s="5">
        <v>2.69</v>
      </c>
      <c r="E343" s="5">
        <v>7.99</v>
      </c>
      <c r="F343" s="4" t="s">
        <v>10647</v>
      </c>
      <c r="G343" s="2" t="s">
        <v>476</v>
      </c>
      <c r="H343" s="7" t="s">
        <v>1151</v>
      </c>
      <c r="I343" s="2" t="s">
        <v>7609</v>
      </c>
      <c r="J343" s="2" t="s">
        <v>536</v>
      </c>
      <c r="K343" s="2"/>
      <c r="L343" s="2"/>
      <c r="M343" s="8" t="str">
        <f>HYPERLINK("http://slimages.macys.com/is/image/MCY/9886675 ")</f>
        <v xml:space="preserve">http://slimages.macys.com/is/image/MCY/9886675 </v>
      </c>
    </row>
    <row r="344" spans="1:13" ht="60" x14ac:dyDescent="0.25">
      <c r="A344" s="7" t="s">
        <v>6485</v>
      </c>
      <c r="B344" s="2" t="s">
        <v>2223</v>
      </c>
      <c r="C344" s="4">
        <v>2</v>
      </c>
      <c r="D344" s="5">
        <v>2.69</v>
      </c>
      <c r="E344" s="5">
        <v>5.99</v>
      </c>
      <c r="F344" s="4" t="s">
        <v>2224</v>
      </c>
      <c r="G344" s="2" t="s">
        <v>28</v>
      </c>
      <c r="H344" s="7" t="s">
        <v>590</v>
      </c>
      <c r="I344" s="2" t="s">
        <v>483</v>
      </c>
      <c r="J344" s="2" t="s">
        <v>536</v>
      </c>
      <c r="K344" s="2" t="s">
        <v>304</v>
      </c>
      <c r="L344" s="2" t="s">
        <v>206</v>
      </c>
      <c r="M344" s="8" t="str">
        <f>HYPERLINK("http://slimages.macys.com/is/image/MCY/11436881 ")</f>
        <v xml:space="preserve">http://slimages.macys.com/is/image/MCY/11436881 </v>
      </c>
    </row>
    <row r="345" spans="1:13" ht="60" x14ac:dyDescent="0.25">
      <c r="A345" s="7" t="s">
        <v>6488</v>
      </c>
      <c r="B345" s="2" t="s">
        <v>2223</v>
      </c>
      <c r="C345" s="4">
        <v>4</v>
      </c>
      <c r="D345" s="5">
        <v>2.69</v>
      </c>
      <c r="E345" s="5">
        <v>5.99</v>
      </c>
      <c r="F345" s="4" t="s">
        <v>2224</v>
      </c>
      <c r="G345" s="2" t="s">
        <v>28</v>
      </c>
      <c r="H345" s="7" t="s">
        <v>91</v>
      </c>
      <c r="I345" s="2" t="s">
        <v>483</v>
      </c>
      <c r="J345" s="2" t="s">
        <v>536</v>
      </c>
      <c r="K345" s="2" t="s">
        <v>304</v>
      </c>
      <c r="L345" s="2" t="s">
        <v>206</v>
      </c>
      <c r="M345" s="8" t="str">
        <f>HYPERLINK("http://slimages.macys.com/is/image/MCY/11436881 ")</f>
        <v xml:space="preserve">http://slimages.macys.com/is/image/MCY/11436881 </v>
      </c>
    </row>
    <row r="346" spans="1:13" ht="60" x14ac:dyDescent="0.25">
      <c r="A346" s="7" t="s">
        <v>6486</v>
      </c>
      <c r="B346" s="2" t="s">
        <v>2223</v>
      </c>
      <c r="C346" s="4">
        <v>2</v>
      </c>
      <c r="D346" s="5">
        <v>2.69</v>
      </c>
      <c r="E346" s="5">
        <v>5.99</v>
      </c>
      <c r="F346" s="4" t="s">
        <v>2224</v>
      </c>
      <c r="G346" s="2" t="s">
        <v>28</v>
      </c>
      <c r="H346" s="7" t="s">
        <v>442</v>
      </c>
      <c r="I346" s="2" t="s">
        <v>483</v>
      </c>
      <c r="J346" s="2" t="s">
        <v>536</v>
      </c>
      <c r="K346" s="2" t="s">
        <v>304</v>
      </c>
      <c r="L346" s="2" t="s">
        <v>206</v>
      </c>
      <c r="M346" s="8" t="str">
        <f>HYPERLINK("http://slimages.macys.com/is/image/MCY/11436881 ")</f>
        <v xml:space="preserve">http://slimages.macys.com/is/image/MCY/11436881 </v>
      </c>
    </row>
    <row r="347" spans="1:13" ht="60" x14ac:dyDescent="0.25">
      <c r="A347" s="7" t="s">
        <v>6490</v>
      </c>
      <c r="B347" s="2" t="s">
        <v>2223</v>
      </c>
      <c r="C347" s="4">
        <v>1</v>
      </c>
      <c r="D347" s="5">
        <v>2.69</v>
      </c>
      <c r="E347" s="5">
        <v>5.99</v>
      </c>
      <c r="F347" s="4" t="s">
        <v>2224</v>
      </c>
      <c r="G347" s="2" t="s">
        <v>62</v>
      </c>
      <c r="H347" s="7" t="s">
        <v>149</v>
      </c>
      <c r="I347" s="2" t="s">
        <v>483</v>
      </c>
      <c r="J347" s="2" t="s">
        <v>536</v>
      </c>
      <c r="K347" s="2" t="s">
        <v>304</v>
      </c>
      <c r="L347" s="2" t="s">
        <v>206</v>
      </c>
      <c r="M347" s="8" t="str">
        <f>HYPERLINK("http://slimages.macys.com/is/image/MCY/11436881 ")</f>
        <v xml:space="preserve">http://slimages.macys.com/is/image/MCY/11436881 </v>
      </c>
    </row>
    <row r="348" spans="1:13" ht="60" x14ac:dyDescent="0.25">
      <c r="A348" s="7" t="s">
        <v>10650</v>
      </c>
      <c r="B348" s="2" t="s">
        <v>10651</v>
      </c>
      <c r="C348" s="4">
        <v>1</v>
      </c>
      <c r="D348" s="5">
        <v>2.68</v>
      </c>
      <c r="E348" s="5">
        <v>7.99</v>
      </c>
      <c r="F348" s="4" t="s">
        <v>10652</v>
      </c>
      <c r="G348" s="2" t="s">
        <v>657</v>
      </c>
      <c r="H348" s="7" t="s">
        <v>578</v>
      </c>
      <c r="I348" s="2" t="s">
        <v>7609</v>
      </c>
      <c r="J348" s="2" t="s">
        <v>536</v>
      </c>
      <c r="K348" s="2" t="s">
        <v>304</v>
      </c>
      <c r="L348" s="2" t="s">
        <v>87</v>
      </c>
      <c r="M348" s="8" t="str">
        <f>HYPERLINK("http://slimages.macys.com/is/image/MCY/9939811 ")</f>
        <v xml:space="preserve">http://slimages.macys.com/is/image/MCY/9939811 </v>
      </c>
    </row>
    <row r="349" spans="1:13" ht="60" x14ac:dyDescent="0.25">
      <c r="A349" s="7" t="s">
        <v>10653</v>
      </c>
      <c r="B349" s="2" t="s">
        <v>10290</v>
      </c>
      <c r="C349" s="4">
        <v>2</v>
      </c>
      <c r="D349" s="5">
        <v>2.68</v>
      </c>
      <c r="E349" s="5">
        <v>5.99</v>
      </c>
      <c r="F349" s="4" t="s">
        <v>10291</v>
      </c>
      <c r="G349" s="2" t="s">
        <v>129</v>
      </c>
      <c r="H349" s="7" t="s">
        <v>590</v>
      </c>
      <c r="I349" s="2" t="s">
        <v>483</v>
      </c>
      <c r="J349" s="2" t="s">
        <v>536</v>
      </c>
      <c r="K349" s="2" t="s">
        <v>304</v>
      </c>
      <c r="L349" s="2" t="s">
        <v>38</v>
      </c>
      <c r="M349" s="8" t="str">
        <f>HYPERLINK("http://slimages.macys.com/is/image/MCY/11856977 ")</f>
        <v xml:space="preserve">http://slimages.macys.com/is/image/MCY/11856977 </v>
      </c>
    </row>
    <row r="350" spans="1:13" ht="60" x14ac:dyDescent="0.25">
      <c r="A350" s="7" t="s">
        <v>9204</v>
      </c>
      <c r="B350" s="2" t="s">
        <v>9202</v>
      </c>
      <c r="C350" s="4">
        <v>1</v>
      </c>
      <c r="D350" s="5">
        <v>2.68</v>
      </c>
      <c r="E350" s="5">
        <v>5.99</v>
      </c>
      <c r="F350" s="4" t="s">
        <v>9203</v>
      </c>
      <c r="G350" s="2" t="s">
        <v>28</v>
      </c>
      <c r="H350" s="7" t="s">
        <v>149</v>
      </c>
      <c r="I350" s="2" t="s">
        <v>483</v>
      </c>
      <c r="J350" s="2" t="s">
        <v>536</v>
      </c>
      <c r="K350" s="2" t="s">
        <v>304</v>
      </c>
      <c r="L350" s="2" t="s">
        <v>206</v>
      </c>
      <c r="M350" s="8" t="str">
        <f>HYPERLINK("http://slimages.macys.com/is/image/MCY/11794320 ")</f>
        <v xml:space="preserve">http://slimages.macys.com/is/image/MCY/11794320 </v>
      </c>
    </row>
    <row r="351" spans="1:13" ht="60" x14ac:dyDescent="0.25">
      <c r="A351" s="7" t="s">
        <v>10654</v>
      </c>
      <c r="B351" s="2" t="s">
        <v>10651</v>
      </c>
      <c r="C351" s="4">
        <v>2</v>
      </c>
      <c r="D351" s="5">
        <v>2.68</v>
      </c>
      <c r="E351" s="5">
        <v>7.99</v>
      </c>
      <c r="F351" s="4" t="s">
        <v>10652</v>
      </c>
      <c r="G351" s="2" t="s">
        <v>657</v>
      </c>
      <c r="H351" s="7" t="s">
        <v>514</v>
      </c>
      <c r="I351" s="2" t="s">
        <v>7609</v>
      </c>
      <c r="J351" s="2" t="s">
        <v>536</v>
      </c>
      <c r="K351" s="2" t="s">
        <v>304</v>
      </c>
      <c r="L351" s="2" t="s">
        <v>87</v>
      </c>
      <c r="M351" s="8" t="str">
        <f>HYPERLINK("http://slimages.macys.com/is/image/MCY/9939811 ")</f>
        <v xml:space="preserve">http://slimages.macys.com/is/image/MCY/9939811 </v>
      </c>
    </row>
    <row r="352" spans="1:13" ht="60" x14ac:dyDescent="0.25">
      <c r="A352" s="7" t="s">
        <v>10655</v>
      </c>
      <c r="B352" s="2" t="s">
        <v>9202</v>
      </c>
      <c r="C352" s="4">
        <v>1</v>
      </c>
      <c r="D352" s="5">
        <v>2.68</v>
      </c>
      <c r="E352" s="5">
        <v>5.99</v>
      </c>
      <c r="F352" s="4" t="s">
        <v>9203</v>
      </c>
      <c r="G352" s="2" t="s">
        <v>28</v>
      </c>
      <c r="H352" s="7" t="s">
        <v>91</v>
      </c>
      <c r="I352" s="2" t="s">
        <v>483</v>
      </c>
      <c r="J352" s="2" t="s">
        <v>536</v>
      </c>
      <c r="K352" s="2" t="s">
        <v>304</v>
      </c>
      <c r="L352" s="2" t="s">
        <v>206</v>
      </c>
      <c r="M352" s="8" t="str">
        <f>HYPERLINK("http://slimages.macys.com/is/image/MCY/11794320 ")</f>
        <v xml:space="preserve">http://slimages.macys.com/is/image/MCY/11794320 </v>
      </c>
    </row>
    <row r="353" spans="1:13" ht="84" x14ac:dyDescent="0.25">
      <c r="A353" s="7" t="s">
        <v>5685</v>
      </c>
      <c r="B353" s="2" t="s">
        <v>2228</v>
      </c>
      <c r="C353" s="4">
        <v>2</v>
      </c>
      <c r="D353" s="5">
        <v>2.67</v>
      </c>
      <c r="E353" s="5">
        <v>7.99</v>
      </c>
      <c r="F353" s="4" t="s">
        <v>2229</v>
      </c>
      <c r="G353" s="2" t="s">
        <v>527</v>
      </c>
      <c r="H353" s="7" t="s">
        <v>442</v>
      </c>
      <c r="I353" s="2" t="s">
        <v>483</v>
      </c>
      <c r="J353" s="2" t="s">
        <v>536</v>
      </c>
      <c r="K353" s="2" t="s">
        <v>304</v>
      </c>
      <c r="L353" s="2" t="s">
        <v>2230</v>
      </c>
      <c r="M353" s="8" t="str">
        <f>HYPERLINK("http://slimages.macys.com/is/image/MCY/14385110 ")</f>
        <v xml:space="preserve">http://slimages.macys.com/is/image/MCY/14385110 </v>
      </c>
    </row>
    <row r="354" spans="1:13" ht="84" x14ac:dyDescent="0.25">
      <c r="A354" s="7" t="s">
        <v>2238</v>
      </c>
      <c r="B354" s="2" t="s">
        <v>2228</v>
      </c>
      <c r="C354" s="4">
        <v>7</v>
      </c>
      <c r="D354" s="5">
        <v>2.67</v>
      </c>
      <c r="E354" s="5">
        <v>7.99</v>
      </c>
      <c r="F354" s="4" t="s">
        <v>2229</v>
      </c>
      <c r="G354" s="2" t="s">
        <v>527</v>
      </c>
      <c r="H354" s="7" t="s">
        <v>590</v>
      </c>
      <c r="I354" s="2" t="s">
        <v>483</v>
      </c>
      <c r="J354" s="2" t="s">
        <v>536</v>
      </c>
      <c r="K354" s="2" t="s">
        <v>304</v>
      </c>
      <c r="L354" s="2" t="s">
        <v>2230</v>
      </c>
      <c r="M354" s="8" t="str">
        <f>HYPERLINK("http://slimages.macys.com/is/image/MCY/14385110 ")</f>
        <v xml:space="preserve">http://slimages.macys.com/is/image/MCY/14385110 </v>
      </c>
    </row>
    <row r="355" spans="1:13" ht="84" x14ac:dyDescent="0.25">
      <c r="A355" s="7" t="s">
        <v>2237</v>
      </c>
      <c r="B355" s="2" t="s">
        <v>2228</v>
      </c>
      <c r="C355" s="4">
        <v>7</v>
      </c>
      <c r="D355" s="5">
        <v>2.67</v>
      </c>
      <c r="E355" s="5">
        <v>7.99</v>
      </c>
      <c r="F355" s="4" t="s">
        <v>2229</v>
      </c>
      <c r="G355" s="2" t="s">
        <v>527</v>
      </c>
      <c r="H355" s="7"/>
      <c r="I355" s="2" t="s">
        <v>483</v>
      </c>
      <c r="J355" s="2" t="s">
        <v>536</v>
      </c>
      <c r="K355" s="2" t="s">
        <v>304</v>
      </c>
      <c r="L355" s="2" t="s">
        <v>2230</v>
      </c>
      <c r="M355" s="8" t="str">
        <f>HYPERLINK("http://slimages.macys.com/is/image/MCY/14385110 ")</f>
        <v xml:space="preserve">http://slimages.macys.com/is/image/MCY/14385110 </v>
      </c>
    </row>
    <row r="356" spans="1:13" ht="84" x14ac:dyDescent="0.25">
      <c r="A356" s="7" t="s">
        <v>2227</v>
      </c>
      <c r="B356" s="2" t="s">
        <v>2228</v>
      </c>
      <c r="C356" s="4">
        <v>9</v>
      </c>
      <c r="D356" s="5">
        <v>2.67</v>
      </c>
      <c r="E356" s="5">
        <v>7.99</v>
      </c>
      <c r="F356" s="4" t="s">
        <v>2229</v>
      </c>
      <c r="G356" s="2" t="s">
        <v>527</v>
      </c>
      <c r="H356" s="7" t="s">
        <v>149</v>
      </c>
      <c r="I356" s="2" t="s">
        <v>483</v>
      </c>
      <c r="J356" s="2" t="s">
        <v>536</v>
      </c>
      <c r="K356" s="2" t="s">
        <v>304</v>
      </c>
      <c r="L356" s="2" t="s">
        <v>2230</v>
      </c>
      <c r="M356" s="8" t="str">
        <f>HYPERLINK("http://slimages.macys.com/is/image/MCY/14385110 ")</f>
        <v xml:space="preserve">http://slimages.macys.com/is/image/MCY/14385110 </v>
      </c>
    </row>
    <row r="357" spans="1:13" ht="60" x14ac:dyDescent="0.25">
      <c r="A357" s="7" t="s">
        <v>7894</v>
      </c>
      <c r="B357" s="2" t="s">
        <v>7895</v>
      </c>
      <c r="C357" s="4">
        <v>1</v>
      </c>
      <c r="D357" s="5">
        <v>2.65</v>
      </c>
      <c r="E357" s="5">
        <v>7.99</v>
      </c>
      <c r="F357" s="4">
        <v>10005378500</v>
      </c>
      <c r="G357" s="2" t="s">
        <v>1147</v>
      </c>
      <c r="H357" s="7" t="s">
        <v>482</v>
      </c>
      <c r="I357" s="2" t="s">
        <v>483</v>
      </c>
      <c r="J357" s="2" t="s">
        <v>536</v>
      </c>
      <c r="K357" s="2" t="s">
        <v>304</v>
      </c>
      <c r="L357" s="2" t="s">
        <v>100</v>
      </c>
      <c r="M357" s="8" t="str">
        <f>HYPERLINK("http://slimages.macys.com/is/image/MCY/12466196 ")</f>
        <v xml:space="preserve">http://slimages.macys.com/is/image/MCY/12466196 </v>
      </c>
    </row>
    <row r="358" spans="1:13" ht="60" x14ac:dyDescent="0.25">
      <c r="A358" s="7" t="s">
        <v>10656</v>
      </c>
      <c r="B358" s="2" t="s">
        <v>10657</v>
      </c>
      <c r="C358" s="4">
        <v>1</v>
      </c>
      <c r="D358" s="5">
        <v>2.65</v>
      </c>
      <c r="E358" s="5">
        <v>7.99</v>
      </c>
      <c r="F358" s="4">
        <v>10005378300</v>
      </c>
      <c r="G358" s="2" t="s">
        <v>262</v>
      </c>
      <c r="H358" s="7" t="s">
        <v>149</v>
      </c>
      <c r="I358" s="2" t="s">
        <v>483</v>
      </c>
      <c r="J358" s="2" t="s">
        <v>536</v>
      </c>
      <c r="K358" s="2" t="s">
        <v>304</v>
      </c>
      <c r="L358" s="2" t="s">
        <v>100</v>
      </c>
      <c r="M358" s="8" t="str">
        <f>HYPERLINK("http://slimages.macys.com/is/image/MCY/12465800 ")</f>
        <v xml:space="preserve">http://slimages.macys.com/is/image/MCY/12465800 </v>
      </c>
    </row>
    <row r="359" spans="1:13" ht="60" x14ac:dyDescent="0.25">
      <c r="A359" s="7" t="s">
        <v>10658</v>
      </c>
      <c r="B359" s="2" t="s">
        <v>10659</v>
      </c>
      <c r="C359" s="4">
        <v>1</v>
      </c>
      <c r="D359" s="5">
        <v>2.63</v>
      </c>
      <c r="E359" s="5">
        <v>7.99</v>
      </c>
      <c r="F359" s="4">
        <v>10005379000</v>
      </c>
      <c r="G359" s="2" t="s">
        <v>1360</v>
      </c>
      <c r="H359" s="7" t="s">
        <v>590</v>
      </c>
      <c r="I359" s="2" t="s">
        <v>483</v>
      </c>
      <c r="J359" s="2" t="s">
        <v>536</v>
      </c>
      <c r="K359" s="2" t="s">
        <v>304</v>
      </c>
      <c r="L359" s="2" t="s">
        <v>100</v>
      </c>
      <c r="M359" s="8" t="str">
        <f>HYPERLINK("http://slimages.macys.com/is/image/MCY/12466200 ")</f>
        <v xml:space="preserve">http://slimages.macys.com/is/image/MCY/12466200 </v>
      </c>
    </row>
    <row r="360" spans="1:13" ht="60" x14ac:dyDescent="0.25">
      <c r="A360" s="7" t="s">
        <v>4494</v>
      </c>
      <c r="B360" s="2" t="s">
        <v>4495</v>
      </c>
      <c r="C360" s="4">
        <v>1</v>
      </c>
      <c r="D360" s="5">
        <v>2.63</v>
      </c>
      <c r="E360" s="5">
        <v>5.99</v>
      </c>
      <c r="F360" s="4" t="s">
        <v>4496</v>
      </c>
      <c r="G360" s="2" t="s">
        <v>1147</v>
      </c>
      <c r="H360" s="7" t="s">
        <v>149</v>
      </c>
      <c r="I360" s="2" t="s">
        <v>483</v>
      </c>
      <c r="J360" s="2" t="s">
        <v>536</v>
      </c>
      <c r="K360" s="2" t="s">
        <v>304</v>
      </c>
      <c r="L360" s="2" t="s">
        <v>206</v>
      </c>
      <c r="M360" s="8" t="str">
        <f>HYPERLINK("http://slimages.macys.com/is/image/MCY/11709478 ")</f>
        <v xml:space="preserve">http://slimages.macys.com/is/image/MCY/11709478 </v>
      </c>
    </row>
    <row r="361" spans="1:13" ht="60" x14ac:dyDescent="0.25">
      <c r="A361" s="7" t="s">
        <v>10660</v>
      </c>
      <c r="B361" s="2" t="s">
        <v>10661</v>
      </c>
      <c r="C361" s="4">
        <v>2</v>
      </c>
      <c r="D361" s="5">
        <v>2.63</v>
      </c>
      <c r="E361" s="5">
        <v>5.99</v>
      </c>
      <c r="F361" s="4">
        <v>100005405</v>
      </c>
      <c r="G361" s="2" t="s">
        <v>582</v>
      </c>
      <c r="H361" s="7" t="s">
        <v>42</v>
      </c>
      <c r="I361" s="2" t="s">
        <v>2717</v>
      </c>
      <c r="J361" s="2" t="s">
        <v>536</v>
      </c>
      <c r="K361" s="2"/>
      <c r="L361" s="2"/>
      <c r="M361" s="8" t="str">
        <f>HYPERLINK("http://slimages.macys.com/is/image/MCY/9157867 ")</f>
        <v xml:space="preserve">http://slimages.macys.com/is/image/MCY/9157867 </v>
      </c>
    </row>
    <row r="362" spans="1:13" ht="60" x14ac:dyDescent="0.25">
      <c r="A362" s="7" t="s">
        <v>10662</v>
      </c>
      <c r="B362" s="2" t="s">
        <v>10661</v>
      </c>
      <c r="C362" s="4">
        <v>1</v>
      </c>
      <c r="D362" s="5">
        <v>2.63</v>
      </c>
      <c r="E362" s="5">
        <v>5.99</v>
      </c>
      <c r="F362" s="4">
        <v>100005405</v>
      </c>
      <c r="G362" s="2" t="s">
        <v>582</v>
      </c>
      <c r="H362" s="7" t="s">
        <v>91</v>
      </c>
      <c r="I362" s="2" t="s">
        <v>2717</v>
      </c>
      <c r="J362" s="2" t="s">
        <v>536</v>
      </c>
      <c r="K362" s="2"/>
      <c r="L362" s="2"/>
      <c r="M362" s="8" t="str">
        <f>HYPERLINK("http://slimages.macys.com/is/image/MCY/9157867 ")</f>
        <v xml:space="preserve">http://slimages.macys.com/is/image/MCY/9157867 </v>
      </c>
    </row>
    <row r="363" spans="1:13" ht="60" x14ac:dyDescent="0.25">
      <c r="A363" s="7" t="s">
        <v>10663</v>
      </c>
      <c r="B363" s="2" t="s">
        <v>10664</v>
      </c>
      <c r="C363" s="4">
        <v>2</v>
      </c>
      <c r="D363" s="5">
        <v>2.63</v>
      </c>
      <c r="E363" s="5">
        <v>5.99</v>
      </c>
      <c r="F363" s="4">
        <v>100005407</v>
      </c>
      <c r="G363" s="2" t="s">
        <v>582</v>
      </c>
      <c r="H363" s="7" t="s">
        <v>442</v>
      </c>
      <c r="I363" s="2" t="s">
        <v>2717</v>
      </c>
      <c r="J363" s="2" t="s">
        <v>536</v>
      </c>
      <c r="K363" s="2" t="s">
        <v>304</v>
      </c>
      <c r="L363" s="2" t="s">
        <v>206</v>
      </c>
      <c r="M363" s="8" t="str">
        <f>HYPERLINK("http://slimages.macys.com/is/image/MCY/9272590 ")</f>
        <v xml:space="preserve">http://slimages.macys.com/is/image/MCY/9272590 </v>
      </c>
    </row>
    <row r="364" spans="1:13" ht="60" x14ac:dyDescent="0.25">
      <c r="A364" s="7" t="s">
        <v>10665</v>
      </c>
      <c r="B364" s="2" t="s">
        <v>10661</v>
      </c>
      <c r="C364" s="4">
        <v>1</v>
      </c>
      <c r="D364" s="5">
        <v>2.63</v>
      </c>
      <c r="E364" s="5">
        <v>5.99</v>
      </c>
      <c r="F364" s="4">
        <v>100005405</v>
      </c>
      <c r="G364" s="2" t="s">
        <v>582</v>
      </c>
      <c r="H364" s="7" t="s">
        <v>590</v>
      </c>
      <c r="I364" s="2" t="s">
        <v>2717</v>
      </c>
      <c r="J364" s="2" t="s">
        <v>536</v>
      </c>
      <c r="K364" s="2"/>
      <c r="L364" s="2"/>
      <c r="M364" s="8" t="str">
        <f>HYPERLINK("http://slimages.macys.com/is/image/MCY/9157867 ")</f>
        <v xml:space="preserve">http://slimages.macys.com/is/image/MCY/9157867 </v>
      </c>
    </row>
    <row r="365" spans="1:13" ht="60" x14ac:dyDescent="0.25">
      <c r="A365" s="7" t="s">
        <v>10666</v>
      </c>
      <c r="B365" s="2" t="s">
        <v>10667</v>
      </c>
      <c r="C365" s="4">
        <v>1</v>
      </c>
      <c r="D365" s="5">
        <v>2.63</v>
      </c>
      <c r="E365" s="5">
        <v>5.99</v>
      </c>
      <c r="F365" s="4">
        <v>100012519</v>
      </c>
      <c r="G365" s="2" t="s">
        <v>353</v>
      </c>
      <c r="H365" s="7" t="s">
        <v>442</v>
      </c>
      <c r="I365" s="2" t="s">
        <v>2717</v>
      </c>
      <c r="J365" s="2" t="s">
        <v>536</v>
      </c>
      <c r="K365" s="2" t="s">
        <v>304</v>
      </c>
      <c r="L365" s="2" t="s">
        <v>206</v>
      </c>
      <c r="M365" s="8" t="str">
        <f>HYPERLINK("http://slimages.macys.com/is/image/MCY/9472381 ")</f>
        <v xml:space="preserve">http://slimages.macys.com/is/image/MCY/9472381 </v>
      </c>
    </row>
    <row r="366" spans="1:13" ht="60" x14ac:dyDescent="0.25">
      <c r="A366" s="7" t="s">
        <v>10668</v>
      </c>
      <c r="B366" s="2" t="s">
        <v>10667</v>
      </c>
      <c r="C366" s="4">
        <v>1</v>
      </c>
      <c r="D366" s="5">
        <v>2.63</v>
      </c>
      <c r="E366" s="5">
        <v>5.99</v>
      </c>
      <c r="F366" s="4">
        <v>100012519</v>
      </c>
      <c r="G366" s="2" t="s">
        <v>353</v>
      </c>
      <c r="H366" s="7" t="s">
        <v>590</v>
      </c>
      <c r="I366" s="2" t="s">
        <v>2717</v>
      </c>
      <c r="J366" s="2" t="s">
        <v>536</v>
      </c>
      <c r="K366" s="2" t="s">
        <v>304</v>
      </c>
      <c r="L366" s="2" t="s">
        <v>206</v>
      </c>
      <c r="M366" s="8" t="str">
        <f>HYPERLINK("http://slimages.macys.com/is/image/MCY/9472381 ")</f>
        <v xml:space="preserve">http://slimages.macys.com/is/image/MCY/9472381 </v>
      </c>
    </row>
    <row r="367" spans="1:13" ht="60" x14ac:dyDescent="0.25">
      <c r="A367" s="7" t="s">
        <v>10669</v>
      </c>
      <c r="B367" s="2" t="s">
        <v>10661</v>
      </c>
      <c r="C367" s="4">
        <v>1</v>
      </c>
      <c r="D367" s="5">
        <v>2.63</v>
      </c>
      <c r="E367" s="5">
        <v>5.99</v>
      </c>
      <c r="F367" s="4">
        <v>100005405</v>
      </c>
      <c r="G367" s="2" t="s">
        <v>582</v>
      </c>
      <c r="H367" s="7" t="s">
        <v>442</v>
      </c>
      <c r="I367" s="2" t="s">
        <v>2717</v>
      </c>
      <c r="J367" s="2" t="s">
        <v>536</v>
      </c>
      <c r="K367" s="2"/>
      <c r="L367" s="2"/>
      <c r="M367" s="8" t="str">
        <f>HYPERLINK("http://slimages.macys.com/is/image/MCY/9157867 ")</f>
        <v xml:space="preserve">http://slimages.macys.com/is/image/MCY/9157867 </v>
      </c>
    </row>
    <row r="368" spans="1:13" ht="60" x14ac:dyDescent="0.25">
      <c r="A368" s="7" t="s">
        <v>10670</v>
      </c>
      <c r="B368" s="2" t="s">
        <v>10671</v>
      </c>
      <c r="C368" s="4">
        <v>1</v>
      </c>
      <c r="D368" s="5">
        <v>2.63</v>
      </c>
      <c r="E368" s="5">
        <v>5.99</v>
      </c>
      <c r="F368" s="4">
        <v>100012521</v>
      </c>
      <c r="G368" s="2" t="s">
        <v>79</v>
      </c>
      <c r="H368" s="7" t="s">
        <v>91</v>
      </c>
      <c r="I368" s="2" t="s">
        <v>2717</v>
      </c>
      <c r="J368" s="2" t="s">
        <v>536</v>
      </c>
      <c r="K368" s="2" t="s">
        <v>304</v>
      </c>
      <c r="L368" s="2" t="s">
        <v>206</v>
      </c>
      <c r="M368" s="8" t="str">
        <f>HYPERLINK("http://slimages.macys.com/is/image/MCY/9551810 ")</f>
        <v xml:space="preserve">http://slimages.macys.com/is/image/MCY/9551810 </v>
      </c>
    </row>
    <row r="369" spans="1:13" ht="60" x14ac:dyDescent="0.25">
      <c r="A369" s="7" t="s">
        <v>10672</v>
      </c>
      <c r="B369" s="2" t="s">
        <v>10664</v>
      </c>
      <c r="C369" s="4">
        <v>1</v>
      </c>
      <c r="D369" s="5">
        <v>2.63</v>
      </c>
      <c r="E369" s="5">
        <v>5.99</v>
      </c>
      <c r="F369" s="4">
        <v>100005407</v>
      </c>
      <c r="G369" s="2" t="s">
        <v>582</v>
      </c>
      <c r="H369" s="7" t="s">
        <v>91</v>
      </c>
      <c r="I369" s="2" t="s">
        <v>2717</v>
      </c>
      <c r="J369" s="2" t="s">
        <v>536</v>
      </c>
      <c r="K369" s="2" t="s">
        <v>304</v>
      </c>
      <c r="L369" s="2" t="s">
        <v>206</v>
      </c>
      <c r="M369" s="8" t="str">
        <f>HYPERLINK("http://slimages.macys.com/is/image/MCY/9272590 ")</f>
        <v xml:space="preserve">http://slimages.macys.com/is/image/MCY/9272590 </v>
      </c>
    </row>
    <row r="370" spans="1:13" ht="60" x14ac:dyDescent="0.25">
      <c r="A370" s="7" t="s">
        <v>7898</v>
      </c>
      <c r="B370" s="2" t="s">
        <v>4495</v>
      </c>
      <c r="C370" s="4">
        <v>1</v>
      </c>
      <c r="D370" s="5">
        <v>2.63</v>
      </c>
      <c r="E370" s="5">
        <v>5.99</v>
      </c>
      <c r="F370" s="4" t="s">
        <v>4496</v>
      </c>
      <c r="G370" s="2" t="s">
        <v>86</v>
      </c>
      <c r="H370" s="7" t="s">
        <v>91</v>
      </c>
      <c r="I370" s="2" t="s">
        <v>483</v>
      </c>
      <c r="J370" s="2" t="s">
        <v>536</v>
      </c>
      <c r="K370" s="2" t="s">
        <v>304</v>
      </c>
      <c r="L370" s="2" t="s">
        <v>206</v>
      </c>
      <c r="M370" s="8" t="str">
        <f>HYPERLINK("http://slimages.macys.com/is/image/MCY/11709478 ")</f>
        <v xml:space="preserve">http://slimages.macys.com/is/image/MCY/11709478 </v>
      </c>
    </row>
    <row r="371" spans="1:13" ht="60" x14ac:dyDescent="0.25">
      <c r="A371" s="7" t="s">
        <v>7164</v>
      </c>
      <c r="B371" s="2" t="s">
        <v>1243</v>
      </c>
      <c r="C371" s="4">
        <v>1</v>
      </c>
      <c r="D371" s="5">
        <v>2.62</v>
      </c>
      <c r="E371" s="5">
        <v>6.99</v>
      </c>
      <c r="F371" s="4" t="s">
        <v>1244</v>
      </c>
      <c r="G371" s="2" t="s">
        <v>41</v>
      </c>
      <c r="H371" s="7" t="s">
        <v>91</v>
      </c>
      <c r="I371" s="2" t="s">
        <v>483</v>
      </c>
      <c r="J371" s="2" t="s">
        <v>536</v>
      </c>
      <c r="K371" s="2" t="s">
        <v>304</v>
      </c>
      <c r="L371" s="2" t="s">
        <v>38</v>
      </c>
      <c r="M371" s="8" t="str">
        <f>HYPERLINK("http://slimages.macys.com/is/image/MCY/13987599 ")</f>
        <v xml:space="preserve">http://slimages.macys.com/is/image/MCY/13987599 </v>
      </c>
    </row>
    <row r="372" spans="1:13" ht="60" x14ac:dyDescent="0.25">
      <c r="A372" s="7" t="s">
        <v>1245</v>
      </c>
      <c r="B372" s="2" t="s">
        <v>1246</v>
      </c>
      <c r="C372" s="4">
        <v>1</v>
      </c>
      <c r="D372" s="5">
        <v>2.62</v>
      </c>
      <c r="E372" s="5">
        <v>6.99</v>
      </c>
      <c r="F372" s="4" t="s">
        <v>1247</v>
      </c>
      <c r="G372" s="2" t="s">
        <v>41</v>
      </c>
      <c r="H372" s="7" t="s">
        <v>149</v>
      </c>
      <c r="I372" s="2" t="s">
        <v>483</v>
      </c>
      <c r="J372" s="2" t="s">
        <v>536</v>
      </c>
      <c r="K372" s="2" t="s">
        <v>304</v>
      </c>
      <c r="L372" s="2" t="s">
        <v>100</v>
      </c>
      <c r="M372" s="8" t="str">
        <f>HYPERLINK("http://slimages.macys.com/is/image/MCY/13337544 ")</f>
        <v xml:space="preserve">http://slimages.macys.com/is/image/MCY/13337544 </v>
      </c>
    </row>
    <row r="373" spans="1:13" ht="60" x14ac:dyDescent="0.25">
      <c r="A373" s="7" t="s">
        <v>1242</v>
      </c>
      <c r="B373" s="2" t="s">
        <v>1243</v>
      </c>
      <c r="C373" s="4">
        <v>2</v>
      </c>
      <c r="D373" s="5">
        <v>2.62</v>
      </c>
      <c r="E373" s="5">
        <v>6.99</v>
      </c>
      <c r="F373" s="4" t="s">
        <v>1244</v>
      </c>
      <c r="G373" s="2" t="s">
        <v>41</v>
      </c>
      <c r="H373" s="7" t="s">
        <v>149</v>
      </c>
      <c r="I373" s="2" t="s">
        <v>483</v>
      </c>
      <c r="J373" s="2" t="s">
        <v>536</v>
      </c>
      <c r="K373" s="2" t="s">
        <v>304</v>
      </c>
      <c r="L373" s="2" t="s">
        <v>38</v>
      </c>
      <c r="M373" s="8" t="str">
        <f>HYPERLINK("http://slimages.macys.com/is/image/MCY/13987599 ")</f>
        <v xml:space="preserve">http://slimages.macys.com/is/image/MCY/13987599 </v>
      </c>
    </row>
    <row r="374" spans="1:13" ht="60" x14ac:dyDescent="0.25">
      <c r="A374" s="7" t="s">
        <v>2256</v>
      </c>
      <c r="B374" s="2" t="s">
        <v>2254</v>
      </c>
      <c r="C374" s="4">
        <v>1</v>
      </c>
      <c r="D374" s="5">
        <v>2.62</v>
      </c>
      <c r="E374" s="5">
        <v>5.99</v>
      </c>
      <c r="F374" s="4" t="s">
        <v>2255</v>
      </c>
      <c r="G374" s="2" t="s">
        <v>657</v>
      </c>
      <c r="H374" s="7" t="s">
        <v>149</v>
      </c>
      <c r="I374" s="2" t="s">
        <v>483</v>
      </c>
      <c r="J374" s="2" t="s">
        <v>536</v>
      </c>
      <c r="K374" s="2" t="s">
        <v>304</v>
      </c>
      <c r="L374" s="2" t="s">
        <v>119</v>
      </c>
      <c r="M374" s="8" t="str">
        <f>HYPERLINK("http://slimages.macys.com/is/image/MCY/12644604 ")</f>
        <v xml:space="preserve">http://slimages.macys.com/is/image/MCY/12644604 </v>
      </c>
    </row>
    <row r="375" spans="1:13" ht="60" x14ac:dyDescent="0.25">
      <c r="A375" s="7" t="s">
        <v>2264</v>
      </c>
      <c r="B375" s="2" t="s">
        <v>2261</v>
      </c>
      <c r="C375" s="4">
        <v>1</v>
      </c>
      <c r="D375" s="5">
        <v>2.62</v>
      </c>
      <c r="E375" s="5">
        <v>5.99</v>
      </c>
      <c r="F375" s="4" t="s">
        <v>2262</v>
      </c>
      <c r="G375" s="2" t="s">
        <v>858</v>
      </c>
      <c r="H375" s="7" t="s">
        <v>91</v>
      </c>
      <c r="I375" s="2" t="s">
        <v>483</v>
      </c>
      <c r="J375" s="2" t="s">
        <v>536</v>
      </c>
      <c r="K375" s="2" t="s">
        <v>304</v>
      </c>
      <c r="L375" s="2" t="s">
        <v>119</v>
      </c>
      <c r="M375" s="8" t="str">
        <f>HYPERLINK("http://slimages.macys.com/is/image/MCY/12644569 ")</f>
        <v xml:space="preserve">http://slimages.macys.com/is/image/MCY/12644569 </v>
      </c>
    </row>
    <row r="376" spans="1:13" ht="60" x14ac:dyDescent="0.25">
      <c r="A376" s="7" t="s">
        <v>1248</v>
      </c>
      <c r="B376" s="2" t="s">
        <v>1243</v>
      </c>
      <c r="C376" s="4">
        <v>1</v>
      </c>
      <c r="D376" s="5">
        <v>2.62</v>
      </c>
      <c r="E376" s="5">
        <v>6.99</v>
      </c>
      <c r="F376" s="4" t="s">
        <v>1244</v>
      </c>
      <c r="G376" s="2" t="s">
        <v>41</v>
      </c>
      <c r="H376" s="7" t="s">
        <v>590</v>
      </c>
      <c r="I376" s="2" t="s">
        <v>483</v>
      </c>
      <c r="J376" s="2" t="s">
        <v>536</v>
      </c>
      <c r="K376" s="2" t="s">
        <v>304</v>
      </c>
      <c r="L376" s="2" t="s">
        <v>38</v>
      </c>
      <c r="M376" s="8" t="str">
        <f>HYPERLINK("http://slimages.macys.com/is/image/MCY/13987599 ")</f>
        <v xml:space="preserve">http://slimages.macys.com/is/image/MCY/13987599 </v>
      </c>
    </row>
    <row r="377" spans="1:13" ht="60" x14ac:dyDescent="0.25">
      <c r="A377" s="7" t="s">
        <v>2267</v>
      </c>
      <c r="B377" s="2" t="s">
        <v>2254</v>
      </c>
      <c r="C377" s="4">
        <v>1</v>
      </c>
      <c r="D377" s="5">
        <v>2.62</v>
      </c>
      <c r="E377" s="5">
        <v>5.99</v>
      </c>
      <c r="F377" s="4" t="s">
        <v>2255</v>
      </c>
      <c r="G377" s="2" t="s">
        <v>657</v>
      </c>
      <c r="H377" s="7" t="s">
        <v>590</v>
      </c>
      <c r="I377" s="2" t="s">
        <v>483</v>
      </c>
      <c r="J377" s="2" t="s">
        <v>536</v>
      </c>
      <c r="K377" s="2" t="s">
        <v>304</v>
      </c>
      <c r="L377" s="2" t="s">
        <v>119</v>
      </c>
      <c r="M377" s="8" t="str">
        <f>HYPERLINK("http://slimages.macys.com/is/image/MCY/12644604 ")</f>
        <v xml:space="preserve">http://slimages.macys.com/is/image/MCY/12644604 </v>
      </c>
    </row>
    <row r="378" spans="1:13" ht="60" x14ac:dyDescent="0.25">
      <c r="A378" s="7" t="s">
        <v>2270</v>
      </c>
      <c r="B378" s="2" t="s">
        <v>2271</v>
      </c>
      <c r="C378" s="4">
        <v>1</v>
      </c>
      <c r="D378" s="5">
        <v>2.61</v>
      </c>
      <c r="E378" s="5">
        <v>6.99</v>
      </c>
      <c r="F378" s="4" t="s">
        <v>2272</v>
      </c>
      <c r="G378" s="2" t="s">
        <v>1147</v>
      </c>
      <c r="H378" s="7" t="s">
        <v>590</v>
      </c>
      <c r="I378" s="2" t="s">
        <v>483</v>
      </c>
      <c r="J378" s="2" t="s">
        <v>536</v>
      </c>
      <c r="K378" s="2" t="s">
        <v>304</v>
      </c>
      <c r="L378" s="2" t="s">
        <v>38</v>
      </c>
      <c r="M378" s="8" t="str">
        <f>HYPERLINK("http://slimages.macys.com/is/image/MCY/13987297 ")</f>
        <v xml:space="preserve">http://slimages.macys.com/is/image/MCY/13987297 </v>
      </c>
    </row>
    <row r="379" spans="1:13" ht="60" x14ac:dyDescent="0.25">
      <c r="A379" s="7" t="s">
        <v>10673</v>
      </c>
      <c r="B379" s="2" t="s">
        <v>10674</v>
      </c>
      <c r="C379" s="4">
        <v>1</v>
      </c>
      <c r="D379" s="5">
        <v>2.6</v>
      </c>
      <c r="E379" s="5">
        <v>6.99</v>
      </c>
      <c r="F379" s="4">
        <v>100022486</v>
      </c>
      <c r="G379" s="2" t="s">
        <v>28</v>
      </c>
      <c r="H379" s="7" t="s">
        <v>149</v>
      </c>
      <c r="I379" s="2" t="s">
        <v>483</v>
      </c>
      <c r="J379" s="2" t="s">
        <v>536</v>
      </c>
      <c r="K379" s="2" t="s">
        <v>304</v>
      </c>
      <c r="L379" s="2" t="s">
        <v>119</v>
      </c>
      <c r="M379" s="8" t="str">
        <f>HYPERLINK("http://slimages.macys.com/is/image/MCY/9809964 ")</f>
        <v xml:space="preserve">http://slimages.macys.com/is/image/MCY/9809964 </v>
      </c>
    </row>
    <row r="380" spans="1:13" ht="60" x14ac:dyDescent="0.25">
      <c r="A380" s="7" t="s">
        <v>10675</v>
      </c>
      <c r="B380" s="2" t="s">
        <v>10676</v>
      </c>
      <c r="C380" s="4">
        <v>2</v>
      </c>
      <c r="D380" s="5">
        <v>2.6</v>
      </c>
      <c r="E380" s="5">
        <v>6.99</v>
      </c>
      <c r="F380" s="4">
        <v>100021138</v>
      </c>
      <c r="G380" s="2" t="s">
        <v>36</v>
      </c>
      <c r="H380" s="7" t="s">
        <v>590</v>
      </c>
      <c r="I380" s="2" t="s">
        <v>7609</v>
      </c>
      <c r="J380" s="2" t="s">
        <v>536</v>
      </c>
      <c r="K380" s="2" t="s">
        <v>304</v>
      </c>
      <c r="L380" s="2" t="s">
        <v>38</v>
      </c>
      <c r="M380" s="8" t="str">
        <f>HYPERLINK("http://slimages.macys.com/is/image/MCY/9886389 ")</f>
        <v xml:space="preserve">http://slimages.macys.com/is/image/MCY/9886389 </v>
      </c>
    </row>
    <row r="381" spans="1:13" ht="60" x14ac:dyDescent="0.25">
      <c r="A381" s="7" t="s">
        <v>10677</v>
      </c>
      <c r="B381" s="2" t="s">
        <v>10674</v>
      </c>
      <c r="C381" s="4">
        <v>1</v>
      </c>
      <c r="D381" s="5">
        <v>2.6</v>
      </c>
      <c r="E381" s="5">
        <v>6.99</v>
      </c>
      <c r="F381" s="4">
        <v>100022486</v>
      </c>
      <c r="G381" s="2" t="s">
        <v>28</v>
      </c>
      <c r="H381" s="7" t="s">
        <v>590</v>
      </c>
      <c r="I381" s="2" t="s">
        <v>483</v>
      </c>
      <c r="J381" s="2" t="s">
        <v>536</v>
      </c>
      <c r="K381" s="2" t="s">
        <v>304</v>
      </c>
      <c r="L381" s="2" t="s">
        <v>119</v>
      </c>
      <c r="M381" s="8" t="str">
        <f>HYPERLINK("http://slimages.macys.com/is/image/MCY/9809964 ")</f>
        <v xml:space="preserve">http://slimages.macys.com/is/image/MCY/9809964 </v>
      </c>
    </row>
    <row r="382" spans="1:13" ht="60" x14ac:dyDescent="0.25">
      <c r="A382" s="7" t="s">
        <v>10678</v>
      </c>
      <c r="B382" s="2" t="s">
        <v>10674</v>
      </c>
      <c r="C382" s="4">
        <v>1</v>
      </c>
      <c r="D382" s="5">
        <v>2.6</v>
      </c>
      <c r="E382" s="5">
        <v>6.99</v>
      </c>
      <c r="F382" s="4">
        <v>100022486</v>
      </c>
      <c r="G382" s="2" t="s">
        <v>28</v>
      </c>
      <c r="H382" s="7" t="s">
        <v>442</v>
      </c>
      <c r="I382" s="2" t="s">
        <v>483</v>
      </c>
      <c r="J382" s="2" t="s">
        <v>536</v>
      </c>
      <c r="K382" s="2" t="s">
        <v>304</v>
      </c>
      <c r="L382" s="2" t="s">
        <v>119</v>
      </c>
      <c r="M382" s="8" t="str">
        <f>HYPERLINK("http://slimages.macys.com/is/image/MCY/9809964 ")</f>
        <v xml:space="preserve">http://slimages.macys.com/is/image/MCY/9809964 </v>
      </c>
    </row>
    <row r="383" spans="1:13" ht="60" x14ac:dyDescent="0.25">
      <c r="A383" s="7" t="s">
        <v>10679</v>
      </c>
      <c r="B383" s="2" t="s">
        <v>10676</v>
      </c>
      <c r="C383" s="4">
        <v>1</v>
      </c>
      <c r="D383" s="5">
        <v>2.6</v>
      </c>
      <c r="E383" s="5">
        <v>6.99</v>
      </c>
      <c r="F383" s="4">
        <v>100021138</v>
      </c>
      <c r="G383" s="2" t="s">
        <v>36</v>
      </c>
      <c r="H383" s="7" t="s">
        <v>91</v>
      </c>
      <c r="I383" s="2" t="s">
        <v>7609</v>
      </c>
      <c r="J383" s="2" t="s">
        <v>536</v>
      </c>
      <c r="K383" s="2" t="s">
        <v>304</v>
      </c>
      <c r="L383" s="2" t="s">
        <v>38</v>
      </c>
      <c r="M383" s="8" t="str">
        <f>HYPERLINK("http://slimages.macys.com/is/image/MCY/9886389 ")</f>
        <v xml:space="preserve">http://slimages.macys.com/is/image/MCY/9886389 </v>
      </c>
    </row>
    <row r="384" spans="1:13" ht="60" x14ac:dyDescent="0.25">
      <c r="A384" s="7" t="s">
        <v>10680</v>
      </c>
      <c r="B384" s="2" t="s">
        <v>10676</v>
      </c>
      <c r="C384" s="4">
        <v>1</v>
      </c>
      <c r="D384" s="5">
        <v>2.6</v>
      </c>
      <c r="E384" s="5">
        <v>6.99</v>
      </c>
      <c r="F384" s="4">
        <v>100021138</v>
      </c>
      <c r="G384" s="2" t="s">
        <v>36</v>
      </c>
      <c r="H384" s="7" t="s">
        <v>442</v>
      </c>
      <c r="I384" s="2" t="s">
        <v>7609</v>
      </c>
      <c r="J384" s="2" t="s">
        <v>536</v>
      </c>
      <c r="K384" s="2" t="s">
        <v>304</v>
      </c>
      <c r="L384" s="2" t="s">
        <v>38</v>
      </c>
      <c r="M384" s="8" t="str">
        <f>HYPERLINK("http://slimages.macys.com/is/image/MCY/9886389 ")</f>
        <v xml:space="preserve">http://slimages.macys.com/is/image/MCY/9886389 </v>
      </c>
    </row>
    <row r="385" spans="1:13" ht="60" x14ac:dyDescent="0.25">
      <c r="A385" s="7" t="s">
        <v>10681</v>
      </c>
      <c r="B385" s="2" t="s">
        <v>10682</v>
      </c>
      <c r="C385" s="4">
        <v>1</v>
      </c>
      <c r="D385" s="5">
        <v>2.6</v>
      </c>
      <c r="E385" s="5">
        <v>5.99</v>
      </c>
      <c r="F385" s="4" t="s">
        <v>10683</v>
      </c>
      <c r="G385" s="2" t="s">
        <v>129</v>
      </c>
      <c r="H385" s="7" t="s">
        <v>590</v>
      </c>
      <c r="I385" s="2" t="s">
        <v>483</v>
      </c>
      <c r="J385" s="2" t="s">
        <v>536</v>
      </c>
      <c r="K385" s="2"/>
      <c r="L385" s="2" t="s">
        <v>206</v>
      </c>
      <c r="M385" s="8" t="str">
        <f>HYPERLINK("http://slimages.macys.com/is/image/MCY/11857507 ")</f>
        <v xml:space="preserve">http://slimages.macys.com/is/image/MCY/11857507 </v>
      </c>
    </row>
    <row r="386" spans="1:13" ht="60" x14ac:dyDescent="0.25">
      <c r="A386" s="7" t="s">
        <v>7910</v>
      </c>
      <c r="B386" s="2" t="s">
        <v>1312</v>
      </c>
      <c r="C386" s="4">
        <v>1</v>
      </c>
      <c r="D386" s="5">
        <v>2.59</v>
      </c>
      <c r="E386" s="5">
        <v>7.99</v>
      </c>
      <c r="F386" s="4">
        <v>10005378600</v>
      </c>
      <c r="G386" s="2" t="s">
        <v>437</v>
      </c>
      <c r="H386" s="7"/>
      <c r="I386" s="2" t="s">
        <v>483</v>
      </c>
      <c r="J386" s="2" t="s">
        <v>536</v>
      </c>
      <c r="K386" s="2" t="s">
        <v>304</v>
      </c>
      <c r="L386" s="2" t="s">
        <v>100</v>
      </c>
      <c r="M386" s="8" t="str">
        <f>HYPERLINK("http://slimages.macys.com/is/image/MCY/12633240 ")</f>
        <v xml:space="preserve">http://slimages.macys.com/is/image/MCY/12633240 </v>
      </c>
    </row>
    <row r="387" spans="1:13" ht="60" x14ac:dyDescent="0.25">
      <c r="A387" s="7" t="s">
        <v>2278</v>
      </c>
      <c r="B387" s="2" t="s">
        <v>2279</v>
      </c>
      <c r="C387" s="4">
        <v>1</v>
      </c>
      <c r="D387" s="5">
        <v>2.59</v>
      </c>
      <c r="E387" s="5">
        <v>7.99</v>
      </c>
      <c r="F387" s="4" t="s">
        <v>2280</v>
      </c>
      <c r="G387" s="2" t="s">
        <v>86</v>
      </c>
      <c r="H387" s="7"/>
      <c r="I387" s="2" t="s">
        <v>483</v>
      </c>
      <c r="J387" s="2" t="s">
        <v>536</v>
      </c>
      <c r="K387" s="2" t="s">
        <v>304</v>
      </c>
      <c r="L387" s="2" t="s">
        <v>100</v>
      </c>
      <c r="M387" s="8" t="str">
        <f>HYPERLINK("http://slimages.macys.com/is/image/MCY/12465706 ")</f>
        <v xml:space="preserve">http://slimages.macys.com/is/image/MCY/12465706 </v>
      </c>
    </row>
    <row r="388" spans="1:13" ht="60" x14ac:dyDescent="0.25">
      <c r="A388" s="7" t="s">
        <v>10684</v>
      </c>
      <c r="B388" s="2" t="s">
        <v>2279</v>
      </c>
      <c r="C388" s="4">
        <v>1</v>
      </c>
      <c r="D388" s="5">
        <v>2.59</v>
      </c>
      <c r="E388" s="5">
        <v>7.99</v>
      </c>
      <c r="F388" s="4" t="s">
        <v>2280</v>
      </c>
      <c r="G388" s="2" t="s">
        <v>86</v>
      </c>
      <c r="H388" s="7" t="s">
        <v>590</v>
      </c>
      <c r="I388" s="2" t="s">
        <v>483</v>
      </c>
      <c r="J388" s="2" t="s">
        <v>536</v>
      </c>
      <c r="K388" s="2" t="s">
        <v>304</v>
      </c>
      <c r="L388" s="2" t="s">
        <v>100</v>
      </c>
      <c r="M388" s="8" t="str">
        <f>HYPERLINK("http://slimages.macys.com/is/image/MCY/12465706 ")</f>
        <v xml:space="preserve">http://slimages.macys.com/is/image/MCY/12465706 </v>
      </c>
    </row>
    <row r="389" spans="1:13" ht="60" x14ac:dyDescent="0.25">
      <c r="A389" s="7" t="s">
        <v>10685</v>
      </c>
      <c r="B389" s="2" t="s">
        <v>4526</v>
      </c>
      <c r="C389" s="4">
        <v>1</v>
      </c>
      <c r="D389" s="5">
        <v>2.59</v>
      </c>
      <c r="E389" s="5">
        <v>7.99</v>
      </c>
      <c r="F389" s="4" t="s">
        <v>4527</v>
      </c>
      <c r="G389" s="2" t="s">
        <v>1265</v>
      </c>
      <c r="H389" s="7"/>
      <c r="I389" s="2" t="s">
        <v>483</v>
      </c>
      <c r="J389" s="2" t="s">
        <v>536</v>
      </c>
      <c r="K389" s="2" t="s">
        <v>304</v>
      </c>
      <c r="L389" s="2" t="s">
        <v>100</v>
      </c>
      <c r="M389" s="8" t="str">
        <f>HYPERLINK("http://slimages.macys.com/is/image/MCY/12466031 ")</f>
        <v xml:space="preserve">http://slimages.macys.com/is/image/MCY/12466031 </v>
      </c>
    </row>
    <row r="390" spans="1:13" ht="60" x14ac:dyDescent="0.25">
      <c r="A390" s="7" t="s">
        <v>7912</v>
      </c>
      <c r="B390" s="2" t="s">
        <v>7913</v>
      </c>
      <c r="C390" s="4">
        <v>1</v>
      </c>
      <c r="D390" s="5">
        <v>2.57</v>
      </c>
      <c r="E390" s="5">
        <v>6.99</v>
      </c>
      <c r="F390" s="4" t="s">
        <v>7914</v>
      </c>
      <c r="G390" s="2" t="s">
        <v>28</v>
      </c>
      <c r="H390" s="7" t="s">
        <v>149</v>
      </c>
      <c r="I390" s="2" t="s">
        <v>483</v>
      </c>
      <c r="J390" s="2" t="s">
        <v>536</v>
      </c>
      <c r="K390" s="2" t="s">
        <v>304</v>
      </c>
      <c r="L390" s="2" t="s">
        <v>100</v>
      </c>
      <c r="M390" s="8" t="str">
        <f>HYPERLINK("http://slimages.macys.com/is/image/MCY/11379069 ")</f>
        <v xml:space="preserve">http://slimages.macys.com/is/image/MCY/11379069 </v>
      </c>
    </row>
    <row r="391" spans="1:13" ht="60" x14ac:dyDescent="0.25">
      <c r="A391" s="7" t="s">
        <v>7915</v>
      </c>
      <c r="B391" s="2" t="s">
        <v>7913</v>
      </c>
      <c r="C391" s="4">
        <v>1</v>
      </c>
      <c r="D391" s="5">
        <v>2.57</v>
      </c>
      <c r="E391" s="5">
        <v>6.99</v>
      </c>
      <c r="F391" s="4" t="s">
        <v>7914</v>
      </c>
      <c r="G391" s="2" t="s">
        <v>28</v>
      </c>
      <c r="H391" s="7" t="s">
        <v>590</v>
      </c>
      <c r="I391" s="2" t="s">
        <v>483</v>
      </c>
      <c r="J391" s="2" t="s">
        <v>536</v>
      </c>
      <c r="K391" s="2" t="s">
        <v>304</v>
      </c>
      <c r="L391" s="2" t="s">
        <v>100</v>
      </c>
      <c r="M391" s="8" t="str">
        <f>HYPERLINK("http://slimages.macys.com/is/image/MCY/11379069 ")</f>
        <v xml:space="preserve">http://slimages.macys.com/is/image/MCY/11379069 </v>
      </c>
    </row>
    <row r="392" spans="1:13" ht="72" x14ac:dyDescent="0.25">
      <c r="A392" s="7" t="s">
        <v>10686</v>
      </c>
      <c r="B392" s="2" t="s">
        <v>10687</v>
      </c>
      <c r="C392" s="4">
        <v>1</v>
      </c>
      <c r="D392" s="5">
        <v>2.56</v>
      </c>
      <c r="E392" s="5">
        <v>6.99</v>
      </c>
      <c r="F392" s="4">
        <v>100021125</v>
      </c>
      <c r="G392" s="2" t="s">
        <v>129</v>
      </c>
      <c r="H392" s="7" t="s">
        <v>442</v>
      </c>
      <c r="I392" s="2" t="s">
        <v>483</v>
      </c>
      <c r="J392" s="2" t="s">
        <v>536</v>
      </c>
      <c r="K392" s="2" t="s">
        <v>304</v>
      </c>
      <c r="L392" s="2" t="s">
        <v>10688</v>
      </c>
      <c r="M392" s="8" t="str">
        <f>HYPERLINK("http://slimages.macys.com/is/image/MCY/9860389 ")</f>
        <v xml:space="preserve">http://slimages.macys.com/is/image/MCY/9860389 </v>
      </c>
    </row>
    <row r="393" spans="1:13" ht="60" x14ac:dyDescent="0.25">
      <c r="A393" s="7" t="s">
        <v>6058</v>
      </c>
      <c r="B393" s="2" t="s">
        <v>1260</v>
      </c>
      <c r="C393" s="4">
        <v>2</v>
      </c>
      <c r="D393" s="5">
        <v>2.56</v>
      </c>
      <c r="E393" s="5">
        <v>6.99</v>
      </c>
      <c r="F393" s="4" t="s">
        <v>1261</v>
      </c>
      <c r="G393" s="2" t="s">
        <v>86</v>
      </c>
      <c r="H393" s="7" t="s">
        <v>149</v>
      </c>
      <c r="I393" s="2" t="s">
        <v>483</v>
      </c>
      <c r="J393" s="2" t="s">
        <v>536</v>
      </c>
      <c r="K393" s="2" t="s">
        <v>304</v>
      </c>
      <c r="L393" s="2" t="s">
        <v>100</v>
      </c>
      <c r="M393" s="8" t="str">
        <f>HYPERLINK("http://slimages.macys.com/is/image/MCY/11779082 ")</f>
        <v xml:space="preserve">http://slimages.macys.com/is/image/MCY/11779082 </v>
      </c>
    </row>
    <row r="394" spans="1:13" ht="60" x14ac:dyDescent="0.25">
      <c r="A394" s="7" t="s">
        <v>6059</v>
      </c>
      <c r="B394" s="2" t="s">
        <v>1260</v>
      </c>
      <c r="C394" s="4">
        <v>2</v>
      </c>
      <c r="D394" s="5">
        <v>2.56</v>
      </c>
      <c r="E394" s="5">
        <v>6.99</v>
      </c>
      <c r="F394" s="4" t="s">
        <v>1261</v>
      </c>
      <c r="G394" s="2" t="s">
        <v>86</v>
      </c>
      <c r="H394" s="7" t="s">
        <v>442</v>
      </c>
      <c r="I394" s="2" t="s">
        <v>483</v>
      </c>
      <c r="J394" s="2" t="s">
        <v>536</v>
      </c>
      <c r="K394" s="2" t="s">
        <v>304</v>
      </c>
      <c r="L394" s="2" t="s">
        <v>100</v>
      </c>
      <c r="M394" s="8" t="str">
        <f>HYPERLINK("http://slimages.macys.com/is/image/MCY/11779082 ")</f>
        <v xml:space="preserve">http://slimages.macys.com/is/image/MCY/11779082 </v>
      </c>
    </row>
    <row r="395" spans="1:13" ht="60" x14ac:dyDescent="0.25">
      <c r="A395" s="7" t="s">
        <v>6066</v>
      </c>
      <c r="B395" s="2" t="s">
        <v>2283</v>
      </c>
      <c r="C395" s="4">
        <v>1</v>
      </c>
      <c r="D395" s="5">
        <v>2.5499999999999998</v>
      </c>
      <c r="E395" s="5">
        <v>5.99</v>
      </c>
      <c r="F395" s="4" t="s">
        <v>2284</v>
      </c>
      <c r="G395" s="2" t="s">
        <v>86</v>
      </c>
      <c r="H395" s="7" t="s">
        <v>590</v>
      </c>
      <c r="I395" s="2" t="s">
        <v>483</v>
      </c>
      <c r="J395" s="2" t="s">
        <v>536</v>
      </c>
      <c r="K395" s="2" t="s">
        <v>304</v>
      </c>
      <c r="L395" s="2" t="s">
        <v>206</v>
      </c>
      <c r="M395" s="8" t="str">
        <f>HYPERLINK("http://slimages.macys.com/is/image/MCY/11436902 ")</f>
        <v xml:space="preserve">http://slimages.macys.com/is/image/MCY/11436902 </v>
      </c>
    </row>
    <row r="396" spans="1:13" ht="60" x14ac:dyDescent="0.25">
      <c r="A396" s="7" t="s">
        <v>6551</v>
      </c>
      <c r="B396" s="2" t="s">
        <v>2722</v>
      </c>
      <c r="C396" s="4">
        <v>1</v>
      </c>
      <c r="D396" s="5">
        <v>2.54</v>
      </c>
      <c r="E396" s="5">
        <v>6.99</v>
      </c>
      <c r="F396" s="4">
        <v>10006317100</v>
      </c>
      <c r="G396" s="2" t="s">
        <v>1302</v>
      </c>
      <c r="H396" s="7"/>
      <c r="I396" s="2" t="s">
        <v>483</v>
      </c>
      <c r="J396" s="2" t="s">
        <v>536</v>
      </c>
      <c r="K396" s="2" t="s">
        <v>304</v>
      </c>
      <c r="L396" s="2" t="s">
        <v>38</v>
      </c>
      <c r="M396" s="8" t="str">
        <f>HYPERLINK("http://slimages.macys.com/is/image/MCY/13987493 ")</f>
        <v xml:space="preserve">http://slimages.macys.com/is/image/MCY/13987493 </v>
      </c>
    </row>
    <row r="397" spans="1:13" ht="60" x14ac:dyDescent="0.25">
      <c r="A397" s="7" t="s">
        <v>7191</v>
      </c>
      <c r="B397" s="2" t="s">
        <v>2722</v>
      </c>
      <c r="C397" s="4">
        <v>1</v>
      </c>
      <c r="D397" s="5">
        <v>2.54</v>
      </c>
      <c r="E397" s="5">
        <v>6.99</v>
      </c>
      <c r="F397" s="4">
        <v>10006317100</v>
      </c>
      <c r="G397" s="2" t="s">
        <v>1302</v>
      </c>
      <c r="H397" s="7" t="s">
        <v>482</v>
      </c>
      <c r="I397" s="2" t="s">
        <v>483</v>
      </c>
      <c r="J397" s="2" t="s">
        <v>536</v>
      </c>
      <c r="K397" s="2" t="s">
        <v>304</v>
      </c>
      <c r="L397" s="2" t="s">
        <v>38</v>
      </c>
      <c r="M397" s="8" t="str">
        <f>HYPERLINK("http://slimages.macys.com/is/image/MCY/13987493 ")</f>
        <v xml:space="preserve">http://slimages.macys.com/is/image/MCY/13987493 </v>
      </c>
    </row>
    <row r="398" spans="1:13" ht="60" x14ac:dyDescent="0.25">
      <c r="A398" s="7" t="s">
        <v>9214</v>
      </c>
      <c r="B398" s="2" t="s">
        <v>1280</v>
      </c>
      <c r="C398" s="4">
        <v>2</v>
      </c>
      <c r="D398" s="5">
        <v>2.5299999999999998</v>
      </c>
      <c r="E398" s="5">
        <v>5.99</v>
      </c>
      <c r="F398" s="4" t="s">
        <v>1281</v>
      </c>
      <c r="G398" s="2" t="s">
        <v>41</v>
      </c>
      <c r="H398" s="7" t="s">
        <v>590</v>
      </c>
      <c r="I398" s="2" t="s">
        <v>483</v>
      </c>
      <c r="J398" s="2" t="s">
        <v>536</v>
      </c>
      <c r="K398" s="2" t="s">
        <v>304</v>
      </c>
      <c r="L398" s="2" t="s">
        <v>206</v>
      </c>
      <c r="M398" s="8" t="str">
        <f>HYPERLINK("http://slimages.macys.com/is/image/MCY/13385820 ")</f>
        <v xml:space="preserve">http://slimages.macys.com/is/image/MCY/13385820 </v>
      </c>
    </row>
    <row r="399" spans="1:13" ht="60" x14ac:dyDescent="0.25">
      <c r="A399" s="7" t="s">
        <v>1279</v>
      </c>
      <c r="B399" s="2" t="s">
        <v>1280</v>
      </c>
      <c r="C399" s="4">
        <v>1</v>
      </c>
      <c r="D399" s="5">
        <v>2.5299999999999998</v>
      </c>
      <c r="E399" s="5">
        <v>5.99</v>
      </c>
      <c r="F399" s="4" t="s">
        <v>1281</v>
      </c>
      <c r="G399" s="2" t="s">
        <v>41</v>
      </c>
      <c r="H399" s="7" t="s">
        <v>149</v>
      </c>
      <c r="I399" s="2" t="s">
        <v>483</v>
      </c>
      <c r="J399" s="2" t="s">
        <v>536</v>
      </c>
      <c r="K399" s="2" t="s">
        <v>304</v>
      </c>
      <c r="L399" s="2" t="s">
        <v>206</v>
      </c>
      <c r="M399" s="8" t="str">
        <f>HYPERLINK("http://slimages.macys.com/is/image/MCY/13385820 ")</f>
        <v xml:space="preserve">http://slimages.macys.com/is/image/MCY/13385820 </v>
      </c>
    </row>
    <row r="400" spans="1:13" ht="60" x14ac:dyDescent="0.25">
      <c r="A400" s="7" t="s">
        <v>10689</v>
      </c>
      <c r="B400" s="2" t="s">
        <v>1280</v>
      </c>
      <c r="C400" s="4">
        <v>2</v>
      </c>
      <c r="D400" s="5">
        <v>2.5299999999999998</v>
      </c>
      <c r="E400" s="5">
        <v>5.99</v>
      </c>
      <c r="F400" s="4" t="s">
        <v>1281</v>
      </c>
      <c r="G400" s="2" t="s">
        <v>41</v>
      </c>
      <c r="H400" s="7" t="s">
        <v>442</v>
      </c>
      <c r="I400" s="2" t="s">
        <v>483</v>
      </c>
      <c r="J400" s="2" t="s">
        <v>536</v>
      </c>
      <c r="K400" s="2" t="s">
        <v>304</v>
      </c>
      <c r="L400" s="2" t="s">
        <v>206</v>
      </c>
      <c r="M400" s="8" t="str">
        <f>HYPERLINK("http://slimages.macys.com/is/image/MCY/13385820 ")</f>
        <v xml:space="preserve">http://slimages.macys.com/is/image/MCY/13385820 </v>
      </c>
    </row>
    <row r="401" spans="1:13" ht="60" x14ac:dyDescent="0.25">
      <c r="A401" s="7" t="s">
        <v>9756</v>
      </c>
      <c r="B401" s="2" t="s">
        <v>1280</v>
      </c>
      <c r="C401" s="4">
        <v>1</v>
      </c>
      <c r="D401" s="5">
        <v>2.5299999999999998</v>
      </c>
      <c r="E401" s="5">
        <v>5.99</v>
      </c>
      <c r="F401" s="4" t="s">
        <v>1281</v>
      </c>
      <c r="G401" s="2" t="s">
        <v>41</v>
      </c>
      <c r="H401" s="7" t="s">
        <v>91</v>
      </c>
      <c r="I401" s="2" t="s">
        <v>483</v>
      </c>
      <c r="J401" s="2" t="s">
        <v>536</v>
      </c>
      <c r="K401" s="2" t="s">
        <v>304</v>
      </c>
      <c r="L401" s="2" t="s">
        <v>206</v>
      </c>
      <c r="M401" s="8" t="str">
        <f>HYPERLINK("http://slimages.macys.com/is/image/MCY/13385820 ")</f>
        <v xml:space="preserve">http://slimages.macys.com/is/image/MCY/13385820 </v>
      </c>
    </row>
    <row r="402" spans="1:13" ht="84" x14ac:dyDescent="0.25">
      <c r="A402" s="7" t="s">
        <v>10690</v>
      </c>
      <c r="B402" s="2" t="s">
        <v>10635</v>
      </c>
      <c r="C402" s="4">
        <v>2</v>
      </c>
      <c r="D402" s="5">
        <v>2.52</v>
      </c>
      <c r="E402" s="5">
        <v>6.99</v>
      </c>
      <c r="F402" s="4">
        <v>100021555</v>
      </c>
      <c r="G402" s="2" t="s">
        <v>36</v>
      </c>
      <c r="H402" s="7" t="s">
        <v>149</v>
      </c>
      <c r="I402" s="2" t="s">
        <v>7609</v>
      </c>
      <c r="J402" s="2" t="s">
        <v>536</v>
      </c>
      <c r="K402" s="2" t="s">
        <v>304</v>
      </c>
      <c r="L402" s="2" t="s">
        <v>10691</v>
      </c>
      <c r="M402" s="8" t="str">
        <f>HYPERLINK("http://slimages.macys.com/is/image/MCY/9915051 ")</f>
        <v xml:space="preserve">http://slimages.macys.com/is/image/MCY/9915051 </v>
      </c>
    </row>
    <row r="403" spans="1:13" ht="84" x14ac:dyDescent="0.25">
      <c r="A403" s="7" t="s">
        <v>10692</v>
      </c>
      <c r="B403" s="2" t="s">
        <v>10635</v>
      </c>
      <c r="C403" s="4">
        <v>3</v>
      </c>
      <c r="D403" s="5">
        <v>2.52</v>
      </c>
      <c r="E403" s="5">
        <v>6.99</v>
      </c>
      <c r="F403" s="4">
        <v>100021555</v>
      </c>
      <c r="G403" s="2" t="s">
        <v>36</v>
      </c>
      <c r="H403" s="7" t="s">
        <v>590</v>
      </c>
      <c r="I403" s="2" t="s">
        <v>7609</v>
      </c>
      <c r="J403" s="2" t="s">
        <v>536</v>
      </c>
      <c r="K403" s="2" t="s">
        <v>304</v>
      </c>
      <c r="L403" s="2" t="s">
        <v>10691</v>
      </c>
      <c r="M403" s="8" t="str">
        <f>HYPERLINK("http://slimages.macys.com/is/image/MCY/9915051 ")</f>
        <v xml:space="preserve">http://slimages.macys.com/is/image/MCY/9915051 </v>
      </c>
    </row>
    <row r="404" spans="1:13" ht="60" x14ac:dyDescent="0.25">
      <c r="A404" s="7" t="s">
        <v>2294</v>
      </c>
      <c r="B404" s="2" t="s">
        <v>2295</v>
      </c>
      <c r="C404" s="4">
        <v>2</v>
      </c>
      <c r="D404" s="5">
        <v>2.5099999999999998</v>
      </c>
      <c r="E404" s="5">
        <v>5.99</v>
      </c>
      <c r="F404" s="4" t="s">
        <v>2296</v>
      </c>
      <c r="G404" s="2" t="s">
        <v>28</v>
      </c>
      <c r="H404" s="7" t="s">
        <v>590</v>
      </c>
      <c r="I404" s="2" t="s">
        <v>483</v>
      </c>
      <c r="J404" s="2" t="s">
        <v>536</v>
      </c>
      <c r="K404" s="2" t="s">
        <v>304</v>
      </c>
      <c r="L404" s="2" t="s">
        <v>119</v>
      </c>
      <c r="M404" s="8" t="str">
        <f>HYPERLINK("http://slimages.macys.com/is/image/MCY/11436914 ")</f>
        <v xml:space="preserve">http://slimages.macys.com/is/image/MCY/11436914 </v>
      </c>
    </row>
    <row r="405" spans="1:13" ht="60" x14ac:dyDescent="0.25">
      <c r="A405" s="7" t="s">
        <v>7202</v>
      </c>
      <c r="B405" s="2" t="s">
        <v>2299</v>
      </c>
      <c r="C405" s="4">
        <v>1</v>
      </c>
      <c r="D405" s="5">
        <v>2.5099999999999998</v>
      </c>
      <c r="E405" s="5">
        <v>5.99</v>
      </c>
      <c r="F405" s="4" t="s">
        <v>2300</v>
      </c>
      <c r="G405" s="2" t="s">
        <v>28</v>
      </c>
      <c r="H405" s="7" t="s">
        <v>91</v>
      </c>
      <c r="I405" s="2" t="s">
        <v>483</v>
      </c>
      <c r="J405" s="2" t="s">
        <v>536</v>
      </c>
      <c r="K405" s="2" t="s">
        <v>304</v>
      </c>
      <c r="L405" s="2" t="s">
        <v>119</v>
      </c>
      <c r="M405" s="8" t="str">
        <f>HYPERLINK("http://slimages.macys.com/is/image/MCY/13987054 ")</f>
        <v xml:space="preserve">http://slimages.macys.com/is/image/MCY/13987054 </v>
      </c>
    </row>
    <row r="406" spans="1:13" ht="60" x14ac:dyDescent="0.25">
      <c r="A406" s="7" t="s">
        <v>6076</v>
      </c>
      <c r="B406" s="2" t="s">
        <v>2295</v>
      </c>
      <c r="C406" s="4">
        <v>1</v>
      </c>
      <c r="D406" s="5">
        <v>2.5099999999999998</v>
      </c>
      <c r="E406" s="5">
        <v>5.99</v>
      </c>
      <c r="F406" s="4" t="s">
        <v>2296</v>
      </c>
      <c r="G406" s="2" t="s">
        <v>28</v>
      </c>
      <c r="H406" s="7" t="s">
        <v>149</v>
      </c>
      <c r="I406" s="2" t="s">
        <v>483</v>
      </c>
      <c r="J406" s="2" t="s">
        <v>536</v>
      </c>
      <c r="K406" s="2" t="s">
        <v>304</v>
      </c>
      <c r="L406" s="2" t="s">
        <v>119</v>
      </c>
      <c r="M406" s="8" t="str">
        <f>HYPERLINK("http://slimages.macys.com/is/image/MCY/11436914 ")</f>
        <v xml:space="preserve">http://slimages.macys.com/is/image/MCY/11436914 </v>
      </c>
    </row>
    <row r="407" spans="1:13" ht="60" x14ac:dyDescent="0.25">
      <c r="A407" s="7" t="s">
        <v>6075</v>
      </c>
      <c r="B407" s="2" t="s">
        <v>2295</v>
      </c>
      <c r="C407" s="4">
        <v>1</v>
      </c>
      <c r="D407" s="5">
        <v>2.5099999999999998</v>
      </c>
      <c r="E407" s="5">
        <v>5.99</v>
      </c>
      <c r="F407" s="4" t="s">
        <v>2296</v>
      </c>
      <c r="G407" s="2" t="s">
        <v>28</v>
      </c>
      <c r="H407" s="7" t="s">
        <v>442</v>
      </c>
      <c r="I407" s="2" t="s">
        <v>483</v>
      </c>
      <c r="J407" s="2" t="s">
        <v>536</v>
      </c>
      <c r="K407" s="2" t="s">
        <v>304</v>
      </c>
      <c r="L407" s="2" t="s">
        <v>119</v>
      </c>
      <c r="M407" s="8" t="str">
        <f>HYPERLINK("http://slimages.macys.com/is/image/MCY/11436914 ")</f>
        <v xml:space="preserve">http://slimages.macys.com/is/image/MCY/11436914 </v>
      </c>
    </row>
    <row r="408" spans="1:13" ht="60" x14ac:dyDescent="0.25">
      <c r="A408" s="7" t="s">
        <v>10693</v>
      </c>
      <c r="B408" s="2" t="s">
        <v>10694</v>
      </c>
      <c r="C408" s="4">
        <v>1</v>
      </c>
      <c r="D408" s="5">
        <v>2.5</v>
      </c>
      <c r="E408" s="5">
        <v>6.99</v>
      </c>
      <c r="F408" s="4">
        <v>100005450</v>
      </c>
      <c r="G408" s="2" t="s">
        <v>657</v>
      </c>
      <c r="H408" s="7" t="s">
        <v>149</v>
      </c>
      <c r="I408" s="2" t="s">
        <v>483</v>
      </c>
      <c r="J408" s="2" t="s">
        <v>536</v>
      </c>
      <c r="K408" s="2"/>
      <c r="L408" s="2"/>
      <c r="M408" s="8" t="str">
        <f>HYPERLINK("http://slimages.macys.com/is/image/MCY/9157904 ")</f>
        <v xml:space="preserve">http://slimages.macys.com/is/image/MCY/9157904 </v>
      </c>
    </row>
    <row r="409" spans="1:13" ht="60" x14ac:dyDescent="0.25">
      <c r="A409" s="7" t="s">
        <v>10695</v>
      </c>
      <c r="B409" s="2" t="s">
        <v>10694</v>
      </c>
      <c r="C409" s="4">
        <v>4</v>
      </c>
      <c r="D409" s="5">
        <v>2.5</v>
      </c>
      <c r="E409" s="5">
        <v>6.99</v>
      </c>
      <c r="F409" s="4">
        <v>100005450</v>
      </c>
      <c r="G409" s="2" t="s">
        <v>657</v>
      </c>
      <c r="H409" s="7"/>
      <c r="I409" s="2" t="s">
        <v>483</v>
      </c>
      <c r="J409" s="2" t="s">
        <v>536</v>
      </c>
      <c r="K409" s="2"/>
      <c r="L409" s="2"/>
      <c r="M409" s="8" t="str">
        <f>HYPERLINK("http://slimages.macys.com/is/image/MCY/9157904 ")</f>
        <v xml:space="preserve">http://slimages.macys.com/is/image/MCY/9157904 </v>
      </c>
    </row>
    <row r="410" spans="1:13" ht="60" x14ac:dyDescent="0.25">
      <c r="A410" s="7" t="s">
        <v>10696</v>
      </c>
      <c r="B410" s="2" t="s">
        <v>10694</v>
      </c>
      <c r="C410" s="4">
        <v>3</v>
      </c>
      <c r="D410" s="5">
        <v>2.5</v>
      </c>
      <c r="E410" s="5">
        <v>6.99</v>
      </c>
      <c r="F410" s="4">
        <v>100005450</v>
      </c>
      <c r="G410" s="2"/>
      <c r="H410" s="7" t="s">
        <v>590</v>
      </c>
      <c r="I410" s="2" t="s">
        <v>483</v>
      </c>
      <c r="J410" s="2" t="s">
        <v>536</v>
      </c>
      <c r="K410" s="2" t="s">
        <v>304</v>
      </c>
      <c r="L410" s="2" t="s">
        <v>119</v>
      </c>
      <c r="M410" s="8" t="str">
        <f>HYPERLINK("http://slimages.macys.com/is/image/MCY/9157903 ")</f>
        <v xml:space="preserve">http://slimages.macys.com/is/image/MCY/9157903 </v>
      </c>
    </row>
    <row r="411" spans="1:13" ht="60" x14ac:dyDescent="0.25">
      <c r="A411" s="7" t="s">
        <v>10697</v>
      </c>
      <c r="B411" s="2" t="s">
        <v>10698</v>
      </c>
      <c r="C411" s="4">
        <v>3</v>
      </c>
      <c r="D411" s="5">
        <v>2.5</v>
      </c>
      <c r="E411" s="5">
        <v>5.99</v>
      </c>
      <c r="F411" s="4">
        <v>100012489</v>
      </c>
      <c r="G411" s="2" t="s">
        <v>262</v>
      </c>
      <c r="H411" s="7" t="s">
        <v>42</v>
      </c>
      <c r="I411" s="2" t="s">
        <v>2717</v>
      </c>
      <c r="J411" s="2" t="s">
        <v>536</v>
      </c>
      <c r="K411" s="2" t="s">
        <v>304</v>
      </c>
      <c r="L411" s="2" t="s">
        <v>119</v>
      </c>
      <c r="M411" s="8" t="str">
        <f>HYPERLINK("http://slimages.macys.com/is/image/MCY/9472217 ")</f>
        <v xml:space="preserve">http://slimages.macys.com/is/image/MCY/9472217 </v>
      </c>
    </row>
    <row r="412" spans="1:13" ht="60" x14ac:dyDescent="0.25">
      <c r="A412" s="7" t="s">
        <v>9217</v>
      </c>
      <c r="B412" s="2" t="s">
        <v>2725</v>
      </c>
      <c r="C412" s="4">
        <v>2</v>
      </c>
      <c r="D412" s="5">
        <v>2.5</v>
      </c>
      <c r="E412" s="5">
        <v>5.99</v>
      </c>
      <c r="F412" s="4" t="s">
        <v>2726</v>
      </c>
      <c r="G412" s="2" t="s">
        <v>86</v>
      </c>
      <c r="H412" s="7" t="s">
        <v>149</v>
      </c>
      <c r="I412" s="2" t="s">
        <v>483</v>
      </c>
      <c r="J412" s="2" t="s">
        <v>536</v>
      </c>
      <c r="K412" s="2" t="s">
        <v>304</v>
      </c>
      <c r="L412" s="2" t="s">
        <v>87</v>
      </c>
      <c r="M412" s="8" t="str">
        <f>HYPERLINK("http://slimages.macys.com/is/image/MCY/11524096 ")</f>
        <v xml:space="preserve">http://slimages.macys.com/is/image/MCY/11524096 </v>
      </c>
    </row>
    <row r="413" spans="1:13" ht="60" x14ac:dyDescent="0.25">
      <c r="A413" s="7" t="s">
        <v>10699</v>
      </c>
      <c r="B413" s="2" t="s">
        <v>10698</v>
      </c>
      <c r="C413" s="4">
        <v>2</v>
      </c>
      <c r="D413" s="5">
        <v>2.5</v>
      </c>
      <c r="E413" s="5">
        <v>5.99</v>
      </c>
      <c r="F413" s="4">
        <v>100012489</v>
      </c>
      <c r="G413" s="2" t="s">
        <v>262</v>
      </c>
      <c r="H413" s="7" t="s">
        <v>442</v>
      </c>
      <c r="I413" s="2" t="s">
        <v>2717</v>
      </c>
      <c r="J413" s="2" t="s">
        <v>536</v>
      </c>
      <c r="K413" s="2" t="s">
        <v>304</v>
      </c>
      <c r="L413" s="2" t="s">
        <v>119</v>
      </c>
      <c r="M413" s="8" t="str">
        <f>HYPERLINK("http://slimages.macys.com/is/image/MCY/9472217 ")</f>
        <v xml:space="preserve">http://slimages.macys.com/is/image/MCY/9472217 </v>
      </c>
    </row>
    <row r="414" spans="1:13" ht="60" x14ac:dyDescent="0.25">
      <c r="A414" s="7" t="s">
        <v>10700</v>
      </c>
      <c r="B414" s="2" t="s">
        <v>10698</v>
      </c>
      <c r="C414" s="4">
        <v>1</v>
      </c>
      <c r="D414" s="5">
        <v>2.5</v>
      </c>
      <c r="E414" s="5">
        <v>5.99</v>
      </c>
      <c r="F414" s="4">
        <v>100012489</v>
      </c>
      <c r="G414" s="2" t="s">
        <v>262</v>
      </c>
      <c r="H414" s="7" t="s">
        <v>91</v>
      </c>
      <c r="I414" s="2" t="s">
        <v>2717</v>
      </c>
      <c r="J414" s="2" t="s">
        <v>536</v>
      </c>
      <c r="K414" s="2" t="s">
        <v>304</v>
      </c>
      <c r="L414" s="2" t="s">
        <v>119</v>
      </c>
      <c r="M414" s="8" t="str">
        <f>HYPERLINK("http://slimages.macys.com/is/image/MCY/9472217 ")</f>
        <v xml:space="preserve">http://slimages.macys.com/is/image/MCY/9472217 </v>
      </c>
    </row>
    <row r="415" spans="1:13" ht="60" x14ac:dyDescent="0.25">
      <c r="A415" s="7" t="s">
        <v>10701</v>
      </c>
      <c r="B415" s="2" t="s">
        <v>10694</v>
      </c>
      <c r="C415" s="4">
        <v>3</v>
      </c>
      <c r="D415" s="5">
        <v>2.5</v>
      </c>
      <c r="E415" s="5">
        <v>6.99</v>
      </c>
      <c r="F415" s="4">
        <v>100005450</v>
      </c>
      <c r="G415" s="2"/>
      <c r="H415" s="7" t="s">
        <v>149</v>
      </c>
      <c r="I415" s="2" t="s">
        <v>483</v>
      </c>
      <c r="J415" s="2" t="s">
        <v>536</v>
      </c>
      <c r="K415" s="2" t="s">
        <v>304</v>
      </c>
      <c r="L415" s="2" t="s">
        <v>119</v>
      </c>
      <c r="M415" s="8" t="str">
        <f>HYPERLINK("http://slimages.macys.com/is/image/MCY/9157903 ")</f>
        <v xml:space="preserve">http://slimages.macys.com/is/image/MCY/9157903 </v>
      </c>
    </row>
    <row r="416" spans="1:13" ht="60" x14ac:dyDescent="0.25">
      <c r="A416" s="7" t="s">
        <v>10702</v>
      </c>
      <c r="B416" s="2" t="s">
        <v>10694</v>
      </c>
      <c r="C416" s="4">
        <v>1</v>
      </c>
      <c r="D416" s="5">
        <v>2.5</v>
      </c>
      <c r="E416" s="5">
        <v>6.99</v>
      </c>
      <c r="F416" s="4">
        <v>100005450</v>
      </c>
      <c r="G416" s="2" t="s">
        <v>657</v>
      </c>
      <c r="H416" s="7" t="s">
        <v>482</v>
      </c>
      <c r="I416" s="2" t="s">
        <v>483</v>
      </c>
      <c r="J416" s="2" t="s">
        <v>536</v>
      </c>
      <c r="K416" s="2"/>
      <c r="L416" s="2"/>
      <c r="M416" s="8" t="str">
        <f>HYPERLINK("http://slimages.macys.com/is/image/MCY/9157904 ")</f>
        <v xml:space="preserve">http://slimages.macys.com/is/image/MCY/9157904 </v>
      </c>
    </row>
    <row r="417" spans="1:13" ht="60" x14ac:dyDescent="0.25">
      <c r="A417" s="7" t="s">
        <v>10703</v>
      </c>
      <c r="B417" s="2" t="s">
        <v>2725</v>
      </c>
      <c r="C417" s="4">
        <v>1</v>
      </c>
      <c r="D417" s="5">
        <v>2.5</v>
      </c>
      <c r="E417" s="5">
        <v>5.99</v>
      </c>
      <c r="F417" s="4" t="s">
        <v>2726</v>
      </c>
      <c r="G417" s="2" t="s">
        <v>297</v>
      </c>
      <c r="H417" s="7" t="s">
        <v>149</v>
      </c>
      <c r="I417" s="2" t="s">
        <v>483</v>
      </c>
      <c r="J417" s="2" t="s">
        <v>536</v>
      </c>
      <c r="K417" s="2" t="s">
        <v>304</v>
      </c>
      <c r="L417" s="2" t="s">
        <v>87</v>
      </c>
      <c r="M417" s="8" t="str">
        <f>HYPERLINK("http://slimages.macys.com/is/image/MCY/11793253 ")</f>
        <v xml:space="preserve">http://slimages.macys.com/is/image/MCY/11793253 </v>
      </c>
    </row>
    <row r="418" spans="1:13" ht="60" x14ac:dyDescent="0.25">
      <c r="A418" s="7" t="s">
        <v>10704</v>
      </c>
      <c r="B418" s="2" t="s">
        <v>10694</v>
      </c>
      <c r="C418" s="4">
        <v>1</v>
      </c>
      <c r="D418" s="5">
        <v>2.5</v>
      </c>
      <c r="E418" s="5">
        <v>6.99</v>
      </c>
      <c r="F418" s="4">
        <v>100005450</v>
      </c>
      <c r="G418" s="2" t="s">
        <v>657</v>
      </c>
      <c r="H418" s="7" t="s">
        <v>442</v>
      </c>
      <c r="I418" s="2" t="s">
        <v>483</v>
      </c>
      <c r="J418" s="2" t="s">
        <v>536</v>
      </c>
      <c r="K418" s="2"/>
      <c r="L418" s="2"/>
      <c r="M418" s="8" t="str">
        <f>HYPERLINK("http://slimages.macys.com/is/image/MCY/9157904 ")</f>
        <v xml:space="preserve">http://slimages.macys.com/is/image/MCY/9157904 </v>
      </c>
    </row>
    <row r="419" spans="1:13" ht="60" x14ac:dyDescent="0.25">
      <c r="A419" s="7" t="s">
        <v>10705</v>
      </c>
      <c r="B419" s="2" t="s">
        <v>2725</v>
      </c>
      <c r="C419" s="4">
        <v>1</v>
      </c>
      <c r="D419" s="5">
        <v>2.5</v>
      </c>
      <c r="E419" s="5">
        <v>5.99</v>
      </c>
      <c r="F419" s="4" t="s">
        <v>2726</v>
      </c>
      <c r="G419" s="2" t="s">
        <v>297</v>
      </c>
      <c r="H419" s="7" t="s">
        <v>149</v>
      </c>
      <c r="I419" s="2" t="s">
        <v>483</v>
      </c>
      <c r="J419" s="2" t="s">
        <v>536</v>
      </c>
      <c r="K419" s="2" t="s">
        <v>304</v>
      </c>
      <c r="L419" s="2" t="s">
        <v>87</v>
      </c>
      <c r="M419" s="8" t="str">
        <f>HYPERLINK("http://slimages.macys.com/is/image/MCY/11524101 ")</f>
        <v xml:space="preserve">http://slimages.macys.com/is/image/MCY/11524101 </v>
      </c>
    </row>
    <row r="420" spans="1:13" ht="60" x14ac:dyDescent="0.25">
      <c r="A420" s="7" t="s">
        <v>10706</v>
      </c>
      <c r="B420" s="2" t="s">
        <v>10694</v>
      </c>
      <c r="C420" s="4">
        <v>2</v>
      </c>
      <c r="D420" s="5">
        <v>2.5</v>
      </c>
      <c r="E420" s="5">
        <v>6.99</v>
      </c>
      <c r="F420" s="4">
        <v>100005450</v>
      </c>
      <c r="G420" s="2"/>
      <c r="H420" s="7"/>
      <c r="I420" s="2" t="s">
        <v>483</v>
      </c>
      <c r="J420" s="2" t="s">
        <v>536</v>
      </c>
      <c r="K420" s="2" t="s">
        <v>304</v>
      </c>
      <c r="L420" s="2" t="s">
        <v>119</v>
      </c>
      <c r="M420" s="8" t="str">
        <f>HYPERLINK("http://slimages.macys.com/is/image/MCY/9157903 ")</f>
        <v xml:space="preserve">http://slimages.macys.com/is/image/MCY/9157903 </v>
      </c>
    </row>
    <row r="421" spans="1:13" ht="60" x14ac:dyDescent="0.25">
      <c r="A421" s="7" t="s">
        <v>10707</v>
      </c>
      <c r="B421" s="2" t="s">
        <v>10708</v>
      </c>
      <c r="C421" s="4">
        <v>1</v>
      </c>
      <c r="D421" s="5">
        <v>2.4900000000000002</v>
      </c>
      <c r="E421" s="5">
        <v>5.99</v>
      </c>
      <c r="F421" s="4">
        <v>100005402</v>
      </c>
      <c r="G421" s="2" t="s">
        <v>437</v>
      </c>
      <c r="H421" s="7" t="s">
        <v>149</v>
      </c>
      <c r="I421" s="2" t="s">
        <v>483</v>
      </c>
      <c r="J421" s="2" t="s">
        <v>536</v>
      </c>
      <c r="K421" s="2"/>
      <c r="L421" s="2"/>
      <c r="M421" s="8" t="str">
        <f>HYPERLINK("http://slimages.macys.com/is/image/MCY/9157867 ")</f>
        <v xml:space="preserve">http://slimages.macys.com/is/image/MCY/9157867 </v>
      </c>
    </row>
    <row r="422" spans="1:13" ht="60" x14ac:dyDescent="0.25">
      <c r="A422" s="7" t="s">
        <v>1316</v>
      </c>
      <c r="B422" s="2" t="s">
        <v>1304</v>
      </c>
      <c r="C422" s="4">
        <v>1</v>
      </c>
      <c r="D422" s="5">
        <v>2.4900000000000002</v>
      </c>
      <c r="E422" s="5">
        <v>5.99</v>
      </c>
      <c r="F422" s="4" t="s">
        <v>1305</v>
      </c>
      <c r="G422" s="2" t="s">
        <v>86</v>
      </c>
      <c r="H422" s="7" t="s">
        <v>149</v>
      </c>
      <c r="I422" s="2" t="s">
        <v>483</v>
      </c>
      <c r="J422" s="2" t="s">
        <v>536</v>
      </c>
      <c r="K422" s="2" t="s">
        <v>304</v>
      </c>
      <c r="L422" s="2" t="s">
        <v>38</v>
      </c>
      <c r="M422" s="8" t="str">
        <f>HYPERLINK("http://slimages.macys.com/is/image/MCY/11855486 ")</f>
        <v xml:space="preserve">http://slimages.macys.com/is/image/MCY/11855486 </v>
      </c>
    </row>
    <row r="423" spans="1:13" ht="60" x14ac:dyDescent="0.25">
      <c r="A423" s="7" t="s">
        <v>2310</v>
      </c>
      <c r="B423" s="2" t="s">
        <v>622</v>
      </c>
      <c r="C423" s="4">
        <v>3</v>
      </c>
      <c r="D423" s="5">
        <v>2.48</v>
      </c>
      <c r="E423" s="5">
        <v>7.99</v>
      </c>
      <c r="F423" s="4">
        <v>10005379300</v>
      </c>
      <c r="G423" s="2" t="s">
        <v>62</v>
      </c>
      <c r="H423" s="7"/>
      <c r="I423" s="2" t="s">
        <v>483</v>
      </c>
      <c r="J423" s="2" t="s">
        <v>536</v>
      </c>
      <c r="K423" s="2" t="s">
        <v>304</v>
      </c>
      <c r="L423" s="2" t="s">
        <v>623</v>
      </c>
      <c r="M423" s="8" t="str">
        <f t="shared" ref="M423:M431" si="0">HYPERLINK("http://slimages.macys.com/is/image/MCY/12465415 ")</f>
        <v xml:space="preserve">http://slimages.macys.com/is/image/MCY/12465415 </v>
      </c>
    </row>
    <row r="424" spans="1:13" ht="60" x14ac:dyDescent="0.25">
      <c r="A424" s="7" t="s">
        <v>621</v>
      </c>
      <c r="B424" s="2" t="s">
        <v>622</v>
      </c>
      <c r="C424" s="4">
        <v>1</v>
      </c>
      <c r="D424" s="5">
        <v>2.48</v>
      </c>
      <c r="E424" s="5">
        <v>7.99</v>
      </c>
      <c r="F424" s="4">
        <v>10005379300</v>
      </c>
      <c r="G424" s="2" t="s">
        <v>437</v>
      </c>
      <c r="H424" s="7" t="s">
        <v>590</v>
      </c>
      <c r="I424" s="2" t="s">
        <v>483</v>
      </c>
      <c r="J424" s="2" t="s">
        <v>536</v>
      </c>
      <c r="K424" s="2" t="s">
        <v>304</v>
      </c>
      <c r="L424" s="2" t="s">
        <v>623</v>
      </c>
      <c r="M424" s="8" t="str">
        <f t="shared" si="0"/>
        <v xml:space="preserve">http://slimages.macys.com/is/image/MCY/12465415 </v>
      </c>
    </row>
    <row r="425" spans="1:13" ht="60" x14ac:dyDescent="0.25">
      <c r="A425" s="7" t="s">
        <v>10709</v>
      </c>
      <c r="B425" s="2" t="s">
        <v>622</v>
      </c>
      <c r="C425" s="4">
        <v>1</v>
      </c>
      <c r="D425" s="5">
        <v>2.48</v>
      </c>
      <c r="E425" s="5">
        <v>7.99</v>
      </c>
      <c r="F425" s="4">
        <v>10005379300</v>
      </c>
      <c r="G425" s="2" t="s">
        <v>62</v>
      </c>
      <c r="H425" s="7" t="s">
        <v>442</v>
      </c>
      <c r="I425" s="2" t="s">
        <v>483</v>
      </c>
      <c r="J425" s="2" t="s">
        <v>536</v>
      </c>
      <c r="K425" s="2" t="s">
        <v>304</v>
      </c>
      <c r="L425" s="2" t="s">
        <v>623</v>
      </c>
      <c r="M425" s="8" t="str">
        <f t="shared" si="0"/>
        <v xml:space="preserve">http://slimages.macys.com/is/image/MCY/12465415 </v>
      </c>
    </row>
    <row r="426" spans="1:13" ht="60" x14ac:dyDescent="0.25">
      <c r="A426" s="7" t="s">
        <v>2311</v>
      </c>
      <c r="B426" s="2" t="s">
        <v>622</v>
      </c>
      <c r="C426" s="4">
        <v>1</v>
      </c>
      <c r="D426" s="5">
        <v>2.48</v>
      </c>
      <c r="E426" s="5">
        <v>7.99</v>
      </c>
      <c r="F426" s="4">
        <v>10005379300</v>
      </c>
      <c r="G426" s="2" t="s">
        <v>62</v>
      </c>
      <c r="H426" s="7" t="s">
        <v>482</v>
      </c>
      <c r="I426" s="2" t="s">
        <v>483</v>
      </c>
      <c r="J426" s="2" t="s">
        <v>536</v>
      </c>
      <c r="K426" s="2" t="s">
        <v>304</v>
      </c>
      <c r="L426" s="2" t="s">
        <v>623</v>
      </c>
      <c r="M426" s="8" t="str">
        <f t="shared" si="0"/>
        <v xml:space="preserve">http://slimages.macys.com/is/image/MCY/12465415 </v>
      </c>
    </row>
    <row r="427" spans="1:13" ht="60" x14ac:dyDescent="0.25">
      <c r="A427" s="7" t="s">
        <v>2315</v>
      </c>
      <c r="B427" s="2" t="s">
        <v>622</v>
      </c>
      <c r="C427" s="4">
        <v>3</v>
      </c>
      <c r="D427" s="5">
        <v>2.48</v>
      </c>
      <c r="E427" s="5">
        <v>7.99</v>
      </c>
      <c r="F427" s="4">
        <v>10005379300</v>
      </c>
      <c r="G427" s="2" t="s">
        <v>62</v>
      </c>
      <c r="H427" s="7" t="s">
        <v>590</v>
      </c>
      <c r="I427" s="2" t="s">
        <v>483</v>
      </c>
      <c r="J427" s="2" t="s">
        <v>536</v>
      </c>
      <c r="K427" s="2" t="s">
        <v>304</v>
      </c>
      <c r="L427" s="2" t="s">
        <v>623</v>
      </c>
      <c r="M427" s="8" t="str">
        <f t="shared" si="0"/>
        <v xml:space="preserve">http://slimages.macys.com/is/image/MCY/12465415 </v>
      </c>
    </row>
    <row r="428" spans="1:13" ht="60" x14ac:dyDescent="0.25">
      <c r="A428" s="7" t="s">
        <v>2309</v>
      </c>
      <c r="B428" s="2" t="s">
        <v>622</v>
      </c>
      <c r="C428" s="4">
        <v>2</v>
      </c>
      <c r="D428" s="5">
        <v>2.48</v>
      </c>
      <c r="E428" s="5">
        <v>7.99</v>
      </c>
      <c r="F428" s="4">
        <v>10005379300</v>
      </c>
      <c r="G428" s="2" t="s">
        <v>437</v>
      </c>
      <c r="H428" s="7" t="s">
        <v>482</v>
      </c>
      <c r="I428" s="2" t="s">
        <v>483</v>
      </c>
      <c r="J428" s="2" t="s">
        <v>536</v>
      </c>
      <c r="K428" s="2" t="s">
        <v>304</v>
      </c>
      <c r="L428" s="2" t="s">
        <v>623</v>
      </c>
      <c r="M428" s="8" t="str">
        <f t="shared" si="0"/>
        <v xml:space="preserve">http://slimages.macys.com/is/image/MCY/12465415 </v>
      </c>
    </row>
    <row r="429" spans="1:13" ht="60" x14ac:dyDescent="0.25">
      <c r="A429" s="7" t="s">
        <v>2313</v>
      </c>
      <c r="B429" s="2" t="s">
        <v>622</v>
      </c>
      <c r="C429" s="4">
        <v>7</v>
      </c>
      <c r="D429" s="5">
        <v>2.48</v>
      </c>
      <c r="E429" s="5">
        <v>7.99</v>
      </c>
      <c r="F429" s="4">
        <v>10005379300</v>
      </c>
      <c r="G429" s="2" t="s">
        <v>437</v>
      </c>
      <c r="H429" s="7" t="s">
        <v>149</v>
      </c>
      <c r="I429" s="2" t="s">
        <v>483</v>
      </c>
      <c r="J429" s="2" t="s">
        <v>536</v>
      </c>
      <c r="K429" s="2" t="s">
        <v>304</v>
      </c>
      <c r="L429" s="2" t="s">
        <v>623</v>
      </c>
      <c r="M429" s="8" t="str">
        <f t="shared" si="0"/>
        <v xml:space="preserve">http://slimages.macys.com/is/image/MCY/12465415 </v>
      </c>
    </row>
    <row r="430" spans="1:13" ht="60" x14ac:dyDescent="0.25">
      <c r="A430" s="7" t="s">
        <v>2312</v>
      </c>
      <c r="B430" s="2" t="s">
        <v>622</v>
      </c>
      <c r="C430" s="4">
        <v>2</v>
      </c>
      <c r="D430" s="5">
        <v>2.48</v>
      </c>
      <c r="E430" s="5">
        <v>7.99</v>
      </c>
      <c r="F430" s="4">
        <v>10005379300</v>
      </c>
      <c r="G430" s="2" t="s">
        <v>62</v>
      </c>
      <c r="H430" s="7" t="s">
        <v>149</v>
      </c>
      <c r="I430" s="2" t="s">
        <v>483</v>
      </c>
      <c r="J430" s="2" t="s">
        <v>536</v>
      </c>
      <c r="K430" s="2" t="s">
        <v>304</v>
      </c>
      <c r="L430" s="2" t="s">
        <v>623</v>
      </c>
      <c r="M430" s="8" t="str">
        <f t="shared" si="0"/>
        <v xml:space="preserve">http://slimages.macys.com/is/image/MCY/12465415 </v>
      </c>
    </row>
    <row r="431" spans="1:13" ht="60" x14ac:dyDescent="0.25">
      <c r="A431" s="7" t="s">
        <v>2314</v>
      </c>
      <c r="B431" s="2" t="s">
        <v>622</v>
      </c>
      <c r="C431" s="4">
        <v>6</v>
      </c>
      <c r="D431" s="5">
        <v>2.48</v>
      </c>
      <c r="E431" s="5">
        <v>7.99</v>
      </c>
      <c r="F431" s="4">
        <v>10005379300</v>
      </c>
      <c r="G431" s="2" t="s">
        <v>437</v>
      </c>
      <c r="H431" s="7"/>
      <c r="I431" s="2" t="s">
        <v>483</v>
      </c>
      <c r="J431" s="2" t="s">
        <v>536</v>
      </c>
      <c r="K431" s="2" t="s">
        <v>304</v>
      </c>
      <c r="L431" s="2" t="s">
        <v>623</v>
      </c>
      <c r="M431" s="8" t="str">
        <f t="shared" si="0"/>
        <v xml:space="preserve">http://slimages.macys.com/is/image/MCY/12465415 </v>
      </c>
    </row>
    <row r="432" spans="1:13" ht="60" x14ac:dyDescent="0.25">
      <c r="A432" s="7" t="s">
        <v>10710</v>
      </c>
      <c r="B432" s="2" t="s">
        <v>10711</v>
      </c>
      <c r="C432" s="4">
        <v>2</v>
      </c>
      <c r="D432" s="5">
        <v>2.4500000000000002</v>
      </c>
      <c r="E432" s="5">
        <v>5.99</v>
      </c>
      <c r="F432" s="4">
        <v>100016923</v>
      </c>
      <c r="G432" s="2" t="s">
        <v>62</v>
      </c>
      <c r="H432" s="7" t="s">
        <v>442</v>
      </c>
      <c r="I432" s="2" t="s">
        <v>2717</v>
      </c>
      <c r="J432" s="2" t="s">
        <v>536</v>
      </c>
      <c r="K432" s="2" t="s">
        <v>304</v>
      </c>
      <c r="L432" s="2" t="s">
        <v>119</v>
      </c>
      <c r="M432" s="8" t="str">
        <f>HYPERLINK("http://slimages.macys.com/is/image/MCY/9157856 ")</f>
        <v xml:space="preserve">http://slimages.macys.com/is/image/MCY/9157856 </v>
      </c>
    </row>
    <row r="433" spans="1:13" ht="60" x14ac:dyDescent="0.25">
      <c r="A433" s="7" t="s">
        <v>10712</v>
      </c>
      <c r="B433" s="2" t="s">
        <v>10713</v>
      </c>
      <c r="C433" s="4">
        <v>3</v>
      </c>
      <c r="D433" s="5">
        <v>2.44</v>
      </c>
      <c r="E433" s="5">
        <v>6.99</v>
      </c>
      <c r="F433" s="4">
        <v>100022481</v>
      </c>
      <c r="G433" s="2" t="s">
        <v>262</v>
      </c>
      <c r="H433" s="7" t="s">
        <v>149</v>
      </c>
      <c r="I433" s="2" t="s">
        <v>483</v>
      </c>
      <c r="J433" s="2" t="s">
        <v>536</v>
      </c>
      <c r="K433" s="2" t="s">
        <v>304</v>
      </c>
      <c r="L433" s="2" t="s">
        <v>263</v>
      </c>
      <c r="M433" s="8" t="str">
        <f>HYPERLINK("http://slimages.macys.com/is/image/MCY/9809162 ")</f>
        <v xml:space="preserve">http://slimages.macys.com/is/image/MCY/9809162 </v>
      </c>
    </row>
    <row r="434" spans="1:13" ht="60" x14ac:dyDescent="0.25">
      <c r="A434" s="7" t="s">
        <v>10714</v>
      </c>
      <c r="B434" s="2" t="s">
        <v>10713</v>
      </c>
      <c r="C434" s="4">
        <v>1</v>
      </c>
      <c r="D434" s="5">
        <v>2.44</v>
      </c>
      <c r="E434" s="5">
        <v>6.99</v>
      </c>
      <c r="F434" s="4">
        <v>100022481</v>
      </c>
      <c r="G434" s="2" t="s">
        <v>262</v>
      </c>
      <c r="H434" s="7" t="s">
        <v>442</v>
      </c>
      <c r="I434" s="2" t="s">
        <v>483</v>
      </c>
      <c r="J434" s="2" t="s">
        <v>536</v>
      </c>
      <c r="K434" s="2" t="s">
        <v>304</v>
      </c>
      <c r="L434" s="2" t="s">
        <v>263</v>
      </c>
      <c r="M434" s="8" t="str">
        <f>HYPERLINK("http://slimages.macys.com/is/image/MCY/9809162 ")</f>
        <v xml:space="preserve">http://slimages.macys.com/is/image/MCY/9809162 </v>
      </c>
    </row>
    <row r="435" spans="1:13" ht="84" x14ac:dyDescent="0.25">
      <c r="A435" s="7" t="s">
        <v>10715</v>
      </c>
      <c r="B435" s="2" t="s">
        <v>10716</v>
      </c>
      <c r="C435" s="4">
        <v>1</v>
      </c>
      <c r="D435" s="5">
        <v>2.44</v>
      </c>
      <c r="E435" s="5">
        <v>6.99</v>
      </c>
      <c r="F435" s="4">
        <v>100022476</v>
      </c>
      <c r="G435" s="2" t="s">
        <v>653</v>
      </c>
      <c r="H435" s="7" t="s">
        <v>442</v>
      </c>
      <c r="I435" s="2" t="s">
        <v>483</v>
      </c>
      <c r="J435" s="2" t="s">
        <v>536</v>
      </c>
      <c r="K435" s="2" t="s">
        <v>304</v>
      </c>
      <c r="L435" s="2" t="s">
        <v>10717</v>
      </c>
      <c r="M435" s="8" t="str">
        <f>HYPERLINK("http://slimages.macys.com/is/image/MCY/9809901 ")</f>
        <v xml:space="preserve">http://slimages.macys.com/is/image/MCY/9809901 </v>
      </c>
    </row>
    <row r="436" spans="1:13" ht="84" x14ac:dyDescent="0.25">
      <c r="A436" s="7" t="s">
        <v>10718</v>
      </c>
      <c r="B436" s="2" t="s">
        <v>10716</v>
      </c>
      <c r="C436" s="4">
        <v>2</v>
      </c>
      <c r="D436" s="5">
        <v>2.44</v>
      </c>
      <c r="E436" s="5">
        <v>6.99</v>
      </c>
      <c r="F436" s="4">
        <v>100022476</v>
      </c>
      <c r="G436" s="2" t="s">
        <v>653</v>
      </c>
      <c r="H436" s="7" t="s">
        <v>149</v>
      </c>
      <c r="I436" s="2" t="s">
        <v>483</v>
      </c>
      <c r="J436" s="2" t="s">
        <v>536</v>
      </c>
      <c r="K436" s="2" t="s">
        <v>304</v>
      </c>
      <c r="L436" s="2" t="s">
        <v>10717</v>
      </c>
      <c r="M436" s="8" t="str">
        <f>HYPERLINK("http://slimages.macys.com/is/image/MCY/9809901 ")</f>
        <v xml:space="preserve">http://slimages.macys.com/is/image/MCY/9809901 </v>
      </c>
    </row>
    <row r="437" spans="1:13" ht="60" x14ac:dyDescent="0.25">
      <c r="A437" s="7" t="s">
        <v>7216</v>
      </c>
      <c r="B437" s="2" t="s">
        <v>1327</v>
      </c>
      <c r="C437" s="4">
        <v>1</v>
      </c>
      <c r="D437" s="5">
        <v>2.44</v>
      </c>
      <c r="E437" s="5">
        <v>5.99</v>
      </c>
      <c r="F437" s="4" t="s">
        <v>1328</v>
      </c>
      <c r="G437" s="2" t="s">
        <v>41</v>
      </c>
      <c r="H437" s="7" t="s">
        <v>42</v>
      </c>
      <c r="I437" s="2" t="s">
        <v>483</v>
      </c>
      <c r="J437" s="2" t="s">
        <v>536</v>
      </c>
      <c r="K437" s="2" t="s">
        <v>304</v>
      </c>
      <c r="L437" s="2" t="s">
        <v>119</v>
      </c>
      <c r="M437" s="8" t="str">
        <f>HYPERLINK("http://slimages.macys.com/is/image/MCY/12466322 ")</f>
        <v xml:space="preserve">http://slimages.macys.com/is/image/MCY/12466322 </v>
      </c>
    </row>
    <row r="438" spans="1:13" ht="84" x14ac:dyDescent="0.25">
      <c r="A438" s="7" t="s">
        <v>10719</v>
      </c>
      <c r="B438" s="2" t="s">
        <v>10716</v>
      </c>
      <c r="C438" s="4">
        <v>2</v>
      </c>
      <c r="D438" s="5">
        <v>2.44</v>
      </c>
      <c r="E438" s="5">
        <v>6.99</v>
      </c>
      <c r="F438" s="4">
        <v>100022476</v>
      </c>
      <c r="G438" s="2" t="s">
        <v>653</v>
      </c>
      <c r="H438" s="7" t="s">
        <v>590</v>
      </c>
      <c r="I438" s="2" t="s">
        <v>483</v>
      </c>
      <c r="J438" s="2" t="s">
        <v>536</v>
      </c>
      <c r="K438" s="2" t="s">
        <v>304</v>
      </c>
      <c r="L438" s="2" t="s">
        <v>10717</v>
      </c>
      <c r="M438" s="8" t="str">
        <f>HYPERLINK("http://slimages.macys.com/is/image/MCY/9809901 ")</f>
        <v xml:space="preserve">http://slimages.macys.com/is/image/MCY/9809901 </v>
      </c>
    </row>
    <row r="439" spans="1:13" ht="108" x14ac:dyDescent="0.25">
      <c r="A439" s="7" t="s">
        <v>2325</v>
      </c>
      <c r="B439" s="2" t="s">
        <v>2322</v>
      </c>
      <c r="C439" s="4">
        <v>7</v>
      </c>
      <c r="D439" s="5">
        <v>2.4300000000000002</v>
      </c>
      <c r="E439" s="5">
        <v>7.99</v>
      </c>
      <c r="F439" s="4" t="s">
        <v>2323</v>
      </c>
      <c r="G439" s="2" t="s">
        <v>41</v>
      </c>
      <c r="H439" s="7" t="s">
        <v>590</v>
      </c>
      <c r="I439" s="2" t="s">
        <v>483</v>
      </c>
      <c r="J439" s="2" t="s">
        <v>536</v>
      </c>
      <c r="K439" s="2" t="s">
        <v>304</v>
      </c>
      <c r="L439" s="2" t="s">
        <v>2324</v>
      </c>
      <c r="M439" s="8" t="str">
        <f>HYPERLINK("http://slimages.macys.com/is/image/MCY/14384998 ")</f>
        <v xml:space="preserve">http://slimages.macys.com/is/image/MCY/14384998 </v>
      </c>
    </row>
    <row r="440" spans="1:13" ht="108" x14ac:dyDescent="0.25">
      <c r="A440" s="7" t="s">
        <v>5736</v>
      </c>
      <c r="B440" s="2" t="s">
        <v>2322</v>
      </c>
      <c r="C440" s="4">
        <v>1</v>
      </c>
      <c r="D440" s="5">
        <v>2.4300000000000002</v>
      </c>
      <c r="E440" s="5">
        <v>7.99</v>
      </c>
      <c r="F440" s="4" t="s">
        <v>2323</v>
      </c>
      <c r="G440" s="2" t="s">
        <v>41</v>
      </c>
      <c r="H440" s="7" t="s">
        <v>442</v>
      </c>
      <c r="I440" s="2" t="s">
        <v>483</v>
      </c>
      <c r="J440" s="2" t="s">
        <v>536</v>
      </c>
      <c r="K440" s="2" t="s">
        <v>304</v>
      </c>
      <c r="L440" s="2" t="s">
        <v>2324</v>
      </c>
      <c r="M440" s="8" t="str">
        <f>HYPERLINK("http://slimages.macys.com/is/image/MCY/14384998 ")</f>
        <v xml:space="preserve">http://slimages.macys.com/is/image/MCY/14384998 </v>
      </c>
    </row>
    <row r="441" spans="1:13" ht="108" x14ac:dyDescent="0.25">
      <c r="A441" s="7" t="s">
        <v>2326</v>
      </c>
      <c r="B441" s="2" t="s">
        <v>2322</v>
      </c>
      <c r="C441" s="4">
        <v>9</v>
      </c>
      <c r="D441" s="5">
        <v>2.4300000000000002</v>
      </c>
      <c r="E441" s="5">
        <v>7.99</v>
      </c>
      <c r="F441" s="4" t="s">
        <v>2323</v>
      </c>
      <c r="G441" s="2" t="s">
        <v>41</v>
      </c>
      <c r="H441" s="7" t="s">
        <v>149</v>
      </c>
      <c r="I441" s="2" t="s">
        <v>483</v>
      </c>
      <c r="J441" s="2" t="s">
        <v>536</v>
      </c>
      <c r="K441" s="2" t="s">
        <v>304</v>
      </c>
      <c r="L441" s="2" t="s">
        <v>2324</v>
      </c>
      <c r="M441" s="8" t="str">
        <f>HYPERLINK("http://slimages.macys.com/is/image/MCY/14384998 ")</f>
        <v xml:space="preserve">http://slimages.macys.com/is/image/MCY/14384998 </v>
      </c>
    </row>
    <row r="442" spans="1:13" ht="108" x14ac:dyDescent="0.25">
      <c r="A442" s="7" t="s">
        <v>2321</v>
      </c>
      <c r="B442" s="2" t="s">
        <v>2322</v>
      </c>
      <c r="C442" s="4">
        <v>10</v>
      </c>
      <c r="D442" s="5">
        <v>2.4300000000000002</v>
      </c>
      <c r="E442" s="5">
        <v>7.99</v>
      </c>
      <c r="F442" s="4" t="s">
        <v>2323</v>
      </c>
      <c r="G442" s="2" t="s">
        <v>41</v>
      </c>
      <c r="H442" s="7"/>
      <c r="I442" s="2" t="s">
        <v>483</v>
      </c>
      <c r="J442" s="2" t="s">
        <v>536</v>
      </c>
      <c r="K442" s="2" t="s">
        <v>304</v>
      </c>
      <c r="L442" s="2" t="s">
        <v>2324</v>
      </c>
      <c r="M442" s="8" t="str">
        <f>HYPERLINK("http://slimages.macys.com/is/image/MCY/14384998 ")</f>
        <v xml:space="preserve">http://slimages.macys.com/is/image/MCY/14384998 </v>
      </c>
    </row>
    <row r="443" spans="1:13" ht="60" x14ac:dyDescent="0.25">
      <c r="A443" s="7" t="s">
        <v>7978</v>
      </c>
      <c r="B443" s="2" t="s">
        <v>7979</v>
      </c>
      <c r="C443" s="4">
        <v>3</v>
      </c>
      <c r="D443" s="5">
        <v>2.41</v>
      </c>
      <c r="E443" s="5">
        <v>5.99</v>
      </c>
      <c r="F443" s="4" t="s">
        <v>7980</v>
      </c>
      <c r="G443" s="2" t="s">
        <v>353</v>
      </c>
      <c r="H443" s="7" t="s">
        <v>149</v>
      </c>
      <c r="I443" s="2" t="s">
        <v>483</v>
      </c>
      <c r="J443" s="2" t="s">
        <v>536</v>
      </c>
      <c r="K443" s="2" t="s">
        <v>304</v>
      </c>
      <c r="L443" s="2" t="s">
        <v>100</v>
      </c>
      <c r="M443" s="8" t="str">
        <f>HYPERLINK("http://slimages.macys.com/is/image/MCY/12466328 ")</f>
        <v xml:space="preserve">http://slimages.macys.com/is/image/MCY/12466328 </v>
      </c>
    </row>
    <row r="444" spans="1:13" ht="60" x14ac:dyDescent="0.25">
      <c r="A444" s="7" t="s">
        <v>7231</v>
      </c>
      <c r="B444" s="2" t="s">
        <v>7232</v>
      </c>
      <c r="C444" s="4">
        <v>1</v>
      </c>
      <c r="D444" s="5">
        <v>2.38</v>
      </c>
      <c r="E444" s="5">
        <v>5.99</v>
      </c>
      <c r="F444" s="4" t="s">
        <v>7233</v>
      </c>
      <c r="G444" s="2" t="s">
        <v>28</v>
      </c>
      <c r="H444" s="7" t="s">
        <v>91</v>
      </c>
      <c r="I444" s="2" t="s">
        <v>483</v>
      </c>
      <c r="J444" s="2" t="s">
        <v>536</v>
      </c>
      <c r="K444" s="2" t="s">
        <v>304</v>
      </c>
      <c r="L444" s="2" t="s">
        <v>119</v>
      </c>
      <c r="M444" s="8" t="str">
        <f>HYPERLINK("http://slimages.macys.com/is/image/MCY/13987615 ")</f>
        <v xml:space="preserve">http://slimages.macys.com/is/image/MCY/13987615 </v>
      </c>
    </row>
    <row r="445" spans="1:13" ht="60" x14ac:dyDescent="0.25">
      <c r="A445" s="7" t="s">
        <v>10720</v>
      </c>
      <c r="B445" s="2" t="s">
        <v>10721</v>
      </c>
      <c r="C445" s="4">
        <v>3</v>
      </c>
      <c r="D445" s="5">
        <v>2.38</v>
      </c>
      <c r="E445" s="5">
        <v>6.99</v>
      </c>
      <c r="F445" s="4">
        <v>100022484</v>
      </c>
      <c r="G445" s="2" t="s">
        <v>134</v>
      </c>
      <c r="H445" s="7" t="s">
        <v>590</v>
      </c>
      <c r="I445" s="2" t="s">
        <v>483</v>
      </c>
      <c r="J445" s="2" t="s">
        <v>536</v>
      </c>
      <c r="K445" s="2" t="s">
        <v>304</v>
      </c>
      <c r="L445" s="2" t="s">
        <v>263</v>
      </c>
      <c r="M445" s="8" t="str">
        <f>HYPERLINK("http://slimages.macys.com/is/image/MCY/9809904 ")</f>
        <v xml:space="preserve">http://slimages.macys.com/is/image/MCY/9809904 </v>
      </c>
    </row>
    <row r="446" spans="1:13" ht="60" x14ac:dyDescent="0.25">
      <c r="A446" s="7" t="s">
        <v>10722</v>
      </c>
      <c r="B446" s="2" t="s">
        <v>10721</v>
      </c>
      <c r="C446" s="4">
        <v>2</v>
      </c>
      <c r="D446" s="5">
        <v>2.38</v>
      </c>
      <c r="E446" s="5">
        <v>6.99</v>
      </c>
      <c r="F446" s="4">
        <v>100022484</v>
      </c>
      <c r="G446" s="2" t="s">
        <v>134</v>
      </c>
      <c r="H446" s="7" t="s">
        <v>149</v>
      </c>
      <c r="I446" s="2" t="s">
        <v>483</v>
      </c>
      <c r="J446" s="2" t="s">
        <v>536</v>
      </c>
      <c r="K446" s="2" t="s">
        <v>304</v>
      </c>
      <c r="L446" s="2" t="s">
        <v>263</v>
      </c>
      <c r="M446" s="8" t="str">
        <f>HYPERLINK("http://slimages.macys.com/is/image/MCY/9809904 ")</f>
        <v xml:space="preserve">http://slimages.macys.com/is/image/MCY/9809904 </v>
      </c>
    </row>
    <row r="447" spans="1:13" ht="60" x14ac:dyDescent="0.25">
      <c r="A447" s="7" t="s">
        <v>10723</v>
      </c>
      <c r="B447" s="2" t="s">
        <v>10721</v>
      </c>
      <c r="C447" s="4">
        <v>3</v>
      </c>
      <c r="D447" s="5">
        <v>2.38</v>
      </c>
      <c r="E447" s="5">
        <v>6.99</v>
      </c>
      <c r="F447" s="4">
        <v>100022484</v>
      </c>
      <c r="G447" s="2" t="s">
        <v>134</v>
      </c>
      <c r="H447" s="7" t="s">
        <v>442</v>
      </c>
      <c r="I447" s="2" t="s">
        <v>483</v>
      </c>
      <c r="J447" s="2" t="s">
        <v>536</v>
      </c>
      <c r="K447" s="2" t="s">
        <v>304</v>
      </c>
      <c r="L447" s="2" t="s">
        <v>263</v>
      </c>
      <c r="M447" s="8" t="str">
        <f>HYPERLINK("http://slimages.macys.com/is/image/MCY/9809904 ")</f>
        <v xml:space="preserve">http://slimages.macys.com/is/image/MCY/9809904 </v>
      </c>
    </row>
    <row r="448" spans="1:13" ht="60" x14ac:dyDescent="0.25">
      <c r="A448" s="7" t="s">
        <v>10724</v>
      </c>
      <c r="B448" s="2" t="s">
        <v>10725</v>
      </c>
      <c r="C448" s="4">
        <v>2</v>
      </c>
      <c r="D448" s="5">
        <v>2.38</v>
      </c>
      <c r="E448" s="5">
        <v>6.99</v>
      </c>
      <c r="F448" s="4">
        <v>100022479</v>
      </c>
      <c r="G448" s="2" t="s">
        <v>41</v>
      </c>
      <c r="H448" s="7" t="s">
        <v>590</v>
      </c>
      <c r="I448" s="2" t="s">
        <v>483</v>
      </c>
      <c r="J448" s="2" t="s">
        <v>536</v>
      </c>
      <c r="K448" s="2" t="s">
        <v>304</v>
      </c>
      <c r="L448" s="2" t="s">
        <v>75</v>
      </c>
      <c r="M448" s="8" t="str">
        <f>HYPERLINK("http://slimages.macys.com/is/image/MCY/9809119 ")</f>
        <v xml:space="preserve">http://slimages.macys.com/is/image/MCY/9809119 </v>
      </c>
    </row>
    <row r="449" spans="1:13" ht="60" x14ac:dyDescent="0.25">
      <c r="A449" s="7" t="s">
        <v>2333</v>
      </c>
      <c r="B449" s="2" t="s">
        <v>2330</v>
      </c>
      <c r="C449" s="4">
        <v>1</v>
      </c>
      <c r="D449" s="5">
        <v>2.35</v>
      </c>
      <c r="E449" s="5">
        <v>5.99</v>
      </c>
      <c r="F449" s="4" t="s">
        <v>2331</v>
      </c>
      <c r="G449" s="2" t="s">
        <v>36</v>
      </c>
      <c r="H449" s="7" t="s">
        <v>590</v>
      </c>
      <c r="I449" s="2" t="s">
        <v>483</v>
      </c>
      <c r="J449" s="2" t="s">
        <v>536</v>
      </c>
      <c r="K449" s="2" t="s">
        <v>304</v>
      </c>
      <c r="L449" s="2" t="s">
        <v>596</v>
      </c>
      <c r="M449" s="8" t="str">
        <f>HYPERLINK("http://slimages.macys.com/is/image/MCY/12466357 ")</f>
        <v xml:space="preserve">http://slimages.macys.com/is/image/MCY/12466357 </v>
      </c>
    </row>
    <row r="450" spans="1:13" ht="60" x14ac:dyDescent="0.25">
      <c r="A450" s="7" t="s">
        <v>5753</v>
      </c>
      <c r="B450" s="2" t="s">
        <v>2330</v>
      </c>
      <c r="C450" s="4">
        <v>1</v>
      </c>
      <c r="D450" s="5">
        <v>2.35</v>
      </c>
      <c r="E450" s="5">
        <v>5.99</v>
      </c>
      <c r="F450" s="4" t="s">
        <v>2331</v>
      </c>
      <c r="G450" s="2" t="s">
        <v>36</v>
      </c>
      <c r="H450" s="7" t="s">
        <v>91</v>
      </c>
      <c r="I450" s="2" t="s">
        <v>483</v>
      </c>
      <c r="J450" s="2" t="s">
        <v>536</v>
      </c>
      <c r="K450" s="2" t="s">
        <v>304</v>
      </c>
      <c r="L450" s="2" t="s">
        <v>596</v>
      </c>
      <c r="M450" s="8" t="str">
        <f>HYPERLINK("http://slimages.macys.com/is/image/MCY/12466357 ")</f>
        <v xml:space="preserve">http://slimages.macys.com/is/image/MCY/12466357 </v>
      </c>
    </row>
    <row r="451" spans="1:13" ht="60" x14ac:dyDescent="0.25">
      <c r="A451" s="7" t="s">
        <v>2344</v>
      </c>
      <c r="B451" s="2" t="s">
        <v>2345</v>
      </c>
      <c r="C451" s="4">
        <v>1</v>
      </c>
      <c r="D451" s="5">
        <v>2.33</v>
      </c>
      <c r="E451" s="5">
        <v>7.99</v>
      </c>
      <c r="F451" s="4" t="s">
        <v>2346</v>
      </c>
      <c r="G451" s="2" t="s">
        <v>297</v>
      </c>
      <c r="H451" s="7" t="s">
        <v>531</v>
      </c>
      <c r="I451" s="2" t="s">
        <v>483</v>
      </c>
      <c r="J451" s="2" t="s">
        <v>536</v>
      </c>
      <c r="K451" s="2" t="s">
        <v>304</v>
      </c>
      <c r="L451" s="2" t="s">
        <v>75</v>
      </c>
      <c r="M451" s="8" t="str">
        <f>HYPERLINK("http://slimages.macys.com/is/image/MCY/11520408 ")</f>
        <v xml:space="preserve">http://slimages.macys.com/is/image/MCY/11520408 </v>
      </c>
    </row>
    <row r="452" spans="1:13" ht="60" x14ac:dyDescent="0.25">
      <c r="A452" s="7" t="s">
        <v>2342</v>
      </c>
      <c r="B452" s="2" t="s">
        <v>2343</v>
      </c>
      <c r="C452" s="4">
        <v>2</v>
      </c>
      <c r="D452" s="5">
        <v>2.33</v>
      </c>
      <c r="E452" s="5">
        <v>7.99</v>
      </c>
      <c r="F452" s="4">
        <v>10005049200</v>
      </c>
      <c r="G452" s="2" t="s">
        <v>527</v>
      </c>
      <c r="H452" s="7" t="s">
        <v>531</v>
      </c>
      <c r="I452" s="2" t="s">
        <v>483</v>
      </c>
      <c r="J452" s="2" t="s">
        <v>536</v>
      </c>
      <c r="K452" s="2" t="s">
        <v>304</v>
      </c>
      <c r="L452" s="2" t="s">
        <v>75</v>
      </c>
      <c r="M452" s="8" t="str">
        <f>HYPERLINK("http://slimages.macys.com/is/image/MCY/11520401 ")</f>
        <v xml:space="preserve">http://slimages.macys.com/is/image/MCY/11520401 </v>
      </c>
    </row>
    <row r="453" spans="1:13" ht="60" x14ac:dyDescent="0.25">
      <c r="A453" s="7" t="s">
        <v>1358</v>
      </c>
      <c r="B453" s="2" t="s">
        <v>1359</v>
      </c>
      <c r="C453" s="4">
        <v>4</v>
      </c>
      <c r="D453" s="5">
        <v>2.33</v>
      </c>
      <c r="E453" s="5">
        <v>7.99</v>
      </c>
      <c r="F453" s="4">
        <v>10004191800</v>
      </c>
      <c r="G453" s="2" t="s">
        <v>1360</v>
      </c>
      <c r="H453" s="7" t="s">
        <v>531</v>
      </c>
      <c r="I453" s="2" t="s">
        <v>483</v>
      </c>
      <c r="J453" s="2" t="s">
        <v>536</v>
      </c>
      <c r="K453" s="2" t="s">
        <v>304</v>
      </c>
      <c r="L453" s="2" t="s">
        <v>38</v>
      </c>
      <c r="M453" s="8" t="str">
        <f>HYPERLINK("http://slimages.macys.com/is/image/MCY/11520378 ")</f>
        <v xml:space="preserve">http://slimages.macys.com/is/image/MCY/11520378 </v>
      </c>
    </row>
    <row r="454" spans="1:13" ht="60" x14ac:dyDescent="0.25">
      <c r="A454" s="7" t="s">
        <v>2347</v>
      </c>
      <c r="B454" s="2" t="s">
        <v>2348</v>
      </c>
      <c r="C454" s="4">
        <v>6</v>
      </c>
      <c r="D454" s="5">
        <v>2.31</v>
      </c>
      <c r="E454" s="5">
        <v>7.99</v>
      </c>
      <c r="F454" s="4">
        <v>10005380100</v>
      </c>
      <c r="G454" s="2" t="s">
        <v>1360</v>
      </c>
      <c r="H454" s="7" t="s">
        <v>531</v>
      </c>
      <c r="I454" s="2" t="s">
        <v>483</v>
      </c>
      <c r="J454" s="2" t="s">
        <v>536</v>
      </c>
      <c r="K454" s="2" t="s">
        <v>304</v>
      </c>
      <c r="L454" s="2" t="s">
        <v>87</v>
      </c>
      <c r="M454" s="8" t="str">
        <f>HYPERLINK("http://slimages.macys.com/is/image/MCY/12466174 ")</f>
        <v xml:space="preserve">http://slimages.macys.com/is/image/MCY/12466174 </v>
      </c>
    </row>
    <row r="455" spans="1:13" ht="60" x14ac:dyDescent="0.25">
      <c r="A455" s="7" t="s">
        <v>4578</v>
      </c>
      <c r="B455" s="2" t="s">
        <v>4579</v>
      </c>
      <c r="C455" s="4">
        <v>1</v>
      </c>
      <c r="D455" s="5">
        <v>2.31</v>
      </c>
      <c r="E455" s="5">
        <v>7.99</v>
      </c>
      <c r="F455" s="4">
        <v>10004192100</v>
      </c>
      <c r="G455" s="2" t="s">
        <v>297</v>
      </c>
      <c r="H455" s="7" t="s">
        <v>531</v>
      </c>
      <c r="I455" s="2" t="s">
        <v>483</v>
      </c>
      <c r="J455" s="2" t="s">
        <v>536</v>
      </c>
      <c r="K455" s="2" t="s">
        <v>304</v>
      </c>
      <c r="L455" s="2" t="s">
        <v>75</v>
      </c>
      <c r="M455" s="8" t="str">
        <f>HYPERLINK("http://slimages.macys.com/is/image/MCY/11519987 ")</f>
        <v xml:space="preserve">http://slimages.macys.com/is/image/MCY/11519987 </v>
      </c>
    </row>
    <row r="456" spans="1:13" ht="60" x14ac:dyDescent="0.25">
      <c r="A456" s="7" t="s">
        <v>10726</v>
      </c>
      <c r="B456" s="2" t="s">
        <v>10727</v>
      </c>
      <c r="C456" s="4">
        <v>1</v>
      </c>
      <c r="D456" s="5">
        <v>2.2999999999999998</v>
      </c>
      <c r="E456" s="5">
        <v>5.35</v>
      </c>
      <c r="F456" s="4">
        <v>16605811</v>
      </c>
      <c r="G456" s="2" t="s">
        <v>48</v>
      </c>
      <c r="H456" s="7" t="s">
        <v>531</v>
      </c>
      <c r="I456" s="2" t="s">
        <v>153</v>
      </c>
      <c r="J456" s="2" t="s">
        <v>154</v>
      </c>
      <c r="K456" s="2" t="s">
        <v>304</v>
      </c>
      <c r="L456" s="2" t="s">
        <v>206</v>
      </c>
      <c r="M456" s="8" t="str">
        <f>HYPERLINK("http://slimages.macys.com/is/image/MCY/12740783 ")</f>
        <v xml:space="preserve">http://slimages.macys.com/is/image/MCY/12740783 </v>
      </c>
    </row>
    <row r="457" spans="1:13" ht="60" x14ac:dyDescent="0.25">
      <c r="A457" s="7" t="s">
        <v>10728</v>
      </c>
      <c r="B457" s="2" t="s">
        <v>10729</v>
      </c>
      <c r="C457" s="4">
        <v>2</v>
      </c>
      <c r="D457" s="5">
        <v>2.2999999999999998</v>
      </c>
      <c r="E457" s="5">
        <v>6.99</v>
      </c>
      <c r="F457" s="4" t="s">
        <v>10730</v>
      </c>
      <c r="G457" s="2" t="s">
        <v>86</v>
      </c>
      <c r="H457" s="7" t="s">
        <v>149</v>
      </c>
      <c r="I457" s="2" t="s">
        <v>483</v>
      </c>
      <c r="J457" s="2" t="s">
        <v>536</v>
      </c>
      <c r="K457" s="2" t="s">
        <v>304</v>
      </c>
      <c r="L457" s="2" t="s">
        <v>100</v>
      </c>
      <c r="M457" s="8" t="str">
        <f>HYPERLINK("http://slimages.macys.com/is/image/MCY/11334776 ")</f>
        <v xml:space="preserve">http://slimages.macys.com/is/image/MCY/11334776 </v>
      </c>
    </row>
    <row r="458" spans="1:13" ht="60" x14ac:dyDescent="0.25">
      <c r="A458" s="7" t="s">
        <v>6626</v>
      </c>
      <c r="B458" s="2" t="s">
        <v>2359</v>
      </c>
      <c r="C458" s="4">
        <v>2</v>
      </c>
      <c r="D458" s="5">
        <v>2.29</v>
      </c>
      <c r="E458" s="5">
        <v>5.99</v>
      </c>
      <c r="F458" s="4" t="s">
        <v>2360</v>
      </c>
      <c r="G458" s="2" t="s">
        <v>28</v>
      </c>
      <c r="H458" s="7" t="s">
        <v>91</v>
      </c>
      <c r="I458" s="2" t="s">
        <v>483</v>
      </c>
      <c r="J458" s="2" t="s">
        <v>536</v>
      </c>
      <c r="K458" s="2" t="s">
        <v>304</v>
      </c>
      <c r="L458" s="2" t="s">
        <v>119</v>
      </c>
      <c r="M458" s="8" t="str">
        <f>HYPERLINK("http://slimages.macys.com/is/image/MCY/12644507 ")</f>
        <v xml:space="preserve">http://slimages.macys.com/is/image/MCY/12644507 </v>
      </c>
    </row>
    <row r="459" spans="1:13" ht="60" x14ac:dyDescent="0.25">
      <c r="A459" s="7" t="s">
        <v>4585</v>
      </c>
      <c r="B459" s="2" t="s">
        <v>2359</v>
      </c>
      <c r="C459" s="4">
        <v>1</v>
      </c>
      <c r="D459" s="5">
        <v>2.29</v>
      </c>
      <c r="E459" s="5">
        <v>5.99</v>
      </c>
      <c r="F459" s="4" t="s">
        <v>2360</v>
      </c>
      <c r="G459" s="2" t="s">
        <v>28</v>
      </c>
      <c r="H459" s="7" t="s">
        <v>590</v>
      </c>
      <c r="I459" s="2" t="s">
        <v>483</v>
      </c>
      <c r="J459" s="2" t="s">
        <v>536</v>
      </c>
      <c r="K459" s="2" t="s">
        <v>304</v>
      </c>
      <c r="L459" s="2" t="s">
        <v>119</v>
      </c>
      <c r="M459" s="8" t="str">
        <f>HYPERLINK("http://slimages.macys.com/is/image/MCY/12644507 ")</f>
        <v xml:space="preserve">http://slimages.macys.com/is/image/MCY/12644507 </v>
      </c>
    </row>
    <row r="460" spans="1:13" ht="60" x14ac:dyDescent="0.25">
      <c r="A460" s="7" t="s">
        <v>2358</v>
      </c>
      <c r="B460" s="2" t="s">
        <v>2359</v>
      </c>
      <c r="C460" s="4">
        <v>1</v>
      </c>
      <c r="D460" s="5">
        <v>2.29</v>
      </c>
      <c r="E460" s="5">
        <v>5.99</v>
      </c>
      <c r="F460" s="4" t="s">
        <v>2360</v>
      </c>
      <c r="G460" s="2" t="s">
        <v>28</v>
      </c>
      <c r="H460" s="7" t="s">
        <v>42</v>
      </c>
      <c r="I460" s="2" t="s">
        <v>483</v>
      </c>
      <c r="J460" s="2" t="s">
        <v>536</v>
      </c>
      <c r="K460" s="2" t="s">
        <v>304</v>
      </c>
      <c r="L460" s="2" t="s">
        <v>119</v>
      </c>
      <c r="M460" s="8" t="str">
        <f>HYPERLINK("http://slimages.macys.com/is/image/MCY/12644507 ")</f>
        <v xml:space="preserve">http://slimages.macys.com/is/image/MCY/12644507 </v>
      </c>
    </row>
    <row r="461" spans="1:13" ht="60" x14ac:dyDescent="0.25">
      <c r="A461" s="7" t="s">
        <v>6624</v>
      </c>
      <c r="B461" s="2" t="s">
        <v>1365</v>
      </c>
      <c r="C461" s="4">
        <v>1</v>
      </c>
      <c r="D461" s="5">
        <v>2.29</v>
      </c>
      <c r="E461" s="5">
        <v>5.99</v>
      </c>
      <c r="F461" s="4" t="s">
        <v>1366</v>
      </c>
      <c r="G461" s="2" t="s">
        <v>62</v>
      </c>
      <c r="H461" s="7" t="s">
        <v>442</v>
      </c>
      <c r="I461" s="2" t="s">
        <v>483</v>
      </c>
      <c r="J461" s="2" t="s">
        <v>536</v>
      </c>
      <c r="K461" s="2" t="s">
        <v>304</v>
      </c>
      <c r="L461" s="2" t="s">
        <v>206</v>
      </c>
      <c r="M461" s="8" t="str">
        <f>HYPERLINK("http://slimages.macys.com/is/image/MCY/12463166 ")</f>
        <v xml:space="preserve">http://slimages.macys.com/is/image/MCY/12463166 </v>
      </c>
    </row>
    <row r="462" spans="1:13" ht="60" x14ac:dyDescent="0.25">
      <c r="A462" s="7" t="s">
        <v>2367</v>
      </c>
      <c r="B462" s="2" t="s">
        <v>1368</v>
      </c>
      <c r="C462" s="4">
        <v>1</v>
      </c>
      <c r="D462" s="5">
        <v>2.2799999999999998</v>
      </c>
      <c r="E462" s="5">
        <v>5.99</v>
      </c>
      <c r="F462" s="4" t="s">
        <v>1369</v>
      </c>
      <c r="G462" s="2" t="s">
        <v>41</v>
      </c>
      <c r="H462" s="7" t="s">
        <v>91</v>
      </c>
      <c r="I462" s="2" t="s">
        <v>483</v>
      </c>
      <c r="J462" s="2" t="s">
        <v>536</v>
      </c>
      <c r="K462" s="2" t="s">
        <v>304</v>
      </c>
      <c r="L462" s="2" t="s">
        <v>38</v>
      </c>
      <c r="M462" s="8" t="str">
        <f>HYPERLINK("http://slimages.macys.com/is/image/MCY/13987603 ")</f>
        <v xml:space="preserve">http://slimages.macys.com/is/image/MCY/13987603 </v>
      </c>
    </row>
    <row r="463" spans="1:13" ht="60" x14ac:dyDescent="0.25">
      <c r="A463" s="7" t="s">
        <v>1374</v>
      </c>
      <c r="B463" s="2" t="s">
        <v>1372</v>
      </c>
      <c r="C463" s="4">
        <v>1</v>
      </c>
      <c r="D463" s="5">
        <v>2.27</v>
      </c>
      <c r="E463" s="5">
        <v>5.99</v>
      </c>
      <c r="F463" s="4" t="s">
        <v>1373</v>
      </c>
      <c r="G463" s="2" t="s">
        <v>134</v>
      </c>
      <c r="H463" s="7" t="s">
        <v>590</v>
      </c>
      <c r="I463" s="2" t="s">
        <v>483</v>
      </c>
      <c r="J463" s="2" t="s">
        <v>536</v>
      </c>
      <c r="K463" s="2" t="s">
        <v>304</v>
      </c>
      <c r="L463" s="2" t="s">
        <v>119</v>
      </c>
      <c r="M463" s="8" t="str">
        <f>HYPERLINK("http://slimages.macys.com/is/image/MCY/12642166 ")</f>
        <v xml:space="preserve">http://slimages.macys.com/is/image/MCY/12642166 </v>
      </c>
    </row>
    <row r="464" spans="1:13" ht="60" x14ac:dyDescent="0.25">
      <c r="A464" s="7" t="s">
        <v>10319</v>
      </c>
      <c r="B464" s="2" t="s">
        <v>4594</v>
      </c>
      <c r="C464" s="4">
        <v>1</v>
      </c>
      <c r="D464" s="5">
        <v>2.27</v>
      </c>
      <c r="E464" s="5">
        <v>5.99</v>
      </c>
      <c r="F464" s="4" t="s">
        <v>4595</v>
      </c>
      <c r="G464" s="2" t="s">
        <v>41</v>
      </c>
      <c r="H464" s="7" t="s">
        <v>590</v>
      </c>
      <c r="I464" s="2" t="s">
        <v>483</v>
      </c>
      <c r="J464" s="2" t="s">
        <v>536</v>
      </c>
      <c r="K464" s="2" t="s">
        <v>304</v>
      </c>
      <c r="L464" s="2" t="s">
        <v>87</v>
      </c>
      <c r="M464" s="8" t="str">
        <f>HYPERLINK("http://slimages.macys.com/is/image/MCY/12466281 ")</f>
        <v xml:space="preserve">http://slimages.macys.com/is/image/MCY/12466281 </v>
      </c>
    </row>
    <row r="465" spans="1:13" ht="60" x14ac:dyDescent="0.25">
      <c r="A465" s="7" t="s">
        <v>7246</v>
      </c>
      <c r="B465" s="2" t="s">
        <v>4594</v>
      </c>
      <c r="C465" s="4">
        <v>1</v>
      </c>
      <c r="D465" s="5">
        <v>2.27</v>
      </c>
      <c r="E465" s="5">
        <v>5.99</v>
      </c>
      <c r="F465" s="4" t="s">
        <v>4595</v>
      </c>
      <c r="G465" s="2" t="s">
        <v>41</v>
      </c>
      <c r="H465" s="7" t="s">
        <v>91</v>
      </c>
      <c r="I465" s="2" t="s">
        <v>483</v>
      </c>
      <c r="J465" s="2" t="s">
        <v>536</v>
      </c>
      <c r="K465" s="2" t="s">
        <v>304</v>
      </c>
      <c r="L465" s="2" t="s">
        <v>87</v>
      </c>
      <c r="M465" s="8" t="str">
        <f>HYPERLINK("http://slimages.macys.com/is/image/MCY/12466281 ")</f>
        <v xml:space="preserve">http://slimages.macys.com/is/image/MCY/12466281 </v>
      </c>
    </row>
    <row r="466" spans="1:13" ht="60" x14ac:dyDescent="0.25">
      <c r="A466" s="7" t="s">
        <v>10731</v>
      </c>
      <c r="B466" s="2" t="s">
        <v>631</v>
      </c>
      <c r="C466" s="4">
        <v>1</v>
      </c>
      <c r="D466" s="5">
        <v>2.27</v>
      </c>
      <c r="E466" s="5">
        <v>5.99</v>
      </c>
      <c r="F466" s="4" t="s">
        <v>632</v>
      </c>
      <c r="G466" s="2" t="s">
        <v>28</v>
      </c>
      <c r="H466" s="7" t="s">
        <v>149</v>
      </c>
      <c r="I466" s="2" t="s">
        <v>483</v>
      </c>
      <c r="J466" s="2" t="s">
        <v>536</v>
      </c>
      <c r="K466" s="2" t="s">
        <v>304</v>
      </c>
      <c r="L466" s="2" t="s">
        <v>38</v>
      </c>
      <c r="M466" s="8" t="str">
        <f>HYPERLINK("http://slimages.macys.com/is/image/MCY/11857610 ")</f>
        <v xml:space="preserve">http://slimages.macys.com/is/image/MCY/11857610 </v>
      </c>
    </row>
    <row r="467" spans="1:13" ht="60" x14ac:dyDescent="0.25">
      <c r="A467" s="7" t="s">
        <v>10732</v>
      </c>
      <c r="B467" s="2" t="s">
        <v>8036</v>
      </c>
      <c r="C467" s="4">
        <v>1</v>
      </c>
      <c r="D467" s="5">
        <v>2.2400000000000002</v>
      </c>
      <c r="E467" s="5">
        <v>5.99</v>
      </c>
      <c r="F467" s="4" t="s">
        <v>8037</v>
      </c>
      <c r="G467" s="2" t="s">
        <v>1360</v>
      </c>
      <c r="H467" s="7" t="s">
        <v>149</v>
      </c>
      <c r="I467" s="2" t="s">
        <v>483</v>
      </c>
      <c r="J467" s="2" t="s">
        <v>536</v>
      </c>
      <c r="K467" s="2" t="s">
        <v>304</v>
      </c>
      <c r="L467" s="2" t="s">
        <v>119</v>
      </c>
      <c r="M467" s="8" t="str">
        <f>HYPERLINK("http://slimages.macys.com/is/image/MCY/11525807 ")</f>
        <v xml:space="preserve">http://slimages.macys.com/is/image/MCY/11525807 </v>
      </c>
    </row>
    <row r="468" spans="1:13" ht="60" x14ac:dyDescent="0.25">
      <c r="A468" s="7" t="s">
        <v>9244</v>
      </c>
      <c r="B468" s="2" t="s">
        <v>7259</v>
      </c>
      <c r="C468" s="4">
        <v>1</v>
      </c>
      <c r="D468" s="5">
        <v>2.2400000000000002</v>
      </c>
      <c r="E468" s="5">
        <v>5.99</v>
      </c>
      <c r="F468" s="4" t="s">
        <v>7260</v>
      </c>
      <c r="G468" s="2" t="s">
        <v>353</v>
      </c>
      <c r="H468" s="7" t="s">
        <v>149</v>
      </c>
      <c r="I468" s="2" t="s">
        <v>483</v>
      </c>
      <c r="J468" s="2" t="s">
        <v>536</v>
      </c>
      <c r="K468" s="2" t="s">
        <v>304</v>
      </c>
      <c r="L468" s="2" t="s">
        <v>206</v>
      </c>
      <c r="M468" s="8" t="str">
        <f>HYPERLINK("http://slimages.macys.com/is/image/MCY/12644528 ")</f>
        <v xml:space="preserve">http://slimages.macys.com/is/image/MCY/12644528 </v>
      </c>
    </row>
    <row r="469" spans="1:13" ht="60" x14ac:dyDescent="0.25">
      <c r="A469" s="7" t="s">
        <v>9245</v>
      </c>
      <c r="B469" s="2" t="s">
        <v>7259</v>
      </c>
      <c r="C469" s="4">
        <v>2</v>
      </c>
      <c r="D469" s="5">
        <v>2.2400000000000002</v>
      </c>
      <c r="E469" s="5">
        <v>5.99</v>
      </c>
      <c r="F469" s="4" t="s">
        <v>7260</v>
      </c>
      <c r="G469" s="2" t="s">
        <v>353</v>
      </c>
      <c r="H469" s="7" t="s">
        <v>590</v>
      </c>
      <c r="I469" s="2" t="s">
        <v>483</v>
      </c>
      <c r="J469" s="2" t="s">
        <v>536</v>
      </c>
      <c r="K469" s="2" t="s">
        <v>304</v>
      </c>
      <c r="L469" s="2" t="s">
        <v>206</v>
      </c>
      <c r="M469" s="8" t="str">
        <f>HYPERLINK("http://slimages.macys.com/is/image/MCY/12644528 ")</f>
        <v xml:space="preserve">http://slimages.macys.com/is/image/MCY/12644528 </v>
      </c>
    </row>
    <row r="470" spans="1:13" ht="60" x14ac:dyDescent="0.25">
      <c r="A470" s="7" t="s">
        <v>5099</v>
      </c>
      <c r="B470" s="2" t="s">
        <v>5100</v>
      </c>
      <c r="C470" s="4">
        <v>1</v>
      </c>
      <c r="D470" s="5">
        <v>2.2200000000000002</v>
      </c>
      <c r="E470" s="5">
        <v>5.99</v>
      </c>
      <c r="F470" s="4" t="s">
        <v>5101</v>
      </c>
      <c r="G470" s="2" t="s">
        <v>657</v>
      </c>
      <c r="H470" s="7" t="s">
        <v>590</v>
      </c>
      <c r="I470" s="2" t="s">
        <v>483</v>
      </c>
      <c r="J470" s="2" t="s">
        <v>536</v>
      </c>
      <c r="K470" s="2" t="s">
        <v>304</v>
      </c>
      <c r="L470" s="2" t="s">
        <v>119</v>
      </c>
      <c r="M470" s="8" t="str">
        <f>HYPERLINK("http://slimages.macys.com/is/image/MCY/13987611 ")</f>
        <v xml:space="preserve">http://slimages.macys.com/is/image/MCY/13987611 </v>
      </c>
    </row>
    <row r="471" spans="1:13" ht="60" x14ac:dyDescent="0.25">
      <c r="A471" s="7" t="s">
        <v>2382</v>
      </c>
      <c r="B471" s="2" t="s">
        <v>2383</v>
      </c>
      <c r="C471" s="4">
        <v>5</v>
      </c>
      <c r="D471" s="5">
        <v>2.2200000000000002</v>
      </c>
      <c r="E471" s="5">
        <v>4.99</v>
      </c>
      <c r="F471" s="4">
        <v>10004193500</v>
      </c>
      <c r="G471" s="2" t="s">
        <v>1360</v>
      </c>
      <c r="H471" s="7" t="s">
        <v>531</v>
      </c>
      <c r="I471" s="2" t="s">
        <v>483</v>
      </c>
      <c r="J471" s="2" t="s">
        <v>536</v>
      </c>
      <c r="K471" s="2" t="s">
        <v>304</v>
      </c>
      <c r="L471" s="2" t="s">
        <v>87</v>
      </c>
      <c r="M471" s="8" t="str">
        <f>HYPERLINK("http://slimages.macys.com/is/image/MCY/11520388 ")</f>
        <v xml:space="preserve">http://slimages.macys.com/is/image/MCY/11520388 </v>
      </c>
    </row>
    <row r="472" spans="1:13" ht="60" x14ac:dyDescent="0.25">
      <c r="A472" s="7" t="s">
        <v>10733</v>
      </c>
      <c r="B472" s="2" t="s">
        <v>5773</v>
      </c>
      <c r="C472" s="4">
        <v>1</v>
      </c>
      <c r="D472" s="5">
        <v>2.2200000000000002</v>
      </c>
      <c r="E472" s="5">
        <v>5.99</v>
      </c>
      <c r="F472" s="4" t="s">
        <v>5774</v>
      </c>
      <c r="G472" s="2" t="s">
        <v>28</v>
      </c>
      <c r="H472" s="7" t="s">
        <v>149</v>
      </c>
      <c r="I472" s="2" t="s">
        <v>483</v>
      </c>
      <c r="J472" s="2" t="s">
        <v>536</v>
      </c>
      <c r="K472" s="2" t="s">
        <v>304</v>
      </c>
      <c r="L472" s="2" t="s">
        <v>119</v>
      </c>
      <c r="M472" s="8" t="str">
        <f>HYPERLINK("http://slimages.macys.com/is/image/MCY/13987620 ")</f>
        <v xml:space="preserve">http://slimages.macys.com/is/image/MCY/13987620 </v>
      </c>
    </row>
    <row r="473" spans="1:13" ht="60" x14ac:dyDescent="0.25">
      <c r="A473" s="7" t="s">
        <v>8043</v>
      </c>
      <c r="B473" s="2" t="s">
        <v>6083</v>
      </c>
      <c r="C473" s="4">
        <v>1</v>
      </c>
      <c r="D473" s="5">
        <v>2.2200000000000002</v>
      </c>
      <c r="E473" s="5">
        <v>5.99</v>
      </c>
      <c r="F473" s="4" t="s">
        <v>6084</v>
      </c>
      <c r="G473" s="2" t="s">
        <v>171</v>
      </c>
      <c r="H473" s="7" t="s">
        <v>590</v>
      </c>
      <c r="I473" s="2" t="s">
        <v>483</v>
      </c>
      <c r="J473" s="2" t="s">
        <v>536</v>
      </c>
      <c r="K473" s="2" t="s">
        <v>304</v>
      </c>
      <c r="L473" s="2" t="s">
        <v>100</v>
      </c>
      <c r="M473" s="8" t="str">
        <f>HYPERLINK("http://slimages.macys.com/is/image/MCY/11794232 ")</f>
        <v xml:space="preserve">http://slimages.macys.com/is/image/MCY/11794232 </v>
      </c>
    </row>
    <row r="474" spans="1:13" ht="60" x14ac:dyDescent="0.25">
      <c r="A474" s="7" t="s">
        <v>8047</v>
      </c>
      <c r="B474" s="2" t="s">
        <v>6083</v>
      </c>
      <c r="C474" s="4">
        <v>2</v>
      </c>
      <c r="D474" s="5">
        <v>2.2200000000000002</v>
      </c>
      <c r="E474" s="5">
        <v>5.99</v>
      </c>
      <c r="F474" s="4" t="s">
        <v>6084</v>
      </c>
      <c r="G474" s="2" t="s">
        <v>171</v>
      </c>
      <c r="H474" s="7" t="s">
        <v>442</v>
      </c>
      <c r="I474" s="2" t="s">
        <v>483</v>
      </c>
      <c r="J474" s="2" t="s">
        <v>536</v>
      </c>
      <c r="K474" s="2" t="s">
        <v>304</v>
      </c>
      <c r="L474" s="2" t="s">
        <v>100</v>
      </c>
      <c r="M474" s="8" t="str">
        <f>HYPERLINK("http://slimages.macys.com/is/image/MCY/11794232 ")</f>
        <v xml:space="preserve">http://slimages.macys.com/is/image/MCY/11794232 </v>
      </c>
    </row>
    <row r="475" spans="1:13" ht="60" x14ac:dyDescent="0.25">
      <c r="A475" s="7" t="s">
        <v>10734</v>
      </c>
      <c r="B475" s="2" t="s">
        <v>9794</v>
      </c>
      <c r="C475" s="4">
        <v>2</v>
      </c>
      <c r="D475" s="5">
        <v>2.2200000000000002</v>
      </c>
      <c r="E475" s="5">
        <v>5.99</v>
      </c>
      <c r="F475" s="4" t="s">
        <v>9795</v>
      </c>
      <c r="G475" s="2" t="s">
        <v>262</v>
      </c>
      <c r="H475" s="7" t="s">
        <v>42</v>
      </c>
      <c r="I475" s="2" t="s">
        <v>483</v>
      </c>
      <c r="J475" s="2" t="s">
        <v>536</v>
      </c>
      <c r="K475" s="2" t="s">
        <v>304</v>
      </c>
      <c r="L475" s="2" t="s">
        <v>100</v>
      </c>
      <c r="M475" s="8" t="str">
        <f>HYPERLINK("http://slimages.macys.com/is/image/MCY/11793352 ")</f>
        <v xml:space="preserve">http://slimages.macys.com/is/image/MCY/11793352 </v>
      </c>
    </row>
    <row r="476" spans="1:13" ht="60" x14ac:dyDescent="0.25">
      <c r="A476" s="7" t="s">
        <v>9257</v>
      </c>
      <c r="B476" s="2" t="s">
        <v>1388</v>
      </c>
      <c r="C476" s="4">
        <v>1</v>
      </c>
      <c r="D476" s="5">
        <v>2.21</v>
      </c>
      <c r="E476" s="5">
        <v>5.99</v>
      </c>
      <c r="F476" s="4" t="s">
        <v>1389</v>
      </c>
      <c r="G476" s="2" t="s">
        <v>129</v>
      </c>
      <c r="H476" s="7" t="s">
        <v>590</v>
      </c>
      <c r="I476" s="2" t="s">
        <v>483</v>
      </c>
      <c r="J476" s="2" t="s">
        <v>536</v>
      </c>
      <c r="K476" s="2" t="s">
        <v>304</v>
      </c>
      <c r="L476" s="2" t="s">
        <v>38</v>
      </c>
      <c r="M476" s="8" t="str">
        <f>HYPERLINK("http://slimages.macys.com/is/image/MCY/13987618 ")</f>
        <v xml:space="preserve">http://slimages.macys.com/is/image/MCY/13987618 </v>
      </c>
    </row>
    <row r="477" spans="1:13" ht="60" x14ac:dyDescent="0.25">
      <c r="A477" s="7" t="s">
        <v>10735</v>
      </c>
      <c r="B477" s="2" t="s">
        <v>5776</v>
      </c>
      <c r="C477" s="4">
        <v>1</v>
      </c>
      <c r="D477" s="5">
        <v>2.19</v>
      </c>
      <c r="E477" s="5">
        <v>5.99</v>
      </c>
      <c r="F477" s="4" t="s">
        <v>5777</v>
      </c>
      <c r="G477" s="2" t="s">
        <v>28</v>
      </c>
      <c r="H477" s="7" t="s">
        <v>442</v>
      </c>
      <c r="I477" s="2" t="s">
        <v>483</v>
      </c>
      <c r="J477" s="2" t="s">
        <v>536</v>
      </c>
      <c r="K477" s="2" t="s">
        <v>304</v>
      </c>
      <c r="L477" s="2" t="s">
        <v>38</v>
      </c>
      <c r="M477" s="8" t="str">
        <f>HYPERLINK("http://slimages.macys.com/is/image/MCY/13987609 ")</f>
        <v xml:space="preserve">http://slimages.macys.com/is/image/MCY/13987609 </v>
      </c>
    </row>
    <row r="478" spans="1:13" ht="60" x14ac:dyDescent="0.25">
      <c r="A478" s="7" t="s">
        <v>7284</v>
      </c>
      <c r="B478" s="2" t="s">
        <v>5776</v>
      </c>
      <c r="C478" s="4">
        <v>2</v>
      </c>
      <c r="D478" s="5">
        <v>2.19</v>
      </c>
      <c r="E478" s="5">
        <v>5.99</v>
      </c>
      <c r="F478" s="4" t="s">
        <v>5777</v>
      </c>
      <c r="G478" s="2" t="s">
        <v>28</v>
      </c>
      <c r="H478" s="7" t="s">
        <v>590</v>
      </c>
      <c r="I478" s="2" t="s">
        <v>483</v>
      </c>
      <c r="J478" s="2" t="s">
        <v>536</v>
      </c>
      <c r="K478" s="2" t="s">
        <v>304</v>
      </c>
      <c r="L478" s="2" t="s">
        <v>38</v>
      </c>
      <c r="M478" s="8" t="str">
        <f>HYPERLINK("http://slimages.macys.com/is/image/MCY/13987609 ")</f>
        <v xml:space="preserve">http://slimages.macys.com/is/image/MCY/13987609 </v>
      </c>
    </row>
    <row r="479" spans="1:13" ht="60" x14ac:dyDescent="0.25">
      <c r="A479" s="7" t="s">
        <v>8059</v>
      </c>
      <c r="B479" s="2" t="s">
        <v>2398</v>
      </c>
      <c r="C479" s="4">
        <v>1</v>
      </c>
      <c r="D479" s="5">
        <v>2.17</v>
      </c>
      <c r="E479" s="5">
        <v>5.99</v>
      </c>
      <c r="F479" s="4" t="s">
        <v>2399</v>
      </c>
      <c r="G479" s="2" t="s">
        <v>41</v>
      </c>
      <c r="H479" s="7" t="s">
        <v>442</v>
      </c>
      <c r="I479" s="2" t="s">
        <v>483</v>
      </c>
      <c r="J479" s="2" t="s">
        <v>536</v>
      </c>
      <c r="K479" s="2" t="s">
        <v>304</v>
      </c>
      <c r="L479" s="2" t="s">
        <v>87</v>
      </c>
      <c r="M479" s="8" t="str">
        <f>HYPERLINK("http://slimages.macys.com/is/image/MCY/12644613 ")</f>
        <v xml:space="preserve">http://slimages.macys.com/is/image/MCY/12644613 </v>
      </c>
    </row>
    <row r="480" spans="1:13" ht="60" x14ac:dyDescent="0.25">
      <c r="A480" s="7" t="s">
        <v>1393</v>
      </c>
      <c r="B480" s="2" t="s">
        <v>1394</v>
      </c>
      <c r="C480" s="4">
        <v>5</v>
      </c>
      <c r="D480" s="5">
        <v>2.17</v>
      </c>
      <c r="E480" s="5">
        <v>4.99</v>
      </c>
      <c r="F480" s="4">
        <v>10000297900</v>
      </c>
      <c r="G480" s="2" t="s">
        <v>582</v>
      </c>
      <c r="H480" s="7" t="s">
        <v>531</v>
      </c>
      <c r="I480" s="2" t="s">
        <v>483</v>
      </c>
      <c r="J480" s="2" t="s">
        <v>536</v>
      </c>
      <c r="K480" s="2" t="s">
        <v>304</v>
      </c>
      <c r="L480" s="2" t="s">
        <v>38</v>
      </c>
      <c r="M480" s="8" t="str">
        <f>HYPERLINK("http://slimages.macys.com/is/image/MCY/11547503 ")</f>
        <v xml:space="preserve">http://slimages.macys.com/is/image/MCY/11547503 </v>
      </c>
    </row>
    <row r="481" spans="1:13" ht="60" x14ac:dyDescent="0.25">
      <c r="A481" s="7" t="s">
        <v>8060</v>
      </c>
      <c r="B481" s="2" t="s">
        <v>2395</v>
      </c>
      <c r="C481" s="4">
        <v>1</v>
      </c>
      <c r="D481" s="5">
        <v>2.17</v>
      </c>
      <c r="E481" s="5">
        <v>5.99</v>
      </c>
      <c r="F481" s="4" t="s">
        <v>2396</v>
      </c>
      <c r="G481" s="2" t="s">
        <v>41</v>
      </c>
      <c r="H481" s="7" t="s">
        <v>590</v>
      </c>
      <c r="I481" s="2" t="s">
        <v>483</v>
      </c>
      <c r="J481" s="2" t="s">
        <v>536</v>
      </c>
      <c r="K481" s="2" t="s">
        <v>304</v>
      </c>
      <c r="L481" s="2" t="s">
        <v>38</v>
      </c>
      <c r="M481" s="8" t="str">
        <f>HYPERLINK("http://slimages.macys.com/is/image/MCY/13987582 ")</f>
        <v xml:space="preserve">http://slimages.macys.com/is/image/MCY/13987582 </v>
      </c>
    </row>
    <row r="482" spans="1:13" ht="60" x14ac:dyDescent="0.25">
      <c r="A482" s="7" t="s">
        <v>10736</v>
      </c>
      <c r="B482" s="2" t="s">
        <v>10737</v>
      </c>
      <c r="C482" s="4">
        <v>2</v>
      </c>
      <c r="D482" s="5">
        <v>2.17</v>
      </c>
      <c r="E482" s="5">
        <v>5.99</v>
      </c>
      <c r="F482" s="4">
        <v>100012495</v>
      </c>
      <c r="G482" s="2" t="s">
        <v>262</v>
      </c>
      <c r="H482" s="7" t="s">
        <v>42</v>
      </c>
      <c r="I482" s="2" t="s">
        <v>2717</v>
      </c>
      <c r="J482" s="2" t="s">
        <v>536</v>
      </c>
      <c r="K482" s="2"/>
      <c r="L482" s="2"/>
      <c r="M482" s="8" t="str">
        <f>HYPERLINK("http://slimages.macys.com/is/image/MCY/9655433 ")</f>
        <v xml:space="preserve">http://slimages.macys.com/is/image/MCY/9655433 </v>
      </c>
    </row>
    <row r="483" spans="1:13" ht="60" x14ac:dyDescent="0.25">
      <c r="A483" s="7" t="s">
        <v>10738</v>
      </c>
      <c r="B483" s="2" t="s">
        <v>10737</v>
      </c>
      <c r="C483" s="4">
        <v>1</v>
      </c>
      <c r="D483" s="5">
        <v>2.17</v>
      </c>
      <c r="E483" s="5">
        <v>5.99</v>
      </c>
      <c r="F483" s="4">
        <v>100012495</v>
      </c>
      <c r="G483" s="2" t="s">
        <v>262</v>
      </c>
      <c r="H483" s="7" t="s">
        <v>91</v>
      </c>
      <c r="I483" s="2" t="s">
        <v>2717</v>
      </c>
      <c r="J483" s="2" t="s">
        <v>536</v>
      </c>
      <c r="K483" s="2"/>
      <c r="L483" s="2"/>
      <c r="M483" s="8" t="str">
        <f>HYPERLINK("http://slimages.macys.com/is/image/MCY/9655433 ")</f>
        <v xml:space="preserve">http://slimages.macys.com/is/image/MCY/9655433 </v>
      </c>
    </row>
    <row r="484" spans="1:13" ht="60" x14ac:dyDescent="0.25">
      <c r="A484" s="7" t="s">
        <v>10739</v>
      </c>
      <c r="B484" s="2" t="s">
        <v>10737</v>
      </c>
      <c r="C484" s="4">
        <v>1</v>
      </c>
      <c r="D484" s="5">
        <v>2.17</v>
      </c>
      <c r="E484" s="5">
        <v>5.99</v>
      </c>
      <c r="F484" s="4">
        <v>100012495</v>
      </c>
      <c r="G484" s="2" t="s">
        <v>262</v>
      </c>
      <c r="H484" s="7" t="s">
        <v>590</v>
      </c>
      <c r="I484" s="2" t="s">
        <v>2717</v>
      </c>
      <c r="J484" s="2" t="s">
        <v>536</v>
      </c>
      <c r="K484" s="2"/>
      <c r="L484" s="2"/>
      <c r="M484" s="8" t="str">
        <f>HYPERLINK("http://slimages.macys.com/is/image/MCY/9655433 ")</f>
        <v xml:space="preserve">http://slimages.macys.com/is/image/MCY/9655433 </v>
      </c>
    </row>
    <row r="485" spans="1:13" ht="60" x14ac:dyDescent="0.25">
      <c r="A485" s="7" t="s">
        <v>10325</v>
      </c>
      <c r="B485" s="2" t="s">
        <v>5109</v>
      </c>
      <c r="C485" s="4">
        <v>1</v>
      </c>
      <c r="D485" s="5">
        <v>2.11</v>
      </c>
      <c r="E485" s="5">
        <v>5.99</v>
      </c>
      <c r="F485" s="4" t="s">
        <v>5110</v>
      </c>
      <c r="G485" s="2" t="s">
        <v>793</v>
      </c>
      <c r="H485" s="7" t="s">
        <v>149</v>
      </c>
      <c r="I485" s="2" t="s">
        <v>483</v>
      </c>
      <c r="J485" s="2" t="s">
        <v>536</v>
      </c>
      <c r="K485" s="2" t="s">
        <v>304</v>
      </c>
      <c r="L485" s="2" t="s">
        <v>119</v>
      </c>
      <c r="M485" s="8" t="str">
        <f>HYPERLINK("http://slimages.macys.com/is/image/MCY/13987430 ")</f>
        <v xml:space="preserve">http://slimages.macys.com/is/image/MCY/13987430 </v>
      </c>
    </row>
    <row r="486" spans="1:13" ht="60" x14ac:dyDescent="0.25">
      <c r="A486" s="7" t="s">
        <v>10740</v>
      </c>
      <c r="B486" s="2" t="s">
        <v>10741</v>
      </c>
      <c r="C486" s="4">
        <v>2</v>
      </c>
      <c r="D486" s="5">
        <v>2.1</v>
      </c>
      <c r="E486" s="5">
        <v>5.99</v>
      </c>
      <c r="F486" s="4">
        <v>100012510</v>
      </c>
      <c r="G486" s="2" t="s">
        <v>79</v>
      </c>
      <c r="H486" s="7" t="s">
        <v>42</v>
      </c>
      <c r="I486" s="2" t="s">
        <v>2717</v>
      </c>
      <c r="J486" s="2" t="s">
        <v>536</v>
      </c>
      <c r="K486" s="2" t="s">
        <v>304</v>
      </c>
      <c r="L486" s="2" t="s">
        <v>206</v>
      </c>
      <c r="M486" s="8" t="str">
        <f>HYPERLINK("http://slimages.macys.com/is/image/MCY/9551808 ")</f>
        <v xml:space="preserve">http://slimages.macys.com/is/image/MCY/9551808 </v>
      </c>
    </row>
    <row r="487" spans="1:13" ht="60" x14ac:dyDescent="0.25">
      <c r="A487" s="7" t="s">
        <v>10742</v>
      </c>
      <c r="B487" s="2" t="s">
        <v>10743</v>
      </c>
      <c r="C487" s="4">
        <v>2</v>
      </c>
      <c r="D487" s="5">
        <v>2.1</v>
      </c>
      <c r="E487" s="5">
        <v>5.99</v>
      </c>
      <c r="F487" s="4">
        <v>100012488</v>
      </c>
      <c r="G487" s="2" t="s">
        <v>79</v>
      </c>
      <c r="H487" s="7" t="s">
        <v>442</v>
      </c>
      <c r="I487" s="2" t="s">
        <v>2717</v>
      </c>
      <c r="J487" s="2" t="s">
        <v>536</v>
      </c>
      <c r="K487" s="2" t="s">
        <v>304</v>
      </c>
      <c r="L487" s="2" t="s">
        <v>206</v>
      </c>
      <c r="M487" s="8" t="str">
        <f>HYPERLINK("http://slimages.macys.com/is/image/MCY/9525076 ")</f>
        <v xml:space="preserve">http://slimages.macys.com/is/image/MCY/9525076 </v>
      </c>
    </row>
    <row r="488" spans="1:13" ht="60" x14ac:dyDescent="0.25">
      <c r="A488" s="7" t="s">
        <v>10744</v>
      </c>
      <c r="B488" s="2" t="s">
        <v>10745</v>
      </c>
      <c r="C488" s="4">
        <v>1</v>
      </c>
      <c r="D488" s="5">
        <v>2.1</v>
      </c>
      <c r="E488" s="5">
        <v>5.99</v>
      </c>
      <c r="F488" s="4">
        <v>100012492</v>
      </c>
      <c r="G488" s="2" t="s">
        <v>527</v>
      </c>
      <c r="H488" s="7" t="s">
        <v>42</v>
      </c>
      <c r="I488" s="2" t="s">
        <v>2717</v>
      </c>
      <c r="J488" s="2" t="s">
        <v>536</v>
      </c>
      <c r="K488" s="2" t="s">
        <v>304</v>
      </c>
      <c r="L488" s="2" t="s">
        <v>206</v>
      </c>
      <c r="M488" s="8" t="str">
        <f>HYPERLINK("http://slimages.macys.com/is/image/MCY/9472295 ")</f>
        <v xml:space="preserve">http://slimages.macys.com/is/image/MCY/9472295 </v>
      </c>
    </row>
    <row r="489" spans="1:13" ht="60" x14ac:dyDescent="0.25">
      <c r="A489" s="7" t="s">
        <v>10746</v>
      </c>
      <c r="B489" s="2" t="s">
        <v>10741</v>
      </c>
      <c r="C489" s="4">
        <v>1</v>
      </c>
      <c r="D489" s="5">
        <v>2.1</v>
      </c>
      <c r="E489" s="5">
        <v>5.99</v>
      </c>
      <c r="F489" s="4">
        <v>100012510</v>
      </c>
      <c r="G489" s="2" t="s">
        <v>79</v>
      </c>
      <c r="H489" s="7" t="s">
        <v>91</v>
      </c>
      <c r="I489" s="2" t="s">
        <v>2717</v>
      </c>
      <c r="J489" s="2" t="s">
        <v>536</v>
      </c>
      <c r="K489" s="2" t="s">
        <v>304</v>
      </c>
      <c r="L489" s="2" t="s">
        <v>206</v>
      </c>
      <c r="M489" s="8" t="str">
        <f>HYPERLINK("http://slimages.macys.com/is/image/MCY/9551808 ")</f>
        <v xml:space="preserve">http://slimages.macys.com/is/image/MCY/9551808 </v>
      </c>
    </row>
    <row r="490" spans="1:13" ht="60" x14ac:dyDescent="0.25">
      <c r="A490" s="7" t="s">
        <v>10747</v>
      </c>
      <c r="B490" s="2" t="s">
        <v>10741</v>
      </c>
      <c r="C490" s="4">
        <v>1</v>
      </c>
      <c r="D490" s="5">
        <v>2.1</v>
      </c>
      <c r="E490" s="5">
        <v>5.99</v>
      </c>
      <c r="F490" s="4">
        <v>100012510</v>
      </c>
      <c r="G490" s="2" t="s">
        <v>79</v>
      </c>
      <c r="H490" s="7" t="s">
        <v>442</v>
      </c>
      <c r="I490" s="2" t="s">
        <v>2717</v>
      </c>
      <c r="J490" s="2" t="s">
        <v>536</v>
      </c>
      <c r="K490" s="2" t="s">
        <v>304</v>
      </c>
      <c r="L490" s="2" t="s">
        <v>206</v>
      </c>
      <c r="M490" s="8" t="str">
        <f>HYPERLINK("http://slimages.macys.com/is/image/MCY/9551808 ")</f>
        <v xml:space="preserve">http://slimages.macys.com/is/image/MCY/9551808 </v>
      </c>
    </row>
    <row r="491" spans="1:13" ht="60" x14ac:dyDescent="0.25">
      <c r="A491" s="7" t="s">
        <v>10748</v>
      </c>
      <c r="B491" s="2" t="s">
        <v>10749</v>
      </c>
      <c r="C491" s="4">
        <v>2</v>
      </c>
      <c r="D491" s="5">
        <v>2.09</v>
      </c>
      <c r="E491" s="5">
        <v>5.99</v>
      </c>
      <c r="F491" s="4">
        <v>100012525</v>
      </c>
      <c r="G491" s="2" t="s">
        <v>79</v>
      </c>
      <c r="H491" s="7" t="s">
        <v>91</v>
      </c>
      <c r="I491" s="2" t="s">
        <v>2717</v>
      </c>
      <c r="J491" s="2" t="s">
        <v>536</v>
      </c>
      <c r="K491" s="2" t="s">
        <v>304</v>
      </c>
      <c r="L491" s="2" t="s">
        <v>206</v>
      </c>
      <c r="M491" s="8" t="str">
        <f>HYPERLINK("http://slimages.macys.com/is/image/MCY/9551766 ")</f>
        <v xml:space="preserve">http://slimages.macys.com/is/image/MCY/9551766 </v>
      </c>
    </row>
    <row r="492" spans="1:13" ht="60" x14ac:dyDescent="0.25">
      <c r="A492" s="7" t="s">
        <v>10750</v>
      </c>
      <c r="B492" s="2" t="s">
        <v>10749</v>
      </c>
      <c r="C492" s="4">
        <v>1</v>
      </c>
      <c r="D492" s="5">
        <v>2.09</v>
      </c>
      <c r="E492" s="5">
        <v>5.99</v>
      </c>
      <c r="F492" s="4">
        <v>100012525</v>
      </c>
      <c r="G492" s="2" t="s">
        <v>79</v>
      </c>
      <c r="H492" s="7" t="s">
        <v>590</v>
      </c>
      <c r="I492" s="2" t="s">
        <v>2717</v>
      </c>
      <c r="J492" s="2" t="s">
        <v>536</v>
      </c>
      <c r="K492" s="2" t="s">
        <v>304</v>
      </c>
      <c r="L492" s="2" t="s">
        <v>206</v>
      </c>
      <c r="M492" s="8" t="str">
        <f>HYPERLINK("http://slimages.macys.com/is/image/MCY/9551766 ")</f>
        <v xml:space="preserve">http://slimages.macys.com/is/image/MCY/9551766 </v>
      </c>
    </row>
    <row r="493" spans="1:13" ht="60" x14ac:dyDescent="0.25">
      <c r="A493" s="7" t="s">
        <v>10751</v>
      </c>
      <c r="B493" s="2" t="s">
        <v>10749</v>
      </c>
      <c r="C493" s="4">
        <v>1</v>
      </c>
      <c r="D493" s="5">
        <v>2.09</v>
      </c>
      <c r="E493" s="5">
        <v>5.99</v>
      </c>
      <c r="F493" s="4">
        <v>100012525</v>
      </c>
      <c r="G493" s="2" t="s">
        <v>79</v>
      </c>
      <c r="H493" s="7" t="s">
        <v>42</v>
      </c>
      <c r="I493" s="2" t="s">
        <v>2717</v>
      </c>
      <c r="J493" s="2" t="s">
        <v>536</v>
      </c>
      <c r="K493" s="2" t="s">
        <v>304</v>
      </c>
      <c r="L493" s="2" t="s">
        <v>206</v>
      </c>
      <c r="M493" s="8" t="str">
        <f>HYPERLINK("http://slimages.macys.com/is/image/MCY/9551766 ")</f>
        <v xml:space="preserve">http://slimages.macys.com/is/image/MCY/9551766 </v>
      </c>
    </row>
    <row r="494" spans="1:13" ht="60" x14ac:dyDescent="0.25">
      <c r="A494" s="7" t="s">
        <v>6654</v>
      </c>
      <c r="B494" s="2" t="s">
        <v>1333</v>
      </c>
      <c r="C494" s="4">
        <v>1</v>
      </c>
      <c r="D494" s="5">
        <v>2.0299999999999998</v>
      </c>
      <c r="E494" s="5">
        <v>4.99</v>
      </c>
      <c r="F494" s="4" t="s">
        <v>1325</v>
      </c>
      <c r="G494" s="2" t="s">
        <v>28</v>
      </c>
      <c r="H494" s="7" t="s">
        <v>284</v>
      </c>
      <c r="I494" s="2" t="s">
        <v>523</v>
      </c>
      <c r="J494" s="2" t="s">
        <v>921</v>
      </c>
      <c r="K494" s="2" t="s">
        <v>304</v>
      </c>
      <c r="L494" s="2" t="s">
        <v>323</v>
      </c>
      <c r="M494" s="8" t="str">
        <f>HYPERLINK("http://slimages.macys.com/is/image/MCY/8345548 ")</f>
        <v xml:space="preserve">http://slimages.macys.com/is/image/MCY/8345548 </v>
      </c>
    </row>
    <row r="495" spans="1:13" ht="60" x14ac:dyDescent="0.25">
      <c r="A495" s="7" t="s">
        <v>1398</v>
      </c>
      <c r="B495" s="2" t="s">
        <v>1399</v>
      </c>
      <c r="C495" s="4">
        <v>7</v>
      </c>
      <c r="D495" s="5">
        <v>1.97</v>
      </c>
      <c r="E495" s="5">
        <v>5.99</v>
      </c>
      <c r="F495" s="4" t="s">
        <v>1400</v>
      </c>
      <c r="G495" s="2" t="s">
        <v>657</v>
      </c>
      <c r="H495" s="7" t="s">
        <v>590</v>
      </c>
      <c r="I495" s="2" t="s">
        <v>483</v>
      </c>
      <c r="J495" s="2" t="s">
        <v>536</v>
      </c>
      <c r="K495" s="2" t="s">
        <v>304</v>
      </c>
      <c r="L495" s="2" t="s">
        <v>119</v>
      </c>
      <c r="M495" s="8" t="str">
        <f>HYPERLINK("http://slimages.macys.com/is/image/MCY/13987628 ")</f>
        <v xml:space="preserve">http://slimages.macys.com/is/image/MCY/13987628 </v>
      </c>
    </row>
    <row r="496" spans="1:13" ht="60" x14ac:dyDescent="0.25">
      <c r="A496" s="7" t="s">
        <v>7300</v>
      </c>
      <c r="B496" s="2" t="s">
        <v>1399</v>
      </c>
      <c r="C496" s="4">
        <v>3</v>
      </c>
      <c r="D496" s="5">
        <v>1.97</v>
      </c>
      <c r="E496" s="5">
        <v>5.99</v>
      </c>
      <c r="F496" s="4" t="s">
        <v>1400</v>
      </c>
      <c r="G496" s="2" t="s">
        <v>657</v>
      </c>
      <c r="H496" s="7" t="s">
        <v>91</v>
      </c>
      <c r="I496" s="2" t="s">
        <v>483</v>
      </c>
      <c r="J496" s="2" t="s">
        <v>536</v>
      </c>
      <c r="K496" s="2" t="s">
        <v>304</v>
      </c>
      <c r="L496" s="2" t="s">
        <v>119</v>
      </c>
      <c r="M496" s="8" t="str">
        <f>HYPERLINK("http://slimages.macys.com/is/image/MCY/13987628 ")</f>
        <v xml:space="preserve">http://slimages.macys.com/is/image/MCY/13987628 </v>
      </c>
    </row>
    <row r="497" spans="1:13" ht="60" x14ac:dyDescent="0.25">
      <c r="A497" s="7" t="s">
        <v>7299</v>
      </c>
      <c r="B497" s="2" t="s">
        <v>1399</v>
      </c>
      <c r="C497" s="4">
        <v>2</v>
      </c>
      <c r="D497" s="5">
        <v>1.97</v>
      </c>
      <c r="E497" s="5">
        <v>5.99</v>
      </c>
      <c r="F497" s="4" t="s">
        <v>1400</v>
      </c>
      <c r="G497" s="2" t="s">
        <v>657</v>
      </c>
      <c r="H497" s="7" t="s">
        <v>42</v>
      </c>
      <c r="I497" s="2" t="s">
        <v>483</v>
      </c>
      <c r="J497" s="2" t="s">
        <v>536</v>
      </c>
      <c r="K497" s="2" t="s">
        <v>304</v>
      </c>
      <c r="L497" s="2" t="s">
        <v>119</v>
      </c>
      <c r="M497" s="8" t="str">
        <f>HYPERLINK("http://slimages.macys.com/is/image/MCY/13987628 ")</f>
        <v xml:space="preserve">http://slimages.macys.com/is/image/MCY/13987628 </v>
      </c>
    </row>
    <row r="498" spans="1:13" ht="60" x14ac:dyDescent="0.25">
      <c r="A498" s="7" t="s">
        <v>5797</v>
      </c>
      <c r="B498" s="2" t="s">
        <v>1399</v>
      </c>
      <c r="C498" s="4">
        <v>8</v>
      </c>
      <c r="D498" s="5">
        <v>1.97</v>
      </c>
      <c r="E498" s="5">
        <v>5.99</v>
      </c>
      <c r="F498" s="4" t="s">
        <v>1400</v>
      </c>
      <c r="G498" s="2" t="s">
        <v>657</v>
      </c>
      <c r="H498" s="7" t="s">
        <v>442</v>
      </c>
      <c r="I498" s="2" t="s">
        <v>483</v>
      </c>
      <c r="J498" s="2" t="s">
        <v>536</v>
      </c>
      <c r="K498" s="2" t="s">
        <v>304</v>
      </c>
      <c r="L498" s="2" t="s">
        <v>119</v>
      </c>
      <c r="M498" s="8" t="str">
        <f>HYPERLINK("http://slimages.macys.com/is/image/MCY/13987628 ")</f>
        <v xml:space="preserve">http://slimages.macys.com/is/image/MCY/13987628 </v>
      </c>
    </row>
    <row r="499" spans="1:13" ht="60" x14ac:dyDescent="0.25">
      <c r="A499" s="7" t="s">
        <v>6656</v>
      </c>
      <c r="B499" s="2" t="s">
        <v>1399</v>
      </c>
      <c r="C499" s="4">
        <v>2</v>
      </c>
      <c r="D499" s="5">
        <v>1.97</v>
      </c>
      <c r="E499" s="5">
        <v>5.99</v>
      </c>
      <c r="F499" s="4" t="s">
        <v>1400</v>
      </c>
      <c r="G499" s="2" t="s">
        <v>657</v>
      </c>
      <c r="H499" s="7" t="s">
        <v>149</v>
      </c>
      <c r="I499" s="2" t="s">
        <v>483</v>
      </c>
      <c r="J499" s="2" t="s">
        <v>536</v>
      </c>
      <c r="K499" s="2" t="s">
        <v>304</v>
      </c>
      <c r="L499" s="2" t="s">
        <v>119</v>
      </c>
      <c r="M499" s="8" t="str">
        <f>HYPERLINK("http://slimages.macys.com/is/image/MCY/13987628 ")</f>
        <v xml:space="preserve">http://slimages.macys.com/is/image/MCY/13987628 </v>
      </c>
    </row>
    <row r="500" spans="1:13" ht="60" x14ac:dyDescent="0.25">
      <c r="A500" s="7" t="s">
        <v>10752</v>
      </c>
      <c r="B500" s="2" t="s">
        <v>10753</v>
      </c>
      <c r="C500" s="4">
        <v>2</v>
      </c>
      <c r="D500" s="5">
        <v>1.91</v>
      </c>
      <c r="E500" s="5">
        <v>5.99</v>
      </c>
      <c r="F500" s="4">
        <v>100012501</v>
      </c>
      <c r="G500" s="2" t="s">
        <v>79</v>
      </c>
      <c r="H500" s="7" t="s">
        <v>91</v>
      </c>
      <c r="I500" s="2" t="s">
        <v>2717</v>
      </c>
      <c r="J500" s="2" t="s">
        <v>536</v>
      </c>
      <c r="K500" s="2" t="s">
        <v>304</v>
      </c>
      <c r="L500" s="2" t="s">
        <v>206</v>
      </c>
      <c r="M500" s="8" t="str">
        <f>HYPERLINK("http://slimages.macys.com/is/image/MCY/9472278 ")</f>
        <v xml:space="preserve">http://slimages.macys.com/is/image/MCY/9472278 </v>
      </c>
    </row>
    <row r="501" spans="1:13" ht="60" x14ac:dyDescent="0.25">
      <c r="A501" s="7" t="s">
        <v>10754</v>
      </c>
      <c r="B501" s="2" t="s">
        <v>10755</v>
      </c>
      <c r="C501" s="4">
        <v>1</v>
      </c>
      <c r="D501" s="5">
        <v>1.89</v>
      </c>
      <c r="E501" s="5">
        <v>5.99</v>
      </c>
      <c r="F501" s="4">
        <v>100012511</v>
      </c>
      <c r="G501" s="2" t="s">
        <v>262</v>
      </c>
      <c r="H501" s="7" t="s">
        <v>590</v>
      </c>
      <c r="I501" s="2" t="s">
        <v>2717</v>
      </c>
      <c r="J501" s="2" t="s">
        <v>536</v>
      </c>
      <c r="K501" s="2" t="s">
        <v>304</v>
      </c>
      <c r="L501" s="2" t="s">
        <v>119</v>
      </c>
      <c r="M501" s="8" t="str">
        <f>HYPERLINK("http://slimages.macys.com/is/image/MCY/9551807 ")</f>
        <v xml:space="preserve">http://slimages.macys.com/is/image/MCY/9551807 </v>
      </c>
    </row>
    <row r="502" spans="1:13" ht="60" x14ac:dyDescent="0.25">
      <c r="A502" s="7" t="s">
        <v>10756</v>
      </c>
      <c r="B502" s="2" t="s">
        <v>10755</v>
      </c>
      <c r="C502" s="4">
        <v>2</v>
      </c>
      <c r="D502" s="5">
        <v>1.89</v>
      </c>
      <c r="E502" s="5">
        <v>5.99</v>
      </c>
      <c r="F502" s="4">
        <v>100012511</v>
      </c>
      <c r="G502" s="2" t="s">
        <v>262</v>
      </c>
      <c r="H502" s="7" t="s">
        <v>42</v>
      </c>
      <c r="I502" s="2" t="s">
        <v>2717</v>
      </c>
      <c r="J502" s="2" t="s">
        <v>536</v>
      </c>
      <c r="K502" s="2" t="s">
        <v>304</v>
      </c>
      <c r="L502" s="2" t="s">
        <v>119</v>
      </c>
      <c r="M502" s="8" t="str">
        <f>HYPERLINK("http://slimages.macys.com/is/image/MCY/9551807 ")</f>
        <v xml:space="preserve">http://slimages.macys.com/is/image/MCY/9551807 </v>
      </c>
    </row>
    <row r="503" spans="1:13" ht="60" x14ac:dyDescent="0.25">
      <c r="A503" s="7" t="s">
        <v>10757</v>
      </c>
      <c r="B503" s="2" t="s">
        <v>10755</v>
      </c>
      <c r="C503" s="4">
        <v>1</v>
      </c>
      <c r="D503" s="5">
        <v>1.89</v>
      </c>
      <c r="E503" s="5">
        <v>5.99</v>
      </c>
      <c r="F503" s="4">
        <v>100012511</v>
      </c>
      <c r="G503" s="2" t="s">
        <v>262</v>
      </c>
      <c r="H503" s="7" t="s">
        <v>442</v>
      </c>
      <c r="I503" s="2" t="s">
        <v>2717</v>
      </c>
      <c r="J503" s="2" t="s">
        <v>536</v>
      </c>
      <c r="K503" s="2" t="s">
        <v>304</v>
      </c>
      <c r="L503" s="2" t="s">
        <v>119</v>
      </c>
      <c r="M503" s="8" t="str">
        <f>HYPERLINK("http://slimages.macys.com/is/image/MCY/9551807 ")</f>
        <v xml:space="preserve">http://slimages.macys.com/is/image/MCY/9551807 </v>
      </c>
    </row>
    <row r="504" spans="1:13" ht="60" x14ac:dyDescent="0.25">
      <c r="A504" s="7" t="s">
        <v>10758</v>
      </c>
      <c r="B504" s="2" t="s">
        <v>10755</v>
      </c>
      <c r="C504" s="4">
        <v>2</v>
      </c>
      <c r="D504" s="5">
        <v>1.89</v>
      </c>
      <c r="E504" s="5">
        <v>5.99</v>
      </c>
      <c r="F504" s="4">
        <v>100012511</v>
      </c>
      <c r="G504" s="2" t="s">
        <v>262</v>
      </c>
      <c r="H504" s="7" t="s">
        <v>91</v>
      </c>
      <c r="I504" s="2" t="s">
        <v>2717</v>
      </c>
      <c r="J504" s="2" t="s">
        <v>536</v>
      </c>
      <c r="K504" s="2" t="s">
        <v>304</v>
      </c>
      <c r="L504" s="2" t="s">
        <v>119</v>
      </c>
      <c r="M504" s="8" t="str">
        <f>HYPERLINK("http://slimages.macys.com/is/image/MCY/9551807 ")</f>
        <v xml:space="preserve">http://slimages.macys.com/is/image/MCY/9551807 </v>
      </c>
    </row>
    <row r="505" spans="1:13" ht="60" x14ac:dyDescent="0.25">
      <c r="A505" s="7" t="s">
        <v>10759</v>
      </c>
      <c r="B505" s="2" t="s">
        <v>10760</v>
      </c>
      <c r="C505" s="4">
        <v>1</v>
      </c>
      <c r="D505" s="5">
        <v>1.89</v>
      </c>
      <c r="E505" s="5">
        <v>5.99</v>
      </c>
      <c r="F505" s="4">
        <v>100012486</v>
      </c>
      <c r="G505" s="2" t="s">
        <v>134</v>
      </c>
      <c r="H505" s="7" t="s">
        <v>442</v>
      </c>
      <c r="I505" s="2" t="s">
        <v>2717</v>
      </c>
      <c r="J505" s="2" t="s">
        <v>536</v>
      </c>
      <c r="K505" s="2"/>
      <c r="L505" s="2"/>
      <c r="M505" s="8" t="str">
        <f>HYPERLINK("http://slimages.macys.com/is/image/MCY/9472297 ")</f>
        <v xml:space="preserve">http://slimages.macys.com/is/image/MCY/9472297 </v>
      </c>
    </row>
    <row r="506" spans="1:13" ht="60" x14ac:dyDescent="0.25">
      <c r="A506" s="7" t="s">
        <v>3578</v>
      </c>
      <c r="B506" s="2" t="s">
        <v>3579</v>
      </c>
      <c r="C506" s="4">
        <v>2</v>
      </c>
      <c r="D506" s="5">
        <v>10.3</v>
      </c>
      <c r="E506" s="5">
        <v>25.05</v>
      </c>
      <c r="F506" s="4">
        <v>17872211</v>
      </c>
      <c r="G506" s="2"/>
      <c r="H506" s="7" t="s">
        <v>91</v>
      </c>
      <c r="I506" s="2" t="s">
        <v>153</v>
      </c>
      <c r="J506" s="2" t="s">
        <v>3580</v>
      </c>
      <c r="K506" s="2"/>
      <c r="L506" s="2"/>
      <c r="M506" s="8"/>
    </row>
    <row r="507" spans="1:13" ht="60" x14ac:dyDescent="0.25">
      <c r="A507" s="7" t="s">
        <v>8084</v>
      </c>
      <c r="B507" s="2" t="s">
        <v>3579</v>
      </c>
      <c r="C507" s="4">
        <v>1</v>
      </c>
      <c r="D507" s="5">
        <v>10.3</v>
      </c>
      <c r="E507" s="5">
        <v>25.05</v>
      </c>
      <c r="F507" s="4">
        <v>17872211</v>
      </c>
      <c r="G507" s="2"/>
      <c r="H507" s="7" t="s">
        <v>442</v>
      </c>
      <c r="I507" s="2" t="s">
        <v>153</v>
      </c>
      <c r="J507" s="2" t="s">
        <v>3580</v>
      </c>
      <c r="K507" s="2"/>
      <c r="L507" s="2"/>
      <c r="M507" s="8"/>
    </row>
    <row r="508" spans="1:13" ht="36" x14ac:dyDescent="0.25">
      <c r="A508" s="7" t="s">
        <v>651</v>
      </c>
      <c r="B508" s="2" t="s">
        <v>652</v>
      </c>
      <c r="C508" s="4">
        <v>1</v>
      </c>
      <c r="D508" s="5">
        <v>9</v>
      </c>
      <c r="E508" s="5">
        <v>34</v>
      </c>
      <c r="F508" s="4" t="s">
        <v>652</v>
      </c>
      <c r="G508" s="2" t="s">
        <v>653</v>
      </c>
      <c r="H508" s="7" t="s">
        <v>177</v>
      </c>
      <c r="I508" s="2" t="s">
        <v>50</v>
      </c>
      <c r="J508" s="2" t="s">
        <v>650</v>
      </c>
      <c r="K508" s="2"/>
      <c r="L508" s="2"/>
      <c r="M508" s="8"/>
    </row>
    <row r="509" spans="1:13" ht="48" x14ac:dyDescent="0.25">
      <c r="A509" s="7" t="s">
        <v>10761</v>
      </c>
      <c r="B509" s="2" t="s">
        <v>5806</v>
      </c>
      <c r="C509" s="4">
        <v>1</v>
      </c>
      <c r="D509" s="5">
        <v>8.1</v>
      </c>
      <c r="E509" s="5">
        <v>16.2</v>
      </c>
      <c r="F509" s="4">
        <v>27863610</v>
      </c>
      <c r="G509" s="2"/>
      <c r="H509" s="7"/>
      <c r="I509" s="2" t="s">
        <v>487</v>
      </c>
      <c r="J509" s="2" t="s">
        <v>488</v>
      </c>
      <c r="K509" s="2"/>
      <c r="L509" s="2"/>
      <c r="M509" s="8"/>
    </row>
    <row r="510" spans="1:13" ht="24" x14ac:dyDescent="0.25">
      <c r="A510" s="7" t="s">
        <v>7303</v>
      </c>
      <c r="B510" s="2" t="s">
        <v>7304</v>
      </c>
      <c r="C510" s="4">
        <v>1</v>
      </c>
      <c r="D510" s="5">
        <v>8.01</v>
      </c>
      <c r="E510" s="5">
        <v>17.989999999999998</v>
      </c>
      <c r="F510" s="4" t="s">
        <v>7305</v>
      </c>
      <c r="G510" s="2" t="s">
        <v>527</v>
      </c>
      <c r="H510" s="7" t="s">
        <v>228</v>
      </c>
      <c r="I510" s="2" t="s">
        <v>80</v>
      </c>
      <c r="J510" s="2" t="s">
        <v>160</v>
      </c>
      <c r="K510" s="2"/>
      <c r="L510" s="2"/>
      <c r="M510" s="8"/>
    </row>
    <row r="511" spans="1:13" ht="24" x14ac:dyDescent="0.25">
      <c r="A511" s="7" t="s">
        <v>10762</v>
      </c>
      <c r="B511" s="2" t="s">
        <v>7304</v>
      </c>
      <c r="C511" s="4">
        <v>3</v>
      </c>
      <c r="D511" s="5">
        <v>8.01</v>
      </c>
      <c r="E511" s="5">
        <v>17.989999999999998</v>
      </c>
      <c r="F511" s="4" t="s">
        <v>7305</v>
      </c>
      <c r="G511" s="2" t="s">
        <v>527</v>
      </c>
      <c r="H511" s="7" t="s">
        <v>284</v>
      </c>
      <c r="I511" s="2" t="s">
        <v>80</v>
      </c>
      <c r="J511" s="2" t="s">
        <v>160</v>
      </c>
      <c r="K511" s="2"/>
      <c r="L511" s="2"/>
      <c r="M511" s="8"/>
    </row>
    <row r="512" spans="1:13" ht="24" x14ac:dyDescent="0.25">
      <c r="A512" s="7" t="s">
        <v>8511</v>
      </c>
      <c r="B512" s="2" t="s">
        <v>7304</v>
      </c>
      <c r="C512" s="4">
        <v>2</v>
      </c>
      <c r="D512" s="5">
        <v>8.01</v>
      </c>
      <c r="E512" s="5">
        <v>17.989999999999998</v>
      </c>
      <c r="F512" s="4" t="s">
        <v>7305</v>
      </c>
      <c r="G512" s="2" t="s">
        <v>527</v>
      </c>
      <c r="H512" s="7" t="s">
        <v>159</v>
      </c>
      <c r="I512" s="2" t="s">
        <v>80</v>
      </c>
      <c r="J512" s="2" t="s">
        <v>160</v>
      </c>
      <c r="K512" s="2"/>
      <c r="L512" s="2"/>
      <c r="M512" s="8"/>
    </row>
    <row r="513" spans="1:13" ht="24" x14ac:dyDescent="0.25">
      <c r="A513" s="7" t="s">
        <v>9801</v>
      </c>
      <c r="B513" s="2" t="s">
        <v>7304</v>
      </c>
      <c r="C513" s="4">
        <v>4</v>
      </c>
      <c r="D513" s="5">
        <v>8.01</v>
      </c>
      <c r="E513" s="5">
        <v>17.989999999999998</v>
      </c>
      <c r="F513" s="4" t="s">
        <v>7305</v>
      </c>
      <c r="G513" s="2" t="s">
        <v>527</v>
      </c>
      <c r="H513" s="7" t="s">
        <v>217</v>
      </c>
      <c r="I513" s="2" t="s">
        <v>80</v>
      </c>
      <c r="J513" s="2" t="s">
        <v>160</v>
      </c>
      <c r="K513" s="2"/>
      <c r="L513" s="2"/>
      <c r="M513" s="8"/>
    </row>
    <row r="514" spans="1:13" ht="36" x14ac:dyDescent="0.25">
      <c r="A514" s="7" t="s">
        <v>8515</v>
      </c>
      <c r="B514" s="2" t="s">
        <v>6103</v>
      </c>
      <c r="C514" s="4">
        <v>2</v>
      </c>
      <c r="D514" s="5">
        <v>6.4</v>
      </c>
      <c r="E514" s="5">
        <v>14.55</v>
      </c>
      <c r="F514" s="4">
        <v>17889610</v>
      </c>
      <c r="G514" s="2" t="s">
        <v>48</v>
      </c>
      <c r="H514" s="7" t="s">
        <v>482</v>
      </c>
      <c r="I514" s="2" t="s">
        <v>153</v>
      </c>
      <c r="J514" s="2" t="s">
        <v>154</v>
      </c>
      <c r="K514" s="2"/>
      <c r="L514" s="2"/>
      <c r="M514" s="8"/>
    </row>
    <row r="515" spans="1:13" ht="36" x14ac:dyDescent="0.25">
      <c r="A515" s="7" t="s">
        <v>10763</v>
      </c>
      <c r="B515" s="2" t="s">
        <v>5808</v>
      </c>
      <c r="C515" s="4">
        <v>1</v>
      </c>
      <c r="D515" s="5">
        <v>6.4</v>
      </c>
      <c r="E515" s="5">
        <v>14.55</v>
      </c>
      <c r="F515" s="4">
        <v>17889410</v>
      </c>
      <c r="G515" s="2" t="s">
        <v>28</v>
      </c>
      <c r="H515" s="7" t="s">
        <v>233</v>
      </c>
      <c r="I515" s="2" t="s">
        <v>153</v>
      </c>
      <c r="J515" s="2" t="s">
        <v>154</v>
      </c>
      <c r="K515" s="2"/>
      <c r="L515" s="2"/>
      <c r="M515" s="8"/>
    </row>
  </sheetData>
  <pageMargins left="0.5" right="0.5" top="0.25" bottom="0.25" header="0.3" footer="0.3"/>
  <pageSetup scale="65" orientation="landscape" horizontalDpi="0" verticalDpi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33"/>
  <sheetViews>
    <sheetView workbookViewId="0">
      <selection activeCell="N9" sqref="N9"/>
    </sheetView>
  </sheetViews>
  <sheetFormatPr defaultRowHeight="15" x14ac:dyDescent="0.25"/>
  <cols>
    <col min="1" max="1" width="14.28515625" customWidth="1"/>
    <col min="2" max="2" width="41.42578125" customWidth="1"/>
    <col min="3" max="3" width="15" customWidth="1"/>
    <col min="4" max="4" width="10.85546875" customWidth="1"/>
    <col min="5" max="6" width="15" customWidth="1"/>
    <col min="7" max="7" width="9.7109375" customWidth="1"/>
    <col min="8" max="8" width="13.140625" customWidth="1"/>
    <col min="9" max="11" width="11.42578125" customWidth="1"/>
    <col min="12" max="12" width="7.42578125" customWidth="1"/>
    <col min="13" max="13" width="10.85546875" customWidth="1"/>
    <col min="14" max="14" width="12.140625" customWidth="1"/>
    <col min="15" max="15" width="36.5703125" bestFit="1" customWidth="1"/>
    <col min="16" max="17" width="20.7109375" customWidth="1"/>
    <col min="18" max="18" width="64.28515625" customWidth="1"/>
  </cols>
  <sheetData>
    <row r="1" spans="1:13" ht="36" x14ac:dyDescent="0.25">
      <c r="A1" s="24" t="s">
        <v>0</v>
      </c>
      <c r="B1" s="24" t="s">
        <v>1</v>
      </c>
      <c r="C1" s="24" t="s">
        <v>2</v>
      </c>
      <c r="D1" s="24" t="s">
        <v>3</v>
      </c>
      <c r="E1" s="24" t="s">
        <v>4</v>
      </c>
      <c r="F1" s="24" t="s">
        <v>5</v>
      </c>
      <c r="G1" s="24" t="s">
        <v>6</v>
      </c>
      <c r="H1" s="24" t="s">
        <v>7</v>
      </c>
      <c r="I1" s="24" t="s">
        <v>8</v>
      </c>
      <c r="J1" s="24" t="s">
        <v>9</v>
      </c>
    </row>
    <row r="2" spans="1:13" ht="36" x14ac:dyDescent="0.25">
      <c r="A2" s="2" t="s">
        <v>654</v>
      </c>
      <c r="B2" s="3">
        <v>12416476</v>
      </c>
      <c r="C2" s="2" t="s">
        <v>11</v>
      </c>
      <c r="D2" s="2" t="s">
        <v>12</v>
      </c>
      <c r="E2" s="4">
        <v>1</v>
      </c>
      <c r="F2" s="4">
        <v>16</v>
      </c>
      <c r="G2" s="2">
        <v>282</v>
      </c>
      <c r="H2" s="5">
        <v>5981.51</v>
      </c>
      <c r="I2" s="5">
        <v>14985.09</v>
      </c>
      <c r="J2" s="2">
        <v>906</v>
      </c>
    </row>
    <row r="4" spans="1:13" s="6" customFormat="1" x14ac:dyDescent="0.25"/>
    <row r="7" spans="1:13" s="6" customFormat="1" x14ac:dyDescent="0.25"/>
    <row r="8" spans="1:13" ht="36" x14ac:dyDescent="0.25">
      <c r="A8" s="24" t="s">
        <v>13</v>
      </c>
      <c r="B8" s="24" t="s">
        <v>14</v>
      </c>
      <c r="C8" s="24" t="s">
        <v>15</v>
      </c>
      <c r="D8" s="24" t="s">
        <v>16</v>
      </c>
      <c r="E8" s="24" t="s">
        <v>17</v>
      </c>
      <c r="F8" s="24" t="s">
        <v>18</v>
      </c>
      <c r="G8" s="24" t="s">
        <v>19</v>
      </c>
      <c r="H8" s="24" t="s">
        <v>20</v>
      </c>
      <c r="I8" s="24" t="s">
        <v>21</v>
      </c>
      <c r="J8" s="24" t="s">
        <v>22</v>
      </c>
      <c r="K8" s="24" t="s">
        <v>2737</v>
      </c>
      <c r="L8" s="24" t="s">
        <v>23</v>
      </c>
      <c r="M8" s="24" t="s">
        <v>24</v>
      </c>
    </row>
    <row r="9" spans="1:13" ht="60" x14ac:dyDescent="0.25">
      <c r="A9" s="7" t="s">
        <v>9803</v>
      </c>
      <c r="B9" s="2" t="s">
        <v>8099</v>
      </c>
      <c r="C9" s="4">
        <v>2</v>
      </c>
      <c r="D9" s="5">
        <v>21</v>
      </c>
      <c r="E9" s="5">
        <v>50</v>
      </c>
      <c r="F9" s="4" t="s">
        <v>9804</v>
      </c>
      <c r="G9" s="2" t="s">
        <v>79</v>
      </c>
      <c r="H9" s="7"/>
      <c r="I9" s="2" t="s">
        <v>80</v>
      </c>
      <c r="J9" s="2" t="s">
        <v>74</v>
      </c>
      <c r="K9" s="2" t="s">
        <v>304</v>
      </c>
      <c r="L9" s="2" t="s">
        <v>81</v>
      </c>
      <c r="M9" s="8" t="str">
        <f>HYPERLINK("http://slimages.macys.com/is/image/MCY/13941753 ")</f>
        <v xml:space="preserve">http://slimages.macys.com/is/image/MCY/13941753 </v>
      </c>
    </row>
    <row r="10" spans="1:13" ht="60" x14ac:dyDescent="0.25">
      <c r="A10" s="7" t="s">
        <v>9805</v>
      </c>
      <c r="B10" s="2" t="s">
        <v>9806</v>
      </c>
      <c r="C10" s="4">
        <v>2</v>
      </c>
      <c r="D10" s="5">
        <v>20.23</v>
      </c>
      <c r="E10" s="5">
        <v>59.5</v>
      </c>
      <c r="F10" s="4" t="s">
        <v>9807</v>
      </c>
      <c r="G10" s="2" t="s">
        <v>86</v>
      </c>
      <c r="H10" s="7"/>
      <c r="I10" s="2" t="s">
        <v>57</v>
      </c>
      <c r="J10" s="2" t="s">
        <v>58</v>
      </c>
      <c r="K10" s="2" t="s">
        <v>304</v>
      </c>
      <c r="L10" s="2" t="s">
        <v>125</v>
      </c>
      <c r="M10" s="8" t="str">
        <f>HYPERLINK("http://slimages.macys.com/is/image/MCY/14746484 ")</f>
        <v xml:space="preserve">http://slimages.macys.com/is/image/MCY/14746484 </v>
      </c>
    </row>
    <row r="11" spans="1:13" ht="108" x14ac:dyDescent="0.25">
      <c r="A11" s="7" t="s">
        <v>9808</v>
      </c>
      <c r="B11" s="2" t="s">
        <v>9809</v>
      </c>
      <c r="C11" s="4">
        <v>1</v>
      </c>
      <c r="D11" s="5">
        <v>19</v>
      </c>
      <c r="E11" s="5">
        <v>35.99</v>
      </c>
      <c r="F11" s="4" t="s">
        <v>9810</v>
      </c>
      <c r="G11" s="2" t="s">
        <v>48</v>
      </c>
      <c r="H11" s="7" t="s">
        <v>159</v>
      </c>
      <c r="I11" s="2" t="s">
        <v>73</v>
      </c>
      <c r="J11" s="2" t="s">
        <v>160</v>
      </c>
      <c r="K11" s="2" t="s">
        <v>304</v>
      </c>
      <c r="L11" s="2" t="s">
        <v>9811</v>
      </c>
      <c r="M11" s="8" t="str">
        <f>HYPERLINK("http://slimages.macys.com/is/image/MCY/12337164 ")</f>
        <v xml:space="preserve">http://slimages.macys.com/is/image/MCY/12337164 </v>
      </c>
    </row>
    <row r="12" spans="1:13" ht="60" x14ac:dyDescent="0.25">
      <c r="A12" s="7" t="s">
        <v>83</v>
      </c>
      <c r="B12" s="2" t="s">
        <v>84</v>
      </c>
      <c r="C12" s="4">
        <v>1</v>
      </c>
      <c r="D12" s="5">
        <v>17.8</v>
      </c>
      <c r="E12" s="5">
        <v>44.5</v>
      </c>
      <c r="F12" s="4" t="s">
        <v>85</v>
      </c>
      <c r="G12" s="2" t="s">
        <v>86</v>
      </c>
      <c r="H12" s="7"/>
      <c r="I12" s="2" t="s">
        <v>57</v>
      </c>
      <c r="J12" s="2" t="s">
        <v>58</v>
      </c>
      <c r="K12" s="2" t="s">
        <v>304</v>
      </c>
      <c r="L12" s="2" t="s">
        <v>87</v>
      </c>
      <c r="M12" s="8" t="str">
        <f>HYPERLINK("http://slimages.macys.com/is/image/MCY/13043471 ")</f>
        <v xml:space="preserve">http://slimages.macys.com/is/image/MCY/13043471 </v>
      </c>
    </row>
    <row r="13" spans="1:13" ht="60" x14ac:dyDescent="0.25">
      <c r="A13" s="7" t="s">
        <v>9812</v>
      </c>
      <c r="B13" s="2" t="s">
        <v>5825</v>
      </c>
      <c r="C13" s="4">
        <v>1</v>
      </c>
      <c r="D13" s="5">
        <v>17.78</v>
      </c>
      <c r="E13" s="5">
        <v>39.5</v>
      </c>
      <c r="F13" s="4">
        <v>322749981001</v>
      </c>
      <c r="G13" s="2" t="s">
        <v>28</v>
      </c>
      <c r="H13" s="7" t="s">
        <v>123</v>
      </c>
      <c r="I13" s="2" t="s">
        <v>204</v>
      </c>
      <c r="J13" s="2" t="s">
        <v>205</v>
      </c>
      <c r="K13" s="2" t="s">
        <v>304</v>
      </c>
      <c r="L13" s="2" t="s">
        <v>87</v>
      </c>
      <c r="M13" s="8" t="str">
        <f>HYPERLINK("http://slimages.macys.com/is/image/MCY/14356710 ")</f>
        <v xml:space="preserve">http://slimages.macys.com/is/image/MCY/14356710 </v>
      </c>
    </row>
    <row r="14" spans="1:13" ht="60" x14ac:dyDescent="0.25">
      <c r="A14" s="7" t="s">
        <v>9813</v>
      </c>
      <c r="B14" s="2" t="s">
        <v>9814</v>
      </c>
      <c r="C14" s="4">
        <v>1</v>
      </c>
      <c r="D14" s="5">
        <v>16</v>
      </c>
      <c r="E14" s="5">
        <v>40</v>
      </c>
      <c r="F14" s="4" t="s">
        <v>9815</v>
      </c>
      <c r="G14" s="2" t="s">
        <v>347</v>
      </c>
      <c r="H14" s="7" t="s">
        <v>5834</v>
      </c>
      <c r="I14" s="2" t="s">
        <v>700</v>
      </c>
      <c r="J14" s="2" t="s">
        <v>701</v>
      </c>
      <c r="K14" s="2" t="s">
        <v>304</v>
      </c>
      <c r="L14" s="2" t="s">
        <v>263</v>
      </c>
      <c r="M14" s="8" t="str">
        <f>HYPERLINK("http://slimages.macys.com/is/image/MCY/9944066 ")</f>
        <v xml:space="preserve">http://slimages.macys.com/is/image/MCY/9944066 </v>
      </c>
    </row>
    <row r="15" spans="1:13" ht="60" x14ac:dyDescent="0.25">
      <c r="A15" s="7" t="s">
        <v>9816</v>
      </c>
      <c r="B15" s="2" t="s">
        <v>2965</v>
      </c>
      <c r="C15" s="4">
        <v>1</v>
      </c>
      <c r="D15" s="5">
        <v>15.75</v>
      </c>
      <c r="E15" s="5">
        <v>36.99</v>
      </c>
      <c r="F15" s="4" t="s">
        <v>2966</v>
      </c>
      <c r="G15" s="2" t="s">
        <v>165</v>
      </c>
      <c r="H15" s="7" t="s">
        <v>284</v>
      </c>
      <c r="I15" s="2" t="s">
        <v>80</v>
      </c>
      <c r="J15" s="2" t="s">
        <v>2967</v>
      </c>
      <c r="K15" s="2" t="s">
        <v>304</v>
      </c>
      <c r="L15" s="2" t="s">
        <v>125</v>
      </c>
      <c r="M15" s="8" t="str">
        <f>HYPERLINK("http://slimages.macys.com/is/image/MCY/13759711 ")</f>
        <v xml:space="preserve">http://slimages.macys.com/is/image/MCY/13759711 </v>
      </c>
    </row>
    <row r="16" spans="1:13" ht="60" x14ac:dyDescent="0.25">
      <c r="A16" s="7" t="s">
        <v>9817</v>
      </c>
      <c r="B16" s="2" t="s">
        <v>9818</v>
      </c>
      <c r="C16" s="4">
        <v>1</v>
      </c>
      <c r="D16" s="5">
        <v>15.75</v>
      </c>
      <c r="E16" s="5">
        <v>35</v>
      </c>
      <c r="F16" s="4">
        <v>320701545004</v>
      </c>
      <c r="G16" s="2" t="s">
        <v>657</v>
      </c>
      <c r="H16" s="7" t="s">
        <v>675</v>
      </c>
      <c r="I16" s="2" t="s">
        <v>676</v>
      </c>
      <c r="J16" s="2" t="s">
        <v>677</v>
      </c>
      <c r="K16" s="2" t="s">
        <v>304</v>
      </c>
      <c r="L16" s="2" t="s">
        <v>206</v>
      </c>
      <c r="M16" s="8" t="str">
        <f>HYPERLINK("http://slimages.macys.com/is/image/MCY/10111209 ")</f>
        <v xml:space="preserve">http://slimages.macys.com/is/image/MCY/10111209 </v>
      </c>
    </row>
    <row r="17" spans="1:13" ht="60" x14ac:dyDescent="0.25">
      <c r="A17" s="7" t="s">
        <v>9819</v>
      </c>
      <c r="B17" s="2" t="s">
        <v>9820</v>
      </c>
      <c r="C17" s="4">
        <v>1</v>
      </c>
      <c r="D17" s="5">
        <v>15.57</v>
      </c>
      <c r="E17" s="5">
        <v>31.99</v>
      </c>
      <c r="F17" s="4" t="s">
        <v>9821</v>
      </c>
      <c r="G17" s="2" t="s">
        <v>165</v>
      </c>
      <c r="H17" s="7" t="s">
        <v>228</v>
      </c>
      <c r="I17" s="2" t="s">
        <v>80</v>
      </c>
      <c r="J17" s="2" t="s">
        <v>160</v>
      </c>
      <c r="K17" s="2" t="s">
        <v>304</v>
      </c>
      <c r="L17" s="2" t="s">
        <v>206</v>
      </c>
      <c r="M17" s="8" t="str">
        <f>HYPERLINK("http://slimages.macys.com/is/image/MCY/10132272 ")</f>
        <v xml:space="preserve">http://slimages.macys.com/is/image/MCY/10132272 </v>
      </c>
    </row>
    <row r="18" spans="1:13" ht="72" x14ac:dyDescent="0.25">
      <c r="A18" s="7" t="s">
        <v>9822</v>
      </c>
      <c r="B18" s="2" t="s">
        <v>9823</v>
      </c>
      <c r="C18" s="4">
        <v>1</v>
      </c>
      <c r="D18" s="5">
        <v>15.57</v>
      </c>
      <c r="E18" s="5">
        <v>31.99</v>
      </c>
      <c r="F18" s="4" t="s">
        <v>9824</v>
      </c>
      <c r="G18" s="2" t="s">
        <v>2107</v>
      </c>
      <c r="H18" s="7" t="s">
        <v>228</v>
      </c>
      <c r="I18" s="2" t="s">
        <v>73</v>
      </c>
      <c r="J18" s="2" t="s">
        <v>160</v>
      </c>
      <c r="K18" s="2" t="s">
        <v>304</v>
      </c>
      <c r="L18" s="2" t="s">
        <v>8711</v>
      </c>
      <c r="M18" s="8" t="str">
        <f>HYPERLINK("http://slimages.macys.com/is/image/MCY/12874526 ")</f>
        <v xml:space="preserve">http://slimages.macys.com/is/image/MCY/12874526 </v>
      </c>
    </row>
    <row r="19" spans="1:13" ht="72" x14ac:dyDescent="0.25">
      <c r="A19" s="7" t="s">
        <v>9825</v>
      </c>
      <c r="B19" s="2" t="s">
        <v>9823</v>
      </c>
      <c r="C19" s="4">
        <v>1</v>
      </c>
      <c r="D19" s="5">
        <v>15.57</v>
      </c>
      <c r="E19" s="5">
        <v>31.99</v>
      </c>
      <c r="F19" s="4" t="s">
        <v>9824</v>
      </c>
      <c r="G19" s="2" t="s">
        <v>2107</v>
      </c>
      <c r="H19" s="7" t="s">
        <v>196</v>
      </c>
      <c r="I19" s="2" t="s">
        <v>73</v>
      </c>
      <c r="J19" s="2" t="s">
        <v>160</v>
      </c>
      <c r="K19" s="2" t="s">
        <v>304</v>
      </c>
      <c r="L19" s="2" t="s">
        <v>8711</v>
      </c>
      <c r="M19" s="8" t="str">
        <f>HYPERLINK("http://slimages.macys.com/is/image/MCY/12874526 ")</f>
        <v xml:space="preserve">http://slimages.macys.com/is/image/MCY/12874526 </v>
      </c>
    </row>
    <row r="20" spans="1:13" ht="72" x14ac:dyDescent="0.25">
      <c r="A20" s="7" t="s">
        <v>9826</v>
      </c>
      <c r="B20" s="2" t="s">
        <v>9823</v>
      </c>
      <c r="C20" s="4">
        <v>2</v>
      </c>
      <c r="D20" s="5">
        <v>15.57</v>
      </c>
      <c r="E20" s="5">
        <v>31.99</v>
      </c>
      <c r="F20" s="4" t="s">
        <v>9824</v>
      </c>
      <c r="G20" s="2" t="s">
        <v>2107</v>
      </c>
      <c r="H20" s="7" t="s">
        <v>159</v>
      </c>
      <c r="I20" s="2" t="s">
        <v>73</v>
      </c>
      <c r="J20" s="2" t="s">
        <v>160</v>
      </c>
      <c r="K20" s="2" t="s">
        <v>304</v>
      </c>
      <c r="L20" s="2" t="s">
        <v>8711</v>
      </c>
      <c r="M20" s="8" t="str">
        <f>HYPERLINK("http://slimages.macys.com/is/image/MCY/12874526 ")</f>
        <v xml:space="preserve">http://slimages.macys.com/is/image/MCY/12874526 </v>
      </c>
    </row>
    <row r="21" spans="1:13" ht="72" x14ac:dyDescent="0.25">
      <c r="A21" s="7" t="s">
        <v>9827</v>
      </c>
      <c r="B21" s="2" t="s">
        <v>9823</v>
      </c>
      <c r="C21" s="4">
        <v>1</v>
      </c>
      <c r="D21" s="5">
        <v>15.57</v>
      </c>
      <c r="E21" s="5">
        <v>31.99</v>
      </c>
      <c r="F21" s="4" t="s">
        <v>9824</v>
      </c>
      <c r="G21" s="2" t="s">
        <v>2107</v>
      </c>
      <c r="H21" s="7" t="s">
        <v>284</v>
      </c>
      <c r="I21" s="2" t="s">
        <v>73</v>
      </c>
      <c r="J21" s="2" t="s">
        <v>160</v>
      </c>
      <c r="K21" s="2" t="s">
        <v>304</v>
      </c>
      <c r="L21" s="2" t="s">
        <v>8711</v>
      </c>
      <c r="M21" s="8" t="str">
        <f>HYPERLINK("http://slimages.macys.com/is/image/MCY/12874526 ")</f>
        <v xml:space="preserve">http://slimages.macys.com/is/image/MCY/12874526 </v>
      </c>
    </row>
    <row r="22" spans="1:13" ht="60" x14ac:dyDescent="0.25">
      <c r="A22" s="7" t="s">
        <v>9828</v>
      </c>
      <c r="B22" s="2" t="s">
        <v>9829</v>
      </c>
      <c r="C22" s="4">
        <v>1</v>
      </c>
      <c r="D22" s="5">
        <v>15.5</v>
      </c>
      <c r="E22" s="5">
        <v>44.99</v>
      </c>
      <c r="F22" s="4" t="s">
        <v>9830</v>
      </c>
      <c r="G22" s="2" t="s">
        <v>195</v>
      </c>
      <c r="H22" s="7" t="s">
        <v>166</v>
      </c>
      <c r="I22" s="2" t="s">
        <v>668</v>
      </c>
      <c r="J22" s="2" t="s">
        <v>1437</v>
      </c>
      <c r="K22" s="2" t="s">
        <v>304</v>
      </c>
      <c r="L22" s="2" t="s">
        <v>125</v>
      </c>
      <c r="M22" s="8" t="str">
        <f>HYPERLINK("http://slimages.macys.com/is/image/MCY/12849521 ")</f>
        <v xml:space="preserve">http://slimages.macys.com/is/image/MCY/12849521 </v>
      </c>
    </row>
    <row r="23" spans="1:13" ht="60" x14ac:dyDescent="0.25">
      <c r="A23" s="7" t="s">
        <v>9831</v>
      </c>
      <c r="B23" s="2" t="s">
        <v>9829</v>
      </c>
      <c r="C23" s="4">
        <v>1</v>
      </c>
      <c r="D23" s="5">
        <v>15.5</v>
      </c>
      <c r="E23" s="5">
        <v>44.99</v>
      </c>
      <c r="F23" s="4" t="s">
        <v>9830</v>
      </c>
      <c r="G23" s="2" t="s">
        <v>195</v>
      </c>
      <c r="H23" s="7"/>
      <c r="I23" s="2" t="s">
        <v>668</v>
      </c>
      <c r="J23" s="2" t="s">
        <v>1437</v>
      </c>
      <c r="K23" s="2" t="s">
        <v>304</v>
      </c>
      <c r="L23" s="2" t="s">
        <v>125</v>
      </c>
      <c r="M23" s="8" t="str">
        <f>HYPERLINK("http://slimages.macys.com/is/image/MCY/12849521 ")</f>
        <v xml:space="preserve">http://slimages.macys.com/is/image/MCY/12849521 </v>
      </c>
    </row>
    <row r="24" spans="1:13" ht="60" x14ac:dyDescent="0.25">
      <c r="A24" s="7" t="s">
        <v>9832</v>
      </c>
      <c r="B24" s="2" t="s">
        <v>2977</v>
      </c>
      <c r="C24" s="4">
        <v>1</v>
      </c>
      <c r="D24" s="5">
        <v>15.4</v>
      </c>
      <c r="E24" s="5">
        <v>35</v>
      </c>
      <c r="F24" s="4">
        <v>1329029</v>
      </c>
      <c r="G24" s="2" t="s">
        <v>28</v>
      </c>
      <c r="H24" s="7" t="s">
        <v>217</v>
      </c>
      <c r="I24" s="2" t="s">
        <v>80</v>
      </c>
      <c r="J24" s="2" t="s">
        <v>280</v>
      </c>
      <c r="K24" s="2" t="s">
        <v>304</v>
      </c>
      <c r="L24" s="2" t="s">
        <v>125</v>
      </c>
      <c r="M24" s="8" t="str">
        <f>HYPERLINK("http://slimages.macys.com/is/image/MCY/11951087 ")</f>
        <v xml:space="preserve">http://slimages.macys.com/is/image/MCY/11951087 </v>
      </c>
    </row>
    <row r="25" spans="1:13" ht="60" x14ac:dyDescent="0.25">
      <c r="A25" s="7" t="s">
        <v>9833</v>
      </c>
      <c r="B25" s="2" t="s">
        <v>9834</v>
      </c>
      <c r="C25" s="4">
        <v>1</v>
      </c>
      <c r="D25" s="5">
        <v>15</v>
      </c>
      <c r="E25" s="5">
        <v>49.99</v>
      </c>
      <c r="F25" s="4" t="s">
        <v>9835</v>
      </c>
      <c r="G25" s="2" t="s">
        <v>297</v>
      </c>
      <c r="H25" s="7" t="s">
        <v>172</v>
      </c>
      <c r="I25" s="2" t="s">
        <v>668</v>
      </c>
      <c r="J25" s="2" t="s">
        <v>1437</v>
      </c>
      <c r="K25" s="2" t="s">
        <v>304</v>
      </c>
      <c r="L25" s="2" t="s">
        <v>358</v>
      </c>
      <c r="M25" s="8" t="str">
        <f>HYPERLINK("http://slimages.macys.com/is/image/MCY/12257778 ")</f>
        <v xml:space="preserve">http://slimages.macys.com/is/image/MCY/12257778 </v>
      </c>
    </row>
    <row r="26" spans="1:13" ht="96" x14ac:dyDescent="0.25">
      <c r="A26" s="7" t="s">
        <v>9836</v>
      </c>
      <c r="B26" s="2" t="s">
        <v>9837</v>
      </c>
      <c r="C26" s="4">
        <v>1</v>
      </c>
      <c r="D26" s="5">
        <v>14.87</v>
      </c>
      <c r="E26" s="5">
        <v>42.5</v>
      </c>
      <c r="F26" s="4" t="s">
        <v>9838</v>
      </c>
      <c r="G26" s="2" t="s">
        <v>41</v>
      </c>
      <c r="H26" s="7" t="s">
        <v>266</v>
      </c>
      <c r="I26" s="2" t="s">
        <v>298</v>
      </c>
      <c r="J26" s="2" t="s">
        <v>99</v>
      </c>
      <c r="K26" s="2" t="s">
        <v>304</v>
      </c>
      <c r="L26" s="2" t="s">
        <v>9839</v>
      </c>
      <c r="M26" s="8" t="str">
        <f>HYPERLINK("http://slimages.macys.com/is/image/MCY/12239534 ")</f>
        <v xml:space="preserve">http://slimages.macys.com/is/image/MCY/12239534 </v>
      </c>
    </row>
    <row r="27" spans="1:13" ht="60" x14ac:dyDescent="0.25">
      <c r="A27" s="7" t="s">
        <v>9840</v>
      </c>
      <c r="B27" s="2" t="s">
        <v>8592</v>
      </c>
      <c r="C27" s="4">
        <v>1</v>
      </c>
      <c r="D27" s="5">
        <v>14.7</v>
      </c>
      <c r="E27" s="5">
        <v>35</v>
      </c>
      <c r="F27" s="4" t="s">
        <v>8593</v>
      </c>
      <c r="G27" s="2" t="s">
        <v>28</v>
      </c>
      <c r="H27" s="7"/>
      <c r="I27" s="2" t="s">
        <v>80</v>
      </c>
      <c r="J27" s="2" t="s">
        <v>74</v>
      </c>
      <c r="K27" s="2" t="s">
        <v>304</v>
      </c>
      <c r="L27" s="2" t="s">
        <v>8594</v>
      </c>
      <c r="M27" s="8" t="str">
        <f>HYPERLINK("http://slimages.macys.com/is/image/MCY/11949466 ")</f>
        <v xml:space="preserve">http://slimages.macys.com/is/image/MCY/11949466 </v>
      </c>
    </row>
    <row r="28" spans="1:13" ht="60" x14ac:dyDescent="0.25">
      <c r="A28" s="7" t="s">
        <v>8599</v>
      </c>
      <c r="B28" s="2" t="s">
        <v>8592</v>
      </c>
      <c r="C28" s="4">
        <v>1</v>
      </c>
      <c r="D28" s="5">
        <v>14.7</v>
      </c>
      <c r="E28" s="5">
        <v>35</v>
      </c>
      <c r="F28" s="4" t="s">
        <v>8593</v>
      </c>
      <c r="G28" s="2" t="s">
        <v>28</v>
      </c>
      <c r="H28" s="7"/>
      <c r="I28" s="2" t="s">
        <v>80</v>
      </c>
      <c r="J28" s="2" t="s">
        <v>74</v>
      </c>
      <c r="K28" s="2" t="s">
        <v>304</v>
      </c>
      <c r="L28" s="2" t="s">
        <v>8594</v>
      </c>
      <c r="M28" s="8" t="str">
        <f>HYPERLINK("http://slimages.macys.com/is/image/MCY/11949466 ")</f>
        <v xml:space="preserve">http://slimages.macys.com/is/image/MCY/11949466 </v>
      </c>
    </row>
    <row r="29" spans="1:13" ht="72" x14ac:dyDescent="0.25">
      <c r="A29" s="7" t="s">
        <v>1517</v>
      </c>
      <c r="B29" s="2" t="s">
        <v>1518</v>
      </c>
      <c r="C29" s="4">
        <v>11</v>
      </c>
      <c r="D29" s="5">
        <v>13.8</v>
      </c>
      <c r="E29" s="5">
        <v>33.99</v>
      </c>
      <c r="F29" s="4" t="s">
        <v>1519</v>
      </c>
      <c r="G29" s="2" t="s">
        <v>62</v>
      </c>
      <c r="H29" s="7" t="s">
        <v>196</v>
      </c>
      <c r="I29" s="2" t="s">
        <v>321</v>
      </c>
      <c r="J29" s="2" t="s">
        <v>1512</v>
      </c>
      <c r="K29" s="2" t="s">
        <v>304</v>
      </c>
      <c r="L29" s="2" t="s">
        <v>1520</v>
      </c>
      <c r="M29" s="8" t="str">
        <f>HYPERLINK("http://slimages.macys.com/is/image/MCY/10750416 ")</f>
        <v xml:space="preserve">http://slimages.macys.com/is/image/MCY/10750416 </v>
      </c>
    </row>
    <row r="30" spans="1:13" ht="72" x14ac:dyDescent="0.25">
      <c r="A30" s="7" t="s">
        <v>9841</v>
      </c>
      <c r="B30" s="2" t="s">
        <v>1518</v>
      </c>
      <c r="C30" s="4">
        <v>7</v>
      </c>
      <c r="D30" s="5">
        <v>13.8</v>
      </c>
      <c r="E30" s="5">
        <v>33.99</v>
      </c>
      <c r="F30" s="4" t="s">
        <v>1519</v>
      </c>
      <c r="G30" s="2" t="s">
        <v>62</v>
      </c>
      <c r="H30" s="7" t="s">
        <v>228</v>
      </c>
      <c r="I30" s="2" t="s">
        <v>321</v>
      </c>
      <c r="J30" s="2" t="s">
        <v>1512</v>
      </c>
      <c r="K30" s="2" t="s">
        <v>304</v>
      </c>
      <c r="L30" s="2" t="s">
        <v>1520</v>
      </c>
      <c r="M30" s="8" t="str">
        <f>HYPERLINK("http://slimages.macys.com/is/image/MCY/10750416 ")</f>
        <v xml:space="preserve">http://slimages.macys.com/is/image/MCY/10750416 </v>
      </c>
    </row>
    <row r="31" spans="1:13" ht="72" x14ac:dyDescent="0.25">
      <c r="A31" s="7" t="s">
        <v>9842</v>
      </c>
      <c r="B31" s="2" t="s">
        <v>8650</v>
      </c>
      <c r="C31" s="4">
        <v>1</v>
      </c>
      <c r="D31" s="5">
        <v>13.8</v>
      </c>
      <c r="E31" s="5">
        <v>33.99</v>
      </c>
      <c r="F31" s="4" t="s">
        <v>8651</v>
      </c>
      <c r="G31" s="2" t="s">
        <v>892</v>
      </c>
      <c r="H31" s="7" t="s">
        <v>228</v>
      </c>
      <c r="I31" s="2" t="s">
        <v>321</v>
      </c>
      <c r="J31" s="2" t="s">
        <v>1512</v>
      </c>
      <c r="K31" s="2" t="s">
        <v>304</v>
      </c>
      <c r="L31" s="2" t="s">
        <v>1520</v>
      </c>
      <c r="M31" s="8" t="str">
        <f>HYPERLINK("http://slimages.macys.com/is/image/MCY/10750351 ")</f>
        <v xml:space="preserve">http://slimages.macys.com/is/image/MCY/10750351 </v>
      </c>
    </row>
    <row r="32" spans="1:13" ht="84" x14ac:dyDescent="0.25">
      <c r="A32" s="7" t="s">
        <v>9843</v>
      </c>
      <c r="B32" s="2" t="s">
        <v>1510</v>
      </c>
      <c r="C32" s="4">
        <v>2</v>
      </c>
      <c r="D32" s="5">
        <v>13.8</v>
      </c>
      <c r="E32" s="5">
        <v>33.99</v>
      </c>
      <c r="F32" s="4" t="s">
        <v>1511</v>
      </c>
      <c r="G32" s="2" t="s">
        <v>103</v>
      </c>
      <c r="H32" s="7" t="s">
        <v>159</v>
      </c>
      <c r="I32" s="2" t="s">
        <v>321</v>
      </c>
      <c r="J32" s="2" t="s">
        <v>1512</v>
      </c>
      <c r="K32" s="2" t="s">
        <v>304</v>
      </c>
      <c r="L32" s="2" t="s">
        <v>1117</v>
      </c>
      <c r="M32" s="8" t="str">
        <f>HYPERLINK("http://slimages.macys.com/is/image/MCY/10750360 ")</f>
        <v xml:space="preserve">http://slimages.macys.com/is/image/MCY/10750360 </v>
      </c>
    </row>
    <row r="33" spans="1:13" ht="72" x14ac:dyDescent="0.25">
      <c r="A33" s="7" t="s">
        <v>5210</v>
      </c>
      <c r="B33" s="2" t="s">
        <v>1518</v>
      </c>
      <c r="C33" s="4">
        <v>3</v>
      </c>
      <c r="D33" s="5">
        <v>13.8</v>
      </c>
      <c r="E33" s="5">
        <v>33.99</v>
      </c>
      <c r="F33" s="4" t="s">
        <v>1519</v>
      </c>
      <c r="G33" s="2" t="s">
        <v>62</v>
      </c>
      <c r="H33" s="7" t="s">
        <v>159</v>
      </c>
      <c r="I33" s="2" t="s">
        <v>321</v>
      </c>
      <c r="J33" s="2" t="s">
        <v>1512</v>
      </c>
      <c r="K33" s="2" t="s">
        <v>304</v>
      </c>
      <c r="L33" s="2" t="s">
        <v>1520</v>
      </c>
      <c r="M33" s="8" t="str">
        <f>HYPERLINK("http://slimages.macys.com/is/image/MCY/10750416 ")</f>
        <v xml:space="preserve">http://slimages.macys.com/is/image/MCY/10750416 </v>
      </c>
    </row>
    <row r="34" spans="1:13" ht="84" x14ac:dyDescent="0.25">
      <c r="A34" s="7" t="s">
        <v>9844</v>
      </c>
      <c r="B34" s="2" t="s">
        <v>1510</v>
      </c>
      <c r="C34" s="4">
        <v>1</v>
      </c>
      <c r="D34" s="5">
        <v>13.8</v>
      </c>
      <c r="E34" s="5">
        <v>33.99</v>
      </c>
      <c r="F34" s="4" t="s">
        <v>1511</v>
      </c>
      <c r="G34" s="2" t="s">
        <v>698</v>
      </c>
      <c r="H34" s="7" t="s">
        <v>284</v>
      </c>
      <c r="I34" s="2" t="s">
        <v>321</v>
      </c>
      <c r="J34" s="2" t="s">
        <v>1512</v>
      </c>
      <c r="K34" s="2" t="s">
        <v>304</v>
      </c>
      <c r="L34" s="2" t="s">
        <v>1117</v>
      </c>
      <c r="M34" s="8" t="str">
        <f>HYPERLINK("http://slimages.macys.com/is/image/MCY/10750360 ")</f>
        <v xml:space="preserve">http://slimages.macys.com/is/image/MCY/10750360 </v>
      </c>
    </row>
    <row r="35" spans="1:13" ht="84" x14ac:dyDescent="0.25">
      <c r="A35" s="7" t="s">
        <v>8647</v>
      </c>
      <c r="B35" s="2" t="s">
        <v>1510</v>
      </c>
      <c r="C35" s="4">
        <v>1</v>
      </c>
      <c r="D35" s="5">
        <v>13.8</v>
      </c>
      <c r="E35" s="5">
        <v>33.99</v>
      </c>
      <c r="F35" s="4" t="s">
        <v>1511</v>
      </c>
      <c r="G35" s="2" t="s">
        <v>103</v>
      </c>
      <c r="H35" s="7" t="s">
        <v>196</v>
      </c>
      <c r="I35" s="2" t="s">
        <v>321</v>
      </c>
      <c r="J35" s="2" t="s">
        <v>1512</v>
      </c>
      <c r="K35" s="2" t="s">
        <v>304</v>
      </c>
      <c r="L35" s="2" t="s">
        <v>1117</v>
      </c>
      <c r="M35" s="8" t="str">
        <f>HYPERLINK("http://slimages.macys.com/is/image/MCY/10750360 ")</f>
        <v xml:space="preserve">http://slimages.macys.com/is/image/MCY/10750360 </v>
      </c>
    </row>
    <row r="36" spans="1:13" ht="84" x14ac:dyDescent="0.25">
      <c r="A36" s="7" t="s">
        <v>9845</v>
      </c>
      <c r="B36" s="2" t="s">
        <v>9846</v>
      </c>
      <c r="C36" s="4">
        <v>1</v>
      </c>
      <c r="D36" s="5">
        <v>13.5</v>
      </c>
      <c r="E36" s="5">
        <v>33.99</v>
      </c>
      <c r="F36" s="4" t="s">
        <v>9847</v>
      </c>
      <c r="G36" s="2" t="s">
        <v>41</v>
      </c>
      <c r="H36" s="7" t="s">
        <v>311</v>
      </c>
      <c r="I36" s="2" t="s">
        <v>321</v>
      </c>
      <c r="J36" s="2" t="s">
        <v>4829</v>
      </c>
      <c r="K36" s="2" t="s">
        <v>304</v>
      </c>
      <c r="L36" s="2" t="s">
        <v>8157</v>
      </c>
      <c r="M36" s="8" t="str">
        <f>HYPERLINK("http://slimages.macys.com/is/image/MCY/11545217 ")</f>
        <v xml:space="preserve">http://slimages.macys.com/is/image/MCY/11545217 </v>
      </c>
    </row>
    <row r="37" spans="1:13" ht="96" x14ac:dyDescent="0.25">
      <c r="A37" s="7" t="s">
        <v>9848</v>
      </c>
      <c r="B37" s="2" t="s">
        <v>3744</v>
      </c>
      <c r="C37" s="4">
        <v>1</v>
      </c>
      <c r="D37" s="5">
        <v>13.5</v>
      </c>
      <c r="E37" s="5">
        <v>42.99</v>
      </c>
      <c r="F37" s="4" t="s">
        <v>3745</v>
      </c>
      <c r="G37" s="2" t="s">
        <v>41</v>
      </c>
      <c r="H37" s="7" t="s">
        <v>284</v>
      </c>
      <c r="I37" s="2" t="s">
        <v>342</v>
      </c>
      <c r="J37" s="2" t="s">
        <v>1589</v>
      </c>
      <c r="K37" s="2" t="s">
        <v>304</v>
      </c>
      <c r="L37" s="2" t="s">
        <v>3746</v>
      </c>
      <c r="M37" s="8" t="str">
        <f>HYPERLINK("http://slimages.macys.com/is/image/MCY/11636558 ")</f>
        <v xml:space="preserve">http://slimages.macys.com/is/image/MCY/11636558 </v>
      </c>
    </row>
    <row r="38" spans="1:13" ht="168" x14ac:dyDescent="0.25">
      <c r="A38" s="7" t="s">
        <v>9849</v>
      </c>
      <c r="B38" s="2" t="s">
        <v>9850</v>
      </c>
      <c r="C38" s="4">
        <v>1</v>
      </c>
      <c r="D38" s="5">
        <v>13.35</v>
      </c>
      <c r="E38" s="5">
        <v>31.52</v>
      </c>
      <c r="F38" s="4">
        <v>18492710</v>
      </c>
      <c r="G38" s="2" t="s">
        <v>36</v>
      </c>
      <c r="H38" s="7" t="s">
        <v>590</v>
      </c>
      <c r="I38" s="2" t="s">
        <v>153</v>
      </c>
      <c r="J38" s="2" t="s">
        <v>154</v>
      </c>
      <c r="K38" s="2" t="s">
        <v>304</v>
      </c>
      <c r="L38" s="2" t="s">
        <v>2501</v>
      </c>
      <c r="M38" s="8" t="str">
        <f>HYPERLINK("http://slimages.macys.com/is/image/MCY/15354361 ")</f>
        <v xml:space="preserve">http://slimages.macys.com/is/image/MCY/15354361 </v>
      </c>
    </row>
    <row r="39" spans="1:13" ht="72" x14ac:dyDescent="0.25">
      <c r="A39" s="7" t="s">
        <v>9851</v>
      </c>
      <c r="B39" s="2" t="s">
        <v>9852</v>
      </c>
      <c r="C39" s="4">
        <v>1</v>
      </c>
      <c r="D39" s="5">
        <v>13.35</v>
      </c>
      <c r="E39" s="5">
        <v>31.05</v>
      </c>
      <c r="F39" s="4">
        <v>18662610</v>
      </c>
      <c r="G39" s="2" t="s">
        <v>41</v>
      </c>
      <c r="H39" s="7" t="s">
        <v>590</v>
      </c>
      <c r="I39" s="2" t="s">
        <v>153</v>
      </c>
      <c r="J39" s="2" t="s">
        <v>154</v>
      </c>
      <c r="K39" s="2" t="s">
        <v>304</v>
      </c>
      <c r="L39" s="2" t="s">
        <v>9853</v>
      </c>
      <c r="M39" s="8" t="str">
        <f>HYPERLINK("http://slimages.macys.com/is/image/MCY/15354356 ")</f>
        <v xml:space="preserve">http://slimages.macys.com/is/image/MCY/15354356 </v>
      </c>
    </row>
    <row r="40" spans="1:13" ht="60" x14ac:dyDescent="0.25">
      <c r="A40" s="7" t="s">
        <v>9854</v>
      </c>
      <c r="B40" s="2" t="s">
        <v>9855</v>
      </c>
      <c r="C40" s="4">
        <v>1</v>
      </c>
      <c r="D40" s="5">
        <v>13.25</v>
      </c>
      <c r="E40" s="5">
        <v>26.99</v>
      </c>
      <c r="F40" s="4" t="s">
        <v>770</v>
      </c>
      <c r="G40" s="2" t="s">
        <v>793</v>
      </c>
      <c r="H40" s="7" t="s">
        <v>123</v>
      </c>
      <c r="I40" s="2" t="s">
        <v>380</v>
      </c>
      <c r="J40" s="2" t="s">
        <v>258</v>
      </c>
      <c r="K40" s="2" t="s">
        <v>304</v>
      </c>
      <c r="L40" s="2" t="s">
        <v>75</v>
      </c>
      <c r="M40" s="8" t="str">
        <f>HYPERLINK("http://slimages.macys.com/is/image/MCY/9906015 ")</f>
        <v xml:space="preserve">http://slimages.macys.com/is/image/MCY/9906015 </v>
      </c>
    </row>
    <row r="41" spans="1:13" ht="60" x14ac:dyDescent="0.25">
      <c r="A41" s="7" t="s">
        <v>9856</v>
      </c>
      <c r="B41" s="2" t="s">
        <v>9857</v>
      </c>
      <c r="C41" s="4">
        <v>1</v>
      </c>
      <c r="D41" s="5">
        <v>13</v>
      </c>
      <c r="E41" s="5">
        <v>24.99</v>
      </c>
      <c r="F41" s="4" t="s">
        <v>3035</v>
      </c>
      <c r="G41" s="2" t="s">
        <v>79</v>
      </c>
      <c r="H41" s="7" t="s">
        <v>3036</v>
      </c>
      <c r="I41" s="2" t="s">
        <v>257</v>
      </c>
      <c r="J41" s="2" t="s">
        <v>258</v>
      </c>
      <c r="K41" s="2" t="s">
        <v>304</v>
      </c>
      <c r="L41" s="2" t="s">
        <v>87</v>
      </c>
      <c r="M41" s="8" t="str">
        <f>HYPERLINK("http://slimages.macys.com/is/image/MCY/2964863 ")</f>
        <v xml:space="preserve">http://slimages.macys.com/is/image/MCY/2964863 </v>
      </c>
    </row>
    <row r="42" spans="1:13" ht="60" x14ac:dyDescent="0.25">
      <c r="A42" s="7" t="s">
        <v>9858</v>
      </c>
      <c r="B42" s="2" t="s">
        <v>9859</v>
      </c>
      <c r="C42" s="4">
        <v>1</v>
      </c>
      <c r="D42" s="5">
        <v>13</v>
      </c>
      <c r="E42" s="5">
        <v>24.99</v>
      </c>
      <c r="F42" s="4" t="s">
        <v>6158</v>
      </c>
      <c r="G42" s="2" t="s">
        <v>262</v>
      </c>
      <c r="H42" s="7" t="s">
        <v>6159</v>
      </c>
      <c r="I42" s="2" t="s">
        <v>257</v>
      </c>
      <c r="J42" s="2" t="s">
        <v>258</v>
      </c>
      <c r="K42" s="2" t="s">
        <v>304</v>
      </c>
      <c r="L42" s="2" t="s">
        <v>87</v>
      </c>
      <c r="M42" s="8" t="str">
        <f>HYPERLINK("http://slimages.macys.com/is/image/MCY/1653082 ")</f>
        <v xml:space="preserve">http://slimages.macys.com/is/image/MCY/1653082 </v>
      </c>
    </row>
    <row r="43" spans="1:13" ht="60" x14ac:dyDescent="0.25">
      <c r="A43" s="7" t="s">
        <v>9860</v>
      </c>
      <c r="B43" s="2" t="s">
        <v>9861</v>
      </c>
      <c r="C43" s="4">
        <v>1</v>
      </c>
      <c r="D43" s="5">
        <v>12.95</v>
      </c>
      <c r="E43" s="5">
        <v>37</v>
      </c>
      <c r="F43" s="4" t="s">
        <v>5857</v>
      </c>
      <c r="G43" s="2" t="s">
        <v>165</v>
      </c>
      <c r="H43" s="7" t="s">
        <v>9862</v>
      </c>
      <c r="I43" s="2" t="s">
        <v>700</v>
      </c>
      <c r="J43" s="2" t="s">
        <v>2123</v>
      </c>
      <c r="K43" s="2" t="s">
        <v>304</v>
      </c>
      <c r="L43" s="2" t="s">
        <v>5206</v>
      </c>
      <c r="M43" s="8" t="str">
        <f>HYPERLINK("http://slimages.macys.com/is/image/MCY/9476872 ")</f>
        <v xml:space="preserve">http://slimages.macys.com/is/image/MCY/9476872 </v>
      </c>
    </row>
    <row r="44" spans="1:13" ht="60" x14ac:dyDescent="0.25">
      <c r="A44" s="7" t="s">
        <v>6148</v>
      </c>
      <c r="B44" s="2" t="s">
        <v>3760</v>
      </c>
      <c r="C44" s="4">
        <v>1</v>
      </c>
      <c r="D44" s="5">
        <v>12.92</v>
      </c>
      <c r="E44" s="5">
        <v>34.99</v>
      </c>
      <c r="F44" s="4" t="s">
        <v>3761</v>
      </c>
      <c r="G44" s="2" t="s">
        <v>62</v>
      </c>
      <c r="H44" s="7" t="s">
        <v>159</v>
      </c>
      <c r="I44" s="2" t="s">
        <v>218</v>
      </c>
      <c r="J44" s="2" t="s">
        <v>1740</v>
      </c>
      <c r="K44" s="2" t="s">
        <v>304</v>
      </c>
      <c r="L44" s="2" t="s">
        <v>3452</v>
      </c>
      <c r="M44" s="8" t="str">
        <f>HYPERLINK("http://slimages.macys.com/is/image/MCY/11946901 ")</f>
        <v xml:space="preserve">http://slimages.macys.com/is/image/MCY/11946901 </v>
      </c>
    </row>
    <row r="45" spans="1:13" ht="60" x14ac:dyDescent="0.25">
      <c r="A45" s="7" t="s">
        <v>5858</v>
      </c>
      <c r="B45" s="2" t="s">
        <v>3760</v>
      </c>
      <c r="C45" s="4">
        <v>1</v>
      </c>
      <c r="D45" s="5">
        <v>12.92</v>
      </c>
      <c r="E45" s="5">
        <v>34.99</v>
      </c>
      <c r="F45" s="4" t="s">
        <v>3761</v>
      </c>
      <c r="G45" s="2" t="s">
        <v>62</v>
      </c>
      <c r="H45" s="7" t="s">
        <v>284</v>
      </c>
      <c r="I45" s="2" t="s">
        <v>218</v>
      </c>
      <c r="J45" s="2" t="s">
        <v>1740</v>
      </c>
      <c r="K45" s="2" t="s">
        <v>304</v>
      </c>
      <c r="L45" s="2" t="s">
        <v>3452</v>
      </c>
      <c r="M45" s="8" t="str">
        <f>HYPERLINK("http://slimages.macys.com/is/image/MCY/11946901 ")</f>
        <v xml:space="preserve">http://slimages.macys.com/is/image/MCY/11946901 </v>
      </c>
    </row>
    <row r="46" spans="1:13" ht="60" x14ac:dyDescent="0.25">
      <c r="A46" s="7" t="s">
        <v>9863</v>
      </c>
      <c r="B46" s="2" t="s">
        <v>3760</v>
      </c>
      <c r="C46" s="4">
        <v>1</v>
      </c>
      <c r="D46" s="5">
        <v>12.92</v>
      </c>
      <c r="E46" s="5">
        <v>34.99</v>
      </c>
      <c r="F46" s="4" t="s">
        <v>3761</v>
      </c>
      <c r="G46" s="2" t="s">
        <v>62</v>
      </c>
      <c r="H46" s="7" t="s">
        <v>217</v>
      </c>
      <c r="I46" s="2" t="s">
        <v>218</v>
      </c>
      <c r="J46" s="2" t="s">
        <v>1740</v>
      </c>
      <c r="K46" s="2" t="s">
        <v>304</v>
      </c>
      <c r="L46" s="2" t="s">
        <v>3452</v>
      </c>
      <c r="M46" s="8" t="str">
        <f>HYPERLINK("http://slimages.macys.com/is/image/MCY/11946901 ")</f>
        <v xml:space="preserve">http://slimages.macys.com/is/image/MCY/11946901 </v>
      </c>
    </row>
    <row r="47" spans="1:13" ht="60" x14ac:dyDescent="0.25">
      <c r="A47" s="7" t="s">
        <v>3759</v>
      </c>
      <c r="B47" s="2" t="s">
        <v>3760</v>
      </c>
      <c r="C47" s="4">
        <v>1</v>
      </c>
      <c r="D47" s="5">
        <v>12.92</v>
      </c>
      <c r="E47" s="5">
        <v>34.99</v>
      </c>
      <c r="F47" s="4" t="s">
        <v>3761</v>
      </c>
      <c r="G47" s="2" t="s">
        <v>62</v>
      </c>
      <c r="H47" s="7" t="s">
        <v>228</v>
      </c>
      <c r="I47" s="2" t="s">
        <v>218</v>
      </c>
      <c r="J47" s="2" t="s">
        <v>1740</v>
      </c>
      <c r="K47" s="2" t="s">
        <v>304</v>
      </c>
      <c r="L47" s="2" t="s">
        <v>3452</v>
      </c>
      <c r="M47" s="8" t="str">
        <f>HYPERLINK("http://slimages.macys.com/is/image/MCY/11946901 ")</f>
        <v xml:space="preserve">http://slimages.macys.com/is/image/MCY/11946901 </v>
      </c>
    </row>
    <row r="48" spans="1:13" ht="60" x14ac:dyDescent="0.25">
      <c r="A48" s="7" t="s">
        <v>9864</v>
      </c>
      <c r="B48" s="2" t="s">
        <v>9865</v>
      </c>
      <c r="C48" s="4">
        <v>2</v>
      </c>
      <c r="D48" s="5">
        <v>12.76</v>
      </c>
      <c r="E48" s="5">
        <v>34.99</v>
      </c>
      <c r="F48" s="4" t="s">
        <v>9866</v>
      </c>
      <c r="G48" s="2" t="s">
        <v>41</v>
      </c>
      <c r="H48" s="7" t="s">
        <v>159</v>
      </c>
      <c r="I48" s="2" t="s">
        <v>218</v>
      </c>
      <c r="J48" s="2" t="s">
        <v>1740</v>
      </c>
      <c r="K48" s="2" t="s">
        <v>304</v>
      </c>
      <c r="L48" s="2" t="s">
        <v>125</v>
      </c>
      <c r="M48" s="8" t="str">
        <f>HYPERLINK("http://slimages.macys.com/is/image/MCY/11952847 ")</f>
        <v xml:space="preserve">http://slimages.macys.com/is/image/MCY/11952847 </v>
      </c>
    </row>
    <row r="49" spans="1:13" ht="60" x14ac:dyDescent="0.25">
      <c r="A49" s="7" t="s">
        <v>9867</v>
      </c>
      <c r="B49" s="2" t="s">
        <v>3766</v>
      </c>
      <c r="C49" s="4">
        <v>2</v>
      </c>
      <c r="D49" s="5">
        <v>12.76</v>
      </c>
      <c r="E49" s="5">
        <v>34.99</v>
      </c>
      <c r="F49" s="4" t="s">
        <v>3767</v>
      </c>
      <c r="G49" s="2" t="s">
        <v>62</v>
      </c>
      <c r="H49" s="7" t="s">
        <v>217</v>
      </c>
      <c r="I49" s="2" t="s">
        <v>218</v>
      </c>
      <c r="J49" s="2" t="s">
        <v>1740</v>
      </c>
      <c r="K49" s="2" t="s">
        <v>304</v>
      </c>
      <c r="L49" s="2" t="s">
        <v>125</v>
      </c>
      <c r="M49" s="8" t="str">
        <f>HYPERLINK("http://slimages.macys.com/is/image/MCY/11946585 ")</f>
        <v xml:space="preserve">http://slimages.macys.com/is/image/MCY/11946585 </v>
      </c>
    </row>
    <row r="50" spans="1:13" ht="60" x14ac:dyDescent="0.25">
      <c r="A50" s="7" t="s">
        <v>9868</v>
      </c>
      <c r="B50" s="2" t="s">
        <v>9869</v>
      </c>
      <c r="C50" s="4">
        <v>1</v>
      </c>
      <c r="D50" s="5">
        <v>12.6</v>
      </c>
      <c r="E50" s="5">
        <v>27.99</v>
      </c>
      <c r="F50" s="4" t="s">
        <v>9870</v>
      </c>
      <c r="G50" s="2" t="s">
        <v>297</v>
      </c>
      <c r="H50" s="7" t="s">
        <v>144</v>
      </c>
      <c r="I50" s="2" t="s">
        <v>73</v>
      </c>
      <c r="J50" s="2" t="s">
        <v>778</v>
      </c>
      <c r="K50" s="2" t="s">
        <v>304</v>
      </c>
      <c r="L50" s="2" t="s">
        <v>125</v>
      </c>
      <c r="M50" s="8" t="str">
        <f>HYPERLINK("http://slimages.macys.com/is/image/MCY/12282228 ")</f>
        <v xml:space="preserve">http://slimages.macys.com/is/image/MCY/12282228 </v>
      </c>
    </row>
    <row r="51" spans="1:13" ht="60" x14ac:dyDescent="0.25">
      <c r="A51" s="7" t="s">
        <v>9871</v>
      </c>
      <c r="B51" s="2" t="s">
        <v>9872</v>
      </c>
      <c r="C51" s="4">
        <v>1</v>
      </c>
      <c r="D51" s="5">
        <v>12.45</v>
      </c>
      <c r="E51" s="5">
        <v>34.99</v>
      </c>
      <c r="F51" s="4" t="s">
        <v>9873</v>
      </c>
      <c r="G51" s="2" t="s">
        <v>171</v>
      </c>
      <c r="H51" s="7" t="s">
        <v>217</v>
      </c>
      <c r="I51" s="2" t="s">
        <v>218</v>
      </c>
      <c r="J51" s="2" t="s">
        <v>219</v>
      </c>
      <c r="K51" s="2" t="s">
        <v>304</v>
      </c>
      <c r="L51" s="2" t="s">
        <v>125</v>
      </c>
      <c r="M51" s="8" t="str">
        <f>HYPERLINK("http://slimages.macys.com/is/image/MCY/11952649 ")</f>
        <v xml:space="preserve">http://slimages.macys.com/is/image/MCY/11952649 </v>
      </c>
    </row>
    <row r="52" spans="1:13" ht="60" x14ac:dyDescent="0.25">
      <c r="A52" s="7" t="s">
        <v>9874</v>
      </c>
      <c r="B52" s="2" t="s">
        <v>9872</v>
      </c>
      <c r="C52" s="4">
        <v>1</v>
      </c>
      <c r="D52" s="5">
        <v>12.45</v>
      </c>
      <c r="E52" s="5">
        <v>34.99</v>
      </c>
      <c r="F52" s="4" t="s">
        <v>9873</v>
      </c>
      <c r="G52" s="2" t="s">
        <v>171</v>
      </c>
      <c r="H52" s="7" t="s">
        <v>159</v>
      </c>
      <c r="I52" s="2" t="s">
        <v>218</v>
      </c>
      <c r="J52" s="2" t="s">
        <v>219</v>
      </c>
      <c r="K52" s="2" t="s">
        <v>304</v>
      </c>
      <c r="L52" s="2" t="s">
        <v>125</v>
      </c>
      <c r="M52" s="8" t="str">
        <f>HYPERLINK("http://slimages.macys.com/is/image/MCY/11952649 ")</f>
        <v xml:space="preserve">http://slimages.macys.com/is/image/MCY/11952649 </v>
      </c>
    </row>
    <row r="53" spans="1:13" ht="60" x14ac:dyDescent="0.25">
      <c r="A53" s="7" t="s">
        <v>9875</v>
      </c>
      <c r="B53" s="2" t="s">
        <v>9350</v>
      </c>
      <c r="C53" s="4">
        <v>1</v>
      </c>
      <c r="D53" s="5">
        <v>12.25</v>
      </c>
      <c r="E53" s="5">
        <v>27.22</v>
      </c>
      <c r="F53" s="4" t="s">
        <v>9351</v>
      </c>
      <c r="G53" s="2" t="s">
        <v>62</v>
      </c>
      <c r="H53" s="7" t="s">
        <v>284</v>
      </c>
      <c r="I53" s="2" t="s">
        <v>700</v>
      </c>
      <c r="J53" s="2" t="s">
        <v>2123</v>
      </c>
      <c r="K53" s="2" t="s">
        <v>304</v>
      </c>
      <c r="L53" s="2" t="s">
        <v>119</v>
      </c>
      <c r="M53" s="8" t="str">
        <f>HYPERLINK("http://slimages.macys.com/is/image/MCY/12465334 ")</f>
        <v xml:space="preserve">http://slimages.macys.com/is/image/MCY/12465334 </v>
      </c>
    </row>
    <row r="54" spans="1:13" ht="60" x14ac:dyDescent="0.25">
      <c r="A54" s="7" t="s">
        <v>9876</v>
      </c>
      <c r="B54" s="2" t="s">
        <v>9877</v>
      </c>
      <c r="C54" s="4">
        <v>1</v>
      </c>
      <c r="D54" s="5">
        <v>11.8</v>
      </c>
      <c r="E54" s="5">
        <v>29.99</v>
      </c>
      <c r="F54" s="4" t="s">
        <v>9878</v>
      </c>
      <c r="G54" s="2" t="s">
        <v>62</v>
      </c>
      <c r="H54" s="7" t="s">
        <v>159</v>
      </c>
      <c r="I54" s="2" t="s">
        <v>218</v>
      </c>
      <c r="J54" s="2" t="s">
        <v>219</v>
      </c>
      <c r="K54" s="2" t="s">
        <v>304</v>
      </c>
      <c r="L54" s="2" t="s">
        <v>358</v>
      </c>
      <c r="M54" s="8" t="str">
        <f>HYPERLINK("http://slimages.macys.com/is/image/MCY/10169607 ")</f>
        <v xml:space="preserve">http://slimages.macys.com/is/image/MCY/10169607 </v>
      </c>
    </row>
    <row r="55" spans="1:13" ht="60" x14ac:dyDescent="0.25">
      <c r="A55" s="7" t="s">
        <v>9879</v>
      </c>
      <c r="B55" s="2" t="s">
        <v>4824</v>
      </c>
      <c r="C55" s="4">
        <v>1</v>
      </c>
      <c r="D55" s="5">
        <v>11.75</v>
      </c>
      <c r="E55" s="5">
        <v>28.99</v>
      </c>
      <c r="F55" s="4" t="s">
        <v>4825</v>
      </c>
      <c r="G55" s="2" t="s">
        <v>129</v>
      </c>
      <c r="H55" s="7" t="s">
        <v>228</v>
      </c>
      <c r="I55" s="2" t="s">
        <v>321</v>
      </c>
      <c r="J55" s="2" t="s">
        <v>3099</v>
      </c>
      <c r="K55" s="2" t="s">
        <v>304</v>
      </c>
      <c r="L55" s="2" t="s">
        <v>125</v>
      </c>
      <c r="M55" s="8" t="str">
        <f>HYPERLINK("http://slimages.macys.com/is/image/MCY/11641256 ")</f>
        <v xml:space="preserve">http://slimages.macys.com/is/image/MCY/11641256 </v>
      </c>
    </row>
    <row r="56" spans="1:13" ht="60" x14ac:dyDescent="0.25">
      <c r="A56" s="7" t="s">
        <v>4823</v>
      </c>
      <c r="B56" s="2" t="s">
        <v>4824</v>
      </c>
      <c r="C56" s="4">
        <v>1</v>
      </c>
      <c r="D56" s="5">
        <v>11.75</v>
      </c>
      <c r="E56" s="5">
        <v>28.99</v>
      </c>
      <c r="F56" s="4" t="s">
        <v>4825</v>
      </c>
      <c r="G56" s="2" t="s">
        <v>129</v>
      </c>
      <c r="H56" s="7" t="s">
        <v>159</v>
      </c>
      <c r="I56" s="2" t="s">
        <v>321</v>
      </c>
      <c r="J56" s="2" t="s">
        <v>3099</v>
      </c>
      <c r="K56" s="2" t="s">
        <v>304</v>
      </c>
      <c r="L56" s="2" t="s">
        <v>125</v>
      </c>
      <c r="M56" s="8" t="str">
        <f>HYPERLINK("http://slimages.macys.com/is/image/MCY/11641256 ")</f>
        <v xml:space="preserve">http://slimages.macys.com/is/image/MCY/11641256 </v>
      </c>
    </row>
    <row r="57" spans="1:13" ht="60" x14ac:dyDescent="0.25">
      <c r="A57" s="7" t="s">
        <v>9880</v>
      </c>
      <c r="B57" s="2" t="s">
        <v>3097</v>
      </c>
      <c r="C57" s="4">
        <v>1</v>
      </c>
      <c r="D57" s="5">
        <v>11.75</v>
      </c>
      <c r="E57" s="5">
        <v>28.99</v>
      </c>
      <c r="F57" s="4" t="s">
        <v>3098</v>
      </c>
      <c r="G57" s="2" t="s">
        <v>1747</v>
      </c>
      <c r="H57" s="7" t="s">
        <v>159</v>
      </c>
      <c r="I57" s="2" t="s">
        <v>321</v>
      </c>
      <c r="J57" s="2" t="s">
        <v>3099</v>
      </c>
      <c r="K57" s="2" t="s">
        <v>304</v>
      </c>
      <c r="L57" s="2" t="s">
        <v>125</v>
      </c>
      <c r="M57" s="8" t="str">
        <f>HYPERLINK("http://slimages.macys.com/is/image/MCY/11641610 ")</f>
        <v xml:space="preserve">http://slimages.macys.com/is/image/MCY/11641610 </v>
      </c>
    </row>
    <row r="58" spans="1:13" ht="60" x14ac:dyDescent="0.25">
      <c r="A58" s="7" t="s">
        <v>9881</v>
      </c>
      <c r="B58" s="2" t="s">
        <v>9882</v>
      </c>
      <c r="C58" s="4">
        <v>1</v>
      </c>
      <c r="D58" s="5">
        <v>11.5</v>
      </c>
      <c r="E58" s="5">
        <v>28.99</v>
      </c>
      <c r="F58" s="4" t="s">
        <v>9883</v>
      </c>
      <c r="G58" s="2" t="s">
        <v>41</v>
      </c>
      <c r="H58" s="7" t="s">
        <v>159</v>
      </c>
      <c r="I58" s="2" t="s">
        <v>321</v>
      </c>
      <c r="J58" s="2" t="s">
        <v>3099</v>
      </c>
      <c r="K58" s="2" t="s">
        <v>304</v>
      </c>
      <c r="L58" s="2" t="s">
        <v>323</v>
      </c>
      <c r="M58" s="8" t="str">
        <f>HYPERLINK("http://slimages.macys.com/is/image/MCY/11641582 ")</f>
        <v xml:space="preserve">http://slimages.macys.com/is/image/MCY/11641582 </v>
      </c>
    </row>
    <row r="59" spans="1:13" ht="60" x14ac:dyDescent="0.25">
      <c r="A59" s="7" t="s">
        <v>225</v>
      </c>
      <c r="B59" s="2" t="s">
        <v>226</v>
      </c>
      <c r="C59" s="4">
        <v>1</v>
      </c>
      <c r="D59" s="5">
        <v>11.5</v>
      </c>
      <c r="E59" s="5">
        <v>25.99</v>
      </c>
      <c r="F59" s="4" t="s">
        <v>227</v>
      </c>
      <c r="G59" s="2" t="s">
        <v>62</v>
      </c>
      <c r="H59" s="7" t="s">
        <v>228</v>
      </c>
      <c r="I59" s="2" t="s">
        <v>73</v>
      </c>
      <c r="J59" s="2" t="s">
        <v>223</v>
      </c>
      <c r="K59" s="2" t="s">
        <v>304</v>
      </c>
      <c r="L59" s="2" t="s">
        <v>125</v>
      </c>
      <c r="M59" s="8" t="str">
        <f>HYPERLINK("http://slimages.macys.com/is/image/MCY/11435504 ")</f>
        <v xml:space="preserve">http://slimages.macys.com/is/image/MCY/11435504 </v>
      </c>
    </row>
    <row r="60" spans="1:13" ht="60" x14ac:dyDescent="0.25">
      <c r="A60" s="7" t="s">
        <v>6757</v>
      </c>
      <c r="B60" s="2" t="s">
        <v>6755</v>
      </c>
      <c r="C60" s="4">
        <v>1</v>
      </c>
      <c r="D60" s="5">
        <v>11.5</v>
      </c>
      <c r="E60" s="5">
        <v>32.99</v>
      </c>
      <c r="F60" s="4" t="s">
        <v>6756</v>
      </c>
      <c r="G60" s="2" t="s">
        <v>62</v>
      </c>
      <c r="H60" s="7" t="s">
        <v>217</v>
      </c>
      <c r="I60" s="2" t="s">
        <v>218</v>
      </c>
      <c r="J60" s="2" t="s">
        <v>1740</v>
      </c>
      <c r="K60" s="2" t="s">
        <v>304</v>
      </c>
      <c r="L60" s="2" t="s">
        <v>2469</v>
      </c>
      <c r="M60" s="8" t="str">
        <f>HYPERLINK("http://slimages.macys.com/is/image/MCY/11946903 ")</f>
        <v xml:space="preserve">http://slimages.macys.com/is/image/MCY/11946903 </v>
      </c>
    </row>
    <row r="61" spans="1:13" ht="60" x14ac:dyDescent="0.25">
      <c r="A61" s="7" t="s">
        <v>9884</v>
      </c>
      <c r="B61" s="2" t="s">
        <v>9885</v>
      </c>
      <c r="C61" s="4">
        <v>1</v>
      </c>
      <c r="D61" s="5">
        <v>11.5</v>
      </c>
      <c r="E61" s="5">
        <v>25.99</v>
      </c>
      <c r="F61" s="4" t="s">
        <v>9886</v>
      </c>
      <c r="G61" s="2" t="s">
        <v>79</v>
      </c>
      <c r="H61" s="7" t="s">
        <v>228</v>
      </c>
      <c r="I61" s="2" t="s">
        <v>80</v>
      </c>
      <c r="J61" s="2" t="s">
        <v>694</v>
      </c>
      <c r="K61" s="2" t="s">
        <v>304</v>
      </c>
      <c r="L61" s="2" t="s">
        <v>125</v>
      </c>
      <c r="M61" s="8" t="str">
        <f>HYPERLINK("http://slimages.macys.com/is/image/MCY/12226818 ")</f>
        <v xml:space="preserve">http://slimages.macys.com/is/image/MCY/12226818 </v>
      </c>
    </row>
    <row r="62" spans="1:13" ht="60" x14ac:dyDescent="0.25">
      <c r="A62" s="7" t="s">
        <v>9887</v>
      </c>
      <c r="B62" s="2" t="s">
        <v>9888</v>
      </c>
      <c r="C62" s="4">
        <v>1</v>
      </c>
      <c r="D62" s="5">
        <v>11.4</v>
      </c>
      <c r="E62" s="5">
        <v>27.99</v>
      </c>
      <c r="F62" s="4" t="s">
        <v>4832</v>
      </c>
      <c r="G62" s="2" t="s">
        <v>698</v>
      </c>
      <c r="H62" s="7" t="s">
        <v>228</v>
      </c>
      <c r="I62" s="2" t="s">
        <v>321</v>
      </c>
      <c r="J62" s="2" t="s">
        <v>4833</v>
      </c>
      <c r="K62" s="2" t="s">
        <v>304</v>
      </c>
      <c r="L62" s="2" t="s">
        <v>3634</v>
      </c>
      <c r="M62" s="8" t="str">
        <f>HYPERLINK("http://slimages.macys.com/is/image/MCY/10944802 ")</f>
        <v xml:space="preserve">http://slimages.macys.com/is/image/MCY/10944802 </v>
      </c>
    </row>
    <row r="63" spans="1:13" ht="60" x14ac:dyDescent="0.25">
      <c r="A63" s="7" t="s">
        <v>9889</v>
      </c>
      <c r="B63" s="2" t="s">
        <v>795</v>
      </c>
      <c r="C63" s="4">
        <v>1</v>
      </c>
      <c r="D63" s="5">
        <v>11.4</v>
      </c>
      <c r="E63" s="5">
        <v>28.5</v>
      </c>
      <c r="F63" s="4" t="s">
        <v>796</v>
      </c>
      <c r="G63" s="2" t="s">
        <v>86</v>
      </c>
      <c r="H63" s="7"/>
      <c r="I63" s="2" t="s">
        <v>98</v>
      </c>
      <c r="J63" s="2" t="s">
        <v>99</v>
      </c>
      <c r="K63" s="2" t="s">
        <v>304</v>
      </c>
      <c r="L63" s="2" t="s">
        <v>119</v>
      </c>
      <c r="M63" s="8" t="str">
        <f>HYPERLINK("http://slimages.macys.com/is/image/MCY/14384600 ")</f>
        <v xml:space="preserve">http://slimages.macys.com/is/image/MCY/14384600 </v>
      </c>
    </row>
    <row r="64" spans="1:13" ht="60" x14ac:dyDescent="0.25">
      <c r="A64" s="7" t="s">
        <v>9890</v>
      </c>
      <c r="B64" s="2" t="s">
        <v>203</v>
      </c>
      <c r="C64" s="4">
        <v>1</v>
      </c>
      <c r="D64" s="5">
        <v>11.25</v>
      </c>
      <c r="E64" s="5">
        <v>25</v>
      </c>
      <c r="F64" s="4">
        <v>323767900002</v>
      </c>
      <c r="G64" s="2" t="s">
        <v>41</v>
      </c>
      <c r="H64" s="7" t="s">
        <v>228</v>
      </c>
      <c r="I64" s="2" t="s">
        <v>204</v>
      </c>
      <c r="J64" s="2" t="s">
        <v>205</v>
      </c>
      <c r="K64" s="2" t="s">
        <v>304</v>
      </c>
      <c r="L64" s="2" t="s">
        <v>206</v>
      </c>
      <c r="M64" s="8" t="str">
        <f>HYPERLINK("http://slimages.macys.com/is/image/MCY/13745806 ")</f>
        <v xml:space="preserve">http://slimages.macys.com/is/image/MCY/13745806 </v>
      </c>
    </row>
    <row r="65" spans="1:13" ht="60" x14ac:dyDescent="0.25">
      <c r="A65" s="7" t="s">
        <v>9891</v>
      </c>
      <c r="B65" s="2" t="s">
        <v>1583</v>
      </c>
      <c r="C65" s="4">
        <v>1</v>
      </c>
      <c r="D65" s="5">
        <v>11.12</v>
      </c>
      <c r="E65" s="5">
        <v>22.99</v>
      </c>
      <c r="F65" s="4" t="s">
        <v>1584</v>
      </c>
      <c r="G65" s="2" t="s">
        <v>643</v>
      </c>
      <c r="H65" s="7" t="s">
        <v>196</v>
      </c>
      <c r="I65" s="2" t="s">
        <v>73</v>
      </c>
      <c r="J65" s="2" t="s">
        <v>160</v>
      </c>
      <c r="K65" s="2" t="s">
        <v>304</v>
      </c>
      <c r="L65" s="2" t="s">
        <v>125</v>
      </c>
      <c r="M65" s="8" t="str">
        <f>HYPERLINK("http://slimages.macys.com/is/image/MCY/12874624 ")</f>
        <v xml:space="preserve">http://slimages.macys.com/is/image/MCY/12874624 </v>
      </c>
    </row>
    <row r="66" spans="1:13" ht="60" x14ac:dyDescent="0.25">
      <c r="A66" s="7" t="s">
        <v>9369</v>
      </c>
      <c r="B66" s="2" t="s">
        <v>1583</v>
      </c>
      <c r="C66" s="4">
        <v>2</v>
      </c>
      <c r="D66" s="5">
        <v>11.12</v>
      </c>
      <c r="E66" s="5">
        <v>22.99</v>
      </c>
      <c r="F66" s="4" t="s">
        <v>1584</v>
      </c>
      <c r="G66" s="2" t="s">
        <v>643</v>
      </c>
      <c r="H66" s="7" t="s">
        <v>159</v>
      </c>
      <c r="I66" s="2" t="s">
        <v>73</v>
      </c>
      <c r="J66" s="2" t="s">
        <v>160</v>
      </c>
      <c r="K66" s="2" t="s">
        <v>304</v>
      </c>
      <c r="L66" s="2" t="s">
        <v>125</v>
      </c>
      <c r="M66" s="8" t="str">
        <f>HYPERLINK("http://slimages.macys.com/is/image/MCY/12874624 ")</f>
        <v xml:space="preserve">http://slimages.macys.com/is/image/MCY/12874624 </v>
      </c>
    </row>
    <row r="67" spans="1:13" ht="60" x14ac:dyDescent="0.25">
      <c r="A67" s="7" t="s">
        <v>9892</v>
      </c>
      <c r="B67" s="2" t="s">
        <v>9893</v>
      </c>
      <c r="C67" s="4">
        <v>1</v>
      </c>
      <c r="D67" s="5">
        <v>11.12</v>
      </c>
      <c r="E67" s="5">
        <v>22.99</v>
      </c>
      <c r="F67" s="4" t="s">
        <v>9894</v>
      </c>
      <c r="G67" s="2" t="s">
        <v>41</v>
      </c>
      <c r="H67" s="7" t="s">
        <v>284</v>
      </c>
      <c r="I67" s="2" t="s">
        <v>80</v>
      </c>
      <c r="J67" s="2" t="s">
        <v>160</v>
      </c>
      <c r="K67" s="2" t="s">
        <v>304</v>
      </c>
      <c r="L67" s="2" t="s">
        <v>125</v>
      </c>
      <c r="M67" s="8" t="str">
        <f>HYPERLINK("http://slimages.macys.com/is/image/MCY/12225579 ")</f>
        <v xml:space="preserve">http://slimages.macys.com/is/image/MCY/12225579 </v>
      </c>
    </row>
    <row r="68" spans="1:13" ht="72" x14ac:dyDescent="0.25">
      <c r="A68" s="7" t="s">
        <v>8712</v>
      </c>
      <c r="B68" s="2" t="s">
        <v>8709</v>
      </c>
      <c r="C68" s="4">
        <v>1</v>
      </c>
      <c r="D68" s="5">
        <v>11.03</v>
      </c>
      <c r="E68" s="5">
        <v>29.99</v>
      </c>
      <c r="F68" s="4" t="s">
        <v>8710</v>
      </c>
      <c r="G68" s="2" t="s">
        <v>28</v>
      </c>
      <c r="H68" s="7" t="s">
        <v>172</v>
      </c>
      <c r="I68" s="2" t="s">
        <v>389</v>
      </c>
      <c r="J68" s="2" t="s">
        <v>354</v>
      </c>
      <c r="K68" s="2" t="s">
        <v>304</v>
      </c>
      <c r="L68" s="2" t="s">
        <v>8711</v>
      </c>
      <c r="M68" s="8" t="str">
        <f>HYPERLINK("http://slimages.macys.com/is/image/MCY/9932748 ")</f>
        <v xml:space="preserve">http://slimages.macys.com/is/image/MCY/9932748 </v>
      </c>
    </row>
    <row r="69" spans="1:13" ht="60" x14ac:dyDescent="0.25">
      <c r="A69" s="7" t="s">
        <v>9895</v>
      </c>
      <c r="B69" s="2" t="s">
        <v>9896</v>
      </c>
      <c r="C69" s="4">
        <v>1</v>
      </c>
      <c r="D69" s="5">
        <v>11</v>
      </c>
      <c r="E69" s="5">
        <v>28.99</v>
      </c>
      <c r="F69" s="4" t="s">
        <v>9897</v>
      </c>
      <c r="G69" s="2" t="s">
        <v>310</v>
      </c>
      <c r="H69" s="7" t="s">
        <v>144</v>
      </c>
      <c r="I69" s="2" t="s">
        <v>966</v>
      </c>
      <c r="J69" s="2" t="s">
        <v>5315</v>
      </c>
      <c r="K69" s="2" t="s">
        <v>304</v>
      </c>
      <c r="L69" s="2" t="s">
        <v>38</v>
      </c>
      <c r="M69" s="8" t="str">
        <f>HYPERLINK("http://slimages.macys.com/is/image/MCY/11965604 ")</f>
        <v xml:space="preserve">http://slimages.macys.com/is/image/MCY/11965604 </v>
      </c>
    </row>
    <row r="70" spans="1:13" ht="60" x14ac:dyDescent="0.25">
      <c r="A70" s="7" t="s">
        <v>7381</v>
      </c>
      <c r="B70" s="2" t="s">
        <v>3760</v>
      </c>
      <c r="C70" s="4">
        <v>1</v>
      </c>
      <c r="D70" s="5">
        <v>10.79</v>
      </c>
      <c r="E70" s="5">
        <v>27.99</v>
      </c>
      <c r="F70" s="4" t="s">
        <v>7382</v>
      </c>
      <c r="G70" s="2" t="s">
        <v>353</v>
      </c>
      <c r="H70" s="7" t="s">
        <v>196</v>
      </c>
      <c r="I70" s="2" t="s">
        <v>515</v>
      </c>
      <c r="J70" s="2" t="s">
        <v>1971</v>
      </c>
      <c r="K70" s="2" t="s">
        <v>304</v>
      </c>
      <c r="L70" s="2" t="s">
        <v>125</v>
      </c>
      <c r="M70" s="8" t="str">
        <f>HYPERLINK("http://slimages.macys.com/is/image/MCY/12687227 ")</f>
        <v xml:space="preserve">http://slimages.macys.com/is/image/MCY/12687227 </v>
      </c>
    </row>
    <row r="71" spans="1:13" ht="108" x14ac:dyDescent="0.25">
      <c r="A71" s="7" t="s">
        <v>9898</v>
      </c>
      <c r="B71" s="2" t="s">
        <v>9899</v>
      </c>
      <c r="C71" s="4">
        <v>1</v>
      </c>
      <c r="D71" s="5">
        <v>10.75</v>
      </c>
      <c r="E71" s="5">
        <v>27.99</v>
      </c>
      <c r="F71" s="4" t="s">
        <v>9900</v>
      </c>
      <c r="G71" s="2" t="s">
        <v>262</v>
      </c>
      <c r="H71" s="7" t="s">
        <v>166</v>
      </c>
      <c r="I71" s="2" t="s">
        <v>80</v>
      </c>
      <c r="J71" s="2" t="s">
        <v>167</v>
      </c>
      <c r="K71" s="2" t="s">
        <v>304</v>
      </c>
      <c r="L71" s="2" t="s">
        <v>9901</v>
      </c>
      <c r="M71" s="8" t="str">
        <f>HYPERLINK("http://slimages.macys.com/is/image/MCY/12793918 ")</f>
        <v xml:space="preserve">http://slimages.macys.com/is/image/MCY/12793918 </v>
      </c>
    </row>
    <row r="72" spans="1:13" ht="60" x14ac:dyDescent="0.25">
      <c r="A72" s="7" t="s">
        <v>9902</v>
      </c>
      <c r="B72" s="2" t="s">
        <v>9903</v>
      </c>
      <c r="C72" s="4">
        <v>1</v>
      </c>
      <c r="D72" s="5">
        <v>10.64</v>
      </c>
      <c r="E72" s="5">
        <v>28</v>
      </c>
      <c r="F72" s="4" t="s">
        <v>9904</v>
      </c>
      <c r="G72" s="2" t="s">
        <v>582</v>
      </c>
      <c r="H72" s="7" t="s">
        <v>5131</v>
      </c>
      <c r="I72" s="2" t="s">
        <v>700</v>
      </c>
      <c r="J72" s="2" t="s">
        <v>1475</v>
      </c>
      <c r="K72" s="2" t="s">
        <v>304</v>
      </c>
      <c r="L72" s="2" t="s">
        <v>38</v>
      </c>
      <c r="M72" s="8" t="str">
        <f>HYPERLINK("http://slimages.macys.com/is/image/MCY/13042600 ")</f>
        <v xml:space="preserve">http://slimages.macys.com/is/image/MCY/13042600 </v>
      </c>
    </row>
    <row r="73" spans="1:13" ht="60" x14ac:dyDescent="0.25">
      <c r="A73" s="7" t="s">
        <v>9905</v>
      </c>
      <c r="B73" s="2" t="s">
        <v>5262</v>
      </c>
      <c r="C73" s="4">
        <v>1</v>
      </c>
      <c r="D73" s="5">
        <v>10.6</v>
      </c>
      <c r="E73" s="5">
        <v>26.5</v>
      </c>
      <c r="F73" s="4" t="s">
        <v>5263</v>
      </c>
      <c r="G73" s="2" t="s">
        <v>62</v>
      </c>
      <c r="H73" s="7" t="s">
        <v>144</v>
      </c>
      <c r="I73" s="2" t="s">
        <v>690</v>
      </c>
      <c r="J73" s="2" t="s">
        <v>58</v>
      </c>
      <c r="K73" s="2" t="s">
        <v>304</v>
      </c>
      <c r="L73" s="2" t="s">
        <v>38</v>
      </c>
      <c r="M73" s="8" t="str">
        <f>HYPERLINK("http://slimages.macys.com/is/image/MCY/13787149 ")</f>
        <v xml:space="preserve">http://slimages.macys.com/is/image/MCY/13787149 </v>
      </c>
    </row>
    <row r="74" spans="1:13" ht="60" x14ac:dyDescent="0.25">
      <c r="A74" s="7" t="s">
        <v>9906</v>
      </c>
      <c r="B74" s="2" t="s">
        <v>843</v>
      </c>
      <c r="C74" s="4">
        <v>1</v>
      </c>
      <c r="D74" s="5">
        <v>10.57</v>
      </c>
      <c r="E74" s="5">
        <v>24.99</v>
      </c>
      <c r="F74" s="4" t="s">
        <v>5265</v>
      </c>
      <c r="G74" s="2" t="s">
        <v>36</v>
      </c>
      <c r="H74" s="7" t="s">
        <v>159</v>
      </c>
      <c r="I74" s="2" t="s">
        <v>515</v>
      </c>
      <c r="J74" s="2" t="s">
        <v>827</v>
      </c>
      <c r="K74" s="2" t="s">
        <v>304</v>
      </c>
      <c r="L74" s="2" t="s">
        <v>358</v>
      </c>
      <c r="M74" s="8" t="str">
        <f>HYPERLINK("http://slimages.macys.com/is/image/MCY/12687309 ")</f>
        <v xml:space="preserve">http://slimages.macys.com/is/image/MCY/12687309 </v>
      </c>
    </row>
    <row r="75" spans="1:13" ht="60" x14ac:dyDescent="0.25">
      <c r="A75" s="7" t="s">
        <v>9907</v>
      </c>
      <c r="B75" s="2" t="s">
        <v>9908</v>
      </c>
      <c r="C75" s="4">
        <v>1</v>
      </c>
      <c r="D75" s="5">
        <v>10.5</v>
      </c>
      <c r="E75" s="5">
        <v>25</v>
      </c>
      <c r="F75" s="4" t="s">
        <v>9909</v>
      </c>
      <c r="G75" s="2" t="s">
        <v>1265</v>
      </c>
      <c r="H75" s="7"/>
      <c r="I75" s="2" t="s">
        <v>73</v>
      </c>
      <c r="J75" s="2" t="s">
        <v>74</v>
      </c>
      <c r="K75" s="2" t="s">
        <v>304</v>
      </c>
      <c r="L75" s="2" t="s">
        <v>206</v>
      </c>
      <c r="M75" s="8" t="str">
        <f>HYPERLINK("http://slimages.macys.com/is/image/MCY/11949760 ")</f>
        <v xml:space="preserve">http://slimages.macys.com/is/image/MCY/11949760 </v>
      </c>
    </row>
    <row r="76" spans="1:13" ht="96" x14ac:dyDescent="0.25">
      <c r="A76" s="7" t="s">
        <v>9910</v>
      </c>
      <c r="B76" s="2" t="s">
        <v>3825</v>
      </c>
      <c r="C76" s="4">
        <v>1</v>
      </c>
      <c r="D76" s="5">
        <v>10.5</v>
      </c>
      <c r="E76" s="5">
        <v>26.5</v>
      </c>
      <c r="F76" s="4" t="s">
        <v>3833</v>
      </c>
      <c r="G76" s="2" t="s">
        <v>310</v>
      </c>
      <c r="H76" s="7" t="s">
        <v>311</v>
      </c>
      <c r="I76" s="2" t="s">
        <v>380</v>
      </c>
      <c r="J76" s="2" t="s">
        <v>99</v>
      </c>
      <c r="K76" s="2" t="s">
        <v>304</v>
      </c>
      <c r="L76" s="2" t="s">
        <v>3834</v>
      </c>
      <c r="M76" s="8" t="str">
        <f>HYPERLINK("http://slimages.macys.com/is/image/MCY/11446394 ")</f>
        <v xml:space="preserve">http://slimages.macys.com/is/image/MCY/11446394 </v>
      </c>
    </row>
    <row r="77" spans="1:13" ht="60" x14ac:dyDescent="0.25">
      <c r="A77" s="7" t="s">
        <v>820</v>
      </c>
      <c r="B77" s="2" t="s">
        <v>255</v>
      </c>
      <c r="C77" s="4">
        <v>3</v>
      </c>
      <c r="D77" s="5">
        <v>10.5</v>
      </c>
      <c r="E77" s="5">
        <v>24.99</v>
      </c>
      <c r="F77" s="4" t="s">
        <v>256</v>
      </c>
      <c r="G77" s="2" t="s">
        <v>262</v>
      </c>
      <c r="H77" s="7" t="s">
        <v>97</v>
      </c>
      <c r="I77" s="2" t="s">
        <v>257</v>
      </c>
      <c r="J77" s="2" t="s">
        <v>258</v>
      </c>
      <c r="K77" s="2" t="s">
        <v>304</v>
      </c>
      <c r="L77" s="2" t="s">
        <v>206</v>
      </c>
      <c r="M77" s="8" t="str">
        <f>HYPERLINK("http://slimages.macys.com/is/image/MCY/11722982 ")</f>
        <v xml:space="preserve">http://slimages.macys.com/is/image/MCY/11722982 </v>
      </c>
    </row>
    <row r="78" spans="1:13" ht="60" x14ac:dyDescent="0.25">
      <c r="A78" s="7" t="s">
        <v>5874</v>
      </c>
      <c r="B78" s="2" t="s">
        <v>255</v>
      </c>
      <c r="C78" s="4">
        <v>3</v>
      </c>
      <c r="D78" s="5">
        <v>10.5</v>
      </c>
      <c r="E78" s="5">
        <v>24.99</v>
      </c>
      <c r="F78" s="4" t="s">
        <v>256</v>
      </c>
      <c r="G78" s="2" t="s">
        <v>262</v>
      </c>
      <c r="H78" s="7" t="s">
        <v>172</v>
      </c>
      <c r="I78" s="2" t="s">
        <v>257</v>
      </c>
      <c r="J78" s="2" t="s">
        <v>258</v>
      </c>
      <c r="K78" s="2" t="s">
        <v>304</v>
      </c>
      <c r="L78" s="2" t="s">
        <v>206</v>
      </c>
      <c r="M78" s="8" t="str">
        <f>HYPERLINK("http://slimages.macys.com/is/image/MCY/11722983 ")</f>
        <v xml:space="preserve">http://slimages.macys.com/is/image/MCY/11722983 </v>
      </c>
    </row>
    <row r="79" spans="1:13" ht="60" x14ac:dyDescent="0.25">
      <c r="A79" s="7" t="s">
        <v>823</v>
      </c>
      <c r="B79" s="2" t="s">
        <v>255</v>
      </c>
      <c r="C79" s="4">
        <v>1</v>
      </c>
      <c r="D79" s="5">
        <v>10.5</v>
      </c>
      <c r="E79" s="5">
        <v>24.99</v>
      </c>
      <c r="F79" s="4" t="s">
        <v>256</v>
      </c>
      <c r="G79" s="2" t="s">
        <v>262</v>
      </c>
      <c r="H79" s="7" t="s">
        <v>56</v>
      </c>
      <c r="I79" s="2" t="s">
        <v>257</v>
      </c>
      <c r="J79" s="2" t="s">
        <v>258</v>
      </c>
      <c r="K79" s="2" t="s">
        <v>304</v>
      </c>
      <c r="L79" s="2" t="s">
        <v>206</v>
      </c>
      <c r="M79" s="8" t="str">
        <f>HYPERLINK("http://slimages.macys.com/is/image/MCY/11722982 ")</f>
        <v xml:space="preserve">http://slimages.macys.com/is/image/MCY/11722982 </v>
      </c>
    </row>
    <row r="80" spans="1:13" ht="60" x14ac:dyDescent="0.25">
      <c r="A80" s="7" t="s">
        <v>821</v>
      </c>
      <c r="B80" s="2" t="s">
        <v>255</v>
      </c>
      <c r="C80" s="4">
        <v>3</v>
      </c>
      <c r="D80" s="5">
        <v>10.5</v>
      </c>
      <c r="E80" s="5">
        <v>24.99</v>
      </c>
      <c r="F80" s="4" t="s">
        <v>256</v>
      </c>
      <c r="G80" s="2" t="s">
        <v>262</v>
      </c>
      <c r="H80" s="7" t="s">
        <v>177</v>
      </c>
      <c r="I80" s="2" t="s">
        <v>257</v>
      </c>
      <c r="J80" s="2" t="s">
        <v>258</v>
      </c>
      <c r="K80" s="2" t="s">
        <v>304</v>
      </c>
      <c r="L80" s="2" t="s">
        <v>206</v>
      </c>
      <c r="M80" s="8" t="str">
        <f>HYPERLINK("http://slimages.macys.com/is/image/MCY/11722982 ")</f>
        <v xml:space="preserve">http://slimages.macys.com/is/image/MCY/11722982 </v>
      </c>
    </row>
    <row r="81" spans="1:13" ht="60" x14ac:dyDescent="0.25">
      <c r="A81" s="7" t="s">
        <v>9911</v>
      </c>
      <c r="B81" s="2" t="s">
        <v>255</v>
      </c>
      <c r="C81" s="4">
        <v>2</v>
      </c>
      <c r="D81" s="5">
        <v>10.5</v>
      </c>
      <c r="E81" s="5">
        <v>24.99</v>
      </c>
      <c r="F81" s="4" t="s">
        <v>256</v>
      </c>
      <c r="G81" s="2" t="s">
        <v>262</v>
      </c>
      <c r="H81" s="7" t="s">
        <v>179</v>
      </c>
      <c r="I81" s="2" t="s">
        <v>257</v>
      </c>
      <c r="J81" s="2" t="s">
        <v>258</v>
      </c>
      <c r="K81" s="2" t="s">
        <v>304</v>
      </c>
      <c r="L81" s="2" t="s">
        <v>206</v>
      </c>
      <c r="M81" s="8" t="str">
        <f>HYPERLINK("http://slimages.macys.com/is/image/MCY/11722983 ")</f>
        <v xml:space="preserve">http://slimages.macys.com/is/image/MCY/11722983 </v>
      </c>
    </row>
    <row r="82" spans="1:13" ht="60" x14ac:dyDescent="0.25">
      <c r="A82" s="7" t="s">
        <v>9912</v>
      </c>
      <c r="B82" s="2" t="s">
        <v>255</v>
      </c>
      <c r="C82" s="4">
        <v>1</v>
      </c>
      <c r="D82" s="5">
        <v>10.5</v>
      </c>
      <c r="E82" s="5">
        <v>24.99</v>
      </c>
      <c r="F82" s="4" t="s">
        <v>256</v>
      </c>
      <c r="G82" s="2" t="s">
        <v>262</v>
      </c>
      <c r="H82" s="7" t="s">
        <v>179</v>
      </c>
      <c r="I82" s="2" t="s">
        <v>257</v>
      </c>
      <c r="J82" s="2" t="s">
        <v>258</v>
      </c>
      <c r="K82" s="2" t="s">
        <v>304</v>
      </c>
      <c r="L82" s="2" t="s">
        <v>206</v>
      </c>
      <c r="M82" s="8" t="str">
        <f>HYPERLINK("http://slimages.macys.com/is/image/MCY/11722982 ")</f>
        <v xml:space="preserve">http://slimages.macys.com/is/image/MCY/11722982 </v>
      </c>
    </row>
    <row r="83" spans="1:13" ht="60" x14ac:dyDescent="0.25">
      <c r="A83" s="7" t="s">
        <v>9913</v>
      </c>
      <c r="B83" s="2" t="s">
        <v>255</v>
      </c>
      <c r="C83" s="4">
        <v>1</v>
      </c>
      <c r="D83" s="5">
        <v>10.5</v>
      </c>
      <c r="E83" s="5">
        <v>24.99</v>
      </c>
      <c r="F83" s="4" t="s">
        <v>256</v>
      </c>
      <c r="G83" s="2" t="s">
        <v>262</v>
      </c>
      <c r="H83" s="7" t="s">
        <v>177</v>
      </c>
      <c r="I83" s="2" t="s">
        <v>257</v>
      </c>
      <c r="J83" s="2" t="s">
        <v>258</v>
      </c>
      <c r="K83" s="2" t="s">
        <v>304</v>
      </c>
      <c r="L83" s="2" t="s">
        <v>206</v>
      </c>
      <c r="M83" s="8" t="str">
        <f>HYPERLINK("http://slimages.macys.com/is/image/MCY/11722983 ")</f>
        <v xml:space="preserve">http://slimages.macys.com/is/image/MCY/11722983 </v>
      </c>
    </row>
    <row r="84" spans="1:13" ht="60" x14ac:dyDescent="0.25">
      <c r="A84" s="7" t="s">
        <v>6776</v>
      </c>
      <c r="B84" s="2" t="s">
        <v>255</v>
      </c>
      <c r="C84" s="4">
        <v>5</v>
      </c>
      <c r="D84" s="5">
        <v>10.5</v>
      </c>
      <c r="E84" s="5">
        <v>24.99</v>
      </c>
      <c r="F84" s="4" t="s">
        <v>256</v>
      </c>
      <c r="G84" s="2" t="s">
        <v>262</v>
      </c>
      <c r="H84" s="7" t="s">
        <v>97</v>
      </c>
      <c r="I84" s="2" t="s">
        <v>257</v>
      </c>
      <c r="J84" s="2" t="s">
        <v>258</v>
      </c>
      <c r="K84" s="2" t="s">
        <v>304</v>
      </c>
      <c r="L84" s="2" t="s">
        <v>206</v>
      </c>
      <c r="M84" s="8" t="str">
        <f>HYPERLINK("http://slimages.macys.com/is/image/MCY/11722983 ")</f>
        <v xml:space="preserve">http://slimages.macys.com/is/image/MCY/11722983 </v>
      </c>
    </row>
    <row r="85" spans="1:13" ht="60" x14ac:dyDescent="0.25">
      <c r="A85" s="7" t="s">
        <v>819</v>
      </c>
      <c r="B85" s="2" t="s">
        <v>255</v>
      </c>
      <c r="C85" s="4">
        <v>3</v>
      </c>
      <c r="D85" s="5">
        <v>10.5</v>
      </c>
      <c r="E85" s="5">
        <v>24.99</v>
      </c>
      <c r="F85" s="4" t="s">
        <v>256</v>
      </c>
      <c r="G85" s="2" t="s">
        <v>262</v>
      </c>
      <c r="H85" s="7" t="s">
        <v>172</v>
      </c>
      <c r="I85" s="2" t="s">
        <v>257</v>
      </c>
      <c r="J85" s="2" t="s">
        <v>258</v>
      </c>
      <c r="K85" s="2" t="s">
        <v>304</v>
      </c>
      <c r="L85" s="2" t="s">
        <v>206</v>
      </c>
      <c r="M85" s="8" t="str">
        <f>HYPERLINK("http://slimages.macys.com/is/image/MCY/11722982 ")</f>
        <v xml:space="preserve">http://slimages.macys.com/is/image/MCY/11722982 </v>
      </c>
    </row>
    <row r="86" spans="1:13" ht="96" x14ac:dyDescent="0.25">
      <c r="A86" s="7" t="s">
        <v>5276</v>
      </c>
      <c r="B86" s="2" t="s">
        <v>3825</v>
      </c>
      <c r="C86" s="4">
        <v>1</v>
      </c>
      <c r="D86" s="5">
        <v>10.5</v>
      </c>
      <c r="E86" s="5">
        <v>26.5</v>
      </c>
      <c r="F86" s="4" t="s">
        <v>5277</v>
      </c>
      <c r="G86" s="2" t="s">
        <v>310</v>
      </c>
      <c r="H86" s="7" t="s">
        <v>311</v>
      </c>
      <c r="I86" s="2" t="s">
        <v>380</v>
      </c>
      <c r="J86" s="2" t="s">
        <v>99</v>
      </c>
      <c r="K86" s="2" t="s">
        <v>304</v>
      </c>
      <c r="L86" s="2" t="s">
        <v>3834</v>
      </c>
      <c r="M86" s="8" t="str">
        <f>HYPERLINK("http://slimages.macys.com/is/image/MCY/11451852 ")</f>
        <v xml:space="preserve">http://slimages.macys.com/is/image/MCY/11451852 </v>
      </c>
    </row>
    <row r="87" spans="1:13" ht="60" x14ac:dyDescent="0.25">
      <c r="A87" s="7" t="s">
        <v>7389</v>
      </c>
      <c r="B87" s="2" t="s">
        <v>255</v>
      </c>
      <c r="C87" s="4">
        <v>1</v>
      </c>
      <c r="D87" s="5">
        <v>10.5</v>
      </c>
      <c r="E87" s="5">
        <v>24.99</v>
      </c>
      <c r="F87" s="4" t="s">
        <v>256</v>
      </c>
      <c r="G87" s="2" t="s">
        <v>262</v>
      </c>
      <c r="H87" s="7" t="s">
        <v>2740</v>
      </c>
      <c r="I87" s="2" t="s">
        <v>257</v>
      </c>
      <c r="J87" s="2" t="s">
        <v>258</v>
      </c>
      <c r="K87" s="2" t="s">
        <v>304</v>
      </c>
      <c r="L87" s="2" t="s">
        <v>206</v>
      </c>
      <c r="M87" s="8" t="str">
        <f>HYPERLINK("http://slimages.macys.com/is/image/MCY/11722982 ")</f>
        <v xml:space="preserve">http://slimages.macys.com/is/image/MCY/11722982 </v>
      </c>
    </row>
    <row r="88" spans="1:13" ht="60" x14ac:dyDescent="0.25">
      <c r="A88" s="7" t="s">
        <v>9914</v>
      </c>
      <c r="B88" s="2" t="s">
        <v>9915</v>
      </c>
      <c r="C88" s="4">
        <v>1</v>
      </c>
      <c r="D88" s="5">
        <v>10.5</v>
      </c>
      <c r="E88" s="5">
        <v>24.99</v>
      </c>
      <c r="F88" s="4" t="s">
        <v>9916</v>
      </c>
      <c r="G88" s="2" t="s">
        <v>62</v>
      </c>
      <c r="H88" s="7" t="s">
        <v>217</v>
      </c>
      <c r="I88" s="2" t="s">
        <v>468</v>
      </c>
      <c r="J88" s="2" t="s">
        <v>469</v>
      </c>
      <c r="K88" s="2" t="s">
        <v>304</v>
      </c>
      <c r="L88" s="2" t="s">
        <v>119</v>
      </c>
      <c r="M88" s="8" t="str">
        <f>HYPERLINK("http://slimages.macys.com/is/image/MCY/9996166 ")</f>
        <v xml:space="preserve">http://slimages.macys.com/is/image/MCY/9996166 </v>
      </c>
    </row>
    <row r="89" spans="1:13" ht="60" x14ac:dyDescent="0.25">
      <c r="A89" s="7" t="s">
        <v>6775</v>
      </c>
      <c r="B89" s="2" t="s">
        <v>255</v>
      </c>
      <c r="C89" s="4">
        <v>2</v>
      </c>
      <c r="D89" s="5">
        <v>10.5</v>
      </c>
      <c r="E89" s="5">
        <v>24.99</v>
      </c>
      <c r="F89" s="4" t="s">
        <v>256</v>
      </c>
      <c r="G89" s="2" t="s">
        <v>262</v>
      </c>
      <c r="H89" s="7" t="s">
        <v>1411</v>
      </c>
      <c r="I89" s="2" t="s">
        <v>257</v>
      </c>
      <c r="J89" s="2" t="s">
        <v>258</v>
      </c>
      <c r="K89" s="2" t="s">
        <v>304</v>
      </c>
      <c r="L89" s="2" t="s">
        <v>206</v>
      </c>
      <c r="M89" s="8" t="str">
        <f>HYPERLINK("http://slimages.macys.com/is/image/MCY/11722982 ")</f>
        <v xml:space="preserve">http://slimages.macys.com/is/image/MCY/11722982 </v>
      </c>
    </row>
    <row r="90" spans="1:13" ht="60" x14ac:dyDescent="0.25">
      <c r="A90" s="7" t="s">
        <v>6778</v>
      </c>
      <c r="B90" s="2" t="s">
        <v>6779</v>
      </c>
      <c r="C90" s="4">
        <v>1</v>
      </c>
      <c r="D90" s="5">
        <v>10.45</v>
      </c>
      <c r="E90" s="5">
        <v>28.99</v>
      </c>
      <c r="F90" s="4" t="s">
        <v>6780</v>
      </c>
      <c r="G90" s="2" t="s">
        <v>310</v>
      </c>
      <c r="H90" s="7" t="s">
        <v>317</v>
      </c>
      <c r="I90" s="2" t="s">
        <v>312</v>
      </c>
      <c r="J90" s="2" t="s">
        <v>1618</v>
      </c>
      <c r="K90" s="2" t="s">
        <v>304</v>
      </c>
      <c r="L90" s="2" t="s">
        <v>38</v>
      </c>
      <c r="M90" s="8" t="str">
        <f>HYPERLINK("http://slimages.macys.com/is/image/MCY/12291161 ")</f>
        <v xml:space="preserve">http://slimages.macys.com/is/image/MCY/12291161 </v>
      </c>
    </row>
    <row r="91" spans="1:13" ht="60" x14ac:dyDescent="0.25">
      <c r="A91" s="7" t="s">
        <v>3850</v>
      </c>
      <c r="B91" s="2" t="s">
        <v>1605</v>
      </c>
      <c r="C91" s="4">
        <v>1</v>
      </c>
      <c r="D91" s="5">
        <v>10.35</v>
      </c>
      <c r="E91" s="5">
        <v>24.99</v>
      </c>
      <c r="F91" s="4" t="s">
        <v>1606</v>
      </c>
      <c r="G91" s="2" t="s">
        <v>28</v>
      </c>
      <c r="H91" s="7" t="s">
        <v>196</v>
      </c>
      <c r="I91" s="2" t="s">
        <v>389</v>
      </c>
      <c r="J91" s="2" t="s">
        <v>354</v>
      </c>
      <c r="K91" s="2" t="s">
        <v>304</v>
      </c>
      <c r="L91" s="2" t="s">
        <v>1607</v>
      </c>
      <c r="M91" s="8" t="str">
        <f>HYPERLINK("http://slimages.macys.com/is/image/MCY/12000846 ")</f>
        <v xml:space="preserve">http://slimages.macys.com/is/image/MCY/12000846 </v>
      </c>
    </row>
    <row r="92" spans="1:13" ht="60" x14ac:dyDescent="0.25">
      <c r="A92" s="7" t="s">
        <v>3851</v>
      </c>
      <c r="B92" s="2" t="s">
        <v>3852</v>
      </c>
      <c r="C92" s="4">
        <v>1</v>
      </c>
      <c r="D92" s="5">
        <v>10.3</v>
      </c>
      <c r="E92" s="5">
        <v>25.05</v>
      </c>
      <c r="F92" s="4">
        <v>17986411</v>
      </c>
      <c r="G92" s="2"/>
      <c r="H92" s="7" t="s">
        <v>91</v>
      </c>
      <c r="I92" s="2" t="s">
        <v>153</v>
      </c>
      <c r="J92" s="2" t="s">
        <v>3580</v>
      </c>
      <c r="K92" s="2" t="s">
        <v>304</v>
      </c>
      <c r="L92" s="2" t="s">
        <v>206</v>
      </c>
      <c r="M92" s="8" t="str">
        <f>HYPERLINK("http://slimages.macys.com/is/image/MCY/13852926 ")</f>
        <v xml:space="preserve">http://slimages.macys.com/is/image/MCY/13852926 </v>
      </c>
    </row>
    <row r="93" spans="1:13" ht="60" x14ac:dyDescent="0.25">
      <c r="A93" s="7" t="s">
        <v>9917</v>
      </c>
      <c r="B93" s="2" t="s">
        <v>9918</v>
      </c>
      <c r="C93" s="4">
        <v>1</v>
      </c>
      <c r="D93" s="5">
        <v>10.25</v>
      </c>
      <c r="E93" s="5">
        <v>28.99</v>
      </c>
      <c r="F93" s="4" t="s">
        <v>9919</v>
      </c>
      <c r="G93" s="2" t="s">
        <v>310</v>
      </c>
      <c r="H93" s="7" t="s">
        <v>618</v>
      </c>
      <c r="I93" s="2" t="s">
        <v>312</v>
      </c>
      <c r="J93" s="2" t="s">
        <v>1618</v>
      </c>
      <c r="K93" s="2" t="s">
        <v>304</v>
      </c>
      <c r="L93" s="2" t="s">
        <v>206</v>
      </c>
      <c r="M93" s="8" t="str">
        <f>HYPERLINK("http://slimages.macys.com/is/image/MCY/12291146 ")</f>
        <v xml:space="preserve">http://slimages.macys.com/is/image/MCY/12291146 </v>
      </c>
    </row>
    <row r="94" spans="1:13" ht="60" x14ac:dyDescent="0.25">
      <c r="A94" s="7" t="s">
        <v>6782</v>
      </c>
      <c r="B94" s="2" t="s">
        <v>4847</v>
      </c>
      <c r="C94" s="4">
        <v>2</v>
      </c>
      <c r="D94" s="5">
        <v>10.09</v>
      </c>
      <c r="E94" s="5">
        <v>24.99</v>
      </c>
      <c r="F94" s="4" t="s">
        <v>4848</v>
      </c>
      <c r="G94" s="2" t="s">
        <v>62</v>
      </c>
      <c r="H94" s="7" t="s">
        <v>159</v>
      </c>
      <c r="I94" s="2" t="s">
        <v>218</v>
      </c>
      <c r="J94" s="2" t="s">
        <v>219</v>
      </c>
      <c r="K94" s="2" t="s">
        <v>304</v>
      </c>
      <c r="L94" s="2" t="s">
        <v>119</v>
      </c>
      <c r="M94" s="8" t="str">
        <f>HYPERLINK("http://slimages.macys.com/is/image/MCY/9275149 ")</f>
        <v xml:space="preserve">http://slimages.macys.com/is/image/MCY/9275149 </v>
      </c>
    </row>
    <row r="95" spans="1:13" ht="60" x14ac:dyDescent="0.25">
      <c r="A95" s="7" t="s">
        <v>9920</v>
      </c>
      <c r="B95" s="2" t="s">
        <v>4847</v>
      </c>
      <c r="C95" s="4">
        <v>2</v>
      </c>
      <c r="D95" s="5">
        <v>10.09</v>
      </c>
      <c r="E95" s="5">
        <v>24.99</v>
      </c>
      <c r="F95" s="4" t="s">
        <v>4848</v>
      </c>
      <c r="G95" s="2" t="s">
        <v>62</v>
      </c>
      <c r="H95" s="7" t="s">
        <v>217</v>
      </c>
      <c r="I95" s="2" t="s">
        <v>218</v>
      </c>
      <c r="J95" s="2" t="s">
        <v>219</v>
      </c>
      <c r="K95" s="2" t="s">
        <v>304</v>
      </c>
      <c r="L95" s="2" t="s">
        <v>119</v>
      </c>
      <c r="M95" s="8" t="str">
        <f>HYPERLINK("http://slimages.macys.com/is/image/MCY/9275149 ")</f>
        <v xml:space="preserve">http://slimages.macys.com/is/image/MCY/9275149 </v>
      </c>
    </row>
    <row r="96" spans="1:13" ht="60" x14ac:dyDescent="0.25">
      <c r="A96" s="7" t="s">
        <v>4846</v>
      </c>
      <c r="B96" s="2" t="s">
        <v>4847</v>
      </c>
      <c r="C96" s="4">
        <v>2</v>
      </c>
      <c r="D96" s="5">
        <v>10.09</v>
      </c>
      <c r="E96" s="5">
        <v>24.99</v>
      </c>
      <c r="F96" s="4" t="s">
        <v>4848</v>
      </c>
      <c r="G96" s="2" t="s">
        <v>62</v>
      </c>
      <c r="H96" s="7" t="s">
        <v>228</v>
      </c>
      <c r="I96" s="2" t="s">
        <v>218</v>
      </c>
      <c r="J96" s="2" t="s">
        <v>219</v>
      </c>
      <c r="K96" s="2" t="s">
        <v>304</v>
      </c>
      <c r="L96" s="2" t="s">
        <v>119</v>
      </c>
      <c r="M96" s="8" t="str">
        <f>HYPERLINK("http://slimages.macys.com/is/image/MCY/9275149 ")</f>
        <v xml:space="preserve">http://slimages.macys.com/is/image/MCY/9275149 </v>
      </c>
    </row>
    <row r="97" spans="1:13" ht="60" x14ac:dyDescent="0.25">
      <c r="A97" s="7" t="s">
        <v>9921</v>
      </c>
      <c r="B97" s="2" t="s">
        <v>9922</v>
      </c>
      <c r="C97" s="4">
        <v>1</v>
      </c>
      <c r="D97" s="5">
        <v>10.06</v>
      </c>
      <c r="E97" s="5">
        <v>22.99</v>
      </c>
      <c r="F97" s="4" t="s">
        <v>9923</v>
      </c>
      <c r="G97" s="2" t="s">
        <v>28</v>
      </c>
      <c r="H97" s="7" t="s">
        <v>311</v>
      </c>
      <c r="I97" s="2" t="s">
        <v>515</v>
      </c>
      <c r="J97" s="2" t="s">
        <v>516</v>
      </c>
      <c r="K97" s="2" t="s">
        <v>304</v>
      </c>
      <c r="L97" s="2" t="s">
        <v>358</v>
      </c>
      <c r="M97" s="8" t="str">
        <f>HYPERLINK("http://slimages.macys.com/is/image/MCY/11606079 ")</f>
        <v xml:space="preserve">http://slimages.macys.com/is/image/MCY/11606079 </v>
      </c>
    </row>
    <row r="98" spans="1:13" ht="60" x14ac:dyDescent="0.25">
      <c r="A98" s="7" t="s">
        <v>9924</v>
      </c>
      <c r="B98" s="2" t="s">
        <v>1620</v>
      </c>
      <c r="C98" s="4">
        <v>1</v>
      </c>
      <c r="D98" s="5">
        <v>10.06</v>
      </c>
      <c r="E98" s="5">
        <v>22.99</v>
      </c>
      <c r="F98" s="4" t="s">
        <v>1621</v>
      </c>
      <c r="G98" s="2" t="s">
        <v>171</v>
      </c>
      <c r="H98" s="7" t="s">
        <v>578</v>
      </c>
      <c r="I98" s="2" t="s">
        <v>515</v>
      </c>
      <c r="J98" s="2" t="s">
        <v>516</v>
      </c>
      <c r="K98" s="2" t="s">
        <v>304</v>
      </c>
      <c r="L98" s="2" t="s">
        <v>358</v>
      </c>
      <c r="M98" s="8" t="str">
        <f>HYPERLINK("http://slimages.macys.com/is/image/MCY/11606059 ")</f>
        <v xml:space="preserve">http://slimages.macys.com/is/image/MCY/11606059 </v>
      </c>
    </row>
    <row r="99" spans="1:13" ht="96" x14ac:dyDescent="0.25">
      <c r="A99" s="7" t="s">
        <v>8191</v>
      </c>
      <c r="B99" s="2" t="s">
        <v>3168</v>
      </c>
      <c r="C99" s="4">
        <v>1</v>
      </c>
      <c r="D99" s="5">
        <v>10</v>
      </c>
      <c r="E99" s="5">
        <v>22.99</v>
      </c>
      <c r="F99" s="4" t="s">
        <v>3169</v>
      </c>
      <c r="G99" s="2" t="s">
        <v>62</v>
      </c>
      <c r="H99" s="7" t="s">
        <v>284</v>
      </c>
      <c r="I99" s="2" t="s">
        <v>73</v>
      </c>
      <c r="J99" s="2" t="s">
        <v>223</v>
      </c>
      <c r="K99" s="2" t="s">
        <v>304</v>
      </c>
      <c r="L99" s="2" t="s">
        <v>3170</v>
      </c>
      <c r="M99" s="8" t="str">
        <f>HYPERLINK("http://slimages.macys.com/is/image/MCY/9275400 ")</f>
        <v xml:space="preserve">http://slimages.macys.com/is/image/MCY/9275400 </v>
      </c>
    </row>
    <row r="100" spans="1:13" ht="60" x14ac:dyDescent="0.25">
      <c r="A100" s="7" t="s">
        <v>9925</v>
      </c>
      <c r="B100" s="2" t="s">
        <v>8750</v>
      </c>
      <c r="C100" s="4">
        <v>2</v>
      </c>
      <c r="D100" s="5">
        <v>9.9</v>
      </c>
      <c r="E100" s="5">
        <v>22</v>
      </c>
      <c r="F100" s="4">
        <v>1305726</v>
      </c>
      <c r="G100" s="2" t="s">
        <v>62</v>
      </c>
      <c r="H100" s="7" t="s">
        <v>159</v>
      </c>
      <c r="I100" s="2" t="s">
        <v>73</v>
      </c>
      <c r="J100" s="2" t="s">
        <v>280</v>
      </c>
      <c r="K100" s="2" t="s">
        <v>304</v>
      </c>
      <c r="L100" s="2" t="s">
        <v>224</v>
      </c>
      <c r="M100" s="8" t="str">
        <f>HYPERLINK("http://slimages.macys.com/is/image/MCY/9254633 ")</f>
        <v xml:space="preserve">http://slimages.macys.com/is/image/MCY/9254633 </v>
      </c>
    </row>
    <row r="101" spans="1:13" ht="60" x14ac:dyDescent="0.25">
      <c r="A101" s="7" t="s">
        <v>9926</v>
      </c>
      <c r="B101" s="2" t="s">
        <v>8750</v>
      </c>
      <c r="C101" s="4">
        <v>1</v>
      </c>
      <c r="D101" s="5">
        <v>9.9</v>
      </c>
      <c r="E101" s="5">
        <v>22</v>
      </c>
      <c r="F101" s="4">
        <v>1305726</v>
      </c>
      <c r="G101" s="2" t="s">
        <v>62</v>
      </c>
      <c r="H101" s="7" t="s">
        <v>196</v>
      </c>
      <c r="I101" s="2" t="s">
        <v>73</v>
      </c>
      <c r="J101" s="2" t="s">
        <v>280</v>
      </c>
      <c r="K101" s="2" t="s">
        <v>304</v>
      </c>
      <c r="L101" s="2" t="s">
        <v>224</v>
      </c>
      <c r="M101" s="8" t="str">
        <f>HYPERLINK("http://slimages.macys.com/is/image/MCY/9254633 ")</f>
        <v xml:space="preserve">http://slimages.macys.com/is/image/MCY/9254633 </v>
      </c>
    </row>
    <row r="102" spans="1:13" ht="60" x14ac:dyDescent="0.25">
      <c r="A102" s="7" t="s">
        <v>9927</v>
      </c>
      <c r="B102" s="2" t="s">
        <v>8750</v>
      </c>
      <c r="C102" s="4">
        <v>1</v>
      </c>
      <c r="D102" s="5">
        <v>9.9</v>
      </c>
      <c r="E102" s="5">
        <v>22</v>
      </c>
      <c r="F102" s="4">
        <v>1305726</v>
      </c>
      <c r="G102" s="2" t="s">
        <v>62</v>
      </c>
      <c r="H102" s="7" t="s">
        <v>284</v>
      </c>
      <c r="I102" s="2" t="s">
        <v>73</v>
      </c>
      <c r="J102" s="2" t="s">
        <v>280</v>
      </c>
      <c r="K102" s="2" t="s">
        <v>304</v>
      </c>
      <c r="L102" s="2" t="s">
        <v>224</v>
      </c>
      <c r="M102" s="8" t="str">
        <f>HYPERLINK("http://slimages.macys.com/is/image/MCY/9254633 ")</f>
        <v xml:space="preserve">http://slimages.macys.com/is/image/MCY/9254633 </v>
      </c>
    </row>
    <row r="103" spans="1:13" ht="60" x14ac:dyDescent="0.25">
      <c r="A103" s="7" t="s">
        <v>9928</v>
      </c>
      <c r="B103" s="2" t="s">
        <v>4863</v>
      </c>
      <c r="C103" s="4">
        <v>1</v>
      </c>
      <c r="D103" s="5">
        <v>9.8000000000000007</v>
      </c>
      <c r="E103" s="5">
        <v>24.5</v>
      </c>
      <c r="F103" s="4" t="s">
        <v>4864</v>
      </c>
      <c r="G103" s="2" t="s">
        <v>698</v>
      </c>
      <c r="H103" s="7"/>
      <c r="I103" s="2" t="s">
        <v>57</v>
      </c>
      <c r="J103" s="2" t="s">
        <v>58</v>
      </c>
      <c r="K103" s="2" t="s">
        <v>304</v>
      </c>
      <c r="L103" s="2" t="s">
        <v>119</v>
      </c>
      <c r="M103" s="8" t="str">
        <f>HYPERLINK("http://slimages.macys.com/is/image/MCY/13815565 ")</f>
        <v xml:space="preserve">http://slimages.macys.com/is/image/MCY/13815565 </v>
      </c>
    </row>
    <row r="104" spans="1:13" ht="96" x14ac:dyDescent="0.25">
      <c r="A104" s="7" t="s">
        <v>9929</v>
      </c>
      <c r="B104" s="2" t="s">
        <v>9930</v>
      </c>
      <c r="C104" s="4">
        <v>1</v>
      </c>
      <c r="D104" s="5">
        <v>9.75</v>
      </c>
      <c r="E104" s="5">
        <v>24.99</v>
      </c>
      <c r="F104" s="4" t="s">
        <v>9931</v>
      </c>
      <c r="G104" s="2" t="s">
        <v>814</v>
      </c>
      <c r="H104" s="7" t="s">
        <v>172</v>
      </c>
      <c r="I104" s="2" t="s">
        <v>321</v>
      </c>
      <c r="J104" s="2" t="s">
        <v>1631</v>
      </c>
      <c r="K104" s="2" t="s">
        <v>304</v>
      </c>
      <c r="L104" s="2" t="s">
        <v>9932</v>
      </c>
      <c r="M104" s="8" t="str">
        <f>HYPERLINK("http://slimages.macys.com/is/image/MCY/11545159 ")</f>
        <v xml:space="preserve">http://slimages.macys.com/is/image/MCY/11545159 </v>
      </c>
    </row>
    <row r="105" spans="1:13" ht="84" x14ac:dyDescent="0.25">
      <c r="A105" s="7" t="s">
        <v>9933</v>
      </c>
      <c r="B105" s="2" t="s">
        <v>9394</v>
      </c>
      <c r="C105" s="4">
        <v>1</v>
      </c>
      <c r="D105" s="5">
        <v>9.75</v>
      </c>
      <c r="E105" s="5">
        <v>24.99</v>
      </c>
      <c r="F105" s="4" t="s">
        <v>9395</v>
      </c>
      <c r="G105" s="2" t="s">
        <v>667</v>
      </c>
      <c r="H105" s="7" t="s">
        <v>248</v>
      </c>
      <c r="I105" s="2" t="s">
        <v>321</v>
      </c>
      <c r="J105" s="2" t="s">
        <v>8764</v>
      </c>
      <c r="K105" s="2" t="s">
        <v>304</v>
      </c>
      <c r="L105" s="2" t="s">
        <v>1117</v>
      </c>
      <c r="M105" s="8" t="str">
        <f>HYPERLINK("http://slimages.macys.com/is/image/MCY/11724596 ")</f>
        <v xml:space="preserve">http://slimages.macys.com/is/image/MCY/11724596 </v>
      </c>
    </row>
    <row r="106" spans="1:13" ht="84" x14ac:dyDescent="0.25">
      <c r="A106" s="7" t="s">
        <v>9934</v>
      </c>
      <c r="B106" s="2" t="s">
        <v>8762</v>
      </c>
      <c r="C106" s="4">
        <v>1</v>
      </c>
      <c r="D106" s="5">
        <v>9.75</v>
      </c>
      <c r="E106" s="5">
        <v>24.99</v>
      </c>
      <c r="F106" s="4" t="s">
        <v>8763</v>
      </c>
      <c r="G106" s="2" t="s">
        <v>653</v>
      </c>
      <c r="H106" s="7" t="s">
        <v>266</v>
      </c>
      <c r="I106" s="2" t="s">
        <v>321</v>
      </c>
      <c r="J106" s="2" t="s">
        <v>8764</v>
      </c>
      <c r="K106" s="2" t="s">
        <v>304</v>
      </c>
      <c r="L106" s="2" t="s">
        <v>1117</v>
      </c>
      <c r="M106" s="8" t="str">
        <f>HYPERLINK("http://slimages.macys.com/is/image/MCY/11724581 ")</f>
        <v xml:space="preserve">http://slimages.macys.com/is/image/MCY/11724581 </v>
      </c>
    </row>
    <row r="107" spans="1:13" ht="96" x14ac:dyDescent="0.25">
      <c r="A107" s="7" t="s">
        <v>7400</v>
      </c>
      <c r="B107" s="2" t="s">
        <v>1629</v>
      </c>
      <c r="C107" s="4">
        <v>1</v>
      </c>
      <c r="D107" s="5">
        <v>9.75</v>
      </c>
      <c r="E107" s="5">
        <v>24.99</v>
      </c>
      <c r="F107" s="4" t="s">
        <v>1630</v>
      </c>
      <c r="G107" s="2" t="s">
        <v>41</v>
      </c>
      <c r="H107" s="7" t="s">
        <v>266</v>
      </c>
      <c r="I107" s="2" t="s">
        <v>321</v>
      </c>
      <c r="J107" s="2" t="s">
        <v>1631</v>
      </c>
      <c r="K107" s="2" t="s">
        <v>304</v>
      </c>
      <c r="L107" s="2" t="s">
        <v>1516</v>
      </c>
      <c r="M107" s="8" t="str">
        <f>HYPERLINK("http://slimages.macys.com/is/image/MCY/11545084 ")</f>
        <v xml:space="preserve">http://slimages.macys.com/is/image/MCY/11545084 </v>
      </c>
    </row>
    <row r="108" spans="1:13" ht="60" x14ac:dyDescent="0.25">
      <c r="A108" s="7" t="s">
        <v>9935</v>
      </c>
      <c r="B108" s="2" t="s">
        <v>9936</v>
      </c>
      <c r="C108" s="4">
        <v>1</v>
      </c>
      <c r="D108" s="5">
        <v>9.75</v>
      </c>
      <c r="E108" s="5">
        <v>24.99</v>
      </c>
      <c r="F108" s="4" t="s">
        <v>9937</v>
      </c>
      <c r="G108" s="2" t="s">
        <v>238</v>
      </c>
      <c r="H108" s="7" t="s">
        <v>217</v>
      </c>
      <c r="I108" s="2" t="s">
        <v>218</v>
      </c>
      <c r="J108" s="2" t="s">
        <v>1740</v>
      </c>
      <c r="K108" s="2" t="s">
        <v>304</v>
      </c>
      <c r="L108" s="2" t="s">
        <v>1207</v>
      </c>
      <c r="M108" s="8" t="str">
        <f>HYPERLINK("http://slimages.macys.com/is/image/MCY/11952921 ")</f>
        <v xml:space="preserve">http://slimages.macys.com/is/image/MCY/11952921 </v>
      </c>
    </row>
    <row r="109" spans="1:13" ht="96" x14ac:dyDescent="0.25">
      <c r="A109" s="7" t="s">
        <v>1628</v>
      </c>
      <c r="B109" s="2" t="s">
        <v>1629</v>
      </c>
      <c r="C109" s="4">
        <v>2</v>
      </c>
      <c r="D109" s="5">
        <v>9.75</v>
      </c>
      <c r="E109" s="5">
        <v>24.99</v>
      </c>
      <c r="F109" s="4" t="s">
        <v>1630</v>
      </c>
      <c r="G109" s="2" t="s">
        <v>41</v>
      </c>
      <c r="H109" s="7" t="s">
        <v>248</v>
      </c>
      <c r="I109" s="2" t="s">
        <v>321</v>
      </c>
      <c r="J109" s="2" t="s">
        <v>1631</v>
      </c>
      <c r="K109" s="2" t="s">
        <v>304</v>
      </c>
      <c r="L109" s="2" t="s">
        <v>1516</v>
      </c>
      <c r="M109" s="8" t="str">
        <f>HYPERLINK("http://slimages.macys.com/is/image/MCY/11545084 ")</f>
        <v xml:space="preserve">http://slimages.macys.com/is/image/MCY/11545084 </v>
      </c>
    </row>
    <row r="110" spans="1:13" ht="96" x14ac:dyDescent="0.25">
      <c r="A110" s="7" t="s">
        <v>8752</v>
      </c>
      <c r="B110" s="2" t="s">
        <v>8753</v>
      </c>
      <c r="C110" s="4">
        <v>1</v>
      </c>
      <c r="D110" s="5">
        <v>9.75</v>
      </c>
      <c r="E110" s="5">
        <v>24.99</v>
      </c>
      <c r="F110" s="4" t="s">
        <v>8754</v>
      </c>
      <c r="G110" s="2" t="s">
        <v>28</v>
      </c>
      <c r="H110" s="7" t="s">
        <v>266</v>
      </c>
      <c r="I110" s="2" t="s">
        <v>321</v>
      </c>
      <c r="J110" s="2" t="s">
        <v>1631</v>
      </c>
      <c r="K110" s="2" t="s">
        <v>304</v>
      </c>
      <c r="L110" s="2" t="s">
        <v>1516</v>
      </c>
      <c r="M110" s="8" t="str">
        <f>HYPERLINK("http://slimages.macys.com/is/image/MCY/11545194 ")</f>
        <v xml:space="preserve">http://slimages.macys.com/is/image/MCY/11545194 </v>
      </c>
    </row>
    <row r="111" spans="1:13" ht="132" x14ac:dyDescent="0.25">
      <c r="A111" s="7" t="s">
        <v>8195</v>
      </c>
      <c r="B111" s="2" t="s">
        <v>8196</v>
      </c>
      <c r="C111" s="4">
        <v>1</v>
      </c>
      <c r="D111" s="5">
        <v>9.65</v>
      </c>
      <c r="E111" s="5">
        <v>19.3</v>
      </c>
      <c r="F111" s="4" t="s">
        <v>8197</v>
      </c>
      <c r="G111" s="2" t="s">
        <v>653</v>
      </c>
      <c r="H111" s="7"/>
      <c r="I111" s="2" t="s">
        <v>487</v>
      </c>
      <c r="J111" s="2" t="s">
        <v>488</v>
      </c>
      <c r="K111" s="2" t="s">
        <v>304</v>
      </c>
      <c r="L111" s="2" t="s">
        <v>8198</v>
      </c>
      <c r="M111" s="8" t="str">
        <f>HYPERLINK("http://slimages.macys.com/is/image/MCY/11867737 ")</f>
        <v xml:space="preserve">http://slimages.macys.com/is/image/MCY/11867737 </v>
      </c>
    </row>
    <row r="112" spans="1:13" ht="60" x14ac:dyDescent="0.25">
      <c r="A112" s="7" t="s">
        <v>7412</v>
      </c>
      <c r="B112" s="2" t="s">
        <v>7413</v>
      </c>
      <c r="C112" s="4">
        <v>1</v>
      </c>
      <c r="D112" s="5">
        <v>9.5</v>
      </c>
      <c r="E112" s="5">
        <v>21.99</v>
      </c>
      <c r="F112" s="4" t="s">
        <v>7414</v>
      </c>
      <c r="G112" s="2" t="s">
        <v>892</v>
      </c>
      <c r="H112" s="7"/>
      <c r="I112" s="2" t="s">
        <v>321</v>
      </c>
      <c r="J112" s="2" t="s">
        <v>1671</v>
      </c>
      <c r="K112" s="2" t="s">
        <v>304</v>
      </c>
      <c r="L112" s="2" t="s">
        <v>125</v>
      </c>
      <c r="M112" s="8" t="str">
        <f>HYPERLINK("http://slimages.macys.com/is/image/MCY/11647208 ")</f>
        <v xml:space="preserve">http://slimages.macys.com/is/image/MCY/11647208 </v>
      </c>
    </row>
    <row r="113" spans="1:13" ht="60" x14ac:dyDescent="0.25">
      <c r="A113" s="7" t="s">
        <v>9938</v>
      </c>
      <c r="B113" s="2" t="s">
        <v>9939</v>
      </c>
      <c r="C113" s="4">
        <v>2</v>
      </c>
      <c r="D113" s="5">
        <v>9.35</v>
      </c>
      <c r="E113" s="5">
        <v>24.99</v>
      </c>
      <c r="F113" s="4" t="s">
        <v>9940</v>
      </c>
      <c r="G113" s="2" t="s">
        <v>310</v>
      </c>
      <c r="H113" s="7" t="s">
        <v>209</v>
      </c>
      <c r="I113" s="2" t="s">
        <v>312</v>
      </c>
      <c r="J113" s="2" t="s">
        <v>313</v>
      </c>
      <c r="K113" s="2" t="s">
        <v>304</v>
      </c>
      <c r="L113" s="2" t="s">
        <v>206</v>
      </c>
      <c r="M113" s="8" t="str">
        <f>HYPERLINK("http://slimages.macys.com/is/image/MCY/12291148 ")</f>
        <v xml:space="preserve">http://slimages.macys.com/is/image/MCY/12291148 </v>
      </c>
    </row>
    <row r="114" spans="1:13" ht="60" x14ac:dyDescent="0.25">
      <c r="A114" s="7" t="s">
        <v>9941</v>
      </c>
      <c r="B114" s="2" t="s">
        <v>9379</v>
      </c>
      <c r="C114" s="4">
        <v>1</v>
      </c>
      <c r="D114" s="5">
        <v>9.31</v>
      </c>
      <c r="E114" s="5">
        <v>24.99</v>
      </c>
      <c r="F114" s="4" t="s">
        <v>9942</v>
      </c>
      <c r="G114" s="2" t="s">
        <v>62</v>
      </c>
      <c r="H114" s="7" t="s">
        <v>63</v>
      </c>
      <c r="I114" s="2" t="s">
        <v>515</v>
      </c>
      <c r="J114" s="2" t="s">
        <v>875</v>
      </c>
      <c r="K114" s="2" t="s">
        <v>2752</v>
      </c>
      <c r="L114" s="2" t="s">
        <v>493</v>
      </c>
      <c r="M114" s="8" t="str">
        <f>HYPERLINK("http://slimages.macys.com/is/image/MCY/11860764 ")</f>
        <v xml:space="preserve">http://slimages.macys.com/is/image/MCY/11860764 </v>
      </c>
    </row>
    <row r="115" spans="1:13" ht="132" x14ac:dyDescent="0.25">
      <c r="A115" s="7" t="s">
        <v>9943</v>
      </c>
      <c r="B115" s="2" t="s">
        <v>9944</v>
      </c>
      <c r="C115" s="4">
        <v>1</v>
      </c>
      <c r="D115" s="5">
        <v>9.3000000000000007</v>
      </c>
      <c r="E115" s="5">
        <v>21.99</v>
      </c>
      <c r="F115" s="4" t="s">
        <v>9945</v>
      </c>
      <c r="G115" s="2" t="s">
        <v>41</v>
      </c>
      <c r="H115" s="7" t="s">
        <v>438</v>
      </c>
      <c r="I115" s="2" t="s">
        <v>153</v>
      </c>
      <c r="J115" s="2" t="s">
        <v>154</v>
      </c>
      <c r="K115" s="2" t="s">
        <v>304</v>
      </c>
      <c r="L115" s="2" t="s">
        <v>9946</v>
      </c>
      <c r="M115" s="8" t="str">
        <f>HYPERLINK("http://slimages.macys.com/is/image/MCY/10433974 ")</f>
        <v xml:space="preserve">http://slimages.macys.com/is/image/MCY/10433974 </v>
      </c>
    </row>
    <row r="116" spans="1:13" ht="84" x14ac:dyDescent="0.25">
      <c r="A116" s="7" t="s">
        <v>9947</v>
      </c>
      <c r="B116" s="2" t="s">
        <v>9948</v>
      </c>
      <c r="C116" s="4">
        <v>1</v>
      </c>
      <c r="D116" s="5">
        <v>9.24</v>
      </c>
      <c r="E116" s="5">
        <v>19.989999999999998</v>
      </c>
      <c r="F116" s="4" t="s">
        <v>9949</v>
      </c>
      <c r="G116" s="2" t="s">
        <v>28</v>
      </c>
      <c r="H116" s="7" t="s">
        <v>63</v>
      </c>
      <c r="I116" s="2" t="s">
        <v>515</v>
      </c>
      <c r="J116" s="2" t="s">
        <v>516</v>
      </c>
      <c r="K116" s="2" t="s">
        <v>304</v>
      </c>
      <c r="L116" s="2" t="s">
        <v>1117</v>
      </c>
      <c r="M116" s="8" t="str">
        <f>HYPERLINK("http://slimages.macys.com/is/image/MCY/11606088 ")</f>
        <v xml:space="preserve">http://slimages.macys.com/is/image/MCY/11606088 </v>
      </c>
    </row>
    <row r="117" spans="1:13" ht="60" x14ac:dyDescent="0.25">
      <c r="A117" s="7" t="s">
        <v>7444</v>
      </c>
      <c r="B117" s="2" t="s">
        <v>6205</v>
      </c>
      <c r="C117" s="4">
        <v>1</v>
      </c>
      <c r="D117" s="5">
        <v>9.09</v>
      </c>
      <c r="E117" s="5">
        <v>26.99</v>
      </c>
      <c r="F117" s="4" t="s">
        <v>6206</v>
      </c>
      <c r="G117" s="2" t="s">
        <v>86</v>
      </c>
      <c r="H117" s="7" t="s">
        <v>196</v>
      </c>
      <c r="I117" s="2" t="s">
        <v>389</v>
      </c>
      <c r="J117" s="2" t="s">
        <v>354</v>
      </c>
      <c r="K117" s="2" t="s">
        <v>304</v>
      </c>
      <c r="L117" s="2" t="s">
        <v>6207</v>
      </c>
      <c r="M117" s="8" t="str">
        <f>HYPERLINK("http://slimages.macys.com/is/image/MCY/13079495 ")</f>
        <v xml:space="preserve">http://slimages.macys.com/is/image/MCY/13079495 </v>
      </c>
    </row>
    <row r="118" spans="1:13" ht="60" x14ac:dyDescent="0.25">
      <c r="A118" s="7" t="s">
        <v>7445</v>
      </c>
      <c r="B118" s="2" t="s">
        <v>6205</v>
      </c>
      <c r="C118" s="4">
        <v>1</v>
      </c>
      <c r="D118" s="5">
        <v>9.09</v>
      </c>
      <c r="E118" s="5">
        <v>26.99</v>
      </c>
      <c r="F118" s="4" t="s">
        <v>6206</v>
      </c>
      <c r="G118" s="2" t="s">
        <v>86</v>
      </c>
      <c r="H118" s="7" t="s">
        <v>228</v>
      </c>
      <c r="I118" s="2" t="s">
        <v>389</v>
      </c>
      <c r="J118" s="2" t="s">
        <v>354</v>
      </c>
      <c r="K118" s="2" t="s">
        <v>304</v>
      </c>
      <c r="L118" s="2" t="s">
        <v>6207</v>
      </c>
      <c r="M118" s="8" t="str">
        <f>HYPERLINK("http://slimages.macys.com/is/image/MCY/13079495 ")</f>
        <v xml:space="preserve">http://slimages.macys.com/is/image/MCY/13079495 </v>
      </c>
    </row>
    <row r="119" spans="1:13" ht="60" x14ac:dyDescent="0.25">
      <c r="A119" s="7" t="s">
        <v>9950</v>
      </c>
      <c r="B119" s="2" t="s">
        <v>843</v>
      </c>
      <c r="C119" s="4">
        <v>1</v>
      </c>
      <c r="D119" s="5">
        <v>9.09</v>
      </c>
      <c r="E119" s="5">
        <v>24.99</v>
      </c>
      <c r="F119" s="4" t="s">
        <v>844</v>
      </c>
      <c r="G119" s="2" t="s">
        <v>36</v>
      </c>
      <c r="H119" s="7" t="s">
        <v>578</v>
      </c>
      <c r="I119" s="2" t="s">
        <v>515</v>
      </c>
      <c r="J119" s="2" t="s">
        <v>516</v>
      </c>
      <c r="K119" s="2" t="s">
        <v>304</v>
      </c>
      <c r="L119" s="2" t="s">
        <v>358</v>
      </c>
      <c r="M119" s="8" t="str">
        <f>HYPERLINK("http://slimages.macys.com/is/image/MCY/12953210 ")</f>
        <v xml:space="preserve">http://slimages.macys.com/is/image/MCY/12953210 </v>
      </c>
    </row>
    <row r="120" spans="1:13" ht="96" x14ac:dyDescent="0.25">
      <c r="A120" s="7" t="s">
        <v>9951</v>
      </c>
      <c r="B120" s="2" t="s">
        <v>9952</v>
      </c>
      <c r="C120" s="4">
        <v>1</v>
      </c>
      <c r="D120" s="5">
        <v>9</v>
      </c>
      <c r="E120" s="5">
        <v>24.99</v>
      </c>
      <c r="F120" s="4" t="s">
        <v>9953</v>
      </c>
      <c r="G120" s="2" t="s">
        <v>28</v>
      </c>
      <c r="H120" s="7" t="s">
        <v>982</v>
      </c>
      <c r="I120" s="2" t="s">
        <v>321</v>
      </c>
      <c r="J120" s="2" t="s">
        <v>1652</v>
      </c>
      <c r="K120" s="2" t="s">
        <v>304</v>
      </c>
      <c r="L120" s="2" t="s">
        <v>1516</v>
      </c>
      <c r="M120" s="8" t="str">
        <f>HYPERLINK("http://slimages.macys.com/is/image/MCY/11640800 ")</f>
        <v xml:space="preserve">http://slimages.macys.com/is/image/MCY/11640800 </v>
      </c>
    </row>
    <row r="121" spans="1:13" ht="96" x14ac:dyDescent="0.25">
      <c r="A121" s="7" t="s">
        <v>9954</v>
      </c>
      <c r="B121" s="2" t="s">
        <v>9955</v>
      </c>
      <c r="C121" s="4">
        <v>1</v>
      </c>
      <c r="D121" s="5">
        <v>9</v>
      </c>
      <c r="E121" s="5">
        <v>24.99</v>
      </c>
      <c r="F121" s="4" t="s">
        <v>9956</v>
      </c>
      <c r="G121" s="2" t="s">
        <v>28</v>
      </c>
      <c r="H121" s="7" t="s">
        <v>9957</v>
      </c>
      <c r="I121" s="2" t="s">
        <v>321</v>
      </c>
      <c r="J121" s="2" t="s">
        <v>1652</v>
      </c>
      <c r="K121" s="2" t="s">
        <v>304</v>
      </c>
      <c r="L121" s="2" t="s">
        <v>1516</v>
      </c>
      <c r="M121" s="8" t="str">
        <f>HYPERLINK("http://slimages.macys.com/is/image/MCY/11640996 ")</f>
        <v xml:space="preserve">http://slimages.macys.com/is/image/MCY/11640996 </v>
      </c>
    </row>
    <row r="122" spans="1:13" ht="60" x14ac:dyDescent="0.25">
      <c r="A122" s="7" t="s">
        <v>9958</v>
      </c>
      <c r="B122" s="2" t="s">
        <v>9959</v>
      </c>
      <c r="C122" s="4">
        <v>1</v>
      </c>
      <c r="D122" s="5">
        <v>9</v>
      </c>
      <c r="E122" s="5">
        <v>19.989999999999998</v>
      </c>
      <c r="F122" s="4" t="s">
        <v>9960</v>
      </c>
      <c r="G122" s="2" t="s">
        <v>297</v>
      </c>
      <c r="H122" s="7" t="s">
        <v>248</v>
      </c>
      <c r="I122" s="2" t="s">
        <v>73</v>
      </c>
      <c r="J122" s="2" t="s">
        <v>249</v>
      </c>
      <c r="K122" s="2" t="s">
        <v>304</v>
      </c>
      <c r="L122" s="2" t="s">
        <v>358</v>
      </c>
      <c r="M122" s="8" t="str">
        <f>HYPERLINK("http://slimages.macys.com/is/image/MCY/11640951 ")</f>
        <v xml:space="preserve">http://slimages.macys.com/is/image/MCY/11640951 </v>
      </c>
    </row>
    <row r="123" spans="1:13" ht="96" x14ac:dyDescent="0.25">
      <c r="A123" s="7" t="s">
        <v>9961</v>
      </c>
      <c r="B123" s="2" t="s">
        <v>9955</v>
      </c>
      <c r="C123" s="4">
        <v>1</v>
      </c>
      <c r="D123" s="5">
        <v>9</v>
      </c>
      <c r="E123" s="5">
        <v>24.99</v>
      </c>
      <c r="F123" s="4" t="s">
        <v>9956</v>
      </c>
      <c r="G123" s="2" t="s">
        <v>28</v>
      </c>
      <c r="H123" s="7" t="s">
        <v>774</v>
      </c>
      <c r="I123" s="2" t="s">
        <v>321</v>
      </c>
      <c r="J123" s="2" t="s">
        <v>1652</v>
      </c>
      <c r="K123" s="2" t="s">
        <v>304</v>
      </c>
      <c r="L123" s="2" t="s">
        <v>1516</v>
      </c>
      <c r="M123" s="8" t="str">
        <f>HYPERLINK("http://slimages.macys.com/is/image/MCY/11640996 ")</f>
        <v xml:space="preserve">http://slimages.macys.com/is/image/MCY/11640996 </v>
      </c>
    </row>
    <row r="124" spans="1:13" ht="96" x14ac:dyDescent="0.25">
      <c r="A124" s="7" t="s">
        <v>9962</v>
      </c>
      <c r="B124" s="2" t="s">
        <v>7448</v>
      </c>
      <c r="C124" s="4">
        <v>1</v>
      </c>
      <c r="D124" s="5">
        <v>9</v>
      </c>
      <c r="E124" s="5">
        <v>24.99</v>
      </c>
      <c r="F124" s="4" t="s">
        <v>7449</v>
      </c>
      <c r="G124" s="2" t="s">
        <v>353</v>
      </c>
      <c r="H124" s="7" t="s">
        <v>9957</v>
      </c>
      <c r="I124" s="2" t="s">
        <v>321</v>
      </c>
      <c r="J124" s="2" t="s">
        <v>1652</v>
      </c>
      <c r="K124" s="2" t="s">
        <v>304</v>
      </c>
      <c r="L124" s="2" t="s">
        <v>1516</v>
      </c>
      <c r="M124" s="8" t="str">
        <f>HYPERLINK("http://slimages.macys.com/is/image/MCY/11640964 ")</f>
        <v xml:space="preserve">http://slimages.macys.com/is/image/MCY/11640964 </v>
      </c>
    </row>
    <row r="125" spans="1:13" ht="60" x14ac:dyDescent="0.25">
      <c r="A125" s="7" t="s">
        <v>9963</v>
      </c>
      <c r="B125" s="2" t="s">
        <v>9964</v>
      </c>
      <c r="C125" s="4">
        <v>1</v>
      </c>
      <c r="D125" s="5">
        <v>9</v>
      </c>
      <c r="E125" s="5">
        <v>21.99</v>
      </c>
      <c r="F125" s="4" t="s">
        <v>9965</v>
      </c>
      <c r="G125" s="2" t="s">
        <v>1302</v>
      </c>
      <c r="H125" s="7" t="s">
        <v>317</v>
      </c>
      <c r="I125" s="2" t="s">
        <v>342</v>
      </c>
      <c r="J125" s="2" t="s">
        <v>1613</v>
      </c>
      <c r="K125" s="2" t="s">
        <v>304</v>
      </c>
      <c r="L125" s="2" t="s">
        <v>119</v>
      </c>
      <c r="M125" s="8" t="str">
        <f>HYPERLINK("http://slimages.macys.com/is/image/MCY/12237667 ")</f>
        <v xml:space="preserve">http://slimages.macys.com/is/image/MCY/12237667 </v>
      </c>
    </row>
    <row r="126" spans="1:13" ht="60" x14ac:dyDescent="0.25">
      <c r="A126" s="7" t="s">
        <v>9966</v>
      </c>
      <c r="B126" s="2" t="s">
        <v>9967</v>
      </c>
      <c r="C126" s="4">
        <v>1</v>
      </c>
      <c r="D126" s="5">
        <v>9</v>
      </c>
      <c r="E126" s="5">
        <v>20.99</v>
      </c>
      <c r="F126" s="4" t="s">
        <v>9968</v>
      </c>
      <c r="G126" s="2" t="s">
        <v>171</v>
      </c>
      <c r="H126" s="7" t="s">
        <v>317</v>
      </c>
      <c r="I126" s="2" t="s">
        <v>173</v>
      </c>
      <c r="J126" s="2" t="s">
        <v>1967</v>
      </c>
      <c r="K126" s="2" t="s">
        <v>304</v>
      </c>
      <c r="L126" s="2" t="s">
        <v>3223</v>
      </c>
      <c r="M126" s="8" t="str">
        <f>HYPERLINK("http://slimages.macys.com/is/image/MCY/12283345 ")</f>
        <v xml:space="preserve">http://slimages.macys.com/is/image/MCY/12283345 </v>
      </c>
    </row>
    <row r="127" spans="1:13" ht="60" x14ac:dyDescent="0.25">
      <c r="A127" s="7" t="s">
        <v>9969</v>
      </c>
      <c r="B127" s="2" t="s">
        <v>9967</v>
      </c>
      <c r="C127" s="4">
        <v>3</v>
      </c>
      <c r="D127" s="5">
        <v>9</v>
      </c>
      <c r="E127" s="5">
        <v>20.99</v>
      </c>
      <c r="F127" s="4" t="s">
        <v>9968</v>
      </c>
      <c r="G127" s="2" t="s">
        <v>171</v>
      </c>
      <c r="H127" s="7" t="s">
        <v>63</v>
      </c>
      <c r="I127" s="2" t="s">
        <v>173</v>
      </c>
      <c r="J127" s="2" t="s">
        <v>1967</v>
      </c>
      <c r="K127" s="2" t="s">
        <v>304</v>
      </c>
      <c r="L127" s="2" t="s">
        <v>3223</v>
      </c>
      <c r="M127" s="8" t="str">
        <f>HYPERLINK("http://slimages.macys.com/is/image/MCY/12283345 ")</f>
        <v xml:space="preserve">http://slimages.macys.com/is/image/MCY/12283345 </v>
      </c>
    </row>
    <row r="128" spans="1:13" ht="72" x14ac:dyDescent="0.25">
      <c r="A128" s="7" t="s">
        <v>9970</v>
      </c>
      <c r="B128" s="2" t="s">
        <v>2542</v>
      </c>
      <c r="C128" s="4">
        <v>1</v>
      </c>
      <c r="D128" s="5">
        <v>9</v>
      </c>
      <c r="E128" s="5">
        <v>21.99</v>
      </c>
      <c r="F128" s="4" t="s">
        <v>2543</v>
      </c>
      <c r="G128" s="2" t="s">
        <v>36</v>
      </c>
      <c r="H128" s="7" t="s">
        <v>123</v>
      </c>
      <c r="I128" s="2" t="s">
        <v>342</v>
      </c>
      <c r="J128" s="2" t="s">
        <v>343</v>
      </c>
      <c r="K128" s="2" t="s">
        <v>304</v>
      </c>
      <c r="L128" s="2" t="s">
        <v>1922</v>
      </c>
      <c r="M128" s="8" t="str">
        <f>HYPERLINK("http://slimages.macys.com/is/image/MCY/12237684 ")</f>
        <v xml:space="preserve">http://slimages.macys.com/is/image/MCY/12237684 </v>
      </c>
    </row>
    <row r="129" spans="1:13" ht="72" x14ac:dyDescent="0.25">
      <c r="A129" s="7" t="s">
        <v>9971</v>
      </c>
      <c r="B129" s="2" t="s">
        <v>9972</v>
      </c>
      <c r="C129" s="4">
        <v>1</v>
      </c>
      <c r="D129" s="5">
        <v>9</v>
      </c>
      <c r="E129" s="5">
        <v>21.99</v>
      </c>
      <c r="F129" s="4" t="s">
        <v>9973</v>
      </c>
      <c r="G129" s="2" t="s">
        <v>310</v>
      </c>
      <c r="H129" s="7" t="s">
        <v>317</v>
      </c>
      <c r="I129" s="2" t="s">
        <v>342</v>
      </c>
      <c r="J129" s="2" t="s">
        <v>1613</v>
      </c>
      <c r="K129" s="2" t="s">
        <v>304</v>
      </c>
      <c r="L129" s="2" t="s">
        <v>1922</v>
      </c>
      <c r="M129" s="8" t="str">
        <f>HYPERLINK("http://slimages.macys.com/is/image/MCY/12237708 ")</f>
        <v xml:space="preserve">http://slimages.macys.com/is/image/MCY/12237708 </v>
      </c>
    </row>
    <row r="130" spans="1:13" ht="60" x14ac:dyDescent="0.25">
      <c r="A130" s="7" t="s">
        <v>9974</v>
      </c>
      <c r="B130" s="2" t="s">
        <v>9975</v>
      </c>
      <c r="C130" s="4">
        <v>1</v>
      </c>
      <c r="D130" s="5">
        <v>8.92</v>
      </c>
      <c r="E130" s="5">
        <v>22.99</v>
      </c>
      <c r="F130" s="4" t="s">
        <v>9976</v>
      </c>
      <c r="G130" s="2" t="s">
        <v>353</v>
      </c>
      <c r="H130" s="7" t="s">
        <v>228</v>
      </c>
      <c r="I130" s="2" t="s">
        <v>292</v>
      </c>
      <c r="J130" s="2" t="s">
        <v>293</v>
      </c>
      <c r="K130" s="2" t="s">
        <v>304</v>
      </c>
      <c r="L130" s="2" t="s">
        <v>100</v>
      </c>
      <c r="M130" s="8" t="str">
        <f>HYPERLINK("http://slimages.macys.com/is/image/MCY/12000806 ")</f>
        <v xml:space="preserve">http://slimages.macys.com/is/image/MCY/12000806 </v>
      </c>
    </row>
    <row r="131" spans="1:13" ht="60" x14ac:dyDescent="0.25">
      <c r="A131" s="7" t="s">
        <v>9977</v>
      </c>
      <c r="B131" s="2" t="s">
        <v>6217</v>
      </c>
      <c r="C131" s="4">
        <v>1</v>
      </c>
      <c r="D131" s="5">
        <v>8.9</v>
      </c>
      <c r="E131" s="5">
        <v>17.989999999999998</v>
      </c>
      <c r="F131" s="4" t="s">
        <v>6218</v>
      </c>
      <c r="G131" s="2" t="s">
        <v>79</v>
      </c>
      <c r="H131" s="7" t="s">
        <v>217</v>
      </c>
      <c r="I131" s="2" t="s">
        <v>80</v>
      </c>
      <c r="J131" s="2" t="s">
        <v>160</v>
      </c>
      <c r="K131" s="2" t="s">
        <v>304</v>
      </c>
      <c r="L131" s="2" t="s">
        <v>125</v>
      </c>
      <c r="M131" s="8" t="str">
        <f>HYPERLINK("http://slimages.macys.com/is/image/MCY/11486931 ")</f>
        <v xml:space="preserve">http://slimages.macys.com/is/image/MCY/11486931 </v>
      </c>
    </row>
    <row r="132" spans="1:13" ht="60" x14ac:dyDescent="0.25">
      <c r="A132" s="7" t="s">
        <v>9978</v>
      </c>
      <c r="B132" s="2" t="s">
        <v>6217</v>
      </c>
      <c r="C132" s="4">
        <v>1</v>
      </c>
      <c r="D132" s="5">
        <v>8.9</v>
      </c>
      <c r="E132" s="5">
        <v>17.989999999999998</v>
      </c>
      <c r="F132" s="4" t="s">
        <v>6218</v>
      </c>
      <c r="G132" s="2" t="s">
        <v>79</v>
      </c>
      <c r="H132" s="7" t="s">
        <v>284</v>
      </c>
      <c r="I132" s="2" t="s">
        <v>80</v>
      </c>
      <c r="J132" s="2" t="s">
        <v>160</v>
      </c>
      <c r="K132" s="2" t="s">
        <v>304</v>
      </c>
      <c r="L132" s="2" t="s">
        <v>125</v>
      </c>
      <c r="M132" s="8" t="str">
        <f>HYPERLINK("http://slimages.macys.com/is/image/MCY/11486931 ")</f>
        <v xml:space="preserve">http://slimages.macys.com/is/image/MCY/11486931 </v>
      </c>
    </row>
    <row r="133" spans="1:13" ht="108" x14ac:dyDescent="0.25">
      <c r="A133" s="7" t="s">
        <v>9979</v>
      </c>
      <c r="B133" s="2" t="s">
        <v>9980</v>
      </c>
      <c r="C133" s="4">
        <v>1</v>
      </c>
      <c r="D133" s="5">
        <v>8.8000000000000007</v>
      </c>
      <c r="E133" s="5">
        <v>15.99</v>
      </c>
      <c r="F133" s="4" t="s">
        <v>9981</v>
      </c>
      <c r="G133" s="2" t="s">
        <v>262</v>
      </c>
      <c r="H133" s="7" t="s">
        <v>675</v>
      </c>
      <c r="I133" s="2" t="s">
        <v>153</v>
      </c>
      <c r="J133" s="2" t="s">
        <v>154</v>
      </c>
      <c r="K133" s="2" t="s">
        <v>304</v>
      </c>
      <c r="L133" s="2" t="s">
        <v>9982</v>
      </c>
      <c r="M133" s="8" t="str">
        <f>HYPERLINK("http://slimages.macys.com/is/image/MCY/9644644 ")</f>
        <v xml:space="preserve">http://slimages.macys.com/is/image/MCY/9644644 </v>
      </c>
    </row>
    <row r="134" spans="1:13" ht="60" x14ac:dyDescent="0.25">
      <c r="A134" s="7" t="s">
        <v>9983</v>
      </c>
      <c r="B134" s="2" t="s">
        <v>8789</v>
      </c>
      <c r="C134" s="4">
        <v>1</v>
      </c>
      <c r="D134" s="5">
        <v>8.75</v>
      </c>
      <c r="E134" s="5">
        <v>18.989999999999998</v>
      </c>
      <c r="F134" s="4" t="s">
        <v>8790</v>
      </c>
      <c r="G134" s="2" t="s">
        <v>165</v>
      </c>
      <c r="H134" s="7" t="s">
        <v>196</v>
      </c>
      <c r="I134" s="2" t="s">
        <v>173</v>
      </c>
      <c r="J134" s="2" t="s">
        <v>174</v>
      </c>
      <c r="K134" s="2" t="s">
        <v>304</v>
      </c>
      <c r="L134" s="2" t="s">
        <v>1004</v>
      </c>
      <c r="M134" s="8" t="str">
        <f>HYPERLINK("http://slimages.macys.com/is/image/MCY/9944847 ")</f>
        <v xml:space="preserve">http://slimages.macys.com/is/image/MCY/9944847 </v>
      </c>
    </row>
    <row r="135" spans="1:13" ht="60" x14ac:dyDescent="0.25">
      <c r="A135" s="7" t="s">
        <v>9984</v>
      </c>
      <c r="B135" s="2" t="s">
        <v>9985</v>
      </c>
      <c r="C135" s="4">
        <v>1</v>
      </c>
      <c r="D135" s="5">
        <v>8.6999999999999993</v>
      </c>
      <c r="E135" s="5">
        <v>18.989999999999998</v>
      </c>
      <c r="F135" s="4" t="s">
        <v>9986</v>
      </c>
      <c r="G135" s="2" t="s">
        <v>36</v>
      </c>
      <c r="H135" s="7"/>
      <c r="I135" s="2" t="s">
        <v>515</v>
      </c>
      <c r="J135" s="2" t="s">
        <v>827</v>
      </c>
      <c r="K135" s="2" t="s">
        <v>304</v>
      </c>
      <c r="L135" s="2" t="s">
        <v>358</v>
      </c>
      <c r="M135" s="8" t="str">
        <f>HYPERLINK("http://slimages.macys.com/is/image/MCY/10264043 ")</f>
        <v xml:space="preserve">http://slimages.macys.com/is/image/MCY/10264043 </v>
      </c>
    </row>
    <row r="136" spans="1:13" ht="84" x14ac:dyDescent="0.25">
      <c r="A136" s="7" t="s">
        <v>9987</v>
      </c>
      <c r="B136" s="2" t="s">
        <v>1667</v>
      </c>
      <c r="C136" s="4">
        <v>1</v>
      </c>
      <c r="D136" s="5">
        <v>8.65</v>
      </c>
      <c r="E136" s="5">
        <v>22.99</v>
      </c>
      <c r="F136" s="4">
        <v>103404</v>
      </c>
      <c r="G136" s="2" t="s">
        <v>79</v>
      </c>
      <c r="H136" s="7" t="s">
        <v>179</v>
      </c>
      <c r="I136" s="2" t="s">
        <v>321</v>
      </c>
      <c r="J136" s="2" t="s">
        <v>322</v>
      </c>
      <c r="K136" s="2" t="s">
        <v>304</v>
      </c>
      <c r="L136" s="2" t="s">
        <v>1460</v>
      </c>
      <c r="M136" s="8" t="str">
        <f>HYPERLINK("http://slimages.macys.com/is/image/MCY/12037896 ")</f>
        <v xml:space="preserve">http://slimages.macys.com/is/image/MCY/12037896 </v>
      </c>
    </row>
    <row r="137" spans="1:13" ht="84" x14ac:dyDescent="0.25">
      <c r="A137" s="7" t="s">
        <v>9988</v>
      </c>
      <c r="B137" s="2" t="s">
        <v>1663</v>
      </c>
      <c r="C137" s="4">
        <v>1</v>
      </c>
      <c r="D137" s="5">
        <v>8.65</v>
      </c>
      <c r="E137" s="5">
        <v>22.99</v>
      </c>
      <c r="F137" s="4">
        <v>103406</v>
      </c>
      <c r="G137" s="2" t="s">
        <v>36</v>
      </c>
      <c r="H137" s="7" t="s">
        <v>166</v>
      </c>
      <c r="I137" s="2" t="s">
        <v>321</v>
      </c>
      <c r="J137" s="2" t="s">
        <v>322</v>
      </c>
      <c r="K137" s="2" t="s">
        <v>304</v>
      </c>
      <c r="L137" s="2" t="s">
        <v>1460</v>
      </c>
      <c r="M137" s="8" t="str">
        <f>HYPERLINK("http://slimages.macys.com/is/image/MCY/12045187 ")</f>
        <v xml:space="preserve">http://slimages.macys.com/is/image/MCY/12045187 </v>
      </c>
    </row>
    <row r="138" spans="1:13" ht="84" x14ac:dyDescent="0.25">
      <c r="A138" s="7" t="s">
        <v>9989</v>
      </c>
      <c r="B138" s="2" t="s">
        <v>9990</v>
      </c>
      <c r="C138" s="4">
        <v>2</v>
      </c>
      <c r="D138" s="5">
        <v>8.65</v>
      </c>
      <c r="E138" s="5">
        <v>22.99</v>
      </c>
      <c r="F138" s="4">
        <v>103407</v>
      </c>
      <c r="G138" s="2" t="s">
        <v>667</v>
      </c>
      <c r="H138" s="7" t="s">
        <v>179</v>
      </c>
      <c r="I138" s="2" t="s">
        <v>321</v>
      </c>
      <c r="J138" s="2" t="s">
        <v>322</v>
      </c>
      <c r="K138" s="2" t="s">
        <v>304</v>
      </c>
      <c r="L138" s="2" t="s">
        <v>1460</v>
      </c>
      <c r="M138" s="8" t="str">
        <f>HYPERLINK("http://slimages.macys.com/is/image/MCY/12037911 ")</f>
        <v xml:space="preserve">http://slimages.macys.com/is/image/MCY/12037911 </v>
      </c>
    </row>
    <row r="139" spans="1:13" ht="84" x14ac:dyDescent="0.25">
      <c r="A139" s="7" t="s">
        <v>9991</v>
      </c>
      <c r="B139" s="2" t="s">
        <v>1665</v>
      </c>
      <c r="C139" s="4">
        <v>1</v>
      </c>
      <c r="D139" s="5">
        <v>8.65</v>
      </c>
      <c r="E139" s="5">
        <v>22.99</v>
      </c>
      <c r="F139" s="4">
        <v>103402</v>
      </c>
      <c r="G139" s="2" t="s">
        <v>892</v>
      </c>
      <c r="H139" s="7" t="s">
        <v>179</v>
      </c>
      <c r="I139" s="2" t="s">
        <v>321</v>
      </c>
      <c r="J139" s="2" t="s">
        <v>322</v>
      </c>
      <c r="K139" s="2" t="s">
        <v>304</v>
      </c>
      <c r="L139" s="2" t="s">
        <v>1460</v>
      </c>
      <c r="M139" s="8" t="str">
        <f>HYPERLINK("http://slimages.macys.com/is/image/MCY/12045191 ")</f>
        <v xml:space="preserve">http://slimages.macys.com/is/image/MCY/12045191 </v>
      </c>
    </row>
    <row r="140" spans="1:13" ht="60" x14ac:dyDescent="0.25">
      <c r="A140" s="7" t="s">
        <v>9992</v>
      </c>
      <c r="B140" s="2" t="s">
        <v>8792</v>
      </c>
      <c r="C140" s="4">
        <v>1</v>
      </c>
      <c r="D140" s="5">
        <v>8.65</v>
      </c>
      <c r="E140" s="5">
        <v>22.99</v>
      </c>
      <c r="F140" s="4">
        <v>103390</v>
      </c>
      <c r="G140" s="2"/>
      <c r="H140" s="7" t="s">
        <v>97</v>
      </c>
      <c r="I140" s="2" t="s">
        <v>321</v>
      </c>
      <c r="J140" s="2" t="s">
        <v>322</v>
      </c>
      <c r="K140" s="2" t="s">
        <v>304</v>
      </c>
      <c r="L140" s="2" t="s">
        <v>323</v>
      </c>
      <c r="M140" s="8" t="str">
        <f>HYPERLINK("http://slimages.macys.com/is/image/MCY/10628369 ")</f>
        <v xml:space="preserve">http://slimages.macys.com/is/image/MCY/10628369 </v>
      </c>
    </row>
    <row r="141" spans="1:13" ht="84" x14ac:dyDescent="0.25">
      <c r="A141" s="7" t="s">
        <v>9993</v>
      </c>
      <c r="B141" s="2" t="s">
        <v>9990</v>
      </c>
      <c r="C141" s="4">
        <v>1</v>
      </c>
      <c r="D141" s="5">
        <v>8.65</v>
      </c>
      <c r="E141" s="5">
        <v>22.99</v>
      </c>
      <c r="F141" s="4">
        <v>103407</v>
      </c>
      <c r="G141" s="2" t="s">
        <v>667</v>
      </c>
      <c r="H141" s="7" t="s">
        <v>97</v>
      </c>
      <c r="I141" s="2" t="s">
        <v>321</v>
      </c>
      <c r="J141" s="2" t="s">
        <v>322</v>
      </c>
      <c r="K141" s="2" t="s">
        <v>304</v>
      </c>
      <c r="L141" s="2" t="s">
        <v>1460</v>
      </c>
      <c r="M141" s="8" t="str">
        <f>HYPERLINK("http://slimages.macys.com/is/image/MCY/12037911 ")</f>
        <v xml:space="preserve">http://slimages.macys.com/is/image/MCY/12037911 </v>
      </c>
    </row>
    <row r="142" spans="1:13" ht="84" x14ac:dyDescent="0.25">
      <c r="A142" s="7" t="s">
        <v>5897</v>
      </c>
      <c r="B142" s="2" t="s">
        <v>1665</v>
      </c>
      <c r="C142" s="4">
        <v>1</v>
      </c>
      <c r="D142" s="5">
        <v>8.65</v>
      </c>
      <c r="E142" s="5">
        <v>22.99</v>
      </c>
      <c r="F142" s="4">
        <v>103402</v>
      </c>
      <c r="G142" s="2" t="s">
        <v>892</v>
      </c>
      <c r="H142" s="7"/>
      <c r="I142" s="2" t="s">
        <v>321</v>
      </c>
      <c r="J142" s="2" t="s">
        <v>322</v>
      </c>
      <c r="K142" s="2" t="s">
        <v>304</v>
      </c>
      <c r="L142" s="2" t="s">
        <v>1460</v>
      </c>
      <c r="M142" s="8" t="str">
        <f>HYPERLINK("http://slimages.macys.com/is/image/MCY/12045191 ")</f>
        <v xml:space="preserve">http://slimages.macys.com/is/image/MCY/12045191 </v>
      </c>
    </row>
    <row r="143" spans="1:13" ht="60" x14ac:dyDescent="0.25">
      <c r="A143" s="7" t="s">
        <v>9994</v>
      </c>
      <c r="B143" s="2" t="s">
        <v>7465</v>
      </c>
      <c r="C143" s="4">
        <v>1</v>
      </c>
      <c r="D143" s="5">
        <v>8.5</v>
      </c>
      <c r="E143" s="5">
        <v>21.99</v>
      </c>
      <c r="F143" s="4" t="s">
        <v>9995</v>
      </c>
      <c r="G143" s="2" t="s">
        <v>4218</v>
      </c>
      <c r="H143" s="7"/>
      <c r="I143" s="2" t="s">
        <v>321</v>
      </c>
      <c r="J143" s="2" t="s">
        <v>5901</v>
      </c>
      <c r="K143" s="2" t="s">
        <v>304</v>
      </c>
      <c r="L143" s="2" t="s">
        <v>125</v>
      </c>
      <c r="M143" s="8" t="str">
        <f>HYPERLINK("http://slimages.macys.com/is/image/MCY/11647279 ")</f>
        <v xml:space="preserve">http://slimages.macys.com/is/image/MCY/11647279 </v>
      </c>
    </row>
    <row r="144" spans="1:13" ht="60" x14ac:dyDescent="0.25">
      <c r="A144" s="7" t="s">
        <v>9996</v>
      </c>
      <c r="B144" s="2" t="s">
        <v>7465</v>
      </c>
      <c r="C144" s="4">
        <v>1</v>
      </c>
      <c r="D144" s="5">
        <v>8.5</v>
      </c>
      <c r="E144" s="5">
        <v>21.99</v>
      </c>
      <c r="F144" s="4" t="s">
        <v>7466</v>
      </c>
      <c r="G144" s="2" t="s">
        <v>79</v>
      </c>
      <c r="H144" s="7"/>
      <c r="I144" s="2" t="s">
        <v>321</v>
      </c>
      <c r="J144" s="2" t="s">
        <v>5901</v>
      </c>
      <c r="K144" s="2" t="s">
        <v>304</v>
      </c>
      <c r="L144" s="2" t="s">
        <v>125</v>
      </c>
      <c r="M144" s="8" t="str">
        <f>HYPERLINK("http://slimages.macys.com/is/image/MCY/11647279 ")</f>
        <v xml:space="preserve">http://slimages.macys.com/is/image/MCY/11647279 </v>
      </c>
    </row>
    <row r="145" spans="1:13" ht="60" x14ac:dyDescent="0.25">
      <c r="A145" s="7" t="s">
        <v>1668</v>
      </c>
      <c r="B145" s="2" t="s">
        <v>1669</v>
      </c>
      <c r="C145" s="4">
        <v>2</v>
      </c>
      <c r="D145" s="5">
        <v>8.5</v>
      </c>
      <c r="E145" s="5">
        <v>21.99</v>
      </c>
      <c r="F145" s="4" t="s">
        <v>1670</v>
      </c>
      <c r="G145" s="2" t="s">
        <v>28</v>
      </c>
      <c r="H145" s="7"/>
      <c r="I145" s="2" t="s">
        <v>321</v>
      </c>
      <c r="J145" s="2" t="s">
        <v>1671</v>
      </c>
      <c r="K145" s="2" t="s">
        <v>304</v>
      </c>
      <c r="L145" s="2" t="s">
        <v>125</v>
      </c>
      <c r="M145" s="8" t="str">
        <f>HYPERLINK("http://slimages.macys.com/is/image/MCY/11647221 ")</f>
        <v xml:space="preserve">http://slimages.macys.com/is/image/MCY/11647221 </v>
      </c>
    </row>
    <row r="146" spans="1:13" ht="60" x14ac:dyDescent="0.25">
      <c r="A146" s="7" t="s">
        <v>8810</v>
      </c>
      <c r="B146" s="2" t="s">
        <v>2555</v>
      </c>
      <c r="C146" s="4">
        <v>1</v>
      </c>
      <c r="D146" s="5">
        <v>8.5</v>
      </c>
      <c r="E146" s="5">
        <v>22</v>
      </c>
      <c r="F146" s="4" t="s">
        <v>2556</v>
      </c>
      <c r="G146" s="2"/>
      <c r="H146" s="7" t="s">
        <v>172</v>
      </c>
      <c r="I146" s="2" t="s">
        <v>321</v>
      </c>
      <c r="J146" s="2" t="s">
        <v>2557</v>
      </c>
      <c r="K146" s="2" t="s">
        <v>304</v>
      </c>
      <c r="L146" s="2" t="s">
        <v>2558</v>
      </c>
      <c r="M146" s="8" t="str">
        <f>HYPERLINK("http://slimages.macys.com/is/image/MCY/10631504 ")</f>
        <v xml:space="preserve">http://slimages.macys.com/is/image/MCY/10631504 </v>
      </c>
    </row>
    <row r="147" spans="1:13" ht="60" x14ac:dyDescent="0.25">
      <c r="A147" s="7" t="s">
        <v>9997</v>
      </c>
      <c r="B147" s="2" t="s">
        <v>9998</v>
      </c>
      <c r="C147" s="4">
        <v>1</v>
      </c>
      <c r="D147" s="5">
        <v>8.5</v>
      </c>
      <c r="E147" s="5">
        <v>21.99</v>
      </c>
      <c r="F147" s="4" t="s">
        <v>9999</v>
      </c>
      <c r="G147" s="2" t="s">
        <v>262</v>
      </c>
      <c r="H147" s="7"/>
      <c r="I147" s="2" t="s">
        <v>321</v>
      </c>
      <c r="J147" s="2" t="s">
        <v>1671</v>
      </c>
      <c r="K147" s="2" t="s">
        <v>304</v>
      </c>
      <c r="L147" s="2" t="s">
        <v>125</v>
      </c>
      <c r="M147" s="8" t="str">
        <f>HYPERLINK("http://slimages.macys.com/is/image/MCY/11647229 ")</f>
        <v xml:space="preserve">http://slimages.macys.com/is/image/MCY/11647229 </v>
      </c>
    </row>
    <row r="148" spans="1:13" ht="60" x14ac:dyDescent="0.25">
      <c r="A148" s="7" t="s">
        <v>10000</v>
      </c>
      <c r="B148" s="2" t="s">
        <v>5360</v>
      </c>
      <c r="C148" s="4">
        <v>1</v>
      </c>
      <c r="D148" s="5">
        <v>8.5</v>
      </c>
      <c r="E148" s="5">
        <v>22</v>
      </c>
      <c r="F148" s="4" t="s">
        <v>5361</v>
      </c>
      <c r="G148" s="2"/>
      <c r="H148" s="7" t="s">
        <v>177</v>
      </c>
      <c r="I148" s="2" t="s">
        <v>321</v>
      </c>
      <c r="J148" s="2" t="s">
        <v>2557</v>
      </c>
      <c r="K148" s="2" t="s">
        <v>304</v>
      </c>
      <c r="L148" s="2" t="s">
        <v>5362</v>
      </c>
      <c r="M148" s="8" t="str">
        <f>HYPERLINK("http://slimages.macys.com/is/image/MCY/10749517 ")</f>
        <v xml:space="preserve">http://slimages.macys.com/is/image/MCY/10749517 </v>
      </c>
    </row>
    <row r="149" spans="1:13" ht="60" x14ac:dyDescent="0.25">
      <c r="A149" s="7" t="s">
        <v>10001</v>
      </c>
      <c r="B149" s="2" t="s">
        <v>10002</v>
      </c>
      <c r="C149" s="4">
        <v>1</v>
      </c>
      <c r="D149" s="5">
        <v>8.5</v>
      </c>
      <c r="E149" s="5">
        <v>21.99</v>
      </c>
      <c r="F149" s="4" t="s">
        <v>10003</v>
      </c>
      <c r="G149" s="2" t="s">
        <v>892</v>
      </c>
      <c r="H149" s="7"/>
      <c r="I149" s="2" t="s">
        <v>321</v>
      </c>
      <c r="J149" s="2" t="s">
        <v>1671</v>
      </c>
      <c r="K149" s="2" t="s">
        <v>304</v>
      </c>
      <c r="L149" s="2" t="s">
        <v>125</v>
      </c>
      <c r="M149" s="8" t="str">
        <f>HYPERLINK("http://slimages.macys.com/is/image/MCY/11647215 ")</f>
        <v xml:space="preserve">http://slimages.macys.com/is/image/MCY/11647215 </v>
      </c>
    </row>
    <row r="150" spans="1:13" ht="60" x14ac:dyDescent="0.25">
      <c r="A150" s="7" t="s">
        <v>8805</v>
      </c>
      <c r="B150" s="2" t="s">
        <v>5364</v>
      </c>
      <c r="C150" s="4">
        <v>1</v>
      </c>
      <c r="D150" s="5">
        <v>8.5</v>
      </c>
      <c r="E150" s="5">
        <v>21.99</v>
      </c>
      <c r="F150" s="4" t="s">
        <v>5365</v>
      </c>
      <c r="G150" s="2" t="s">
        <v>28</v>
      </c>
      <c r="H150" s="7"/>
      <c r="I150" s="2" t="s">
        <v>321</v>
      </c>
      <c r="J150" s="2" t="s">
        <v>1671</v>
      </c>
      <c r="K150" s="2" t="s">
        <v>304</v>
      </c>
      <c r="L150" s="2" t="s">
        <v>125</v>
      </c>
      <c r="M150" s="8" t="str">
        <f>HYPERLINK("http://slimages.macys.com/is/image/MCY/11647239 ")</f>
        <v xml:space="preserve">http://slimages.macys.com/is/image/MCY/11647239 </v>
      </c>
    </row>
    <row r="151" spans="1:13" ht="60" x14ac:dyDescent="0.25">
      <c r="A151" s="7" t="s">
        <v>10004</v>
      </c>
      <c r="B151" s="2" t="s">
        <v>2560</v>
      </c>
      <c r="C151" s="4">
        <v>1</v>
      </c>
      <c r="D151" s="5">
        <v>8.49</v>
      </c>
      <c r="E151" s="5">
        <v>21.99</v>
      </c>
      <c r="F151" s="4" t="s">
        <v>2561</v>
      </c>
      <c r="G151" s="2" t="s">
        <v>86</v>
      </c>
      <c r="H151" s="7" t="s">
        <v>228</v>
      </c>
      <c r="I151" s="2" t="s">
        <v>389</v>
      </c>
      <c r="J151" s="2" t="s">
        <v>354</v>
      </c>
      <c r="K151" s="2" t="s">
        <v>304</v>
      </c>
      <c r="L151" s="2" t="s">
        <v>2562</v>
      </c>
      <c r="M151" s="8" t="str">
        <f>HYPERLINK("http://slimages.macys.com/is/image/MCY/12121700 ")</f>
        <v xml:space="preserve">http://slimages.macys.com/is/image/MCY/12121700 </v>
      </c>
    </row>
    <row r="152" spans="1:13" ht="60" x14ac:dyDescent="0.25">
      <c r="A152" s="7" t="s">
        <v>1672</v>
      </c>
      <c r="B152" s="2" t="s">
        <v>1673</v>
      </c>
      <c r="C152" s="4">
        <v>1</v>
      </c>
      <c r="D152" s="5">
        <v>8.4499999999999993</v>
      </c>
      <c r="E152" s="5">
        <v>16.989999999999998</v>
      </c>
      <c r="F152" s="4" t="s">
        <v>1674</v>
      </c>
      <c r="G152" s="2" t="s">
        <v>62</v>
      </c>
      <c r="H152" s="7" t="s">
        <v>196</v>
      </c>
      <c r="I152" s="2" t="s">
        <v>515</v>
      </c>
      <c r="J152" s="2" t="s">
        <v>827</v>
      </c>
      <c r="K152" s="2" t="s">
        <v>304</v>
      </c>
      <c r="L152" s="2" t="s">
        <v>358</v>
      </c>
      <c r="M152" s="8" t="str">
        <f>HYPERLINK("http://slimages.macys.com/is/image/MCY/12688126 ")</f>
        <v xml:space="preserve">http://slimages.macys.com/is/image/MCY/12688126 </v>
      </c>
    </row>
    <row r="153" spans="1:13" ht="60" x14ac:dyDescent="0.25">
      <c r="A153" s="7" t="s">
        <v>1677</v>
      </c>
      <c r="B153" s="2" t="s">
        <v>1673</v>
      </c>
      <c r="C153" s="4">
        <v>1</v>
      </c>
      <c r="D153" s="5">
        <v>8.4499999999999993</v>
      </c>
      <c r="E153" s="5">
        <v>16.989999999999998</v>
      </c>
      <c r="F153" s="4" t="s">
        <v>1674</v>
      </c>
      <c r="G153" s="2" t="s">
        <v>48</v>
      </c>
      <c r="H153" s="7" t="s">
        <v>159</v>
      </c>
      <c r="I153" s="2" t="s">
        <v>515</v>
      </c>
      <c r="J153" s="2" t="s">
        <v>827</v>
      </c>
      <c r="K153" s="2" t="s">
        <v>304</v>
      </c>
      <c r="L153" s="2" t="s">
        <v>358</v>
      </c>
      <c r="M153" s="8" t="str">
        <f>HYPERLINK("http://slimages.macys.com/is/image/MCY/12688126 ")</f>
        <v xml:space="preserve">http://slimages.macys.com/is/image/MCY/12688126 </v>
      </c>
    </row>
    <row r="154" spans="1:13" ht="60" x14ac:dyDescent="0.25">
      <c r="A154" s="7" t="s">
        <v>6222</v>
      </c>
      <c r="B154" s="2" t="s">
        <v>1673</v>
      </c>
      <c r="C154" s="4">
        <v>2</v>
      </c>
      <c r="D154" s="5">
        <v>8.4499999999999993</v>
      </c>
      <c r="E154" s="5">
        <v>16.989999999999998</v>
      </c>
      <c r="F154" s="4" t="s">
        <v>1674</v>
      </c>
      <c r="G154" s="2" t="s">
        <v>48</v>
      </c>
      <c r="H154" s="7" t="s">
        <v>228</v>
      </c>
      <c r="I154" s="2" t="s">
        <v>515</v>
      </c>
      <c r="J154" s="2" t="s">
        <v>827</v>
      </c>
      <c r="K154" s="2" t="s">
        <v>304</v>
      </c>
      <c r="L154" s="2" t="s">
        <v>358</v>
      </c>
      <c r="M154" s="8" t="str">
        <f>HYPERLINK("http://slimages.macys.com/is/image/MCY/12688126 ")</f>
        <v xml:space="preserve">http://slimages.macys.com/is/image/MCY/12688126 </v>
      </c>
    </row>
    <row r="155" spans="1:13" ht="60" x14ac:dyDescent="0.25">
      <c r="A155" s="7" t="s">
        <v>1676</v>
      </c>
      <c r="B155" s="2" t="s">
        <v>1673</v>
      </c>
      <c r="C155" s="4">
        <v>2</v>
      </c>
      <c r="D155" s="5">
        <v>8.4499999999999993</v>
      </c>
      <c r="E155" s="5">
        <v>16.989999999999998</v>
      </c>
      <c r="F155" s="4" t="s">
        <v>1674</v>
      </c>
      <c r="G155" s="2" t="s">
        <v>62</v>
      </c>
      <c r="H155" s="7" t="s">
        <v>159</v>
      </c>
      <c r="I155" s="2" t="s">
        <v>515</v>
      </c>
      <c r="J155" s="2" t="s">
        <v>827</v>
      </c>
      <c r="K155" s="2" t="s">
        <v>304</v>
      </c>
      <c r="L155" s="2" t="s">
        <v>358</v>
      </c>
      <c r="M155" s="8" t="str">
        <f>HYPERLINK("http://slimages.macys.com/is/image/MCY/12688126 ")</f>
        <v xml:space="preserve">http://slimages.macys.com/is/image/MCY/12688126 </v>
      </c>
    </row>
    <row r="156" spans="1:13" ht="60" x14ac:dyDescent="0.25">
      <c r="A156" s="7" t="s">
        <v>1679</v>
      </c>
      <c r="B156" s="2" t="s">
        <v>1673</v>
      </c>
      <c r="C156" s="4">
        <v>2</v>
      </c>
      <c r="D156" s="5">
        <v>8.4499999999999993</v>
      </c>
      <c r="E156" s="5">
        <v>16.989999999999998</v>
      </c>
      <c r="F156" s="4" t="s">
        <v>1674</v>
      </c>
      <c r="G156" s="2" t="s">
        <v>62</v>
      </c>
      <c r="H156" s="7" t="s">
        <v>284</v>
      </c>
      <c r="I156" s="2" t="s">
        <v>515</v>
      </c>
      <c r="J156" s="2" t="s">
        <v>827</v>
      </c>
      <c r="K156" s="2" t="s">
        <v>304</v>
      </c>
      <c r="L156" s="2" t="s">
        <v>358</v>
      </c>
      <c r="M156" s="8" t="str">
        <f>HYPERLINK("http://slimages.macys.com/is/image/MCY/12688126 ")</f>
        <v xml:space="preserve">http://slimages.macys.com/is/image/MCY/12688126 </v>
      </c>
    </row>
    <row r="157" spans="1:13" ht="60" x14ac:dyDescent="0.25">
      <c r="A157" s="7" t="s">
        <v>6223</v>
      </c>
      <c r="B157" s="2" t="s">
        <v>3928</v>
      </c>
      <c r="C157" s="4">
        <v>1</v>
      </c>
      <c r="D157" s="5">
        <v>8.4499999999999993</v>
      </c>
      <c r="E157" s="5">
        <v>17.98</v>
      </c>
      <c r="F157" s="4" t="s">
        <v>6224</v>
      </c>
      <c r="G157" s="2" t="s">
        <v>262</v>
      </c>
      <c r="H157" s="7" t="s">
        <v>6225</v>
      </c>
      <c r="I157" s="2" t="s">
        <v>523</v>
      </c>
      <c r="J157" s="2" t="s">
        <v>3930</v>
      </c>
      <c r="K157" s="2" t="s">
        <v>304</v>
      </c>
      <c r="L157" s="2" t="s">
        <v>206</v>
      </c>
      <c r="M157" s="8" t="str">
        <f>HYPERLINK("http://slimages.macys.com/is/image/MCY/11671060 ")</f>
        <v xml:space="preserve">http://slimages.macys.com/is/image/MCY/11671060 </v>
      </c>
    </row>
    <row r="158" spans="1:13" ht="132" x14ac:dyDescent="0.25">
      <c r="A158" s="7" t="s">
        <v>10005</v>
      </c>
      <c r="B158" s="2" t="s">
        <v>872</v>
      </c>
      <c r="C158" s="4">
        <v>1</v>
      </c>
      <c r="D158" s="5">
        <v>8.43</v>
      </c>
      <c r="E158" s="5">
        <v>21.99</v>
      </c>
      <c r="F158" s="4" t="s">
        <v>873</v>
      </c>
      <c r="G158" s="2" t="s">
        <v>874</v>
      </c>
      <c r="H158" s="7" t="s">
        <v>1151</v>
      </c>
      <c r="I158" s="2" t="s">
        <v>515</v>
      </c>
      <c r="J158" s="2" t="s">
        <v>875</v>
      </c>
      <c r="K158" s="2" t="s">
        <v>304</v>
      </c>
      <c r="L158" s="2" t="s">
        <v>10006</v>
      </c>
      <c r="M158" s="8" t="str">
        <f>HYPERLINK("http://slimages.macys.com/is/image/MCY/12387495 ")</f>
        <v xml:space="preserve">http://slimages.macys.com/is/image/MCY/12387495 </v>
      </c>
    </row>
    <row r="159" spans="1:13" ht="60" x14ac:dyDescent="0.25">
      <c r="A159" s="7" t="s">
        <v>9458</v>
      </c>
      <c r="B159" s="2" t="s">
        <v>1687</v>
      </c>
      <c r="C159" s="4">
        <v>1</v>
      </c>
      <c r="D159" s="5">
        <v>8.3800000000000008</v>
      </c>
      <c r="E159" s="5">
        <v>24.99</v>
      </c>
      <c r="F159" s="4" t="s">
        <v>1688</v>
      </c>
      <c r="G159" s="2" t="s">
        <v>28</v>
      </c>
      <c r="H159" s="7" t="s">
        <v>1151</v>
      </c>
      <c r="I159" s="2" t="s">
        <v>1689</v>
      </c>
      <c r="J159" s="2" t="s">
        <v>354</v>
      </c>
      <c r="K159" s="2" t="s">
        <v>304</v>
      </c>
      <c r="L159" s="2" t="s">
        <v>1569</v>
      </c>
      <c r="M159" s="8" t="str">
        <f>HYPERLINK("http://slimages.macys.com/is/image/MCY/13076988 ")</f>
        <v xml:space="preserve">http://slimages.macys.com/is/image/MCY/13076988 </v>
      </c>
    </row>
    <row r="160" spans="1:13" ht="96" x14ac:dyDescent="0.25">
      <c r="A160" s="7" t="s">
        <v>10007</v>
      </c>
      <c r="B160" s="2" t="s">
        <v>6189</v>
      </c>
      <c r="C160" s="4">
        <v>1</v>
      </c>
      <c r="D160" s="5">
        <v>8.2899999999999991</v>
      </c>
      <c r="E160" s="5">
        <v>19.989999999999998</v>
      </c>
      <c r="F160" s="4" t="s">
        <v>10008</v>
      </c>
      <c r="G160" s="2" t="s">
        <v>36</v>
      </c>
      <c r="H160" s="7" t="s">
        <v>311</v>
      </c>
      <c r="I160" s="2" t="s">
        <v>515</v>
      </c>
      <c r="J160" s="2" t="s">
        <v>516</v>
      </c>
      <c r="K160" s="2" t="s">
        <v>304</v>
      </c>
      <c r="L160" s="2" t="s">
        <v>6191</v>
      </c>
      <c r="M160" s="8" t="str">
        <f>HYPERLINK("http://slimages.macys.com/is/image/MCY/12387467 ")</f>
        <v xml:space="preserve">http://slimages.macys.com/is/image/MCY/12387467 </v>
      </c>
    </row>
    <row r="161" spans="1:13" ht="96" x14ac:dyDescent="0.25">
      <c r="A161" s="7" t="s">
        <v>10009</v>
      </c>
      <c r="B161" s="2" t="s">
        <v>6189</v>
      </c>
      <c r="C161" s="4">
        <v>2</v>
      </c>
      <c r="D161" s="5">
        <v>8.2899999999999991</v>
      </c>
      <c r="E161" s="5">
        <v>19.989999999999998</v>
      </c>
      <c r="F161" s="4" t="s">
        <v>10008</v>
      </c>
      <c r="G161" s="2" t="s">
        <v>36</v>
      </c>
      <c r="H161" s="7" t="s">
        <v>63</v>
      </c>
      <c r="I161" s="2" t="s">
        <v>515</v>
      </c>
      <c r="J161" s="2" t="s">
        <v>516</v>
      </c>
      <c r="K161" s="2" t="s">
        <v>304</v>
      </c>
      <c r="L161" s="2" t="s">
        <v>6191</v>
      </c>
      <c r="M161" s="8" t="str">
        <f>HYPERLINK("http://slimages.macys.com/is/image/MCY/12387467 ")</f>
        <v xml:space="preserve">http://slimages.macys.com/is/image/MCY/12387467 </v>
      </c>
    </row>
    <row r="162" spans="1:13" ht="96" x14ac:dyDescent="0.25">
      <c r="A162" s="7" t="s">
        <v>10010</v>
      </c>
      <c r="B162" s="2" t="s">
        <v>6189</v>
      </c>
      <c r="C162" s="4">
        <v>1</v>
      </c>
      <c r="D162" s="5">
        <v>8.2899999999999991</v>
      </c>
      <c r="E162" s="5">
        <v>19.989999999999998</v>
      </c>
      <c r="F162" s="4" t="s">
        <v>10008</v>
      </c>
      <c r="G162" s="2" t="s">
        <v>36</v>
      </c>
      <c r="H162" s="7" t="s">
        <v>1151</v>
      </c>
      <c r="I162" s="2" t="s">
        <v>515</v>
      </c>
      <c r="J162" s="2" t="s">
        <v>516</v>
      </c>
      <c r="K162" s="2" t="s">
        <v>304</v>
      </c>
      <c r="L162" s="2" t="s">
        <v>6191</v>
      </c>
      <c r="M162" s="8" t="str">
        <f>HYPERLINK("http://slimages.macys.com/is/image/MCY/12387467 ")</f>
        <v xml:space="preserve">http://slimages.macys.com/is/image/MCY/12387467 </v>
      </c>
    </row>
    <row r="163" spans="1:13" ht="60" x14ac:dyDescent="0.25">
      <c r="A163" s="7" t="s">
        <v>10011</v>
      </c>
      <c r="B163" s="2" t="s">
        <v>6232</v>
      </c>
      <c r="C163" s="4">
        <v>1</v>
      </c>
      <c r="D163" s="5">
        <v>8.16</v>
      </c>
      <c r="E163" s="5">
        <v>16.989999999999998</v>
      </c>
      <c r="F163" s="4" t="s">
        <v>6233</v>
      </c>
      <c r="G163" s="2" t="s">
        <v>62</v>
      </c>
      <c r="H163" s="7" t="s">
        <v>196</v>
      </c>
      <c r="I163" s="2" t="s">
        <v>515</v>
      </c>
      <c r="J163" s="2" t="s">
        <v>827</v>
      </c>
      <c r="K163" s="2" t="s">
        <v>304</v>
      </c>
      <c r="L163" s="2" t="s">
        <v>358</v>
      </c>
      <c r="M163" s="8" t="str">
        <f>HYPERLINK("http://slimages.macys.com/is/image/MCY/12507579 ")</f>
        <v xml:space="preserve">http://slimages.macys.com/is/image/MCY/12507579 </v>
      </c>
    </row>
    <row r="164" spans="1:13" ht="60" x14ac:dyDescent="0.25">
      <c r="A164" s="7" t="s">
        <v>10012</v>
      </c>
      <c r="B164" s="2" t="s">
        <v>6232</v>
      </c>
      <c r="C164" s="4">
        <v>1</v>
      </c>
      <c r="D164" s="5">
        <v>8.16</v>
      </c>
      <c r="E164" s="5">
        <v>16.989999999999998</v>
      </c>
      <c r="F164" s="4" t="s">
        <v>6233</v>
      </c>
      <c r="G164" s="2" t="s">
        <v>62</v>
      </c>
      <c r="H164" s="7" t="s">
        <v>284</v>
      </c>
      <c r="I164" s="2" t="s">
        <v>515</v>
      </c>
      <c r="J164" s="2" t="s">
        <v>827</v>
      </c>
      <c r="K164" s="2" t="s">
        <v>304</v>
      </c>
      <c r="L164" s="2" t="s">
        <v>358</v>
      </c>
      <c r="M164" s="8" t="str">
        <f>HYPERLINK("http://slimages.macys.com/is/image/MCY/12507579 ")</f>
        <v xml:space="preserve">http://slimages.macys.com/is/image/MCY/12507579 </v>
      </c>
    </row>
    <row r="165" spans="1:13" ht="60" x14ac:dyDescent="0.25">
      <c r="A165" s="7" t="s">
        <v>8213</v>
      </c>
      <c r="B165" s="2" t="s">
        <v>6232</v>
      </c>
      <c r="C165" s="4">
        <v>2</v>
      </c>
      <c r="D165" s="5">
        <v>8.16</v>
      </c>
      <c r="E165" s="5">
        <v>16.989999999999998</v>
      </c>
      <c r="F165" s="4" t="s">
        <v>6233</v>
      </c>
      <c r="G165" s="2" t="s">
        <v>62</v>
      </c>
      <c r="H165" s="7" t="s">
        <v>228</v>
      </c>
      <c r="I165" s="2" t="s">
        <v>515</v>
      </c>
      <c r="J165" s="2" t="s">
        <v>827</v>
      </c>
      <c r="K165" s="2" t="s">
        <v>304</v>
      </c>
      <c r="L165" s="2" t="s">
        <v>358</v>
      </c>
      <c r="M165" s="8" t="str">
        <f>HYPERLINK("http://slimages.macys.com/is/image/MCY/12507579 ")</f>
        <v xml:space="preserve">http://slimages.macys.com/is/image/MCY/12507579 </v>
      </c>
    </row>
    <row r="166" spans="1:13" ht="60" x14ac:dyDescent="0.25">
      <c r="A166" s="7" t="s">
        <v>10013</v>
      </c>
      <c r="B166" s="2" t="s">
        <v>3232</v>
      </c>
      <c r="C166" s="4">
        <v>1</v>
      </c>
      <c r="D166" s="5">
        <v>8.1</v>
      </c>
      <c r="E166" s="5">
        <v>18</v>
      </c>
      <c r="F166" s="4">
        <v>322703644007</v>
      </c>
      <c r="G166" s="2" t="s">
        <v>28</v>
      </c>
      <c r="H166" s="7" t="s">
        <v>123</v>
      </c>
      <c r="I166" s="2" t="s">
        <v>204</v>
      </c>
      <c r="J166" s="2" t="s">
        <v>205</v>
      </c>
      <c r="K166" s="2" t="s">
        <v>304</v>
      </c>
      <c r="L166" s="2" t="s">
        <v>38</v>
      </c>
      <c r="M166" s="8" t="str">
        <f>HYPERLINK("http://slimages.macys.com/is/image/MCY/13746499 ")</f>
        <v xml:space="preserve">http://slimages.macys.com/is/image/MCY/13746499 </v>
      </c>
    </row>
    <row r="167" spans="1:13" ht="60" x14ac:dyDescent="0.25">
      <c r="A167" s="7" t="s">
        <v>10014</v>
      </c>
      <c r="B167" s="2" t="s">
        <v>3232</v>
      </c>
      <c r="C167" s="4">
        <v>1</v>
      </c>
      <c r="D167" s="5">
        <v>8.1</v>
      </c>
      <c r="E167" s="5">
        <v>18</v>
      </c>
      <c r="F167" s="4">
        <v>322703644007</v>
      </c>
      <c r="G167" s="2" t="s">
        <v>28</v>
      </c>
      <c r="H167" s="7" t="s">
        <v>311</v>
      </c>
      <c r="I167" s="2" t="s">
        <v>204</v>
      </c>
      <c r="J167" s="2" t="s">
        <v>205</v>
      </c>
      <c r="K167" s="2" t="s">
        <v>304</v>
      </c>
      <c r="L167" s="2" t="s">
        <v>38</v>
      </c>
      <c r="M167" s="8" t="str">
        <f>HYPERLINK("http://slimages.macys.com/is/image/MCY/13746499 ")</f>
        <v xml:space="preserve">http://slimages.macys.com/is/image/MCY/13746499 </v>
      </c>
    </row>
    <row r="168" spans="1:13" ht="60" x14ac:dyDescent="0.25">
      <c r="A168" s="7" t="s">
        <v>10015</v>
      </c>
      <c r="B168" s="2" t="s">
        <v>7482</v>
      </c>
      <c r="C168" s="4">
        <v>1</v>
      </c>
      <c r="D168" s="5">
        <v>8.01</v>
      </c>
      <c r="E168" s="5">
        <v>17.989999999999998</v>
      </c>
      <c r="F168" s="4" t="s">
        <v>3274</v>
      </c>
      <c r="G168" s="2" t="s">
        <v>41</v>
      </c>
      <c r="H168" s="7" t="s">
        <v>284</v>
      </c>
      <c r="I168" s="2" t="s">
        <v>73</v>
      </c>
      <c r="J168" s="2" t="s">
        <v>160</v>
      </c>
      <c r="K168" s="2" t="s">
        <v>304</v>
      </c>
      <c r="L168" s="2" t="s">
        <v>206</v>
      </c>
      <c r="M168" s="8" t="str">
        <f>HYPERLINK("http://slimages.macys.com/is/image/MCY/12337176 ")</f>
        <v xml:space="preserve">http://slimages.macys.com/is/image/MCY/12337176 </v>
      </c>
    </row>
    <row r="169" spans="1:13" ht="60" x14ac:dyDescent="0.25">
      <c r="A169" s="7" t="s">
        <v>10016</v>
      </c>
      <c r="B169" s="2" t="s">
        <v>10017</v>
      </c>
      <c r="C169" s="4">
        <v>1</v>
      </c>
      <c r="D169" s="5">
        <v>8</v>
      </c>
      <c r="E169" s="5">
        <v>19.989999999999998</v>
      </c>
      <c r="F169" s="4" t="s">
        <v>10018</v>
      </c>
      <c r="G169" s="2" t="s">
        <v>62</v>
      </c>
      <c r="H169" s="7" t="s">
        <v>514</v>
      </c>
      <c r="I169" s="2" t="s">
        <v>515</v>
      </c>
      <c r="J169" s="2" t="s">
        <v>516</v>
      </c>
      <c r="K169" s="2" t="s">
        <v>304</v>
      </c>
      <c r="L169" s="2" t="s">
        <v>358</v>
      </c>
      <c r="M169" s="8" t="str">
        <f>HYPERLINK("http://slimages.macys.com/is/image/MCY/10130811 ")</f>
        <v xml:space="preserve">http://slimages.macys.com/is/image/MCY/10130811 </v>
      </c>
    </row>
    <row r="170" spans="1:13" ht="60" x14ac:dyDescent="0.25">
      <c r="A170" s="7" t="s">
        <v>10019</v>
      </c>
      <c r="B170" s="2" t="s">
        <v>1712</v>
      </c>
      <c r="C170" s="4">
        <v>1</v>
      </c>
      <c r="D170" s="5">
        <v>8</v>
      </c>
      <c r="E170" s="5">
        <v>17.989999999999998</v>
      </c>
      <c r="F170" s="4" t="s">
        <v>1713</v>
      </c>
      <c r="G170" s="2" t="s">
        <v>41</v>
      </c>
      <c r="H170" s="7" t="s">
        <v>228</v>
      </c>
      <c r="I170" s="2" t="s">
        <v>73</v>
      </c>
      <c r="J170" s="2" t="s">
        <v>223</v>
      </c>
      <c r="K170" s="2" t="s">
        <v>304</v>
      </c>
      <c r="L170" s="2" t="s">
        <v>125</v>
      </c>
      <c r="M170" s="8" t="str">
        <f>HYPERLINK("http://slimages.macys.com/is/image/MCY/12667231 ")</f>
        <v xml:space="preserve">http://slimages.macys.com/is/image/MCY/12667231 </v>
      </c>
    </row>
    <row r="171" spans="1:13" ht="60" x14ac:dyDescent="0.25">
      <c r="A171" s="7" t="s">
        <v>10020</v>
      </c>
      <c r="B171" s="2" t="s">
        <v>7490</v>
      </c>
      <c r="C171" s="4">
        <v>1</v>
      </c>
      <c r="D171" s="5">
        <v>8</v>
      </c>
      <c r="E171" s="5">
        <v>20</v>
      </c>
      <c r="F171" s="4">
        <v>1329819</v>
      </c>
      <c r="G171" s="2" t="s">
        <v>165</v>
      </c>
      <c r="H171" s="7" t="s">
        <v>284</v>
      </c>
      <c r="I171" s="2" t="s">
        <v>80</v>
      </c>
      <c r="J171" s="2" t="s">
        <v>280</v>
      </c>
      <c r="K171" s="2" t="s">
        <v>304</v>
      </c>
      <c r="L171" s="2" t="s">
        <v>119</v>
      </c>
      <c r="M171" s="8" t="str">
        <f>HYPERLINK("http://slimages.macys.com/is/image/MCY/15918266 ")</f>
        <v xml:space="preserve">http://slimages.macys.com/is/image/MCY/15918266 </v>
      </c>
    </row>
    <row r="172" spans="1:13" ht="96" x14ac:dyDescent="0.25">
      <c r="A172" s="7" t="s">
        <v>10021</v>
      </c>
      <c r="B172" s="2" t="s">
        <v>10022</v>
      </c>
      <c r="C172" s="4">
        <v>1</v>
      </c>
      <c r="D172" s="5">
        <v>7.75</v>
      </c>
      <c r="E172" s="5">
        <v>22.99</v>
      </c>
      <c r="F172" s="4" t="s">
        <v>10023</v>
      </c>
      <c r="G172" s="2" t="s">
        <v>310</v>
      </c>
      <c r="H172" s="7" t="s">
        <v>590</v>
      </c>
      <c r="I172" s="2" t="s">
        <v>135</v>
      </c>
      <c r="J172" s="2" t="s">
        <v>6838</v>
      </c>
      <c r="K172" s="2" t="s">
        <v>304</v>
      </c>
      <c r="L172" s="2" t="s">
        <v>10024</v>
      </c>
      <c r="M172" s="8" t="str">
        <f>HYPERLINK("http://slimages.macys.com/is/image/MCY/12282583 ")</f>
        <v xml:space="preserve">http://slimages.macys.com/is/image/MCY/12282583 </v>
      </c>
    </row>
    <row r="173" spans="1:13" ht="60" x14ac:dyDescent="0.25">
      <c r="A173" s="7" t="s">
        <v>10025</v>
      </c>
      <c r="B173" s="2" t="s">
        <v>8234</v>
      </c>
      <c r="C173" s="4">
        <v>1</v>
      </c>
      <c r="D173" s="5">
        <v>7.71</v>
      </c>
      <c r="E173" s="5">
        <v>16.989999999999998</v>
      </c>
      <c r="F173" s="4" t="s">
        <v>8235</v>
      </c>
      <c r="G173" s="2" t="s">
        <v>62</v>
      </c>
      <c r="H173" s="7" t="s">
        <v>196</v>
      </c>
      <c r="I173" s="2" t="s">
        <v>515</v>
      </c>
      <c r="J173" s="2" t="s">
        <v>827</v>
      </c>
      <c r="K173" s="2" t="s">
        <v>304</v>
      </c>
      <c r="L173" s="2" t="s">
        <v>358</v>
      </c>
      <c r="M173" s="8" t="str">
        <f>HYPERLINK("http://slimages.macys.com/is/image/MCY/10410441 ")</f>
        <v xml:space="preserve">http://slimages.macys.com/is/image/MCY/10410441 </v>
      </c>
    </row>
    <row r="174" spans="1:13" ht="60" x14ac:dyDescent="0.25">
      <c r="A174" s="7" t="s">
        <v>10026</v>
      </c>
      <c r="B174" s="2" t="s">
        <v>8231</v>
      </c>
      <c r="C174" s="4">
        <v>1</v>
      </c>
      <c r="D174" s="5">
        <v>7.71</v>
      </c>
      <c r="E174" s="5">
        <v>16.989999999999998</v>
      </c>
      <c r="F174" s="4" t="s">
        <v>8232</v>
      </c>
      <c r="G174" s="2" t="s">
        <v>86</v>
      </c>
      <c r="H174" s="7" t="s">
        <v>284</v>
      </c>
      <c r="I174" s="2" t="s">
        <v>515</v>
      </c>
      <c r="J174" s="2" t="s">
        <v>827</v>
      </c>
      <c r="K174" s="2" t="s">
        <v>304</v>
      </c>
      <c r="L174" s="2" t="s">
        <v>358</v>
      </c>
      <c r="M174" s="8" t="str">
        <f>HYPERLINK("http://slimages.macys.com/is/image/MCY/11860745 ")</f>
        <v xml:space="preserve">http://slimages.macys.com/is/image/MCY/11860745 </v>
      </c>
    </row>
    <row r="175" spans="1:13" ht="132" x14ac:dyDescent="0.25">
      <c r="A175" s="7" t="s">
        <v>10027</v>
      </c>
      <c r="B175" s="2" t="s">
        <v>10028</v>
      </c>
      <c r="C175" s="4">
        <v>1</v>
      </c>
      <c r="D175" s="5">
        <v>7.6</v>
      </c>
      <c r="E175" s="5">
        <v>17.28</v>
      </c>
      <c r="F175" s="4">
        <v>18372410</v>
      </c>
      <c r="G175" s="2"/>
      <c r="H175" s="7" t="s">
        <v>675</v>
      </c>
      <c r="I175" s="2" t="s">
        <v>153</v>
      </c>
      <c r="J175" s="2" t="s">
        <v>154</v>
      </c>
      <c r="K175" s="2" t="s">
        <v>304</v>
      </c>
      <c r="L175" s="2" t="s">
        <v>10029</v>
      </c>
      <c r="M175" s="8" t="str">
        <f>HYPERLINK("http://slimages.macys.com/is/image/MCY/14608272 ")</f>
        <v xml:space="preserve">http://slimages.macys.com/is/image/MCY/14608272 </v>
      </c>
    </row>
    <row r="176" spans="1:13" ht="96" x14ac:dyDescent="0.25">
      <c r="A176" s="7" t="s">
        <v>1722</v>
      </c>
      <c r="B176" s="2" t="s">
        <v>436</v>
      </c>
      <c r="C176" s="4">
        <v>1</v>
      </c>
      <c r="D176" s="5">
        <v>7.6</v>
      </c>
      <c r="E176" s="5">
        <v>17.28</v>
      </c>
      <c r="F176" s="4">
        <v>18372810</v>
      </c>
      <c r="G176" s="2" t="s">
        <v>437</v>
      </c>
      <c r="H176" s="7" t="s">
        <v>233</v>
      </c>
      <c r="I176" s="2" t="s">
        <v>153</v>
      </c>
      <c r="J176" s="2" t="s">
        <v>154</v>
      </c>
      <c r="K176" s="2" t="s">
        <v>304</v>
      </c>
      <c r="L176" s="2" t="s">
        <v>439</v>
      </c>
      <c r="M176" s="8" t="str">
        <f>HYPERLINK("http://slimages.macys.com/is/image/MCY/14608281 ")</f>
        <v xml:space="preserve">http://slimages.macys.com/is/image/MCY/14608281 </v>
      </c>
    </row>
    <row r="177" spans="1:13" ht="60" x14ac:dyDescent="0.25">
      <c r="A177" s="7" t="s">
        <v>3985</v>
      </c>
      <c r="B177" s="2" t="s">
        <v>3986</v>
      </c>
      <c r="C177" s="4">
        <v>1</v>
      </c>
      <c r="D177" s="5">
        <v>7.6</v>
      </c>
      <c r="E177" s="5">
        <v>17.28</v>
      </c>
      <c r="F177" s="4">
        <v>18389710</v>
      </c>
      <c r="G177" s="2" t="s">
        <v>48</v>
      </c>
      <c r="H177" s="7" t="s">
        <v>675</v>
      </c>
      <c r="I177" s="2" t="s">
        <v>153</v>
      </c>
      <c r="J177" s="2" t="s">
        <v>154</v>
      </c>
      <c r="K177" s="2" t="s">
        <v>304</v>
      </c>
      <c r="L177" s="2" t="s">
        <v>38</v>
      </c>
      <c r="M177" s="8" t="str">
        <f>HYPERLINK("http://slimages.macys.com/is/image/MCY/14608342 ")</f>
        <v xml:space="preserve">http://slimages.macys.com/is/image/MCY/14608342 </v>
      </c>
    </row>
    <row r="178" spans="1:13" ht="96" x14ac:dyDescent="0.25">
      <c r="A178" s="7" t="s">
        <v>10030</v>
      </c>
      <c r="B178" s="2" t="s">
        <v>9491</v>
      </c>
      <c r="C178" s="4">
        <v>1</v>
      </c>
      <c r="D178" s="5">
        <v>7.6</v>
      </c>
      <c r="E178" s="5">
        <v>17.28</v>
      </c>
      <c r="F178" s="4">
        <v>18373810</v>
      </c>
      <c r="G178" s="2"/>
      <c r="H178" s="7" t="s">
        <v>233</v>
      </c>
      <c r="I178" s="2" t="s">
        <v>153</v>
      </c>
      <c r="J178" s="2" t="s">
        <v>154</v>
      </c>
      <c r="K178" s="2" t="s">
        <v>304</v>
      </c>
      <c r="L178" s="2" t="s">
        <v>439</v>
      </c>
      <c r="M178" s="8" t="str">
        <f>HYPERLINK("http://slimages.macys.com/is/image/MCY/14608293 ")</f>
        <v xml:space="preserve">http://slimages.macys.com/is/image/MCY/14608293 </v>
      </c>
    </row>
    <row r="179" spans="1:13" ht="60" x14ac:dyDescent="0.25">
      <c r="A179" s="7" t="s">
        <v>6839</v>
      </c>
      <c r="B179" s="2" t="s">
        <v>3986</v>
      </c>
      <c r="C179" s="4">
        <v>1</v>
      </c>
      <c r="D179" s="5">
        <v>7.6</v>
      </c>
      <c r="E179" s="5">
        <v>17.28</v>
      </c>
      <c r="F179" s="4">
        <v>18389710</v>
      </c>
      <c r="G179" s="2" t="s">
        <v>48</v>
      </c>
      <c r="H179" s="7" t="s">
        <v>42</v>
      </c>
      <c r="I179" s="2" t="s">
        <v>153</v>
      </c>
      <c r="J179" s="2" t="s">
        <v>154</v>
      </c>
      <c r="K179" s="2" t="s">
        <v>304</v>
      </c>
      <c r="L179" s="2" t="s">
        <v>38</v>
      </c>
      <c r="M179" s="8" t="str">
        <f>HYPERLINK("http://slimages.macys.com/is/image/MCY/14608342 ")</f>
        <v xml:space="preserve">http://slimages.macys.com/is/image/MCY/14608342 </v>
      </c>
    </row>
    <row r="180" spans="1:13" ht="96" x14ac:dyDescent="0.25">
      <c r="A180" s="7" t="s">
        <v>10031</v>
      </c>
      <c r="B180" s="2" t="s">
        <v>10032</v>
      </c>
      <c r="C180" s="4">
        <v>1</v>
      </c>
      <c r="D180" s="5">
        <v>7.55</v>
      </c>
      <c r="E180" s="5">
        <v>12.99</v>
      </c>
      <c r="F180" s="4" t="s">
        <v>10033</v>
      </c>
      <c r="G180" s="2" t="s">
        <v>41</v>
      </c>
      <c r="H180" s="7" t="s">
        <v>438</v>
      </c>
      <c r="I180" s="2" t="s">
        <v>153</v>
      </c>
      <c r="J180" s="2" t="s">
        <v>154</v>
      </c>
      <c r="K180" s="2" t="s">
        <v>304</v>
      </c>
      <c r="L180" s="2" t="s">
        <v>10034</v>
      </c>
      <c r="M180" s="8" t="str">
        <f>HYPERLINK("http://slimages.macys.com/is/image/MCY/9644589 ")</f>
        <v xml:space="preserve">http://slimages.macys.com/is/image/MCY/9644589 </v>
      </c>
    </row>
    <row r="181" spans="1:13" ht="60" x14ac:dyDescent="0.25">
      <c r="A181" s="7" t="s">
        <v>10035</v>
      </c>
      <c r="B181" s="2" t="s">
        <v>10036</v>
      </c>
      <c r="C181" s="4">
        <v>1</v>
      </c>
      <c r="D181" s="5">
        <v>7.5</v>
      </c>
      <c r="E181" s="5">
        <v>17.989999999999998</v>
      </c>
      <c r="F181" s="4" t="s">
        <v>10037</v>
      </c>
      <c r="G181" s="2" t="s">
        <v>48</v>
      </c>
      <c r="H181" s="7"/>
      <c r="I181" s="2" t="s">
        <v>312</v>
      </c>
      <c r="J181" s="2" t="s">
        <v>4111</v>
      </c>
      <c r="K181" s="2" t="s">
        <v>304</v>
      </c>
      <c r="L181" s="2" t="s">
        <v>125</v>
      </c>
      <c r="M181" s="8" t="str">
        <f>HYPERLINK("http://slimages.macys.com/is/image/MCY/10037435 ")</f>
        <v xml:space="preserve">http://slimages.macys.com/is/image/MCY/10037435 </v>
      </c>
    </row>
    <row r="182" spans="1:13" ht="60" x14ac:dyDescent="0.25">
      <c r="A182" s="7" t="s">
        <v>10038</v>
      </c>
      <c r="B182" s="2" t="s">
        <v>10039</v>
      </c>
      <c r="C182" s="4">
        <v>1</v>
      </c>
      <c r="D182" s="5">
        <v>7.5</v>
      </c>
      <c r="E182" s="5">
        <v>24.99</v>
      </c>
      <c r="F182" s="4" t="s">
        <v>10040</v>
      </c>
      <c r="G182" s="2" t="s">
        <v>310</v>
      </c>
      <c r="H182" s="7" t="s">
        <v>42</v>
      </c>
      <c r="I182" s="2" t="s">
        <v>135</v>
      </c>
      <c r="J182" s="2" t="s">
        <v>5315</v>
      </c>
      <c r="K182" s="2" t="s">
        <v>304</v>
      </c>
      <c r="L182" s="2" t="s">
        <v>119</v>
      </c>
      <c r="M182" s="8" t="str">
        <f>HYPERLINK("http://slimages.macys.com/is/image/MCY/12078079 ")</f>
        <v xml:space="preserve">http://slimages.macys.com/is/image/MCY/12078079 </v>
      </c>
    </row>
    <row r="183" spans="1:13" ht="96" x14ac:dyDescent="0.25">
      <c r="A183" s="7" t="s">
        <v>8250</v>
      </c>
      <c r="B183" s="2" t="s">
        <v>444</v>
      </c>
      <c r="C183" s="4">
        <v>1</v>
      </c>
      <c r="D183" s="5">
        <v>7.5</v>
      </c>
      <c r="E183" s="5">
        <v>16.989999999999998</v>
      </c>
      <c r="F183" s="4" t="s">
        <v>445</v>
      </c>
      <c r="G183" s="2" t="s">
        <v>28</v>
      </c>
      <c r="H183" s="7" t="s">
        <v>284</v>
      </c>
      <c r="I183" s="2" t="s">
        <v>30</v>
      </c>
      <c r="J183" s="2" t="s">
        <v>446</v>
      </c>
      <c r="K183" s="2" t="s">
        <v>304</v>
      </c>
      <c r="L183" s="2" t="s">
        <v>447</v>
      </c>
      <c r="M183" s="8" t="str">
        <f>HYPERLINK("http://slimages.macys.com/is/image/MCY/10172233 ")</f>
        <v xml:space="preserve">http://slimages.macys.com/is/image/MCY/10172233 </v>
      </c>
    </row>
    <row r="184" spans="1:13" ht="72" x14ac:dyDescent="0.25">
      <c r="A184" s="7" t="s">
        <v>6848</v>
      </c>
      <c r="B184" s="2" t="s">
        <v>453</v>
      </c>
      <c r="C184" s="4">
        <v>1</v>
      </c>
      <c r="D184" s="5">
        <v>7.5</v>
      </c>
      <c r="E184" s="5">
        <v>16.989999999999998</v>
      </c>
      <c r="F184" s="4" t="s">
        <v>454</v>
      </c>
      <c r="G184" s="2" t="s">
        <v>455</v>
      </c>
      <c r="H184" s="7" t="s">
        <v>228</v>
      </c>
      <c r="I184" s="2" t="s">
        <v>30</v>
      </c>
      <c r="J184" s="2" t="s">
        <v>446</v>
      </c>
      <c r="K184" s="2" t="s">
        <v>304</v>
      </c>
      <c r="L184" s="2" t="s">
        <v>456</v>
      </c>
      <c r="M184" s="8" t="str">
        <f>HYPERLINK("http://slimages.macys.com/is/image/MCY/9439568 ")</f>
        <v xml:space="preserve">http://slimages.macys.com/is/image/MCY/9439568 </v>
      </c>
    </row>
    <row r="185" spans="1:13" ht="84" x14ac:dyDescent="0.25">
      <c r="A185" s="7" t="s">
        <v>10041</v>
      </c>
      <c r="B185" s="2" t="s">
        <v>3314</v>
      </c>
      <c r="C185" s="4">
        <v>1</v>
      </c>
      <c r="D185" s="5">
        <v>7.5</v>
      </c>
      <c r="E185" s="5">
        <v>16.989999999999998</v>
      </c>
      <c r="F185" s="4" t="s">
        <v>3315</v>
      </c>
      <c r="G185" s="2" t="s">
        <v>455</v>
      </c>
      <c r="H185" s="7" t="s">
        <v>217</v>
      </c>
      <c r="I185" s="2" t="s">
        <v>30</v>
      </c>
      <c r="J185" s="2" t="s">
        <v>446</v>
      </c>
      <c r="K185" s="2" t="s">
        <v>304</v>
      </c>
      <c r="L185" s="2" t="s">
        <v>3316</v>
      </c>
      <c r="M185" s="8" t="str">
        <f>HYPERLINK("http://slimages.macys.com/is/image/MCY/10031506 ")</f>
        <v xml:space="preserve">http://slimages.macys.com/is/image/MCY/10031506 </v>
      </c>
    </row>
    <row r="186" spans="1:13" ht="60" x14ac:dyDescent="0.25">
      <c r="A186" s="7" t="s">
        <v>8252</v>
      </c>
      <c r="B186" s="2" t="s">
        <v>458</v>
      </c>
      <c r="C186" s="4">
        <v>3</v>
      </c>
      <c r="D186" s="5">
        <v>7.5</v>
      </c>
      <c r="E186" s="5">
        <v>16.989999999999998</v>
      </c>
      <c r="F186" s="4" t="s">
        <v>459</v>
      </c>
      <c r="G186" s="2" t="s">
        <v>347</v>
      </c>
      <c r="H186" s="7" t="s">
        <v>284</v>
      </c>
      <c r="I186" s="2" t="s">
        <v>30</v>
      </c>
      <c r="J186" s="2" t="s">
        <v>446</v>
      </c>
      <c r="K186" s="2" t="s">
        <v>304</v>
      </c>
      <c r="L186" s="2" t="s">
        <v>460</v>
      </c>
      <c r="M186" s="8" t="str">
        <f>HYPERLINK("http://slimages.macys.com/is/image/MCY/12071760 ")</f>
        <v xml:space="preserve">http://slimages.macys.com/is/image/MCY/12071760 </v>
      </c>
    </row>
    <row r="187" spans="1:13" ht="60" x14ac:dyDescent="0.25">
      <c r="A187" s="7" t="s">
        <v>457</v>
      </c>
      <c r="B187" s="2" t="s">
        <v>458</v>
      </c>
      <c r="C187" s="4">
        <v>5</v>
      </c>
      <c r="D187" s="5">
        <v>7.5</v>
      </c>
      <c r="E187" s="5">
        <v>16.989999999999998</v>
      </c>
      <c r="F187" s="4" t="s">
        <v>459</v>
      </c>
      <c r="G187" s="2" t="s">
        <v>347</v>
      </c>
      <c r="H187" s="7" t="s">
        <v>159</v>
      </c>
      <c r="I187" s="2" t="s">
        <v>30</v>
      </c>
      <c r="J187" s="2" t="s">
        <v>446</v>
      </c>
      <c r="K187" s="2" t="s">
        <v>304</v>
      </c>
      <c r="L187" s="2" t="s">
        <v>460</v>
      </c>
      <c r="M187" s="8" t="str">
        <f>HYPERLINK("http://slimages.macys.com/is/image/MCY/12071760 ")</f>
        <v xml:space="preserve">http://slimages.macys.com/is/image/MCY/12071760 </v>
      </c>
    </row>
    <row r="188" spans="1:13" ht="84" x14ac:dyDescent="0.25">
      <c r="A188" s="7" t="s">
        <v>10042</v>
      </c>
      <c r="B188" s="2" t="s">
        <v>6845</v>
      </c>
      <c r="C188" s="4">
        <v>1</v>
      </c>
      <c r="D188" s="5">
        <v>7.5</v>
      </c>
      <c r="E188" s="5">
        <v>14.99</v>
      </c>
      <c r="F188" s="4" t="s">
        <v>3315</v>
      </c>
      <c r="G188" s="2" t="s">
        <v>62</v>
      </c>
      <c r="H188" s="7" t="s">
        <v>159</v>
      </c>
      <c r="I188" s="2" t="s">
        <v>30</v>
      </c>
      <c r="J188" s="2" t="s">
        <v>446</v>
      </c>
      <c r="K188" s="2" t="s">
        <v>304</v>
      </c>
      <c r="L188" s="2" t="s">
        <v>3316</v>
      </c>
      <c r="M188" s="8" t="str">
        <f>HYPERLINK("http://slimages.macys.com/is/image/MCY/10031506 ")</f>
        <v xml:space="preserve">http://slimages.macys.com/is/image/MCY/10031506 </v>
      </c>
    </row>
    <row r="189" spans="1:13" ht="72" x14ac:dyDescent="0.25">
      <c r="A189" s="7" t="s">
        <v>1736</v>
      </c>
      <c r="B189" s="2" t="s">
        <v>1731</v>
      </c>
      <c r="C189" s="4">
        <v>4</v>
      </c>
      <c r="D189" s="5">
        <v>7.5</v>
      </c>
      <c r="E189" s="5">
        <v>16.989999999999998</v>
      </c>
      <c r="F189" s="4" t="s">
        <v>1732</v>
      </c>
      <c r="G189" s="2" t="s">
        <v>347</v>
      </c>
      <c r="H189" s="7" t="s">
        <v>159</v>
      </c>
      <c r="I189" s="2" t="s">
        <v>30</v>
      </c>
      <c r="J189" s="2" t="s">
        <v>446</v>
      </c>
      <c r="K189" s="2" t="s">
        <v>304</v>
      </c>
      <c r="L189" s="2" t="s">
        <v>1733</v>
      </c>
      <c r="M189" s="8" t="str">
        <f>HYPERLINK("http://slimages.macys.com/is/image/MCY/12071765 ")</f>
        <v xml:space="preserve">http://slimages.macys.com/is/image/MCY/12071765 </v>
      </c>
    </row>
    <row r="190" spans="1:13" ht="60" x14ac:dyDescent="0.25">
      <c r="A190" s="7" t="s">
        <v>10043</v>
      </c>
      <c r="B190" s="2" t="s">
        <v>458</v>
      </c>
      <c r="C190" s="4">
        <v>1</v>
      </c>
      <c r="D190" s="5">
        <v>7.5</v>
      </c>
      <c r="E190" s="5">
        <v>16.989999999999998</v>
      </c>
      <c r="F190" s="4" t="s">
        <v>459</v>
      </c>
      <c r="G190" s="2" t="s">
        <v>347</v>
      </c>
      <c r="H190" s="7" t="s">
        <v>217</v>
      </c>
      <c r="I190" s="2" t="s">
        <v>30</v>
      </c>
      <c r="J190" s="2" t="s">
        <v>446</v>
      </c>
      <c r="K190" s="2" t="s">
        <v>304</v>
      </c>
      <c r="L190" s="2" t="s">
        <v>460</v>
      </c>
      <c r="M190" s="8" t="str">
        <f>HYPERLINK("http://slimages.macys.com/is/image/MCY/12071760 ")</f>
        <v xml:space="preserve">http://slimages.macys.com/is/image/MCY/12071760 </v>
      </c>
    </row>
    <row r="191" spans="1:13" ht="60" x14ac:dyDescent="0.25">
      <c r="A191" s="7" t="s">
        <v>1734</v>
      </c>
      <c r="B191" s="2" t="s">
        <v>458</v>
      </c>
      <c r="C191" s="4">
        <v>3</v>
      </c>
      <c r="D191" s="5">
        <v>7.5</v>
      </c>
      <c r="E191" s="5">
        <v>16.989999999999998</v>
      </c>
      <c r="F191" s="4" t="s">
        <v>459</v>
      </c>
      <c r="G191" s="2" t="s">
        <v>347</v>
      </c>
      <c r="H191" s="7" t="s">
        <v>228</v>
      </c>
      <c r="I191" s="2" t="s">
        <v>30</v>
      </c>
      <c r="J191" s="2" t="s">
        <v>446</v>
      </c>
      <c r="K191" s="2" t="s">
        <v>304</v>
      </c>
      <c r="L191" s="2" t="s">
        <v>460</v>
      </c>
      <c r="M191" s="8" t="str">
        <f>HYPERLINK("http://slimages.macys.com/is/image/MCY/12071760 ")</f>
        <v xml:space="preserve">http://slimages.macys.com/is/image/MCY/12071760 </v>
      </c>
    </row>
    <row r="192" spans="1:13" ht="72" x14ac:dyDescent="0.25">
      <c r="A192" s="7" t="s">
        <v>6851</v>
      </c>
      <c r="B192" s="2" t="s">
        <v>1731</v>
      </c>
      <c r="C192" s="4">
        <v>1</v>
      </c>
      <c r="D192" s="5">
        <v>7.5</v>
      </c>
      <c r="E192" s="5">
        <v>16.989999999999998</v>
      </c>
      <c r="F192" s="4" t="s">
        <v>1732</v>
      </c>
      <c r="G192" s="2" t="s">
        <v>347</v>
      </c>
      <c r="H192" s="7" t="s">
        <v>217</v>
      </c>
      <c r="I192" s="2" t="s">
        <v>30</v>
      </c>
      <c r="J192" s="2" t="s">
        <v>446</v>
      </c>
      <c r="K192" s="2" t="s">
        <v>304</v>
      </c>
      <c r="L192" s="2" t="s">
        <v>1733</v>
      </c>
      <c r="M192" s="8" t="str">
        <f>HYPERLINK("http://slimages.macys.com/is/image/MCY/12071765 ")</f>
        <v xml:space="preserve">http://slimages.macys.com/is/image/MCY/12071765 </v>
      </c>
    </row>
    <row r="193" spans="1:13" ht="72" x14ac:dyDescent="0.25">
      <c r="A193" s="7" t="s">
        <v>1730</v>
      </c>
      <c r="B193" s="2" t="s">
        <v>1731</v>
      </c>
      <c r="C193" s="4">
        <v>2</v>
      </c>
      <c r="D193" s="5">
        <v>7.5</v>
      </c>
      <c r="E193" s="5">
        <v>16.989999999999998</v>
      </c>
      <c r="F193" s="4" t="s">
        <v>1732</v>
      </c>
      <c r="G193" s="2" t="s">
        <v>347</v>
      </c>
      <c r="H193" s="7" t="s">
        <v>228</v>
      </c>
      <c r="I193" s="2" t="s">
        <v>30</v>
      </c>
      <c r="J193" s="2" t="s">
        <v>446</v>
      </c>
      <c r="K193" s="2" t="s">
        <v>304</v>
      </c>
      <c r="L193" s="2" t="s">
        <v>1733</v>
      </c>
      <c r="M193" s="8" t="str">
        <f>HYPERLINK("http://slimages.macys.com/is/image/MCY/12071765 ")</f>
        <v xml:space="preserve">http://slimages.macys.com/is/image/MCY/12071765 </v>
      </c>
    </row>
    <row r="194" spans="1:13" ht="72" x14ac:dyDescent="0.25">
      <c r="A194" s="7" t="s">
        <v>1735</v>
      </c>
      <c r="B194" s="2" t="s">
        <v>1731</v>
      </c>
      <c r="C194" s="4">
        <v>1</v>
      </c>
      <c r="D194" s="5">
        <v>7.5</v>
      </c>
      <c r="E194" s="5">
        <v>16.989999999999998</v>
      </c>
      <c r="F194" s="4" t="s">
        <v>1732</v>
      </c>
      <c r="G194" s="2" t="s">
        <v>347</v>
      </c>
      <c r="H194" s="7" t="s">
        <v>284</v>
      </c>
      <c r="I194" s="2" t="s">
        <v>30</v>
      </c>
      <c r="J194" s="2" t="s">
        <v>446</v>
      </c>
      <c r="K194" s="2" t="s">
        <v>304</v>
      </c>
      <c r="L194" s="2" t="s">
        <v>1733</v>
      </c>
      <c r="M194" s="8" t="str">
        <f>HYPERLINK("http://slimages.macys.com/is/image/MCY/12071765 ")</f>
        <v xml:space="preserve">http://slimages.macys.com/is/image/MCY/12071765 </v>
      </c>
    </row>
    <row r="195" spans="1:13" ht="72" x14ac:dyDescent="0.25">
      <c r="A195" s="7" t="s">
        <v>10044</v>
      </c>
      <c r="B195" s="2" t="s">
        <v>8261</v>
      </c>
      <c r="C195" s="4">
        <v>1</v>
      </c>
      <c r="D195" s="5">
        <v>7.25</v>
      </c>
      <c r="E195" s="5">
        <v>20</v>
      </c>
      <c r="F195" s="4" t="s">
        <v>6266</v>
      </c>
      <c r="G195" s="2" t="s">
        <v>36</v>
      </c>
      <c r="H195" s="7" t="s">
        <v>49</v>
      </c>
      <c r="I195" s="2" t="s">
        <v>50</v>
      </c>
      <c r="J195" s="2" t="s">
        <v>901</v>
      </c>
      <c r="K195" s="2" t="s">
        <v>304</v>
      </c>
      <c r="L195" s="2" t="s">
        <v>5455</v>
      </c>
      <c r="M195" s="8" t="str">
        <f>HYPERLINK("http://slimages.macys.com/is/image/MCY/11722010 ")</f>
        <v xml:space="preserve">http://slimages.macys.com/is/image/MCY/11722010 </v>
      </c>
    </row>
    <row r="196" spans="1:13" ht="60" x14ac:dyDescent="0.25">
      <c r="A196" s="7" t="s">
        <v>7530</v>
      </c>
      <c r="B196" s="2" t="s">
        <v>7531</v>
      </c>
      <c r="C196" s="4">
        <v>1</v>
      </c>
      <c r="D196" s="5">
        <v>7.19</v>
      </c>
      <c r="E196" s="5">
        <v>15.99</v>
      </c>
      <c r="F196" s="4" t="s">
        <v>7532</v>
      </c>
      <c r="G196" s="2" t="s">
        <v>28</v>
      </c>
      <c r="H196" s="7" t="s">
        <v>284</v>
      </c>
      <c r="I196" s="2" t="s">
        <v>218</v>
      </c>
      <c r="J196" s="2" t="s">
        <v>219</v>
      </c>
      <c r="K196" s="2" t="s">
        <v>304</v>
      </c>
      <c r="L196" s="2" t="s">
        <v>125</v>
      </c>
      <c r="M196" s="8" t="str">
        <f>HYPERLINK("http://slimages.macys.com/is/image/MCY/11605874 ")</f>
        <v xml:space="preserve">http://slimages.macys.com/is/image/MCY/11605874 </v>
      </c>
    </row>
    <row r="197" spans="1:13" ht="60" x14ac:dyDescent="0.25">
      <c r="A197" s="7" t="s">
        <v>10045</v>
      </c>
      <c r="B197" s="2" t="s">
        <v>7531</v>
      </c>
      <c r="C197" s="4">
        <v>3</v>
      </c>
      <c r="D197" s="5">
        <v>7.19</v>
      </c>
      <c r="E197" s="5">
        <v>15.99</v>
      </c>
      <c r="F197" s="4" t="s">
        <v>7532</v>
      </c>
      <c r="G197" s="2" t="s">
        <v>28</v>
      </c>
      <c r="H197" s="7" t="s">
        <v>228</v>
      </c>
      <c r="I197" s="2" t="s">
        <v>218</v>
      </c>
      <c r="J197" s="2" t="s">
        <v>219</v>
      </c>
      <c r="K197" s="2" t="s">
        <v>304</v>
      </c>
      <c r="L197" s="2" t="s">
        <v>125</v>
      </c>
      <c r="M197" s="8" t="str">
        <f>HYPERLINK("http://slimages.macys.com/is/image/MCY/11605874 ")</f>
        <v xml:space="preserve">http://slimages.macys.com/is/image/MCY/11605874 </v>
      </c>
    </row>
    <row r="198" spans="1:13" ht="60" x14ac:dyDescent="0.25">
      <c r="A198" s="7" t="s">
        <v>10046</v>
      </c>
      <c r="B198" s="2" t="s">
        <v>10047</v>
      </c>
      <c r="C198" s="4">
        <v>1</v>
      </c>
      <c r="D198" s="5">
        <v>7.19</v>
      </c>
      <c r="E198" s="5">
        <v>15.99</v>
      </c>
      <c r="F198" s="4" t="s">
        <v>10048</v>
      </c>
      <c r="G198" s="2" t="s">
        <v>62</v>
      </c>
      <c r="H198" s="7" t="s">
        <v>217</v>
      </c>
      <c r="I198" s="2" t="s">
        <v>218</v>
      </c>
      <c r="J198" s="2" t="s">
        <v>219</v>
      </c>
      <c r="K198" s="2" t="s">
        <v>304</v>
      </c>
      <c r="L198" s="2" t="s">
        <v>125</v>
      </c>
      <c r="M198" s="8" t="str">
        <f>HYPERLINK("http://slimages.macys.com/is/image/MCY/11605867 ")</f>
        <v xml:space="preserve">http://slimages.macys.com/is/image/MCY/11605867 </v>
      </c>
    </row>
    <row r="199" spans="1:13" ht="60" x14ac:dyDescent="0.25">
      <c r="A199" s="7" t="s">
        <v>10049</v>
      </c>
      <c r="B199" s="2" t="s">
        <v>1738</v>
      </c>
      <c r="C199" s="4">
        <v>1</v>
      </c>
      <c r="D199" s="5">
        <v>7.12</v>
      </c>
      <c r="E199" s="5">
        <v>16.989999999999998</v>
      </c>
      <c r="F199" s="4" t="s">
        <v>1739</v>
      </c>
      <c r="G199" s="2" t="s">
        <v>171</v>
      </c>
      <c r="H199" s="7" t="s">
        <v>217</v>
      </c>
      <c r="I199" s="2" t="s">
        <v>218</v>
      </c>
      <c r="J199" s="2" t="s">
        <v>1740</v>
      </c>
      <c r="K199" s="2" t="s">
        <v>304</v>
      </c>
      <c r="L199" s="2" t="s">
        <v>125</v>
      </c>
      <c r="M199" s="8" t="str">
        <f>HYPERLINK("http://slimages.macys.com/is/image/MCY/12235404 ")</f>
        <v xml:space="preserve">http://slimages.macys.com/is/image/MCY/12235404 </v>
      </c>
    </row>
    <row r="200" spans="1:13" ht="60" x14ac:dyDescent="0.25">
      <c r="A200" s="7" t="s">
        <v>10050</v>
      </c>
      <c r="B200" s="2" t="s">
        <v>1738</v>
      </c>
      <c r="C200" s="4">
        <v>2</v>
      </c>
      <c r="D200" s="5">
        <v>7.12</v>
      </c>
      <c r="E200" s="5">
        <v>16.989999999999998</v>
      </c>
      <c r="F200" s="4" t="s">
        <v>1739</v>
      </c>
      <c r="G200" s="2" t="s">
        <v>297</v>
      </c>
      <c r="H200" s="7" t="s">
        <v>284</v>
      </c>
      <c r="I200" s="2" t="s">
        <v>218</v>
      </c>
      <c r="J200" s="2" t="s">
        <v>1740</v>
      </c>
      <c r="K200" s="2" t="s">
        <v>304</v>
      </c>
      <c r="L200" s="2" t="s">
        <v>125</v>
      </c>
      <c r="M200" s="8" t="str">
        <f>HYPERLINK("http://slimages.macys.com/is/image/MCY/12235404 ")</f>
        <v xml:space="preserve">http://slimages.macys.com/is/image/MCY/12235404 </v>
      </c>
    </row>
    <row r="201" spans="1:13" ht="60" x14ac:dyDescent="0.25">
      <c r="A201" s="7" t="s">
        <v>10051</v>
      </c>
      <c r="B201" s="2" t="s">
        <v>1738</v>
      </c>
      <c r="C201" s="4">
        <v>1</v>
      </c>
      <c r="D201" s="5">
        <v>7.12</v>
      </c>
      <c r="E201" s="5">
        <v>16.989999999999998</v>
      </c>
      <c r="F201" s="4" t="s">
        <v>1739</v>
      </c>
      <c r="G201" s="2" t="s">
        <v>297</v>
      </c>
      <c r="H201" s="7" t="s">
        <v>228</v>
      </c>
      <c r="I201" s="2" t="s">
        <v>218</v>
      </c>
      <c r="J201" s="2" t="s">
        <v>1740</v>
      </c>
      <c r="K201" s="2" t="s">
        <v>304</v>
      </c>
      <c r="L201" s="2" t="s">
        <v>125</v>
      </c>
      <c r="M201" s="8" t="str">
        <f>HYPERLINK("http://slimages.macys.com/is/image/MCY/12235404 ")</f>
        <v xml:space="preserve">http://slimages.macys.com/is/image/MCY/12235404 </v>
      </c>
    </row>
    <row r="202" spans="1:13" ht="60" x14ac:dyDescent="0.25">
      <c r="A202" s="7" t="s">
        <v>10052</v>
      </c>
      <c r="B202" s="2" t="s">
        <v>1738</v>
      </c>
      <c r="C202" s="4">
        <v>1</v>
      </c>
      <c r="D202" s="5">
        <v>7.12</v>
      </c>
      <c r="E202" s="5">
        <v>16.989999999999998</v>
      </c>
      <c r="F202" s="4" t="s">
        <v>1739</v>
      </c>
      <c r="G202" s="2" t="s">
        <v>171</v>
      </c>
      <c r="H202" s="7" t="s">
        <v>228</v>
      </c>
      <c r="I202" s="2" t="s">
        <v>218</v>
      </c>
      <c r="J202" s="2" t="s">
        <v>1740</v>
      </c>
      <c r="K202" s="2" t="s">
        <v>304</v>
      </c>
      <c r="L202" s="2" t="s">
        <v>125</v>
      </c>
      <c r="M202" s="8" t="str">
        <f>HYPERLINK("http://slimages.macys.com/is/image/MCY/12235404 ")</f>
        <v xml:space="preserve">http://slimages.macys.com/is/image/MCY/12235404 </v>
      </c>
    </row>
    <row r="203" spans="1:13" ht="60" x14ac:dyDescent="0.25">
      <c r="A203" s="7" t="s">
        <v>10053</v>
      </c>
      <c r="B203" s="2" t="s">
        <v>5393</v>
      </c>
      <c r="C203" s="4">
        <v>1</v>
      </c>
      <c r="D203" s="5">
        <v>7.12</v>
      </c>
      <c r="E203" s="5">
        <v>19.989999999999998</v>
      </c>
      <c r="F203" s="4" t="s">
        <v>5394</v>
      </c>
      <c r="G203" s="2" t="s">
        <v>86</v>
      </c>
      <c r="H203" s="7" t="s">
        <v>196</v>
      </c>
      <c r="I203" s="2" t="s">
        <v>389</v>
      </c>
      <c r="J203" s="2" t="s">
        <v>354</v>
      </c>
      <c r="K203" s="2" t="s">
        <v>304</v>
      </c>
      <c r="L203" s="2" t="s">
        <v>596</v>
      </c>
      <c r="M203" s="8" t="str">
        <f>HYPERLINK("http://slimages.macys.com/is/image/MCY/12121982 ")</f>
        <v xml:space="preserve">http://slimages.macys.com/is/image/MCY/12121982 </v>
      </c>
    </row>
    <row r="204" spans="1:13" ht="60" x14ac:dyDescent="0.25">
      <c r="A204" s="7" t="s">
        <v>5392</v>
      </c>
      <c r="B204" s="2" t="s">
        <v>5393</v>
      </c>
      <c r="C204" s="4">
        <v>2</v>
      </c>
      <c r="D204" s="5">
        <v>7.12</v>
      </c>
      <c r="E204" s="5">
        <v>19.989999999999998</v>
      </c>
      <c r="F204" s="4" t="s">
        <v>5394</v>
      </c>
      <c r="G204" s="2" t="s">
        <v>86</v>
      </c>
      <c r="H204" s="7" t="s">
        <v>159</v>
      </c>
      <c r="I204" s="2" t="s">
        <v>389</v>
      </c>
      <c r="J204" s="2" t="s">
        <v>354</v>
      </c>
      <c r="K204" s="2" t="s">
        <v>304</v>
      </c>
      <c r="L204" s="2" t="s">
        <v>596</v>
      </c>
      <c r="M204" s="8" t="str">
        <f>HYPERLINK("http://slimages.macys.com/is/image/MCY/12121982 ")</f>
        <v xml:space="preserve">http://slimages.macys.com/is/image/MCY/12121982 </v>
      </c>
    </row>
    <row r="205" spans="1:13" ht="60" x14ac:dyDescent="0.25">
      <c r="A205" s="7" t="s">
        <v>8263</v>
      </c>
      <c r="B205" s="2" t="s">
        <v>5393</v>
      </c>
      <c r="C205" s="4">
        <v>1</v>
      </c>
      <c r="D205" s="5">
        <v>7.12</v>
      </c>
      <c r="E205" s="5">
        <v>19.989999999999998</v>
      </c>
      <c r="F205" s="4" t="s">
        <v>5394</v>
      </c>
      <c r="G205" s="2" t="s">
        <v>86</v>
      </c>
      <c r="H205" s="7" t="s">
        <v>228</v>
      </c>
      <c r="I205" s="2" t="s">
        <v>389</v>
      </c>
      <c r="J205" s="2" t="s">
        <v>354</v>
      </c>
      <c r="K205" s="2" t="s">
        <v>304</v>
      </c>
      <c r="L205" s="2" t="s">
        <v>596</v>
      </c>
      <c r="M205" s="8" t="str">
        <f>HYPERLINK("http://slimages.macys.com/is/image/MCY/12121982 ")</f>
        <v xml:space="preserve">http://slimages.macys.com/is/image/MCY/12121982 </v>
      </c>
    </row>
    <row r="206" spans="1:13" ht="108" x14ac:dyDescent="0.25">
      <c r="A206" s="7" t="s">
        <v>10054</v>
      </c>
      <c r="B206" s="2" t="s">
        <v>8891</v>
      </c>
      <c r="C206" s="4">
        <v>1</v>
      </c>
      <c r="D206" s="5">
        <v>7.05</v>
      </c>
      <c r="E206" s="5">
        <v>15.99</v>
      </c>
      <c r="F206" s="4" t="s">
        <v>8892</v>
      </c>
      <c r="G206" s="2" t="s">
        <v>643</v>
      </c>
      <c r="H206" s="7" t="s">
        <v>91</v>
      </c>
      <c r="I206" s="2" t="s">
        <v>153</v>
      </c>
      <c r="J206" s="2" t="s">
        <v>154</v>
      </c>
      <c r="K206" s="2" t="s">
        <v>304</v>
      </c>
      <c r="L206" s="2" t="s">
        <v>8893</v>
      </c>
      <c r="M206" s="8" t="str">
        <f>HYPERLINK("http://slimages.macys.com/is/image/MCY/12236282 ")</f>
        <v xml:space="preserve">http://slimages.macys.com/is/image/MCY/12236282 </v>
      </c>
    </row>
    <row r="207" spans="1:13" ht="60" x14ac:dyDescent="0.25">
      <c r="A207" s="7" t="s">
        <v>6281</v>
      </c>
      <c r="B207" s="2" t="s">
        <v>1742</v>
      </c>
      <c r="C207" s="4">
        <v>1</v>
      </c>
      <c r="D207" s="5">
        <v>7.05</v>
      </c>
      <c r="E207" s="5">
        <v>16.989999999999998</v>
      </c>
      <c r="F207" s="4" t="s">
        <v>1743</v>
      </c>
      <c r="G207" s="2" t="s">
        <v>103</v>
      </c>
      <c r="H207" s="7" t="s">
        <v>159</v>
      </c>
      <c r="I207" s="2" t="s">
        <v>515</v>
      </c>
      <c r="J207" s="2" t="s">
        <v>827</v>
      </c>
      <c r="K207" s="2" t="s">
        <v>304</v>
      </c>
      <c r="L207" s="2" t="s">
        <v>358</v>
      </c>
      <c r="M207" s="8" t="str">
        <f>HYPERLINK("http://slimages.macys.com/is/image/MCY/12507572 ")</f>
        <v xml:space="preserve">http://slimages.macys.com/is/image/MCY/12507572 </v>
      </c>
    </row>
    <row r="208" spans="1:13" ht="60" x14ac:dyDescent="0.25">
      <c r="A208" s="7" t="s">
        <v>7539</v>
      </c>
      <c r="B208" s="2" t="s">
        <v>1742</v>
      </c>
      <c r="C208" s="4">
        <v>1</v>
      </c>
      <c r="D208" s="5">
        <v>7.05</v>
      </c>
      <c r="E208" s="5">
        <v>16.989999999999998</v>
      </c>
      <c r="F208" s="4" t="s">
        <v>1743</v>
      </c>
      <c r="G208" s="2" t="s">
        <v>36</v>
      </c>
      <c r="H208" s="7" t="s">
        <v>159</v>
      </c>
      <c r="I208" s="2" t="s">
        <v>515</v>
      </c>
      <c r="J208" s="2" t="s">
        <v>827</v>
      </c>
      <c r="K208" s="2" t="s">
        <v>304</v>
      </c>
      <c r="L208" s="2" t="s">
        <v>358</v>
      </c>
      <c r="M208" s="8" t="str">
        <f>HYPERLINK("http://slimages.macys.com/is/image/MCY/12507572 ")</f>
        <v xml:space="preserve">http://slimages.macys.com/is/image/MCY/12507572 </v>
      </c>
    </row>
    <row r="209" spans="1:13" ht="60" x14ac:dyDescent="0.25">
      <c r="A209" s="7" t="s">
        <v>8880</v>
      </c>
      <c r="B209" s="2" t="s">
        <v>1742</v>
      </c>
      <c r="C209" s="4">
        <v>2</v>
      </c>
      <c r="D209" s="5">
        <v>7.05</v>
      </c>
      <c r="E209" s="5">
        <v>16.989999999999998</v>
      </c>
      <c r="F209" s="4" t="s">
        <v>1743</v>
      </c>
      <c r="G209" s="2" t="s">
        <v>103</v>
      </c>
      <c r="H209" s="7" t="s">
        <v>228</v>
      </c>
      <c r="I209" s="2" t="s">
        <v>515</v>
      </c>
      <c r="J209" s="2" t="s">
        <v>827</v>
      </c>
      <c r="K209" s="2" t="s">
        <v>304</v>
      </c>
      <c r="L209" s="2" t="s">
        <v>358</v>
      </c>
      <c r="M209" s="8" t="str">
        <f>HYPERLINK("http://slimages.macys.com/is/image/MCY/12507572 ")</f>
        <v xml:space="preserve">http://slimages.macys.com/is/image/MCY/12507572 </v>
      </c>
    </row>
    <row r="210" spans="1:13" ht="60" x14ac:dyDescent="0.25">
      <c r="A210" s="7" t="s">
        <v>7542</v>
      </c>
      <c r="B210" s="2" t="s">
        <v>1742</v>
      </c>
      <c r="C210" s="4">
        <v>1</v>
      </c>
      <c r="D210" s="5">
        <v>7.05</v>
      </c>
      <c r="E210" s="5">
        <v>16.989999999999998</v>
      </c>
      <c r="F210" s="4" t="s">
        <v>1743</v>
      </c>
      <c r="G210" s="2" t="s">
        <v>36</v>
      </c>
      <c r="H210" s="7" t="s">
        <v>228</v>
      </c>
      <c r="I210" s="2" t="s">
        <v>515</v>
      </c>
      <c r="J210" s="2" t="s">
        <v>827</v>
      </c>
      <c r="K210" s="2" t="s">
        <v>304</v>
      </c>
      <c r="L210" s="2" t="s">
        <v>358</v>
      </c>
      <c r="M210" s="8" t="str">
        <f>HYPERLINK("http://slimages.macys.com/is/image/MCY/12507572 ")</f>
        <v xml:space="preserve">http://slimages.macys.com/is/image/MCY/12507572 </v>
      </c>
    </row>
    <row r="211" spans="1:13" ht="60" x14ac:dyDescent="0.25">
      <c r="A211" s="7" t="s">
        <v>10055</v>
      </c>
      <c r="B211" s="2" t="s">
        <v>4924</v>
      </c>
      <c r="C211" s="4">
        <v>1</v>
      </c>
      <c r="D211" s="5">
        <v>7.01</v>
      </c>
      <c r="E211" s="5">
        <v>17.989999999999998</v>
      </c>
      <c r="F211" s="4" t="s">
        <v>4925</v>
      </c>
      <c r="G211" s="2" t="s">
        <v>171</v>
      </c>
      <c r="H211" s="7" t="s">
        <v>442</v>
      </c>
      <c r="I211" s="2" t="s">
        <v>483</v>
      </c>
      <c r="J211" s="2" t="s">
        <v>536</v>
      </c>
      <c r="K211" s="2" t="s">
        <v>304</v>
      </c>
      <c r="L211" s="2" t="s">
        <v>596</v>
      </c>
      <c r="M211" s="8" t="str">
        <f>HYPERLINK("http://slimages.macys.com/is/image/MCY/12641388 ")</f>
        <v xml:space="preserve">http://slimages.macys.com/is/image/MCY/12641388 </v>
      </c>
    </row>
    <row r="212" spans="1:13" ht="60" x14ac:dyDescent="0.25">
      <c r="A212" s="7" t="s">
        <v>10056</v>
      </c>
      <c r="B212" s="2" t="s">
        <v>10057</v>
      </c>
      <c r="C212" s="4">
        <v>1</v>
      </c>
      <c r="D212" s="5">
        <v>7</v>
      </c>
      <c r="E212" s="5">
        <v>13.99</v>
      </c>
      <c r="F212" s="4" t="s">
        <v>10058</v>
      </c>
      <c r="G212" s="2" t="s">
        <v>657</v>
      </c>
      <c r="H212" s="7" t="s">
        <v>311</v>
      </c>
      <c r="I212" s="2" t="s">
        <v>173</v>
      </c>
      <c r="J212" s="2" t="s">
        <v>1967</v>
      </c>
      <c r="K212" s="2" t="s">
        <v>304</v>
      </c>
      <c r="L212" s="2" t="s">
        <v>119</v>
      </c>
      <c r="M212" s="8" t="str">
        <f>HYPERLINK("http://slimages.macys.com/is/image/MCY/10632695 ")</f>
        <v xml:space="preserve">http://slimages.macys.com/is/image/MCY/10632695 </v>
      </c>
    </row>
    <row r="213" spans="1:13" ht="60" x14ac:dyDescent="0.25">
      <c r="A213" s="7" t="s">
        <v>10059</v>
      </c>
      <c r="B213" s="2" t="s">
        <v>10060</v>
      </c>
      <c r="C213" s="4">
        <v>1</v>
      </c>
      <c r="D213" s="5">
        <v>6.95</v>
      </c>
      <c r="E213" s="5">
        <v>16.989999999999998</v>
      </c>
      <c r="F213" s="4" t="s">
        <v>10061</v>
      </c>
      <c r="G213" s="2" t="s">
        <v>62</v>
      </c>
      <c r="H213" s="7" t="s">
        <v>228</v>
      </c>
      <c r="I213" s="2" t="s">
        <v>218</v>
      </c>
      <c r="J213" s="2" t="s">
        <v>1740</v>
      </c>
      <c r="K213" s="2" t="s">
        <v>304</v>
      </c>
      <c r="L213" s="2" t="s">
        <v>125</v>
      </c>
      <c r="M213" s="8" t="str">
        <f>HYPERLINK("http://slimages.macys.com/is/image/MCY/12235574 ")</f>
        <v xml:space="preserve">http://slimages.macys.com/is/image/MCY/12235574 </v>
      </c>
    </row>
    <row r="214" spans="1:13" ht="72" x14ac:dyDescent="0.25">
      <c r="A214" s="7" t="s">
        <v>10062</v>
      </c>
      <c r="B214" s="2" t="s">
        <v>8845</v>
      </c>
      <c r="C214" s="4">
        <v>1</v>
      </c>
      <c r="D214" s="5">
        <v>6.95</v>
      </c>
      <c r="E214" s="5">
        <v>16.989999999999998</v>
      </c>
      <c r="F214" s="4" t="s">
        <v>10063</v>
      </c>
      <c r="G214" s="2" t="s">
        <v>86</v>
      </c>
      <c r="H214" s="7" t="s">
        <v>311</v>
      </c>
      <c r="I214" s="2" t="s">
        <v>1689</v>
      </c>
      <c r="J214" s="2" t="s">
        <v>354</v>
      </c>
      <c r="K214" s="2" t="s">
        <v>304</v>
      </c>
      <c r="L214" s="2" t="s">
        <v>3142</v>
      </c>
      <c r="M214" s="8" t="str">
        <f>HYPERLINK("http://slimages.macys.com/is/image/MCY/12001084 ")</f>
        <v xml:space="preserve">http://slimages.macys.com/is/image/MCY/12001084 </v>
      </c>
    </row>
    <row r="215" spans="1:13" ht="60" x14ac:dyDescent="0.25">
      <c r="A215" s="7" t="s">
        <v>10064</v>
      </c>
      <c r="B215" s="2" t="s">
        <v>1750</v>
      </c>
      <c r="C215" s="4">
        <v>1</v>
      </c>
      <c r="D215" s="5">
        <v>6.93</v>
      </c>
      <c r="E215" s="5">
        <v>16.989999999999998</v>
      </c>
      <c r="F215" s="4" t="s">
        <v>1751</v>
      </c>
      <c r="G215" s="2" t="s">
        <v>62</v>
      </c>
      <c r="H215" s="7" t="s">
        <v>228</v>
      </c>
      <c r="I215" s="2" t="s">
        <v>515</v>
      </c>
      <c r="J215" s="2" t="s">
        <v>827</v>
      </c>
      <c r="K215" s="2" t="s">
        <v>304</v>
      </c>
      <c r="L215" s="2" t="s">
        <v>125</v>
      </c>
      <c r="M215" s="8" t="str">
        <f>HYPERLINK("http://slimages.macys.com/is/image/MCY/13119364 ")</f>
        <v xml:space="preserve">http://slimages.macys.com/is/image/MCY/13119364 </v>
      </c>
    </row>
    <row r="216" spans="1:13" ht="60" x14ac:dyDescent="0.25">
      <c r="A216" s="7" t="s">
        <v>10065</v>
      </c>
      <c r="B216" s="2" t="s">
        <v>2582</v>
      </c>
      <c r="C216" s="4">
        <v>1</v>
      </c>
      <c r="D216" s="5">
        <v>6.93</v>
      </c>
      <c r="E216" s="5">
        <v>19.5</v>
      </c>
      <c r="F216" s="4" t="s">
        <v>2583</v>
      </c>
      <c r="G216" s="2" t="s">
        <v>86</v>
      </c>
      <c r="H216" s="7"/>
      <c r="I216" s="2" t="s">
        <v>57</v>
      </c>
      <c r="J216" s="2" t="s">
        <v>58</v>
      </c>
      <c r="K216" s="2" t="s">
        <v>304</v>
      </c>
      <c r="L216" s="2" t="s">
        <v>87</v>
      </c>
      <c r="M216" s="8" t="str">
        <f>HYPERLINK("http://slimages.macys.com/is/image/MCY/8619272 ")</f>
        <v xml:space="preserve">http://slimages.macys.com/is/image/MCY/8619272 </v>
      </c>
    </row>
    <row r="217" spans="1:13" ht="60" x14ac:dyDescent="0.25">
      <c r="A217" s="7" t="s">
        <v>10066</v>
      </c>
      <c r="B217" s="2" t="s">
        <v>10067</v>
      </c>
      <c r="C217" s="4">
        <v>2</v>
      </c>
      <c r="D217" s="5">
        <v>6.92</v>
      </c>
      <c r="E217" s="5">
        <v>15.99</v>
      </c>
      <c r="F217" s="4" t="s">
        <v>10068</v>
      </c>
      <c r="G217" s="2" t="s">
        <v>28</v>
      </c>
      <c r="H217" s="7" t="s">
        <v>228</v>
      </c>
      <c r="I217" s="2" t="s">
        <v>218</v>
      </c>
      <c r="J217" s="2" t="s">
        <v>219</v>
      </c>
      <c r="K217" s="2" t="s">
        <v>304</v>
      </c>
      <c r="L217" s="2" t="s">
        <v>125</v>
      </c>
      <c r="M217" s="8" t="str">
        <f>HYPERLINK("http://slimages.macys.com/is/image/MCY/11605843 ")</f>
        <v xml:space="preserve">http://slimages.macys.com/is/image/MCY/11605843 </v>
      </c>
    </row>
    <row r="218" spans="1:13" ht="60" x14ac:dyDescent="0.25">
      <c r="A218" s="7" t="s">
        <v>5402</v>
      </c>
      <c r="B218" s="2" t="s">
        <v>5403</v>
      </c>
      <c r="C218" s="4">
        <v>3</v>
      </c>
      <c r="D218" s="5">
        <v>6.88</v>
      </c>
      <c r="E218" s="5">
        <v>16.989999999999998</v>
      </c>
      <c r="F218" s="4" t="s">
        <v>5404</v>
      </c>
      <c r="G218" s="2" t="s">
        <v>62</v>
      </c>
      <c r="H218" s="7" t="s">
        <v>284</v>
      </c>
      <c r="I218" s="2" t="s">
        <v>515</v>
      </c>
      <c r="J218" s="2" t="s">
        <v>827</v>
      </c>
      <c r="K218" s="2" t="s">
        <v>304</v>
      </c>
      <c r="L218" s="2" t="s">
        <v>5405</v>
      </c>
      <c r="M218" s="8" t="str">
        <f>HYPERLINK("http://slimages.macys.com/is/image/MCY/12507660 ")</f>
        <v xml:space="preserve">http://slimages.macys.com/is/image/MCY/12507660 </v>
      </c>
    </row>
    <row r="219" spans="1:13" ht="60" x14ac:dyDescent="0.25">
      <c r="A219" s="7" t="s">
        <v>8909</v>
      </c>
      <c r="B219" s="2" t="s">
        <v>5403</v>
      </c>
      <c r="C219" s="4">
        <v>1</v>
      </c>
      <c r="D219" s="5">
        <v>6.88</v>
      </c>
      <c r="E219" s="5">
        <v>16.989999999999998</v>
      </c>
      <c r="F219" s="4" t="s">
        <v>5404</v>
      </c>
      <c r="G219" s="2" t="s">
        <v>62</v>
      </c>
      <c r="H219" s="7" t="s">
        <v>159</v>
      </c>
      <c r="I219" s="2" t="s">
        <v>515</v>
      </c>
      <c r="J219" s="2" t="s">
        <v>827</v>
      </c>
      <c r="K219" s="2" t="s">
        <v>304</v>
      </c>
      <c r="L219" s="2" t="s">
        <v>5405</v>
      </c>
      <c r="M219" s="8" t="str">
        <f>HYPERLINK("http://slimages.macys.com/is/image/MCY/12507660 ")</f>
        <v xml:space="preserve">http://slimages.macys.com/is/image/MCY/12507660 </v>
      </c>
    </row>
    <row r="220" spans="1:13" ht="60" x14ac:dyDescent="0.25">
      <c r="A220" s="7" t="s">
        <v>8269</v>
      </c>
      <c r="B220" s="2" t="s">
        <v>5403</v>
      </c>
      <c r="C220" s="4">
        <v>1</v>
      </c>
      <c r="D220" s="5">
        <v>6.88</v>
      </c>
      <c r="E220" s="5">
        <v>16.989999999999998</v>
      </c>
      <c r="F220" s="4" t="s">
        <v>5404</v>
      </c>
      <c r="G220" s="2" t="s">
        <v>62</v>
      </c>
      <c r="H220" s="7" t="s">
        <v>228</v>
      </c>
      <c r="I220" s="2" t="s">
        <v>515</v>
      </c>
      <c r="J220" s="2" t="s">
        <v>827</v>
      </c>
      <c r="K220" s="2" t="s">
        <v>304</v>
      </c>
      <c r="L220" s="2" t="s">
        <v>5405</v>
      </c>
      <c r="M220" s="8" t="str">
        <f>HYPERLINK("http://slimages.macys.com/is/image/MCY/12507660 ")</f>
        <v xml:space="preserve">http://slimages.macys.com/is/image/MCY/12507660 </v>
      </c>
    </row>
    <row r="221" spans="1:13" ht="96" x14ac:dyDescent="0.25">
      <c r="A221" s="7" t="s">
        <v>8910</v>
      </c>
      <c r="B221" s="2" t="s">
        <v>1753</v>
      </c>
      <c r="C221" s="4">
        <v>1</v>
      </c>
      <c r="D221" s="5">
        <v>6.87</v>
      </c>
      <c r="E221" s="5">
        <v>16.989999999999998</v>
      </c>
      <c r="F221" s="4" t="s">
        <v>1754</v>
      </c>
      <c r="G221" s="2" t="s">
        <v>595</v>
      </c>
      <c r="H221" s="7" t="s">
        <v>159</v>
      </c>
      <c r="I221" s="2" t="s">
        <v>515</v>
      </c>
      <c r="J221" s="2" t="s">
        <v>827</v>
      </c>
      <c r="K221" s="2" t="s">
        <v>304</v>
      </c>
      <c r="L221" s="2" t="s">
        <v>1755</v>
      </c>
      <c r="M221" s="8" t="str">
        <f>HYPERLINK("http://slimages.macys.com/is/image/MCY/11860874 ")</f>
        <v xml:space="preserve">http://slimages.macys.com/is/image/MCY/11860874 </v>
      </c>
    </row>
    <row r="222" spans="1:13" ht="60" x14ac:dyDescent="0.25">
      <c r="A222" s="7" t="s">
        <v>5407</v>
      </c>
      <c r="B222" s="2" t="s">
        <v>1768</v>
      </c>
      <c r="C222" s="4">
        <v>1</v>
      </c>
      <c r="D222" s="5">
        <v>6.85</v>
      </c>
      <c r="E222" s="5">
        <v>18</v>
      </c>
      <c r="F222" s="4" t="s">
        <v>1769</v>
      </c>
      <c r="G222" s="2" t="s">
        <v>48</v>
      </c>
      <c r="H222" s="7" t="s">
        <v>159</v>
      </c>
      <c r="I222" s="2" t="s">
        <v>468</v>
      </c>
      <c r="J222" s="2" t="s">
        <v>469</v>
      </c>
      <c r="K222" s="2" t="s">
        <v>304</v>
      </c>
      <c r="L222" s="2" t="s">
        <v>100</v>
      </c>
      <c r="M222" s="8" t="str">
        <f>HYPERLINK("http://slimages.macys.com/is/image/MCY/12809150 ")</f>
        <v xml:space="preserve">http://slimages.macys.com/is/image/MCY/12809150 </v>
      </c>
    </row>
    <row r="223" spans="1:13" ht="60" x14ac:dyDescent="0.25">
      <c r="A223" s="7" t="s">
        <v>5412</v>
      </c>
      <c r="B223" s="2" t="s">
        <v>1765</v>
      </c>
      <c r="C223" s="4">
        <v>1</v>
      </c>
      <c r="D223" s="5">
        <v>6.85</v>
      </c>
      <c r="E223" s="5">
        <v>18</v>
      </c>
      <c r="F223" s="4" t="s">
        <v>1766</v>
      </c>
      <c r="G223" s="2" t="s">
        <v>62</v>
      </c>
      <c r="H223" s="7" t="s">
        <v>159</v>
      </c>
      <c r="I223" s="2" t="s">
        <v>468</v>
      </c>
      <c r="J223" s="2" t="s">
        <v>469</v>
      </c>
      <c r="K223" s="2" t="s">
        <v>304</v>
      </c>
      <c r="L223" s="2" t="s">
        <v>119</v>
      </c>
      <c r="M223" s="8" t="str">
        <f>HYPERLINK("http://slimages.macys.com/is/image/MCY/11958538 ")</f>
        <v xml:space="preserve">http://slimages.macys.com/is/image/MCY/11958538 </v>
      </c>
    </row>
    <row r="224" spans="1:13" ht="60" x14ac:dyDescent="0.25">
      <c r="A224" s="7" t="s">
        <v>6865</v>
      </c>
      <c r="B224" s="2" t="s">
        <v>1765</v>
      </c>
      <c r="C224" s="4">
        <v>1</v>
      </c>
      <c r="D224" s="5">
        <v>6.85</v>
      </c>
      <c r="E224" s="5">
        <v>18</v>
      </c>
      <c r="F224" s="4" t="s">
        <v>1766</v>
      </c>
      <c r="G224" s="2" t="s">
        <v>62</v>
      </c>
      <c r="H224" s="7" t="s">
        <v>217</v>
      </c>
      <c r="I224" s="2" t="s">
        <v>468</v>
      </c>
      <c r="J224" s="2" t="s">
        <v>469</v>
      </c>
      <c r="K224" s="2" t="s">
        <v>304</v>
      </c>
      <c r="L224" s="2" t="s">
        <v>119</v>
      </c>
      <c r="M224" s="8" t="str">
        <f>HYPERLINK("http://slimages.macys.com/is/image/MCY/11958538 ")</f>
        <v xml:space="preserve">http://slimages.macys.com/is/image/MCY/11958538 </v>
      </c>
    </row>
    <row r="225" spans="1:13" ht="60" x14ac:dyDescent="0.25">
      <c r="A225" s="7" t="s">
        <v>1767</v>
      </c>
      <c r="B225" s="2" t="s">
        <v>1768</v>
      </c>
      <c r="C225" s="4">
        <v>1</v>
      </c>
      <c r="D225" s="5">
        <v>6.85</v>
      </c>
      <c r="E225" s="5">
        <v>18</v>
      </c>
      <c r="F225" s="4" t="s">
        <v>1769</v>
      </c>
      <c r="G225" s="2" t="s">
        <v>48</v>
      </c>
      <c r="H225" s="7" t="s">
        <v>217</v>
      </c>
      <c r="I225" s="2" t="s">
        <v>468</v>
      </c>
      <c r="J225" s="2" t="s">
        <v>469</v>
      </c>
      <c r="K225" s="2" t="s">
        <v>304</v>
      </c>
      <c r="L225" s="2" t="s">
        <v>100</v>
      </c>
      <c r="M225" s="8" t="str">
        <f>HYPERLINK("http://slimages.macys.com/is/image/MCY/12809150 ")</f>
        <v xml:space="preserve">http://slimages.macys.com/is/image/MCY/12809150 </v>
      </c>
    </row>
    <row r="226" spans="1:13" ht="60" x14ac:dyDescent="0.25">
      <c r="A226" s="7" t="s">
        <v>1770</v>
      </c>
      <c r="B226" s="2" t="s">
        <v>1768</v>
      </c>
      <c r="C226" s="4">
        <v>2</v>
      </c>
      <c r="D226" s="5">
        <v>6.85</v>
      </c>
      <c r="E226" s="5">
        <v>18</v>
      </c>
      <c r="F226" s="4" t="s">
        <v>1769</v>
      </c>
      <c r="G226" s="2" t="s">
        <v>48</v>
      </c>
      <c r="H226" s="7" t="s">
        <v>228</v>
      </c>
      <c r="I226" s="2" t="s">
        <v>468</v>
      </c>
      <c r="J226" s="2" t="s">
        <v>469</v>
      </c>
      <c r="K226" s="2" t="s">
        <v>304</v>
      </c>
      <c r="L226" s="2" t="s">
        <v>100</v>
      </c>
      <c r="M226" s="8" t="str">
        <f>HYPERLINK("http://slimages.macys.com/is/image/MCY/12809150 ")</f>
        <v xml:space="preserve">http://slimages.macys.com/is/image/MCY/12809150 </v>
      </c>
    </row>
    <row r="227" spans="1:13" ht="60" x14ac:dyDescent="0.25">
      <c r="A227" s="7" t="s">
        <v>10069</v>
      </c>
      <c r="B227" s="2" t="s">
        <v>10070</v>
      </c>
      <c r="C227" s="4">
        <v>1</v>
      </c>
      <c r="D227" s="5">
        <v>6.85</v>
      </c>
      <c r="E227" s="5">
        <v>16.989999999999998</v>
      </c>
      <c r="F227" s="4" t="s">
        <v>10071</v>
      </c>
      <c r="G227" s="2" t="s">
        <v>171</v>
      </c>
      <c r="H227" s="7" t="s">
        <v>284</v>
      </c>
      <c r="I227" s="2" t="s">
        <v>468</v>
      </c>
      <c r="J227" s="2" t="s">
        <v>469</v>
      </c>
      <c r="K227" s="2" t="s">
        <v>304</v>
      </c>
      <c r="L227" s="2" t="s">
        <v>38</v>
      </c>
      <c r="M227" s="8" t="str">
        <f>HYPERLINK("http://slimages.macys.com/is/image/MCY/12342720 ")</f>
        <v xml:space="preserve">http://slimages.macys.com/is/image/MCY/12342720 </v>
      </c>
    </row>
    <row r="228" spans="1:13" ht="60" x14ac:dyDescent="0.25">
      <c r="A228" s="7" t="s">
        <v>5414</v>
      </c>
      <c r="B228" s="2" t="s">
        <v>1762</v>
      </c>
      <c r="C228" s="4">
        <v>1</v>
      </c>
      <c r="D228" s="5">
        <v>6.85</v>
      </c>
      <c r="E228" s="5">
        <v>18</v>
      </c>
      <c r="F228" s="4" t="s">
        <v>1763</v>
      </c>
      <c r="G228" s="2" t="s">
        <v>1160</v>
      </c>
      <c r="H228" s="7" t="s">
        <v>284</v>
      </c>
      <c r="I228" s="2" t="s">
        <v>468</v>
      </c>
      <c r="J228" s="2" t="s">
        <v>469</v>
      </c>
      <c r="K228" s="2" t="s">
        <v>304</v>
      </c>
      <c r="L228" s="2" t="s">
        <v>119</v>
      </c>
      <c r="M228" s="8" t="str">
        <f>HYPERLINK("http://slimages.macys.com/is/image/MCY/11387122 ")</f>
        <v xml:space="preserve">http://slimages.macys.com/is/image/MCY/11387122 </v>
      </c>
    </row>
    <row r="229" spans="1:13" ht="60" x14ac:dyDescent="0.25">
      <c r="A229" s="7" t="s">
        <v>8912</v>
      </c>
      <c r="B229" s="2" t="s">
        <v>466</v>
      </c>
      <c r="C229" s="4">
        <v>1</v>
      </c>
      <c r="D229" s="5">
        <v>6.85</v>
      </c>
      <c r="E229" s="5">
        <v>18</v>
      </c>
      <c r="F229" s="4" t="s">
        <v>467</v>
      </c>
      <c r="G229" s="2" t="s">
        <v>62</v>
      </c>
      <c r="H229" s="7" t="s">
        <v>177</v>
      </c>
      <c r="I229" s="2" t="s">
        <v>468</v>
      </c>
      <c r="J229" s="2" t="s">
        <v>469</v>
      </c>
      <c r="K229" s="2" t="s">
        <v>304</v>
      </c>
      <c r="L229" s="2" t="s">
        <v>206</v>
      </c>
      <c r="M229" s="8" t="str">
        <f>HYPERLINK("http://slimages.macys.com/is/image/MCY/11640093 ")</f>
        <v xml:space="preserve">http://slimages.macys.com/is/image/MCY/11640093 </v>
      </c>
    </row>
    <row r="230" spans="1:13" ht="60" x14ac:dyDescent="0.25">
      <c r="A230" s="7" t="s">
        <v>10072</v>
      </c>
      <c r="B230" s="2" t="s">
        <v>993</v>
      </c>
      <c r="C230" s="4">
        <v>1</v>
      </c>
      <c r="D230" s="5">
        <v>6.85</v>
      </c>
      <c r="E230" s="5">
        <v>18</v>
      </c>
      <c r="F230" s="4" t="s">
        <v>994</v>
      </c>
      <c r="G230" s="2" t="s">
        <v>455</v>
      </c>
      <c r="H230" s="7" t="s">
        <v>159</v>
      </c>
      <c r="I230" s="2" t="s">
        <v>468</v>
      </c>
      <c r="J230" s="2" t="s">
        <v>469</v>
      </c>
      <c r="K230" s="2" t="s">
        <v>304</v>
      </c>
      <c r="L230" s="2" t="s">
        <v>537</v>
      </c>
      <c r="M230" s="8" t="str">
        <f>HYPERLINK("http://slimages.macys.com/is/image/MCY/13468835 ")</f>
        <v xml:space="preserve">http://slimages.macys.com/is/image/MCY/13468835 </v>
      </c>
    </row>
    <row r="231" spans="1:13" ht="60" x14ac:dyDescent="0.25">
      <c r="A231" s="7" t="s">
        <v>1775</v>
      </c>
      <c r="B231" s="2" t="s">
        <v>1776</v>
      </c>
      <c r="C231" s="4">
        <v>1</v>
      </c>
      <c r="D231" s="5">
        <v>6.84</v>
      </c>
      <c r="E231" s="5">
        <v>19.989999999999998</v>
      </c>
      <c r="F231" s="4" t="s">
        <v>1777</v>
      </c>
      <c r="G231" s="2" t="s">
        <v>388</v>
      </c>
      <c r="H231" s="7" t="s">
        <v>514</v>
      </c>
      <c r="I231" s="2" t="s">
        <v>1689</v>
      </c>
      <c r="J231" s="2" t="s">
        <v>354</v>
      </c>
      <c r="K231" s="2" t="s">
        <v>304</v>
      </c>
      <c r="L231" s="2" t="s">
        <v>390</v>
      </c>
      <c r="M231" s="8" t="str">
        <f>HYPERLINK("http://slimages.macys.com/is/image/MCY/12890114 ")</f>
        <v xml:space="preserve">http://slimages.macys.com/is/image/MCY/12890114 </v>
      </c>
    </row>
    <row r="232" spans="1:13" ht="60" x14ac:dyDescent="0.25">
      <c r="A232" s="7" t="s">
        <v>1780</v>
      </c>
      <c r="B232" s="2" t="s">
        <v>1776</v>
      </c>
      <c r="C232" s="4">
        <v>1</v>
      </c>
      <c r="D232" s="5">
        <v>6.84</v>
      </c>
      <c r="E232" s="5">
        <v>19.989999999999998</v>
      </c>
      <c r="F232" s="4" t="s">
        <v>1777</v>
      </c>
      <c r="G232" s="2" t="s">
        <v>388</v>
      </c>
      <c r="H232" s="7" t="s">
        <v>123</v>
      </c>
      <c r="I232" s="2" t="s">
        <v>1689</v>
      </c>
      <c r="J232" s="2" t="s">
        <v>354</v>
      </c>
      <c r="K232" s="2" t="s">
        <v>304</v>
      </c>
      <c r="L232" s="2" t="s">
        <v>390</v>
      </c>
      <c r="M232" s="8" t="str">
        <f>HYPERLINK("http://slimages.macys.com/is/image/MCY/12890114 ")</f>
        <v xml:space="preserve">http://slimages.macys.com/is/image/MCY/12890114 </v>
      </c>
    </row>
    <row r="233" spans="1:13" ht="60" x14ac:dyDescent="0.25">
      <c r="A233" s="7" t="s">
        <v>1779</v>
      </c>
      <c r="B233" s="2" t="s">
        <v>1776</v>
      </c>
      <c r="C233" s="4">
        <v>1</v>
      </c>
      <c r="D233" s="5">
        <v>6.84</v>
      </c>
      <c r="E233" s="5">
        <v>19.989999999999998</v>
      </c>
      <c r="F233" s="4" t="s">
        <v>1777</v>
      </c>
      <c r="G233" s="2" t="s">
        <v>388</v>
      </c>
      <c r="H233" s="7" t="s">
        <v>311</v>
      </c>
      <c r="I233" s="2" t="s">
        <v>1689</v>
      </c>
      <c r="J233" s="2" t="s">
        <v>354</v>
      </c>
      <c r="K233" s="2" t="s">
        <v>304</v>
      </c>
      <c r="L233" s="2" t="s">
        <v>390</v>
      </c>
      <c r="M233" s="8" t="str">
        <f>HYPERLINK("http://slimages.macys.com/is/image/MCY/12890114 ")</f>
        <v xml:space="preserve">http://slimages.macys.com/is/image/MCY/12890114 </v>
      </c>
    </row>
    <row r="234" spans="1:13" ht="60" x14ac:dyDescent="0.25">
      <c r="A234" s="7" t="s">
        <v>10073</v>
      </c>
      <c r="B234" s="2" t="s">
        <v>2589</v>
      </c>
      <c r="C234" s="4">
        <v>3</v>
      </c>
      <c r="D234" s="5">
        <v>6.81</v>
      </c>
      <c r="E234" s="5">
        <v>16.989999999999998</v>
      </c>
      <c r="F234" s="4" t="s">
        <v>2590</v>
      </c>
      <c r="G234" s="2" t="s">
        <v>36</v>
      </c>
      <c r="H234" s="7" t="s">
        <v>284</v>
      </c>
      <c r="I234" s="2" t="s">
        <v>515</v>
      </c>
      <c r="J234" s="2" t="s">
        <v>827</v>
      </c>
      <c r="K234" s="2" t="s">
        <v>304</v>
      </c>
      <c r="L234" s="2" t="s">
        <v>358</v>
      </c>
      <c r="M234" s="8" t="str">
        <f t="shared" ref="M234:M239" si="0">HYPERLINK("http://slimages.macys.com/is/image/MCY/12507563 ")</f>
        <v xml:space="preserve">http://slimages.macys.com/is/image/MCY/12507563 </v>
      </c>
    </row>
    <row r="235" spans="1:13" ht="60" x14ac:dyDescent="0.25">
      <c r="A235" s="7" t="s">
        <v>7550</v>
      </c>
      <c r="B235" s="2" t="s">
        <v>2589</v>
      </c>
      <c r="C235" s="4">
        <v>4</v>
      </c>
      <c r="D235" s="5">
        <v>6.81</v>
      </c>
      <c r="E235" s="5">
        <v>16.989999999999998</v>
      </c>
      <c r="F235" s="4" t="s">
        <v>2590</v>
      </c>
      <c r="G235" s="2" t="s">
        <v>48</v>
      </c>
      <c r="H235" s="7" t="s">
        <v>284</v>
      </c>
      <c r="I235" s="2" t="s">
        <v>515</v>
      </c>
      <c r="J235" s="2" t="s">
        <v>827</v>
      </c>
      <c r="K235" s="2" t="s">
        <v>304</v>
      </c>
      <c r="L235" s="2" t="s">
        <v>358</v>
      </c>
      <c r="M235" s="8" t="str">
        <f t="shared" si="0"/>
        <v xml:space="preserve">http://slimages.macys.com/is/image/MCY/12507563 </v>
      </c>
    </row>
    <row r="236" spans="1:13" ht="60" x14ac:dyDescent="0.25">
      <c r="A236" s="7" t="s">
        <v>7549</v>
      </c>
      <c r="B236" s="2" t="s">
        <v>2589</v>
      </c>
      <c r="C236" s="4">
        <v>4</v>
      </c>
      <c r="D236" s="5">
        <v>6.81</v>
      </c>
      <c r="E236" s="5">
        <v>16.989999999999998</v>
      </c>
      <c r="F236" s="4" t="s">
        <v>2590</v>
      </c>
      <c r="G236" s="2" t="s">
        <v>48</v>
      </c>
      <c r="H236" s="7" t="s">
        <v>159</v>
      </c>
      <c r="I236" s="2" t="s">
        <v>515</v>
      </c>
      <c r="J236" s="2" t="s">
        <v>827</v>
      </c>
      <c r="K236" s="2" t="s">
        <v>304</v>
      </c>
      <c r="L236" s="2" t="s">
        <v>358</v>
      </c>
      <c r="M236" s="8" t="str">
        <f t="shared" si="0"/>
        <v xml:space="preserve">http://slimages.macys.com/is/image/MCY/12507563 </v>
      </c>
    </row>
    <row r="237" spans="1:13" ht="60" x14ac:dyDescent="0.25">
      <c r="A237" s="7" t="s">
        <v>8918</v>
      </c>
      <c r="B237" s="2" t="s">
        <v>2589</v>
      </c>
      <c r="C237" s="4">
        <v>2</v>
      </c>
      <c r="D237" s="5">
        <v>6.81</v>
      </c>
      <c r="E237" s="5">
        <v>16.989999999999998</v>
      </c>
      <c r="F237" s="4" t="s">
        <v>2590</v>
      </c>
      <c r="G237" s="2" t="s">
        <v>62</v>
      </c>
      <c r="H237" s="7" t="s">
        <v>284</v>
      </c>
      <c r="I237" s="2" t="s">
        <v>515</v>
      </c>
      <c r="J237" s="2" t="s">
        <v>827</v>
      </c>
      <c r="K237" s="2" t="s">
        <v>304</v>
      </c>
      <c r="L237" s="2" t="s">
        <v>358</v>
      </c>
      <c r="M237" s="8" t="str">
        <f t="shared" si="0"/>
        <v xml:space="preserve">http://slimages.macys.com/is/image/MCY/12507563 </v>
      </c>
    </row>
    <row r="238" spans="1:13" ht="60" x14ac:dyDescent="0.25">
      <c r="A238" s="7" t="s">
        <v>7548</v>
      </c>
      <c r="B238" s="2" t="s">
        <v>2589</v>
      </c>
      <c r="C238" s="4">
        <v>1</v>
      </c>
      <c r="D238" s="5">
        <v>6.81</v>
      </c>
      <c r="E238" s="5">
        <v>16.989999999999998</v>
      </c>
      <c r="F238" s="4" t="s">
        <v>2590</v>
      </c>
      <c r="G238" s="2" t="s">
        <v>48</v>
      </c>
      <c r="H238" s="7" t="s">
        <v>228</v>
      </c>
      <c r="I238" s="2" t="s">
        <v>515</v>
      </c>
      <c r="J238" s="2" t="s">
        <v>827</v>
      </c>
      <c r="K238" s="2" t="s">
        <v>304</v>
      </c>
      <c r="L238" s="2" t="s">
        <v>358</v>
      </c>
      <c r="M238" s="8" t="str">
        <f t="shared" si="0"/>
        <v xml:space="preserve">http://slimages.macys.com/is/image/MCY/12507563 </v>
      </c>
    </row>
    <row r="239" spans="1:13" ht="60" x14ac:dyDescent="0.25">
      <c r="A239" s="7" t="s">
        <v>8917</v>
      </c>
      <c r="B239" s="2" t="s">
        <v>2589</v>
      </c>
      <c r="C239" s="4">
        <v>3</v>
      </c>
      <c r="D239" s="5">
        <v>6.81</v>
      </c>
      <c r="E239" s="5">
        <v>16.989999999999998</v>
      </c>
      <c r="F239" s="4" t="s">
        <v>2590</v>
      </c>
      <c r="G239" s="2" t="s">
        <v>62</v>
      </c>
      <c r="H239" s="7" t="s">
        <v>228</v>
      </c>
      <c r="I239" s="2" t="s">
        <v>515</v>
      </c>
      <c r="J239" s="2" t="s">
        <v>827</v>
      </c>
      <c r="K239" s="2" t="s">
        <v>304</v>
      </c>
      <c r="L239" s="2" t="s">
        <v>358</v>
      </c>
      <c r="M239" s="8" t="str">
        <f t="shared" si="0"/>
        <v xml:space="preserve">http://slimages.macys.com/is/image/MCY/12507563 </v>
      </c>
    </row>
    <row r="240" spans="1:13" ht="132" x14ac:dyDescent="0.25">
      <c r="A240" s="7" t="s">
        <v>10074</v>
      </c>
      <c r="B240" s="2" t="s">
        <v>1782</v>
      </c>
      <c r="C240" s="4">
        <v>2</v>
      </c>
      <c r="D240" s="5">
        <v>6.8</v>
      </c>
      <c r="E240" s="5">
        <v>14.99</v>
      </c>
      <c r="F240" s="4" t="s">
        <v>1783</v>
      </c>
      <c r="G240" s="2" t="s">
        <v>62</v>
      </c>
      <c r="H240" s="7" t="s">
        <v>228</v>
      </c>
      <c r="I240" s="2" t="s">
        <v>515</v>
      </c>
      <c r="J240" s="2" t="s">
        <v>827</v>
      </c>
      <c r="K240" s="2" t="s">
        <v>304</v>
      </c>
      <c r="L240" s="2" t="s">
        <v>1784</v>
      </c>
      <c r="M240" s="8" t="str">
        <f>HYPERLINK("http://slimages.macys.com/is/image/MCY/13119046 ")</f>
        <v xml:space="preserve">http://slimages.macys.com/is/image/MCY/13119046 </v>
      </c>
    </row>
    <row r="241" spans="1:13" ht="132" x14ac:dyDescent="0.25">
      <c r="A241" s="7" t="s">
        <v>1781</v>
      </c>
      <c r="B241" s="2" t="s">
        <v>1782</v>
      </c>
      <c r="C241" s="4">
        <v>1</v>
      </c>
      <c r="D241" s="5">
        <v>6.8</v>
      </c>
      <c r="E241" s="5">
        <v>14.99</v>
      </c>
      <c r="F241" s="4" t="s">
        <v>1783</v>
      </c>
      <c r="G241" s="2" t="s">
        <v>62</v>
      </c>
      <c r="H241" s="7" t="s">
        <v>159</v>
      </c>
      <c r="I241" s="2" t="s">
        <v>515</v>
      </c>
      <c r="J241" s="2" t="s">
        <v>827</v>
      </c>
      <c r="K241" s="2" t="s">
        <v>304</v>
      </c>
      <c r="L241" s="2" t="s">
        <v>1784</v>
      </c>
      <c r="M241" s="8" t="str">
        <f>HYPERLINK("http://slimages.macys.com/is/image/MCY/13119046 ")</f>
        <v xml:space="preserve">http://slimages.macys.com/is/image/MCY/13119046 </v>
      </c>
    </row>
    <row r="242" spans="1:13" ht="132" x14ac:dyDescent="0.25">
      <c r="A242" s="7" t="s">
        <v>1938</v>
      </c>
      <c r="B242" s="2" t="s">
        <v>1782</v>
      </c>
      <c r="C242" s="4">
        <v>1</v>
      </c>
      <c r="D242" s="5">
        <v>6.8</v>
      </c>
      <c r="E242" s="5">
        <v>14.99</v>
      </c>
      <c r="F242" s="4" t="s">
        <v>1783</v>
      </c>
      <c r="G242" s="2" t="s">
        <v>62</v>
      </c>
      <c r="H242" s="7" t="s">
        <v>284</v>
      </c>
      <c r="I242" s="2" t="s">
        <v>515</v>
      </c>
      <c r="J242" s="2" t="s">
        <v>827</v>
      </c>
      <c r="K242" s="2" t="s">
        <v>304</v>
      </c>
      <c r="L242" s="2" t="s">
        <v>1784</v>
      </c>
      <c r="M242" s="8" t="str">
        <f>HYPERLINK("http://slimages.macys.com/is/image/MCY/13119046 ")</f>
        <v xml:space="preserve">http://slimages.macys.com/is/image/MCY/13119046 </v>
      </c>
    </row>
    <row r="243" spans="1:13" ht="132" x14ac:dyDescent="0.25">
      <c r="A243" s="7" t="s">
        <v>5422</v>
      </c>
      <c r="B243" s="2" t="s">
        <v>1782</v>
      </c>
      <c r="C243" s="4">
        <v>1</v>
      </c>
      <c r="D243" s="5">
        <v>6.8</v>
      </c>
      <c r="E243" s="5">
        <v>14.99</v>
      </c>
      <c r="F243" s="4" t="s">
        <v>1783</v>
      </c>
      <c r="G243" s="2" t="s">
        <v>103</v>
      </c>
      <c r="H243" s="7" t="s">
        <v>284</v>
      </c>
      <c r="I243" s="2" t="s">
        <v>515</v>
      </c>
      <c r="J243" s="2" t="s">
        <v>827</v>
      </c>
      <c r="K243" s="2" t="s">
        <v>304</v>
      </c>
      <c r="L243" s="2" t="s">
        <v>1784</v>
      </c>
      <c r="M243" s="8" t="str">
        <f>HYPERLINK("http://slimages.macys.com/is/image/MCY/13119046 ")</f>
        <v xml:space="preserve">http://slimages.macys.com/is/image/MCY/13119046 </v>
      </c>
    </row>
    <row r="244" spans="1:13" ht="132" x14ac:dyDescent="0.25">
      <c r="A244" s="7" t="s">
        <v>10075</v>
      </c>
      <c r="B244" s="2" t="s">
        <v>1782</v>
      </c>
      <c r="C244" s="4">
        <v>1</v>
      </c>
      <c r="D244" s="5">
        <v>6.8</v>
      </c>
      <c r="E244" s="5">
        <v>14.99</v>
      </c>
      <c r="F244" s="4" t="s">
        <v>1783</v>
      </c>
      <c r="G244" s="2" t="s">
        <v>62</v>
      </c>
      <c r="H244" s="7" t="s">
        <v>159</v>
      </c>
      <c r="I244" s="2" t="s">
        <v>515</v>
      </c>
      <c r="J244" s="2" t="s">
        <v>827</v>
      </c>
      <c r="K244" s="2" t="s">
        <v>304</v>
      </c>
      <c r="L244" s="2" t="s">
        <v>1784</v>
      </c>
      <c r="M244" s="8" t="str">
        <f>HYPERLINK("http://slimages.macys.com/is/image/MCY/13119046 ")</f>
        <v xml:space="preserve">http://slimages.macys.com/is/image/MCY/13119046 </v>
      </c>
    </row>
    <row r="245" spans="1:13" ht="60" x14ac:dyDescent="0.25">
      <c r="A245" s="7" t="s">
        <v>4072</v>
      </c>
      <c r="B245" s="2" t="s">
        <v>996</v>
      </c>
      <c r="C245" s="4">
        <v>2</v>
      </c>
      <c r="D245" s="5">
        <v>6.78</v>
      </c>
      <c r="E245" s="5">
        <v>14.99</v>
      </c>
      <c r="F245" s="4" t="s">
        <v>997</v>
      </c>
      <c r="G245" s="2" t="s">
        <v>48</v>
      </c>
      <c r="H245" s="7" t="s">
        <v>578</v>
      </c>
      <c r="I245" s="2" t="s">
        <v>515</v>
      </c>
      <c r="J245" s="2" t="s">
        <v>516</v>
      </c>
      <c r="K245" s="2" t="s">
        <v>304</v>
      </c>
      <c r="L245" s="2" t="s">
        <v>358</v>
      </c>
      <c r="M245" s="8" t="str">
        <f t="shared" ref="M245:M252" si="1">HYPERLINK("http://slimages.macys.com/is/image/MCY/12953242 ")</f>
        <v xml:space="preserve">http://slimages.macys.com/is/image/MCY/12953242 </v>
      </c>
    </row>
    <row r="246" spans="1:13" ht="60" x14ac:dyDescent="0.25">
      <c r="A246" s="7" t="s">
        <v>4073</v>
      </c>
      <c r="B246" s="2" t="s">
        <v>996</v>
      </c>
      <c r="C246" s="4">
        <v>1</v>
      </c>
      <c r="D246" s="5">
        <v>6.78</v>
      </c>
      <c r="E246" s="5">
        <v>14.99</v>
      </c>
      <c r="F246" s="4" t="s">
        <v>997</v>
      </c>
      <c r="G246" s="2" t="s">
        <v>48</v>
      </c>
      <c r="H246" s="7" t="s">
        <v>1151</v>
      </c>
      <c r="I246" s="2" t="s">
        <v>515</v>
      </c>
      <c r="J246" s="2" t="s">
        <v>516</v>
      </c>
      <c r="K246" s="2" t="s">
        <v>304</v>
      </c>
      <c r="L246" s="2" t="s">
        <v>358</v>
      </c>
      <c r="M246" s="8" t="str">
        <f t="shared" si="1"/>
        <v xml:space="preserve">http://slimages.macys.com/is/image/MCY/12953242 </v>
      </c>
    </row>
    <row r="247" spans="1:13" ht="60" x14ac:dyDescent="0.25">
      <c r="A247" s="7" t="s">
        <v>995</v>
      </c>
      <c r="B247" s="2" t="s">
        <v>996</v>
      </c>
      <c r="C247" s="4">
        <v>1</v>
      </c>
      <c r="D247" s="5">
        <v>6.78</v>
      </c>
      <c r="E247" s="5">
        <v>14.99</v>
      </c>
      <c r="F247" s="4" t="s">
        <v>997</v>
      </c>
      <c r="G247" s="2" t="s">
        <v>48</v>
      </c>
      <c r="H247" s="7" t="s">
        <v>311</v>
      </c>
      <c r="I247" s="2" t="s">
        <v>515</v>
      </c>
      <c r="J247" s="2" t="s">
        <v>516</v>
      </c>
      <c r="K247" s="2" t="s">
        <v>304</v>
      </c>
      <c r="L247" s="2" t="s">
        <v>358</v>
      </c>
      <c r="M247" s="8" t="str">
        <f t="shared" si="1"/>
        <v xml:space="preserve">http://slimages.macys.com/is/image/MCY/12953242 </v>
      </c>
    </row>
    <row r="248" spans="1:13" ht="60" x14ac:dyDescent="0.25">
      <c r="A248" s="7" t="s">
        <v>9544</v>
      </c>
      <c r="B248" s="2" t="s">
        <v>996</v>
      </c>
      <c r="C248" s="4">
        <v>1</v>
      </c>
      <c r="D248" s="5">
        <v>6.78</v>
      </c>
      <c r="E248" s="5">
        <v>14.99</v>
      </c>
      <c r="F248" s="4" t="s">
        <v>997</v>
      </c>
      <c r="G248" s="2" t="s">
        <v>48</v>
      </c>
      <c r="H248" s="7" t="s">
        <v>123</v>
      </c>
      <c r="I248" s="2" t="s">
        <v>515</v>
      </c>
      <c r="J248" s="2" t="s">
        <v>516</v>
      </c>
      <c r="K248" s="2" t="s">
        <v>304</v>
      </c>
      <c r="L248" s="2" t="s">
        <v>358</v>
      </c>
      <c r="M248" s="8" t="str">
        <f t="shared" si="1"/>
        <v xml:space="preserve">http://slimages.macys.com/is/image/MCY/12953242 </v>
      </c>
    </row>
    <row r="249" spans="1:13" ht="60" x14ac:dyDescent="0.25">
      <c r="A249" s="7" t="s">
        <v>10076</v>
      </c>
      <c r="B249" s="2" t="s">
        <v>996</v>
      </c>
      <c r="C249" s="4">
        <v>1</v>
      </c>
      <c r="D249" s="5">
        <v>6.78</v>
      </c>
      <c r="E249" s="5">
        <v>14.99</v>
      </c>
      <c r="F249" s="4" t="s">
        <v>997</v>
      </c>
      <c r="G249" s="2" t="s">
        <v>36</v>
      </c>
      <c r="H249" s="7" t="s">
        <v>123</v>
      </c>
      <c r="I249" s="2" t="s">
        <v>515</v>
      </c>
      <c r="J249" s="2" t="s">
        <v>516</v>
      </c>
      <c r="K249" s="2" t="s">
        <v>304</v>
      </c>
      <c r="L249" s="2" t="s">
        <v>358</v>
      </c>
      <c r="M249" s="8" t="str">
        <f t="shared" si="1"/>
        <v xml:space="preserve">http://slimages.macys.com/is/image/MCY/12953242 </v>
      </c>
    </row>
    <row r="250" spans="1:13" ht="60" x14ac:dyDescent="0.25">
      <c r="A250" s="7" t="s">
        <v>10077</v>
      </c>
      <c r="B250" s="2" t="s">
        <v>996</v>
      </c>
      <c r="C250" s="4">
        <v>1</v>
      </c>
      <c r="D250" s="5">
        <v>6.78</v>
      </c>
      <c r="E250" s="5">
        <v>14.99</v>
      </c>
      <c r="F250" s="4" t="s">
        <v>997</v>
      </c>
      <c r="G250" s="2" t="s">
        <v>36</v>
      </c>
      <c r="H250" s="7" t="s">
        <v>1151</v>
      </c>
      <c r="I250" s="2" t="s">
        <v>515</v>
      </c>
      <c r="J250" s="2" t="s">
        <v>516</v>
      </c>
      <c r="K250" s="2" t="s">
        <v>304</v>
      </c>
      <c r="L250" s="2" t="s">
        <v>358</v>
      </c>
      <c r="M250" s="8" t="str">
        <f t="shared" si="1"/>
        <v xml:space="preserve">http://slimages.macys.com/is/image/MCY/12953242 </v>
      </c>
    </row>
    <row r="251" spans="1:13" ht="60" x14ac:dyDescent="0.25">
      <c r="A251" s="7" t="s">
        <v>10078</v>
      </c>
      <c r="B251" s="2" t="s">
        <v>996</v>
      </c>
      <c r="C251" s="4">
        <v>1</v>
      </c>
      <c r="D251" s="5">
        <v>6.78</v>
      </c>
      <c r="E251" s="5">
        <v>14.99</v>
      </c>
      <c r="F251" s="4" t="s">
        <v>997</v>
      </c>
      <c r="G251" s="2" t="s">
        <v>36</v>
      </c>
      <c r="H251" s="7" t="s">
        <v>63</v>
      </c>
      <c r="I251" s="2" t="s">
        <v>515</v>
      </c>
      <c r="J251" s="2" t="s">
        <v>516</v>
      </c>
      <c r="K251" s="2" t="s">
        <v>304</v>
      </c>
      <c r="L251" s="2" t="s">
        <v>358</v>
      </c>
      <c r="M251" s="8" t="str">
        <f t="shared" si="1"/>
        <v xml:space="preserve">http://slimages.macys.com/is/image/MCY/12953242 </v>
      </c>
    </row>
    <row r="252" spans="1:13" ht="60" x14ac:dyDescent="0.25">
      <c r="A252" s="7" t="s">
        <v>10079</v>
      </c>
      <c r="B252" s="2" t="s">
        <v>996</v>
      </c>
      <c r="C252" s="4">
        <v>1</v>
      </c>
      <c r="D252" s="5">
        <v>6.78</v>
      </c>
      <c r="E252" s="5">
        <v>14.99</v>
      </c>
      <c r="F252" s="4" t="s">
        <v>997</v>
      </c>
      <c r="G252" s="2" t="s">
        <v>36</v>
      </c>
      <c r="H252" s="7" t="s">
        <v>311</v>
      </c>
      <c r="I252" s="2" t="s">
        <v>515</v>
      </c>
      <c r="J252" s="2" t="s">
        <v>516</v>
      </c>
      <c r="K252" s="2" t="s">
        <v>304</v>
      </c>
      <c r="L252" s="2" t="s">
        <v>358</v>
      </c>
      <c r="M252" s="8" t="str">
        <f t="shared" si="1"/>
        <v xml:space="preserve">http://slimages.macys.com/is/image/MCY/12953242 </v>
      </c>
    </row>
    <row r="253" spans="1:13" ht="60" x14ac:dyDescent="0.25">
      <c r="A253" s="7" t="s">
        <v>1794</v>
      </c>
      <c r="B253" s="2" t="s">
        <v>1791</v>
      </c>
      <c r="C253" s="4">
        <v>5</v>
      </c>
      <c r="D253" s="5">
        <v>6.75</v>
      </c>
      <c r="E253" s="5">
        <v>16.989999999999998</v>
      </c>
      <c r="F253" s="4" t="s">
        <v>1795</v>
      </c>
      <c r="G253" s="2" t="s">
        <v>41</v>
      </c>
      <c r="H253" s="7" t="s">
        <v>209</v>
      </c>
      <c r="I253" s="2" t="s">
        <v>321</v>
      </c>
      <c r="J253" s="2" t="s">
        <v>477</v>
      </c>
      <c r="K253" s="2" t="s">
        <v>304</v>
      </c>
      <c r="L253" s="2" t="s">
        <v>125</v>
      </c>
      <c r="M253" s="8" t="str">
        <f>HYPERLINK("http://slimages.macys.com/is/image/MCY/13860424 ")</f>
        <v xml:space="preserve">http://slimages.macys.com/is/image/MCY/13860424 </v>
      </c>
    </row>
    <row r="254" spans="1:13" ht="60" x14ac:dyDescent="0.25">
      <c r="A254" s="7" t="s">
        <v>7560</v>
      </c>
      <c r="B254" s="2" t="s">
        <v>1791</v>
      </c>
      <c r="C254" s="4">
        <v>6</v>
      </c>
      <c r="D254" s="5">
        <v>6.75</v>
      </c>
      <c r="E254" s="5">
        <v>16.989999999999998</v>
      </c>
      <c r="F254" s="4" t="s">
        <v>1795</v>
      </c>
      <c r="G254" s="2" t="s">
        <v>41</v>
      </c>
      <c r="H254" s="7" t="s">
        <v>144</v>
      </c>
      <c r="I254" s="2" t="s">
        <v>321</v>
      </c>
      <c r="J254" s="2" t="s">
        <v>477</v>
      </c>
      <c r="K254" s="2" t="s">
        <v>304</v>
      </c>
      <c r="L254" s="2" t="s">
        <v>125</v>
      </c>
      <c r="M254" s="8" t="str">
        <f>HYPERLINK("http://slimages.macys.com/is/image/MCY/13860424 ")</f>
        <v xml:space="preserve">http://slimages.macys.com/is/image/MCY/13860424 </v>
      </c>
    </row>
    <row r="255" spans="1:13" ht="96" x14ac:dyDescent="0.25">
      <c r="A255" s="7" t="s">
        <v>4087</v>
      </c>
      <c r="B255" s="2" t="s">
        <v>4088</v>
      </c>
      <c r="C255" s="4">
        <v>1</v>
      </c>
      <c r="D255" s="5">
        <v>6.75</v>
      </c>
      <c r="E255" s="5">
        <v>16.989999999999998</v>
      </c>
      <c r="F255" s="4" t="s">
        <v>4089</v>
      </c>
      <c r="G255" s="2" t="s">
        <v>892</v>
      </c>
      <c r="H255" s="7"/>
      <c r="I255" s="2" t="s">
        <v>321</v>
      </c>
      <c r="J255" s="2" t="s">
        <v>477</v>
      </c>
      <c r="K255" s="2" t="s">
        <v>304</v>
      </c>
      <c r="L255" s="2" t="s">
        <v>1516</v>
      </c>
      <c r="M255" s="8" t="str">
        <f>HYPERLINK("http://slimages.macys.com/is/image/MCY/13860413 ")</f>
        <v xml:space="preserve">http://slimages.macys.com/is/image/MCY/13860413 </v>
      </c>
    </row>
    <row r="256" spans="1:13" ht="96" x14ac:dyDescent="0.25">
      <c r="A256" s="7" t="s">
        <v>5432</v>
      </c>
      <c r="B256" s="2" t="s">
        <v>4088</v>
      </c>
      <c r="C256" s="4">
        <v>3</v>
      </c>
      <c r="D256" s="5">
        <v>6.75</v>
      </c>
      <c r="E256" s="5">
        <v>16.989999999999998</v>
      </c>
      <c r="F256" s="4" t="s">
        <v>5431</v>
      </c>
      <c r="G256" s="2" t="s">
        <v>892</v>
      </c>
      <c r="H256" s="7" t="s">
        <v>209</v>
      </c>
      <c r="I256" s="2" t="s">
        <v>321</v>
      </c>
      <c r="J256" s="2" t="s">
        <v>477</v>
      </c>
      <c r="K256" s="2" t="s">
        <v>304</v>
      </c>
      <c r="L256" s="2" t="s">
        <v>1516</v>
      </c>
      <c r="M256" s="8" t="str">
        <f>HYPERLINK("http://slimages.macys.com/is/image/MCY/13860413 ")</f>
        <v xml:space="preserve">http://slimages.macys.com/is/image/MCY/13860413 </v>
      </c>
    </row>
    <row r="257" spans="1:13" ht="84" x14ac:dyDescent="0.25">
      <c r="A257" s="7" t="s">
        <v>7570</v>
      </c>
      <c r="B257" s="2" t="s">
        <v>474</v>
      </c>
      <c r="C257" s="4">
        <v>8</v>
      </c>
      <c r="D257" s="5">
        <v>6.75</v>
      </c>
      <c r="E257" s="5">
        <v>16.989999999999998</v>
      </c>
      <c r="F257" s="4" t="s">
        <v>1798</v>
      </c>
      <c r="G257" s="2" t="s">
        <v>476</v>
      </c>
      <c r="H257" s="7"/>
      <c r="I257" s="2" t="s">
        <v>321</v>
      </c>
      <c r="J257" s="2" t="s">
        <v>477</v>
      </c>
      <c r="K257" s="2" t="s">
        <v>304</v>
      </c>
      <c r="L257" s="2" t="s">
        <v>1117</v>
      </c>
      <c r="M257" s="8" t="str">
        <f>HYPERLINK("http://slimages.macys.com/is/image/MCY/13860353 ")</f>
        <v xml:space="preserve">http://slimages.macys.com/is/image/MCY/13860353 </v>
      </c>
    </row>
    <row r="258" spans="1:13" ht="84" x14ac:dyDescent="0.25">
      <c r="A258" s="7" t="s">
        <v>1797</v>
      </c>
      <c r="B258" s="2" t="s">
        <v>474</v>
      </c>
      <c r="C258" s="4">
        <v>5</v>
      </c>
      <c r="D258" s="5">
        <v>6.75</v>
      </c>
      <c r="E258" s="5">
        <v>16.989999999999998</v>
      </c>
      <c r="F258" s="4" t="s">
        <v>1798</v>
      </c>
      <c r="G258" s="2" t="s">
        <v>476</v>
      </c>
      <c r="H258" s="7"/>
      <c r="I258" s="2" t="s">
        <v>321</v>
      </c>
      <c r="J258" s="2" t="s">
        <v>477</v>
      </c>
      <c r="K258" s="2" t="s">
        <v>304</v>
      </c>
      <c r="L258" s="2" t="s">
        <v>1117</v>
      </c>
      <c r="M258" s="8" t="str">
        <f>HYPERLINK("http://slimages.macys.com/is/image/MCY/13860353 ")</f>
        <v xml:space="preserve">http://slimages.macys.com/is/image/MCY/13860353 </v>
      </c>
    </row>
    <row r="259" spans="1:13" ht="84" x14ac:dyDescent="0.25">
      <c r="A259" s="7" t="s">
        <v>6881</v>
      </c>
      <c r="B259" s="2" t="s">
        <v>474</v>
      </c>
      <c r="C259" s="4">
        <v>3</v>
      </c>
      <c r="D259" s="5">
        <v>6.75</v>
      </c>
      <c r="E259" s="5">
        <v>16.989999999999998</v>
      </c>
      <c r="F259" s="4" t="s">
        <v>475</v>
      </c>
      <c r="G259" s="2" t="s">
        <v>476</v>
      </c>
      <c r="H259" s="7" t="s">
        <v>144</v>
      </c>
      <c r="I259" s="2" t="s">
        <v>321</v>
      </c>
      <c r="J259" s="2" t="s">
        <v>477</v>
      </c>
      <c r="K259" s="2" t="s">
        <v>304</v>
      </c>
      <c r="L259" s="2" t="s">
        <v>478</v>
      </c>
      <c r="M259" s="8" t="str">
        <f>HYPERLINK("http://slimages.macys.com/is/image/MCY/13860353 ")</f>
        <v xml:space="preserve">http://slimages.macys.com/is/image/MCY/13860353 </v>
      </c>
    </row>
    <row r="260" spans="1:13" ht="96" x14ac:dyDescent="0.25">
      <c r="A260" s="7" t="s">
        <v>2595</v>
      </c>
      <c r="B260" s="2" t="s">
        <v>2596</v>
      </c>
      <c r="C260" s="4">
        <v>4</v>
      </c>
      <c r="D260" s="5">
        <v>6.75</v>
      </c>
      <c r="E260" s="5">
        <v>16.989999999999998</v>
      </c>
      <c r="F260" s="4" t="s">
        <v>2597</v>
      </c>
      <c r="G260" s="2" t="s">
        <v>41</v>
      </c>
      <c r="H260" s="7"/>
      <c r="I260" s="2" t="s">
        <v>321</v>
      </c>
      <c r="J260" s="2" t="s">
        <v>477</v>
      </c>
      <c r="K260" s="2" t="s">
        <v>304</v>
      </c>
      <c r="L260" s="2" t="s">
        <v>1516</v>
      </c>
      <c r="M260" s="8" t="str">
        <f>HYPERLINK("http://slimages.macys.com/is/image/MCY/13860422 ")</f>
        <v xml:space="preserve">http://slimages.macys.com/is/image/MCY/13860422 </v>
      </c>
    </row>
    <row r="261" spans="1:13" ht="60" x14ac:dyDescent="0.25">
      <c r="A261" s="7" t="s">
        <v>5435</v>
      </c>
      <c r="B261" s="2" t="s">
        <v>1791</v>
      </c>
      <c r="C261" s="4">
        <v>5</v>
      </c>
      <c r="D261" s="5">
        <v>6.75</v>
      </c>
      <c r="E261" s="5">
        <v>16.989999999999998</v>
      </c>
      <c r="F261" s="4" t="s">
        <v>1795</v>
      </c>
      <c r="G261" s="2" t="s">
        <v>41</v>
      </c>
      <c r="H261" s="7" t="s">
        <v>68</v>
      </c>
      <c r="I261" s="2" t="s">
        <v>321</v>
      </c>
      <c r="J261" s="2" t="s">
        <v>477</v>
      </c>
      <c r="K261" s="2" t="s">
        <v>304</v>
      </c>
      <c r="L261" s="2" t="s">
        <v>125</v>
      </c>
      <c r="M261" s="8" t="str">
        <f>HYPERLINK("http://slimages.macys.com/is/image/MCY/13860424 ")</f>
        <v xml:space="preserve">http://slimages.macys.com/is/image/MCY/13860424 </v>
      </c>
    </row>
    <row r="262" spans="1:13" ht="96" x14ac:dyDescent="0.25">
      <c r="A262" s="7" t="s">
        <v>7557</v>
      </c>
      <c r="B262" s="2" t="s">
        <v>2596</v>
      </c>
      <c r="C262" s="4">
        <v>2</v>
      </c>
      <c r="D262" s="5">
        <v>6.75</v>
      </c>
      <c r="E262" s="5">
        <v>16.989999999999998</v>
      </c>
      <c r="F262" s="4" t="s">
        <v>2597</v>
      </c>
      <c r="G262" s="2" t="s">
        <v>41</v>
      </c>
      <c r="H262" s="7"/>
      <c r="I262" s="2" t="s">
        <v>321</v>
      </c>
      <c r="J262" s="2" t="s">
        <v>477</v>
      </c>
      <c r="K262" s="2" t="s">
        <v>304</v>
      </c>
      <c r="L262" s="2" t="s">
        <v>1516</v>
      </c>
      <c r="M262" s="8" t="str">
        <f>HYPERLINK("http://slimages.macys.com/is/image/MCY/13860422 ")</f>
        <v xml:space="preserve">http://slimages.macys.com/is/image/MCY/13860422 </v>
      </c>
    </row>
    <row r="263" spans="1:13" ht="60" x14ac:dyDescent="0.25">
      <c r="A263" s="7" t="s">
        <v>7566</v>
      </c>
      <c r="B263" s="2" t="s">
        <v>2596</v>
      </c>
      <c r="C263" s="4">
        <v>1</v>
      </c>
      <c r="D263" s="5">
        <v>6.75</v>
      </c>
      <c r="E263" s="5">
        <v>16.989999999999998</v>
      </c>
      <c r="F263" s="4" t="s">
        <v>7555</v>
      </c>
      <c r="G263" s="2" t="s">
        <v>41</v>
      </c>
      <c r="H263" s="7" t="s">
        <v>144</v>
      </c>
      <c r="I263" s="2" t="s">
        <v>321</v>
      </c>
      <c r="J263" s="2" t="s">
        <v>477</v>
      </c>
      <c r="K263" s="2" t="s">
        <v>304</v>
      </c>
      <c r="L263" s="2" t="s">
        <v>125</v>
      </c>
      <c r="M263" s="8" t="str">
        <f>HYPERLINK("http://slimages.macys.com/is/image/MCY/13860422 ")</f>
        <v xml:space="preserve">http://slimages.macys.com/is/image/MCY/13860422 </v>
      </c>
    </row>
    <row r="264" spans="1:13" ht="96" x14ac:dyDescent="0.25">
      <c r="A264" s="7" t="s">
        <v>7559</v>
      </c>
      <c r="B264" s="2" t="s">
        <v>2596</v>
      </c>
      <c r="C264" s="4">
        <v>2</v>
      </c>
      <c r="D264" s="5">
        <v>6.75</v>
      </c>
      <c r="E264" s="5">
        <v>16.989999999999998</v>
      </c>
      <c r="F264" s="4" t="s">
        <v>2597</v>
      </c>
      <c r="G264" s="2" t="s">
        <v>41</v>
      </c>
      <c r="H264" s="7"/>
      <c r="I264" s="2" t="s">
        <v>321</v>
      </c>
      <c r="J264" s="2" t="s">
        <v>477</v>
      </c>
      <c r="K264" s="2" t="s">
        <v>304</v>
      </c>
      <c r="L264" s="2" t="s">
        <v>1516</v>
      </c>
      <c r="M264" s="8" t="str">
        <f>HYPERLINK("http://slimages.macys.com/is/image/MCY/13860422 ")</f>
        <v xml:space="preserve">http://slimages.macys.com/is/image/MCY/13860422 </v>
      </c>
    </row>
    <row r="265" spans="1:13" ht="96" x14ac:dyDescent="0.25">
      <c r="A265" s="7" t="s">
        <v>5427</v>
      </c>
      <c r="B265" s="2" t="s">
        <v>5428</v>
      </c>
      <c r="C265" s="4">
        <v>1</v>
      </c>
      <c r="D265" s="5">
        <v>6.75</v>
      </c>
      <c r="E265" s="5">
        <v>16.989999999999998</v>
      </c>
      <c r="F265" s="4" t="s">
        <v>5429</v>
      </c>
      <c r="G265" s="2" t="s">
        <v>476</v>
      </c>
      <c r="H265" s="7" t="s">
        <v>68</v>
      </c>
      <c r="I265" s="2" t="s">
        <v>321</v>
      </c>
      <c r="J265" s="2" t="s">
        <v>477</v>
      </c>
      <c r="K265" s="2" t="s">
        <v>304</v>
      </c>
      <c r="L265" s="2" t="s">
        <v>1516</v>
      </c>
      <c r="M265" s="8" t="str">
        <f>HYPERLINK("http://slimages.macys.com/is/image/MCY/13860359 ")</f>
        <v xml:space="preserve">http://slimages.macys.com/is/image/MCY/13860359 </v>
      </c>
    </row>
    <row r="266" spans="1:13" ht="96" x14ac:dyDescent="0.25">
      <c r="A266" s="7" t="s">
        <v>6877</v>
      </c>
      <c r="B266" s="2" t="s">
        <v>5428</v>
      </c>
      <c r="C266" s="4">
        <v>4</v>
      </c>
      <c r="D266" s="5">
        <v>6.75</v>
      </c>
      <c r="E266" s="5">
        <v>16.989999999999998</v>
      </c>
      <c r="F266" s="4" t="s">
        <v>5429</v>
      </c>
      <c r="G266" s="2" t="s">
        <v>476</v>
      </c>
      <c r="H266" s="7" t="s">
        <v>144</v>
      </c>
      <c r="I266" s="2" t="s">
        <v>321</v>
      </c>
      <c r="J266" s="2" t="s">
        <v>477</v>
      </c>
      <c r="K266" s="2" t="s">
        <v>304</v>
      </c>
      <c r="L266" s="2" t="s">
        <v>1516</v>
      </c>
      <c r="M266" s="8" t="str">
        <f>HYPERLINK("http://slimages.macys.com/is/image/MCY/13860359 ")</f>
        <v xml:space="preserve">http://slimages.macys.com/is/image/MCY/13860359 </v>
      </c>
    </row>
    <row r="267" spans="1:13" ht="96" x14ac:dyDescent="0.25">
      <c r="A267" s="7" t="s">
        <v>6878</v>
      </c>
      <c r="B267" s="2" t="s">
        <v>5428</v>
      </c>
      <c r="C267" s="4">
        <v>1</v>
      </c>
      <c r="D267" s="5">
        <v>6.75</v>
      </c>
      <c r="E267" s="5">
        <v>16.989999999999998</v>
      </c>
      <c r="F267" s="4" t="s">
        <v>5429</v>
      </c>
      <c r="G267" s="2" t="s">
        <v>476</v>
      </c>
      <c r="H267" s="7" t="s">
        <v>209</v>
      </c>
      <c r="I267" s="2" t="s">
        <v>321</v>
      </c>
      <c r="J267" s="2" t="s">
        <v>477</v>
      </c>
      <c r="K267" s="2" t="s">
        <v>304</v>
      </c>
      <c r="L267" s="2" t="s">
        <v>1516</v>
      </c>
      <c r="M267" s="8" t="str">
        <f>HYPERLINK("http://slimages.macys.com/is/image/MCY/13860359 ")</f>
        <v xml:space="preserve">http://slimages.macys.com/is/image/MCY/13860359 </v>
      </c>
    </row>
    <row r="268" spans="1:13" ht="60" x14ac:dyDescent="0.25">
      <c r="A268" s="7" t="s">
        <v>5433</v>
      </c>
      <c r="B268" s="2" t="s">
        <v>5428</v>
      </c>
      <c r="C268" s="4">
        <v>4</v>
      </c>
      <c r="D268" s="5">
        <v>6.75</v>
      </c>
      <c r="E268" s="5">
        <v>16.989999999999998</v>
      </c>
      <c r="F268" s="4" t="s">
        <v>5434</v>
      </c>
      <c r="G268" s="2" t="s">
        <v>476</v>
      </c>
      <c r="H268" s="7"/>
      <c r="I268" s="2" t="s">
        <v>321</v>
      </c>
      <c r="J268" s="2" t="s">
        <v>477</v>
      </c>
      <c r="K268" s="2" t="s">
        <v>304</v>
      </c>
      <c r="L268" s="2" t="s">
        <v>358</v>
      </c>
      <c r="M268" s="8" t="str">
        <f>HYPERLINK("http://slimages.macys.com/is/image/MCY/13860359 ")</f>
        <v xml:space="preserve">http://slimages.macys.com/is/image/MCY/13860359 </v>
      </c>
    </row>
    <row r="269" spans="1:13" ht="84" x14ac:dyDescent="0.25">
      <c r="A269" s="7" t="s">
        <v>6875</v>
      </c>
      <c r="B269" s="2" t="s">
        <v>474</v>
      </c>
      <c r="C269" s="4">
        <v>2</v>
      </c>
      <c r="D269" s="5">
        <v>6.75</v>
      </c>
      <c r="E269" s="5">
        <v>16.989999999999998</v>
      </c>
      <c r="F269" s="4" t="s">
        <v>1798</v>
      </c>
      <c r="G269" s="2" t="s">
        <v>476</v>
      </c>
      <c r="H269" s="7"/>
      <c r="I269" s="2" t="s">
        <v>321</v>
      </c>
      <c r="J269" s="2" t="s">
        <v>477</v>
      </c>
      <c r="K269" s="2" t="s">
        <v>304</v>
      </c>
      <c r="L269" s="2" t="s">
        <v>1117</v>
      </c>
      <c r="M269" s="8" t="str">
        <f>HYPERLINK("http://slimages.macys.com/is/image/MCY/13860353 ")</f>
        <v xml:space="preserve">http://slimages.macys.com/is/image/MCY/13860353 </v>
      </c>
    </row>
    <row r="270" spans="1:13" ht="84" x14ac:dyDescent="0.25">
      <c r="A270" s="7" t="s">
        <v>473</v>
      </c>
      <c r="B270" s="2" t="s">
        <v>474</v>
      </c>
      <c r="C270" s="4">
        <v>5</v>
      </c>
      <c r="D270" s="5">
        <v>6.75</v>
      </c>
      <c r="E270" s="5">
        <v>16.989999999999998</v>
      </c>
      <c r="F270" s="4" t="s">
        <v>475</v>
      </c>
      <c r="G270" s="2" t="s">
        <v>476</v>
      </c>
      <c r="H270" s="7" t="s">
        <v>209</v>
      </c>
      <c r="I270" s="2" t="s">
        <v>321</v>
      </c>
      <c r="J270" s="2" t="s">
        <v>477</v>
      </c>
      <c r="K270" s="2" t="s">
        <v>304</v>
      </c>
      <c r="L270" s="2" t="s">
        <v>478</v>
      </c>
      <c r="M270" s="8" t="str">
        <f>HYPERLINK("http://slimages.macys.com/is/image/MCY/13860353 ")</f>
        <v xml:space="preserve">http://slimages.macys.com/is/image/MCY/13860353 </v>
      </c>
    </row>
    <row r="271" spans="1:13" ht="84" x14ac:dyDescent="0.25">
      <c r="A271" s="7" t="s">
        <v>6876</v>
      </c>
      <c r="B271" s="2" t="s">
        <v>474</v>
      </c>
      <c r="C271" s="4">
        <v>4</v>
      </c>
      <c r="D271" s="5">
        <v>6.75</v>
      </c>
      <c r="E271" s="5">
        <v>16.989999999999998</v>
      </c>
      <c r="F271" s="4" t="s">
        <v>1798</v>
      </c>
      <c r="G271" s="2" t="s">
        <v>476</v>
      </c>
      <c r="H271" s="7"/>
      <c r="I271" s="2" t="s">
        <v>321</v>
      </c>
      <c r="J271" s="2" t="s">
        <v>477</v>
      </c>
      <c r="K271" s="2" t="s">
        <v>304</v>
      </c>
      <c r="L271" s="2" t="s">
        <v>1117</v>
      </c>
      <c r="M271" s="8" t="str">
        <f>HYPERLINK("http://slimages.macys.com/is/image/MCY/13860353 ")</f>
        <v xml:space="preserve">http://slimages.macys.com/is/image/MCY/13860353 </v>
      </c>
    </row>
    <row r="272" spans="1:13" ht="60" x14ac:dyDescent="0.25">
      <c r="A272" s="7" t="s">
        <v>7552</v>
      </c>
      <c r="B272" s="2" t="s">
        <v>4097</v>
      </c>
      <c r="C272" s="4">
        <v>1</v>
      </c>
      <c r="D272" s="5">
        <v>6.75</v>
      </c>
      <c r="E272" s="5">
        <v>16.989999999999998</v>
      </c>
      <c r="F272" s="4" t="s">
        <v>7553</v>
      </c>
      <c r="G272" s="2" t="s">
        <v>892</v>
      </c>
      <c r="H272" s="7" t="s">
        <v>144</v>
      </c>
      <c r="I272" s="2" t="s">
        <v>321</v>
      </c>
      <c r="J272" s="2" t="s">
        <v>477</v>
      </c>
      <c r="K272" s="2" t="s">
        <v>304</v>
      </c>
      <c r="L272" s="2" t="s">
        <v>125</v>
      </c>
      <c r="M272" s="8" t="str">
        <f>HYPERLINK("http://slimages.macys.com/is/image/MCY/13860370 ")</f>
        <v xml:space="preserve">http://slimages.macys.com/is/image/MCY/13860370 </v>
      </c>
    </row>
    <row r="273" spans="1:13" ht="60" x14ac:dyDescent="0.25">
      <c r="A273" s="7" t="s">
        <v>7577</v>
      </c>
      <c r="B273" s="2" t="s">
        <v>4097</v>
      </c>
      <c r="C273" s="4">
        <v>2</v>
      </c>
      <c r="D273" s="5">
        <v>6.75</v>
      </c>
      <c r="E273" s="5">
        <v>16.989999999999998</v>
      </c>
      <c r="F273" s="4" t="s">
        <v>7553</v>
      </c>
      <c r="G273" s="2" t="s">
        <v>892</v>
      </c>
      <c r="H273" s="7" t="s">
        <v>68</v>
      </c>
      <c r="I273" s="2" t="s">
        <v>321</v>
      </c>
      <c r="J273" s="2" t="s">
        <v>477</v>
      </c>
      <c r="K273" s="2" t="s">
        <v>304</v>
      </c>
      <c r="L273" s="2" t="s">
        <v>125</v>
      </c>
      <c r="M273" s="8" t="str">
        <f>HYPERLINK("http://slimages.macys.com/is/image/MCY/13860370 ")</f>
        <v xml:space="preserve">http://slimages.macys.com/is/image/MCY/13860370 </v>
      </c>
    </row>
    <row r="274" spans="1:13" ht="96" x14ac:dyDescent="0.25">
      <c r="A274" s="7" t="s">
        <v>7551</v>
      </c>
      <c r="B274" s="2" t="s">
        <v>4088</v>
      </c>
      <c r="C274" s="4">
        <v>1</v>
      </c>
      <c r="D274" s="5">
        <v>6.75</v>
      </c>
      <c r="E274" s="5">
        <v>16.989999999999998</v>
      </c>
      <c r="F274" s="4" t="s">
        <v>4089</v>
      </c>
      <c r="G274" s="2" t="s">
        <v>892</v>
      </c>
      <c r="H274" s="7"/>
      <c r="I274" s="2" t="s">
        <v>321</v>
      </c>
      <c r="J274" s="2" t="s">
        <v>477</v>
      </c>
      <c r="K274" s="2" t="s">
        <v>304</v>
      </c>
      <c r="L274" s="2" t="s">
        <v>1516</v>
      </c>
      <c r="M274" s="8" t="str">
        <f>HYPERLINK("http://slimages.macys.com/is/image/MCY/13860413 ")</f>
        <v xml:space="preserve">http://slimages.macys.com/is/image/MCY/13860413 </v>
      </c>
    </row>
    <row r="275" spans="1:13" ht="96" x14ac:dyDescent="0.25">
      <c r="A275" s="7" t="s">
        <v>5430</v>
      </c>
      <c r="B275" s="2" t="s">
        <v>4088</v>
      </c>
      <c r="C275" s="4">
        <v>1</v>
      </c>
      <c r="D275" s="5">
        <v>6.75</v>
      </c>
      <c r="E275" s="5">
        <v>16.989999999999998</v>
      </c>
      <c r="F275" s="4" t="s">
        <v>5431</v>
      </c>
      <c r="G275" s="2" t="s">
        <v>892</v>
      </c>
      <c r="H275" s="7" t="s">
        <v>144</v>
      </c>
      <c r="I275" s="2" t="s">
        <v>321</v>
      </c>
      <c r="J275" s="2" t="s">
        <v>477</v>
      </c>
      <c r="K275" s="2" t="s">
        <v>304</v>
      </c>
      <c r="L275" s="2" t="s">
        <v>1516</v>
      </c>
      <c r="M275" s="8" t="str">
        <f>HYPERLINK("http://slimages.macys.com/is/image/MCY/13860413 ")</f>
        <v xml:space="preserve">http://slimages.macys.com/is/image/MCY/13860413 </v>
      </c>
    </row>
    <row r="276" spans="1:13" ht="96" x14ac:dyDescent="0.25">
      <c r="A276" s="7" t="s">
        <v>7572</v>
      </c>
      <c r="B276" s="2" t="s">
        <v>4088</v>
      </c>
      <c r="C276" s="4">
        <v>1</v>
      </c>
      <c r="D276" s="5">
        <v>6.75</v>
      </c>
      <c r="E276" s="5">
        <v>16.989999999999998</v>
      </c>
      <c r="F276" s="4" t="s">
        <v>4089</v>
      </c>
      <c r="G276" s="2" t="s">
        <v>892</v>
      </c>
      <c r="H276" s="7"/>
      <c r="I276" s="2" t="s">
        <v>321</v>
      </c>
      <c r="J276" s="2" t="s">
        <v>477</v>
      </c>
      <c r="K276" s="2" t="s">
        <v>304</v>
      </c>
      <c r="L276" s="2" t="s">
        <v>1516</v>
      </c>
      <c r="M276" s="8" t="str">
        <f>HYPERLINK("http://slimages.macys.com/is/image/MCY/13860413 ")</f>
        <v xml:space="preserve">http://slimages.macys.com/is/image/MCY/13860413 </v>
      </c>
    </row>
    <row r="277" spans="1:13" ht="84" x14ac:dyDescent="0.25">
      <c r="A277" s="7" t="s">
        <v>2594</v>
      </c>
      <c r="B277" s="2" t="s">
        <v>474</v>
      </c>
      <c r="C277" s="4">
        <v>1</v>
      </c>
      <c r="D277" s="5">
        <v>6.75</v>
      </c>
      <c r="E277" s="5">
        <v>16.989999999999998</v>
      </c>
      <c r="F277" s="4" t="s">
        <v>475</v>
      </c>
      <c r="G277" s="2" t="s">
        <v>476</v>
      </c>
      <c r="H277" s="7" t="s">
        <v>68</v>
      </c>
      <c r="I277" s="2" t="s">
        <v>321</v>
      </c>
      <c r="J277" s="2" t="s">
        <v>477</v>
      </c>
      <c r="K277" s="2" t="s">
        <v>304</v>
      </c>
      <c r="L277" s="2" t="s">
        <v>478</v>
      </c>
      <c r="M277" s="8" t="str">
        <f>HYPERLINK("http://slimages.macys.com/is/image/MCY/13860353 ")</f>
        <v xml:space="preserve">http://slimages.macys.com/is/image/MCY/13860353 </v>
      </c>
    </row>
    <row r="278" spans="1:13" ht="60" x14ac:dyDescent="0.25">
      <c r="A278" s="7" t="s">
        <v>7556</v>
      </c>
      <c r="B278" s="2" t="s">
        <v>2596</v>
      </c>
      <c r="C278" s="4">
        <v>1</v>
      </c>
      <c r="D278" s="5">
        <v>6.75</v>
      </c>
      <c r="E278" s="5">
        <v>16.989999999999998</v>
      </c>
      <c r="F278" s="4" t="s">
        <v>7555</v>
      </c>
      <c r="G278" s="2" t="s">
        <v>41</v>
      </c>
      <c r="H278" s="7" t="s">
        <v>209</v>
      </c>
      <c r="I278" s="2" t="s">
        <v>321</v>
      </c>
      <c r="J278" s="2" t="s">
        <v>477</v>
      </c>
      <c r="K278" s="2" t="s">
        <v>304</v>
      </c>
      <c r="L278" s="2" t="s">
        <v>125</v>
      </c>
      <c r="M278" s="8" t="str">
        <f>HYPERLINK("http://slimages.macys.com/is/image/MCY/13860422 ")</f>
        <v xml:space="preserve">http://slimages.macys.com/is/image/MCY/13860422 </v>
      </c>
    </row>
    <row r="279" spans="1:13" ht="60" x14ac:dyDescent="0.25">
      <c r="A279" s="7" t="s">
        <v>10080</v>
      </c>
      <c r="B279" s="2" t="s">
        <v>7564</v>
      </c>
      <c r="C279" s="4">
        <v>1</v>
      </c>
      <c r="D279" s="5">
        <v>6.75</v>
      </c>
      <c r="E279" s="5">
        <v>21.99</v>
      </c>
      <c r="F279" s="4" t="s">
        <v>7565</v>
      </c>
      <c r="G279" s="2" t="s">
        <v>310</v>
      </c>
      <c r="H279" s="7" t="s">
        <v>68</v>
      </c>
      <c r="I279" s="2" t="s">
        <v>342</v>
      </c>
      <c r="J279" s="2" t="s">
        <v>362</v>
      </c>
      <c r="K279" s="2" t="s">
        <v>304</v>
      </c>
      <c r="L279" s="2" t="s">
        <v>3935</v>
      </c>
      <c r="M279" s="8" t="str">
        <f>HYPERLINK("http://slimages.macys.com/is/image/MCY/12227599 ")</f>
        <v xml:space="preserve">http://slimages.macys.com/is/image/MCY/12227599 </v>
      </c>
    </row>
    <row r="280" spans="1:13" ht="60" x14ac:dyDescent="0.25">
      <c r="A280" s="7" t="s">
        <v>10081</v>
      </c>
      <c r="B280" s="2" t="s">
        <v>9554</v>
      </c>
      <c r="C280" s="4">
        <v>1</v>
      </c>
      <c r="D280" s="5">
        <v>6.75</v>
      </c>
      <c r="E280" s="5">
        <v>21.99</v>
      </c>
      <c r="F280" s="4" t="s">
        <v>9555</v>
      </c>
      <c r="G280" s="2" t="s">
        <v>310</v>
      </c>
      <c r="H280" s="7" t="s">
        <v>68</v>
      </c>
      <c r="I280" s="2" t="s">
        <v>342</v>
      </c>
      <c r="J280" s="2" t="s">
        <v>362</v>
      </c>
      <c r="K280" s="2" t="s">
        <v>304</v>
      </c>
      <c r="L280" s="2" t="s">
        <v>3935</v>
      </c>
      <c r="M280" s="8" t="str">
        <f>HYPERLINK("http://slimages.macys.com/is/image/MCY/12227641 ")</f>
        <v xml:space="preserve">http://slimages.macys.com/is/image/MCY/12227641 </v>
      </c>
    </row>
    <row r="281" spans="1:13" ht="60" x14ac:dyDescent="0.25">
      <c r="A281" s="7" t="s">
        <v>10082</v>
      </c>
      <c r="B281" s="2" t="s">
        <v>10083</v>
      </c>
      <c r="C281" s="4">
        <v>1</v>
      </c>
      <c r="D281" s="5">
        <v>6.75</v>
      </c>
      <c r="E281" s="5">
        <v>14.99</v>
      </c>
      <c r="F281" s="4" t="s">
        <v>10084</v>
      </c>
      <c r="G281" s="2" t="s">
        <v>657</v>
      </c>
      <c r="H281" s="7"/>
      <c r="I281" s="2" t="s">
        <v>523</v>
      </c>
      <c r="J281" s="2" t="s">
        <v>5463</v>
      </c>
      <c r="K281" s="2" t="s">
        <v>304</v>
      </c>
      <c r="L281" s="2" t="s">
        <v>358</v>
      </c>
      <c r="M281" s="8" t="str">
        <f>HYPERLINK("http://slimages.macys.com/is/image/MCY/9336556 ")</f>
        <v xml:space="preserve">http://slimages.macys.com/is/image/MCY/9336556 </v>
      </c>
    </row>
    <row r="282" spans="1:13" ht="84" x14ac:dyDescent="0.25">
      <c r="A282" s="7" t="s">
        <v>2599</v>
      </c>
      <c r="B282" s="2" t="s">
        <v>2600</v>
      </c>
      <c r="C282" s="4">
        <v>4</v>
      </c>
      <c r="D282" s="5">
        <v>6.72</v>
      </c>
      <c r="E282" s="5">
        <v>17.989999999999998</v>
      </c>
      <c r="F282" s="4" t="s">
        <v>2601</v>
      </c>
      <c r="G282" s="2" t="s">
        <v>171</v>
      </c>
      <c r="H282" s="7" t="s">
        <v>228</v>
      </c>
      <c r="I282" s="2" t="s">
        <v>515</v>
      </c>
      <c r="J282" s="2" t="s">
        <v>827</v>
      </c>
      <c r="K282" s="2" t="s">
        <v>304</v>
      </c>
      <c r="L282" s="2" t="s">
        <v>1117</v>
      </c>
      <c r="M282" s="8" t="str">
        <f>HYPERLINK("http://slimages.macys.com/is/image/MCY/11605968 ")</f>
        <v xml:space="preserve">http://slimages.macys.com/is/image/MCY/11605968 </v>
      </c>
    </row>
    <row r="283" spans="1:13" ht="84" x14ac:dyDescent="0.25">
      <c r="A283" s="7" t="s">
        <v>10085</v>
      </c>
      <c r="B283" s="2" t="s">
        <v>2600</v>
      </c>
      <c r="C283" s="4">
        <v>5</v>
      </c>
      <c r="D283" s="5">
        <v>6.72</v>
      </c>
      <c r="E283" s="5">
        <v>17.989999999999998</v>
      </c>
      <c r="F283" s="4" t="s">
        <v>2601</v>
      </c>
      <c r="G283" s="2" t="s">
        <v>171</v>
      </c>
      <c r="H283" s="7" t="s">
        <v>159</v>
      </c>
      <c r="I283" s="2" t="s">
        <v>515</v>
      </c>
      <c r="J283" s="2" t="s">
        <v>827</v>
      </c>
      <c r="K283" s="2" t="s">
        <v>304</v>
      </c>
      <c r="L283" s="2" t="s">
        <v>1117</v>
      </c>
      <c r="M283" s="8" t="str">
        <f>HYPERLINK("http://slimages.macys.com/is/image/MCY/11605968 ")</f>
        <v xml:space="preserve">http://slimages.macys.com/is/image/MCY/11605968 </v>
      </c>
    </row>
    <row r="284" spans="1:13" ht="84" x14ac:dyDescent="0.25">
      <c r="A284" s="7" t="s">
        <v>8930</v>
      </c>
      <c r="B284" s="2" t="s">
        <v>2600</v>
      </c>
      <c r="C284" s="4">
        <v>2</v>
      </c>
      <c r="D284" s="5">
        <v>6.72</v>
      </c>
      <c r="E284" s="5">
        <v>17.989999999999998</v>
      </c>
      <c r="F284" s="4" t="s">
        <v>2601</v>
      </c>
      <c r="G284" s="2" t="s">
        <v>171</v>
      </c>
      <c r="H284" s="7" t="s">
        <v>196</v>
      </c>
      <c r="I284" s="2" t="s">
        <v>515</v>
      </c>
      <c r="J284" s="2" t="s">
        <v>827</v>
      </c>
      <c r="K284" s="2" t="s">
        <v>304</v>
      </c>
      <c r="L284" s="2" t="s">
        <v>1117</v>
      </c>
      <c r="M284" s="8" t="str">
        <f>HYPERLINK("http://slimages.macys.com/is/image/MCY/11605968 ")</f>
        <v xml:space="preserve">http://slimages.macys.com/is/image/MCY/11605968 </v>
      </c>
    </row>
    <row r="285" spans="1:13" ht="84" x14ac:dyDescent="0.25">
      <c r="A285" s="7" t="s">
        <v>3341</v>
      </c>
      <c r="B285" s="2" t="s">
        <v>2600</v>
      </c>
      <c r="C285" s="4">
        <v>2</v>
      </c>
      <c r="D285" s="5">
        <v>6.72</v>
      </c>
      <c r="E285" s="5">
        <v>17.989999999999998</v>
      </c>
      <c r="F285" s="4" t="s">
        <v>2601</v>
      </c>
      <c r="G285" s="2" t="s">
        <v>171</v>
      </c>
      <c r="H285" s="7" t="s">
        <v>284</v>
      </c>
      <c r="I285" s="2" t="s">
        <v>515</v>
      </c>
      <c r="J285" s="2" t="s">
        <v>827</v>
      </c>
      <c r="K285" s="2" t="s">
        <v>304</v>
      </c>
      <c r="L285" s="2" t="s">
        <v>1117</v>
      </c>
      <c r="M285" s="8" t="str">
        <f>HYPERLINK("http://slimages.macys.com/is/image/MCY/11605968 ")</f>
        <v xml:space="preserve">http://slimages.macys.com/is/image/MCY/11605968 </v>
      </c>
    </row>
    <row r="286" spans="1:13" ht="84" x14ac:dyDescent="0.25">
      <c r="A286" s="7" t="s">
        <v>10086</v>
      </c>
      <c r="B286" s="2" t="s">
        <v>8873</v>
      </c>
      <c r="C286" s="4">
        <v>1</v>
      </c>
      <c r="D286" s="5">
        <v>6.7</v>
      </c>
      <c r="E286" s="5">
        <v>16.989999999999998</v>
      </c>
      <c r="F286" s="4" t="s">
        <v>8874</v>
      </c>
      <c r="G286" s="2" t="s">
        <v>86</v>
      </c>
      <c r="H286" s="7" t="s">
        <v>284</v>
      </c>
      <c r="I286" s="2" t="s">
        <v>515</v>
      </c>
      <c r="J286" s="2" t="s">
        <v>827</v>
      </c>
      <c r="K286" s="2" t="s">
        <v>304</v>
      </c>
      <c r="L286" s="2" t="s">
        <v>1117</v>
      </c>
      <c r="M286" s="8" t="str">
        <f>HYPERLINK("http://slimages.macys.com/is/image/MCY/11483913 ")</f>
        <v xml:space="preserve">http://slimages.macys.com/is/image/MCY/11483913 </v>
      </c>
    </row>
    <row r="287" spans="1:13" ht="84" x14ac:dyDescent="0.25">
      <c r="A287" s="7" t="s">
        <v>10087</v>
      </c>
      <c r="B287" s="2" t="s">
        <v>8873</v>
      </c>
      <c r="C287" s="4">
        <v>2</v>
      </c>
      <c r="D287" s="5">
        <v>6.7</v>
      </c>
      <c r="E287" s="5">
        <v>16.989999999999998</v>
      </c>
      <c r="F287" s="4" t="s">
        <v>8874</v>
      </c>
      <c r="G287" s="2" t="s">
        <v>86</v>
      </c>
      <c r="H287" s="7" t="s">
        <v>159</v>
      </c>
      <c r="I287" s="2" t="s">
        <v>515</v>
      </c>
      <c r="J287" s="2" t="s">
        <v>827</v>
      </c>
      <c r="K287" s="2" t="s">
        <v>304</v>
      </c>
      <c r="L287" s="2" t="s">
        <v>1117</v>
      </c>
      <c r="M287" s="8" t="str">
        <f>HYPERLINK("http://slimages.macys.com/is/image/MCY/11483913 ")</f>
        <v xml:space="preserve">http://slimages.macys.com/is/image/MCY/11483913 </v>
      </c>
    </row>
    <row r="288" spans="1:13" ht="60" x14ac:dyDescent="0.25">
      <c r="A288" s="7" t="s">
        <v>1803</v>
      </c>
      <c r="B288" s="2" t="s">
        <v>1025</v>
      </c>
      <c r="C288" s="4">
        <v>2</v>
      </c>
      <c r="D288" s="5">
        <v>6.67</v>
      </c>
      <c r="E288" s="5">
        <v>16.989999999999998</v>
      </c>
      <c r="F288" s="4" t="s">
        <v>1804</v>
      </c>
      <c r="G288" s="2" t="s">
        <v>62</v>
      </c>
      <c r="H288" s="7" t="s">
        <v>284</v>
      </c>
      <c r="I288" s="2" t="s">
        <v>515</v>
      </c>
      <c r="J288" s="2" t="s">
        <v>827</v>
      </c>
      <c r="K288" s="2" t="s">
        <v>304</v>
      </c>
      <c r="L288" s="2" t="s">
        <v>358</v>
      </c>
      <c r="M288" s="8" t="str">
        <f>HYPERLINK("http://slimages.macys.com/is/image/MCY/12687279 ")</f>
        <v xml:space="preserve">http://slimages.macys.com/is/image/MCY/12687279 </v>
      </c>
    </row>
    <row r="289" spans="1:13" ht="60" x14ac:dyDescent="0.25">
      <c r="A289" s="7" t="s">
        <v>1805</v>
      </c>
      <c r="B289" s="2" t="s">
        <v>1025</v>
      </c>
      <c r="C289" s="4">
        <v>1</v>
      </c>
      <c r="D289" s="5">
        <v>6.67</v>
      </c>
      <c r="E289" s="5">
        <v>16.989999999999998</v>
      </c>
      <c r="F289" s="4" t="s">
        <v>1804</v>
      </c>
      <c r="G289" s="2" t="s">
        <v>62</v>
      </c>
      <c r="H289" s="7" t="s">
        <v>228</v>
      </c>
      <c r="I289" s="2" t="s">
        <v>515</v>
      </c>
      <c r="J289" s="2" t="s">
        <v>827</v>
      </c>
      <c r="K289" s="2" t="s">
        <v>304</v>
      </c>
      <c r="L289" s="2" t="s">
        <v>358</v>
      </c>
      <c r="M289" s="8" t="str">
        <f>HYPERLINK("http://slimages.macys.com/is/image/MCY/12687279 ")</f>
        <v xml:space="preserve">http://slimages.macys.com/is/image/MCY/12687279 </v>
      </c>
    </row>
    <row r="290" spans="1:13" ht="60" x14ac:dyDescent="0.25">
      <c r="A290" s="7" t="s">
        <v>10088</v>
      </c>
      <c r="B290" s="2" t="s">
        <v>1025</v>
      </c>
      <c r="C290" s="4">
        <v>1</v>
      </c>
      <c r="D290" s="5">
        <v>6.67</v>
      </c>
      <c r="E290" s="5">
        <v>16.989999999999998</v>
      </c>
      <c r="F290" s="4" t="s">
        <v>1804</v>
      </c>
      <c r="G290" s="2" t="s">
        <v>62</v>
      </c>
      <c r="H290" s="7" t="s">
        <v>196</v>
      </c>
      <c r="I290" s="2" t="s">
        <v>515</v>
      </c>
      <c r="J290" s="2" t="s">
        <v>827</v>
      </c>
      <c r="K290" s="2" t="s">
        <v>304</v>
      </c>
      <c r="L290" s="2" t="s">
        <v>358</v>
      </c>
      <c r="M290" s="8" t="str">
        <f>HYPERLINK("http://slimages.macys.com/is/image/MCY/12687279 ")</f>
        <v xml:space="preserve">http://slimages.macys.com/is/image/MCY/12687279 </v>
      </c>
    </row>
    <row r="291" spans="1:13" ht="60" x14ac:dyDescent="0.25">
      <c r="A291" s="7" t="s">
        <v>4936</v>
      </c>
      <c r="B291" s="2" t="s">
        <v>1025</v>
      </c>
      <c r="C291" s="4">
        <v>3</v>
      </c>
      <c r="D291" s="5">
        <v>6.67</v>
      </c>
      <c r="E291" s="5">
        <v>16.989999999999998</v>
      </c>
      <c r="F291" s="4" t="s">
        <v>1804</v>
      </c>
      <c r="G291" s="2" t="s">
        <v>62</v>
      </c>
      <c r="H291" s="7" t="s">
        <v>159</v>
      </c>
      <c r="I291" s="2" t="s">
        <v>515</v>
      </c>
      <c r="J291" s="2" t="s">
        <v>827</v>
      </c>
      <c r="K291" s="2" t="s">
        <v>304</v>
      </c>
      <c r="L291" s="2" t="s">
        <v>358</v>
      </c>
      <c r="M291" s="8" t="str">
        <f>HYPERLINK("http://slimages.macys.com/is/image/MCY/12687279 ")</f>
        <v xml:space="preserve">http://slimages.macys.com/is/image/MCY/12687279 </v>
      </c>
    </row>
    <row r="292" spans="1:13" ht="96" x14ac:dyDescent="0.25">
      <c r="A292" s="7" t="s">
        <v>10089</v>
      </c>
      <c r="B292" s="2" t="s">
        <v>10090</v>
      </c>
      <c r="C292" s="4">
        <v>1</v>
      </c>
      <c r="D292" s="5">
        <v>6.63</v>
      </c>
      <c r="E292" s="5">
        <v>17.989999999999998</v>
      </c>
      <c r="F292" s="4" t="s">
        <v>10091</v>
      </c>
      <c r="G292" s="2" t="s">
        <v>297</v>
      </c>
      <c r="H292" s="7" t="s">
        <v>590</v>
      </c>
      <c r="I292" s="2" t="s">
        <v>483</v>
      </c>
      <c r="J292" s="2" t="s">
        <v>536</v>
      </c>
      <c r="K292" s="2" t="s">
        <v>304</v>
      </c>
      <c r="L292" s="2" t="s">
        <v>10092</v>
      </c>
      <c r="M292" s="8" t="str">
        <f>HYPERLINK("http://slimages.macys.com/is/image/MCY/12637465 ")</f>
        <v xml:space="preserve">http://slimages.macys.com/is/image/MCY/12637465 </v>
      </c>
    </row>
    <row r="293" spans="1:13" ht="60" x14ac:dyDescent="0.25">
      <c r="A293" s="7" t="s">
        <v>8281</v>
      </c>
      <c r="B293" s="2" t="s">
        <v>7585</v>
      </c>
      <c r="C293" s="4">
        <v>2</v>
      </c>
      <c r="D293" s="5">
        <v>6.52</v>
      </c>
      <c r="E293" s="5">
        <v>16.989999999999998</v>
      </c>
      <c r="F293" s="4" t="s">
        <v>7586</v>
      </c>
      <c r="G293" s="2" t="s">
        <v>62</v>
      </c>
      <c r="H293" s="7" t="s">
        <v>228</v>
      </c>
      <c r="I293" s="2" t="s">
        <v>218</v>
      </c>
      <c r="J293" s="2" t="s">
        <v>1740</v>
      </c>
      <c r="K293" s="2" t="s">
        <v>304</v>
      </c>
      <c r="L293" s="2" t="s">
        <v>125</v>
      </c>
      <c r="M293" s="8" t="str">
        <f>HYPERLINK("http://slimages.macys.com/is/image/MCY/12688496 ")</f>
        <v xml:space="preserve">http://slimages.macys.com/is/image/MCY/12688496 </v>
      </c>
    </row>
    <row r="294" spans="1:13" ht="60" x14ac:dyDescent="0.25">
      <c r="A294" s="7" t="s">
        <v>7584</v>
      </c>
      <c r="B294" s="2" t="s">
        <v>7585</v>
      </c>
      <c r="C294" s="4">
        <v>1</v>
      </c>
      <c r="D294" s="5">
        <v>6.52</v>
      </c>
      <c r="E294" s="5">
        <v>16.989999999999998</v>
      </c>
      <c r="F294" s="4" t="s">
        <v>7586</v>
      </c>
      <c r="G294" s="2" t="s">
        <v>62</v>
      </c>
      <c r="H294" s="7" t="s">
        <v>217</v>
      </c>
      <c r="I294" s="2" t="s">
        <v>218</v>
      </c>
      <c r="J294" s="2" t="s">
        <v>1740</v>
      </c>
      <c r="K294" s="2" t="s">
        <v>304</v>
      </c>
      <c r="L294" s="2" t="s">
        <v>125</v>
      </c>
      <c r="M294" s="8" t="str">
        <f>HYPERLINK("http://slimages.macys.com/is/image/MCY/12688496 ")</f>
        <v xml:space="preserve">http://slimages.macys.com/is/image/MCY/12688496 </v>
      </c>
    </row>
    <row r="295" spans="1:13" ht="60" x14ac:dyDescent="0.25">
      <c r="A295" s="7" t="s">
        <v>10093</v>
      </c>
      <c r="B295" s="2" t="s">
        <v>5445</v>
      </c>
      <c r="C295" s="4">
        <v>1</v>
      </c>
      <c r="D295" s="5">
        <v>6.51</v>
      </c>
      <c r="E295" s="5">
        <v>16.989999999999998</v>
      </c>
      <c r="F295" s="4" t="s">
        <v>5446</v>
      </c>
      <c r="G295" s="2" t="s">
        <v>2913</v>
      </c>
      <c r="H295" s="7" t="s">
        <v>379</v>
      </c>
      <c r="I295" s="2" t="s">
        <v>483</v>
      </c>
      <c r="J295" s="2" t="s">
        <v>4858</v>
      </c>
      <c r="K295" s="2" t="s">
        <v>304</v>
      </c>
      <c r="L295" s="2" t="s">
        <v>5447</v>
      </c>
      <c r="M295" s="8" t="str">
        <f>HYPERLINK("http://slimages.macys.com/is/image/MCY/10276661 ")</f>
        <v xml:space="preserve">http://slimages.macys.com/is/image/MCY/10276661 </v>
      </c>
    </row>
    <row r="296" spans="1:13" ht="96" x14ac:dyDescent="0.25">
      <c r="A296" s="7" t="s">
        <v>8286</v>
      </c>
      <c r="B296" s="2" t="s">
        <v>1811</v>
      </c>
      <c r="C296" s="4">
        <v>2</v>
      </c>
      <c r="D296" s="5">
        <v>6.45</v>
      </c>
      <c r="E296" s="5">
        <v>16.989999999999998</v>
      </c>
      <c r="F296" s="4" t="s">
        <v>1812</v>
      </c>
      <c r="G296" s="2" t="s">
        <v>62</v>
      </c>
      <c r="H296" s="7" t="s">
        <v>159</v>
      </c>
      <c r="I296" s="2" t="s">
        <v>515</v>
      </c>
      <c r="J296" s="2" t="s">
        <v>827</v>
      </c>
      <c r="K296" s="2" t="s">
        <v>304</v>
      </c>
      <c r="L296" s="2" t="s">
        <v>1813</v>
      </c>
      <c r="M296" s="8" t="str">
        <f>HYPERLINK("http://slimages.macys.com/is/image/MCY/12686957 ")</f>
        <v xml:space="preserve">http://slimages.macys.com/is/image/MCY/12686957 </v>
      </c>
    </row>
    <row r="297" spans="1:13" ht="96" x14ac:dyDescent="0.25">
      <c r="A297" s="7" t="s">
        <v>1810</v>
      </c>
      <c r="B297" s="2" t="s">
        <v>1811</v>
      </c>
      <c r="C297" s="4">
        <v>1</v>
      </c>
      <c r="D297" s="5">
        <v>6.45</v>
      </c>
      <c r="E297" s="5">
        <v>16.989999999999998</v>
      </c>
      <c r="F297" s="4" t="s">
        <v>1812</v>
      </c>
      <c r="G297" s="2" t="s">
        <v>62</v>
      </c>
      <c r="H297" s="7" t="s">
        <v>228</v>
      </c>
      <c r="I297" s="2" t="s">
        <v>515</v>
      </c>
      <c r="J297" s="2" t="s">
        <v>827</v>
      </c>
      <c r="K297" s="2" t="s">
        <v>304</v>
      </c>
      <c r="L297" s="2" t="s">
        <v>1813</v>
      </c>
      <c r="M297" s="8" t="str">
        <f>HYPERLINK("http://slimages.macys.com/is/image/MCY/12686957 ")</f>
        <v xml:space="preserve">http://slimages.macys.com/is/image/MCY/12686957 </v>
      </c>
    </row>
    <row r="298" spans="1:13" ht="96" x14ac:dyDescent="0.25">
      <c r="A298" s="7" t="s">
        <v>10094</v>
      </c>
      <c r="B298" s="2" t="s">
        <v>1811</v>
      </c>
      <c r="C298" s="4">
        <v>1</v>
      </c>
      <c r="D298" s="5">
        <v>6.45</v>
      </c>
      <c r="E298" s="5">
        <v>16.989999999999998</v>
      </c>
      <c r="F298" s="4" t="s">
        <v>1812</v>
      </c>
      <c r="G298" s="2" t="s">
        <v>62</v>
      </c>
      <c r="H298" s="7" t="s">
        <v>196</v>
      </c>
      <c r="I298" s="2" t="s">
        <v>515</v>
      </c>
      <c r="J298" s="2" t="s">
        <v>827</v>
      </c>
      <c r="K298" s="2" t="s">
        <v>304</v>
      </c>
      <c r="L298" s="2" t="s">
        <v>1813</v>
      </c>
      <c r="M298" s="8" t="str">
        <f>HYPERLINK("http://slimages.macys.com/is/image/MCY/12686957 ")</f>
        <v xml:space="preserve">http://slimages.macys.com/is/image/MCY/12686957 </v>
      </c>
    </row>
    <row r="299" spans="1:13" ht="96" x14ac:dyDescent="0.25">
      <c r="A299" s="7" t="s">
        <v>7598</v>
      </c>
      <c r="B299" s="2" t="s">
        <v>1811</v>
      </c>
      <c r="C299" s="4">
        <v>1</v>
      </c>
      <c r="D299" s="5">
        <v>6.45</v>
      </c>
      <c r="E299" s="5">
        <v>16.989999999999998</v>
      </c>
      <c r="F299" s="4" t="s">
        <v>1812</v>
      </c>
      <c r="G299" s="2" t="s">
        <v>62</v>
      </c>
      <c r="H299" s="7" t="s">
        <v>284</v>
      </c>
      <c r="I299" s="2" t="s">
        <v>515</v>
      </c>
      <c r="J299" s="2" t="s">
        <v>827</v>
      </c>
      <c r="K299" s="2" t="s">
        <v>304</v>
      </c>
      <c r="L299" s="2" t="s">
        <v>1813</v>
      </c>
      <c r="M299" s="8" t="str">
        <f>HYPERLINK("http://slimages.macys.com/is/image/MCY/12686957 ")</f>
        <v xml:space="preserve">http://slimages.macys.com/is/image/MCY/12686957 </v>
      </c>
    </row>
    <row r="300" spans="1:13" ht="60" x14ac:dyDescent="0.25">
      <c r="A300" s="7" t="s">
        <v>5935</v>
      </c>
      <c r="B300" s="2" t="s">
        <v>1815</v>
      </c>
      <c r="C300" s="4">
        <v>1</v>
      </c>
      <c r="D300" s="5">
        <v>6.43</v>
      </c>
      <c r="E300" s="5">
        <v>16.989999999999998</v>
      </c>
      <c r="F300" s="4" t="s">
        <v>1816</v>
      </c>
      <c r="G300" s="2" t="s">
        <v>353</v>
      </c>
      <c r="H300" s="7" t="s">
        <v>284</v>
      </c>
      <c r="I300" s="2" t="s">
        <v>515</v>
      </c>
      <c r="J300" s="2" t="s">
        <v>827</v>
      </c>
      <c r="K300" s="2" t="s">
        <v>304</v>
      </c>
      <c r="L300" s="2" t="s">
        <v>358</v>
      </c>
      <c r="M300" s="8" t="str">
        <f t="shared" ref="M300:M306" si="2">HYPERLINK("http://slimages.macys.com/is/image/MCY/13118981 ")</f>
        <v xml:space="preserve">http://slimages.macys.com/is/image/MCY/13118981 </v>
      </c>
    </row>
    <row r="301" spans="1:13" ht="60" x14ac:dyDescent="0.25">
      <c r="A301" s="7" t="s">
        <v>6298</v>
      </c>
      <c r="B301" s="2" t="s">
        <v>1815</v>
      </c>
      <c r="C301" s="4">
        <v>2</v>
      </c>
      <c r="D301" s="5">
        <v>6.43</v>
      </c>
      <c r="E301" s="5">
        <v>16.989999999999998</v>
      </c>
      <c r="F301" s="4" t="s">
        <v>1816</v>
      </c>
      <c r="G301" s="2" t="s">
        <v>353</v>
      </c>
      <c r="H301" s="7" t="s">
        <v>228</v>
      </c>
      <c r="I301" s="2" t="s">
        <v>515</v>
      </c>
      <c r="J301" s="2" t="s">
        <v>827</v>
      </c>
      <c r="K301" s="2" t="s">
        <v>304</v>
      </c>
      <c r="L301" s="2" t="s">
        <v>358</v>
      </c>
      <c r="M301" s="8" t="str">
        <f t="shared" si="2"/>
        <v xml:space="preserve">http://slimages.macys.com/is/image/MCY/13118981 </v>
      </c>
    </row>
    <row r="302" spans="1:13" ht="60" x14ac:dyDescent="0.25">
      <c r="A302" s="7" t="s">
        <v>6296</v>
      </c>
      <c r="B302" s="2" t="s">
        <v>1815</v>
      </c>
      <c r="C302" s="4">
        <v>1</v>
      </c>
      <c r="D302" s="5">
        <v>6.43</v>
      </c>
      <c r="E302" s="5">
        <v>16.989999999999998</v>
      </c>
      <c r="F302" s="4" t="s">
        <v>1816</v>
      </c>
      <c r="G302" s="2" t="s">
        <v>353</v>
      </c>
      <c r="H302" s="7" t="s">
        <v>159</v>
      </c>
      <c r="I302" s="2" t="s">
        <v>515</v>
      </c>
      <c r="J302" s="2" t="s">
        <v>827</v>
      </c>
      <c r="K302" s="2" t="s">
        <v>304</v>
      </c>
      <c r="L302" s="2" t="s">
        <v>358</v>
      </c>
      <c r="M302" s="8" t="str">
        <f t="shared" si="2"/>
        <v xml:space="preserve">http://slimages.macys.com/is/image/MCY/13118981 </v>
      </c>
    </row>
    <row r="303" spans="1:13" ht="60" x14ac:dyDescent="0.25">
      <c r="A303" s="7" t="s">
        <v>1814</v>
      </c>
      <c r="B303" s="2" t="s">
        <v>1815</v>
      </c>
      <c r="C303" s="4">
        <v>1</v>
      </c>
      <c r="D303" s="5">
        <v>6.43</v>
      </c>
      <c r="E303" s="5">
        <v>16.989999999999998</v>
      </c>
      <c r="F303" s="4" t="s">
        <v>1816</v>
      </c>
      <c r="G303" s="2" t="s">
        <v>262</v>
      </c>
      <c r="H303" s="7" t="s">
        <v>159</v>
      </c>
      <c r="I303" s="2" t="s">
        <v>515</v>
      </c>
      <c r="J303" s="2" t="s">
        <v>827</v>
      </c>
      <c r="K303" s="2" t="s">
        <v>304</v>
      </c>
      <c r="L303" s="2" t="s">
        <v>358</v>
      </c>
      <c r="M303" s="8" t="str">
        <f t="shared" si="2"/>
        <v xml:space="preserve">http://slimages.macys.com/is/image/MCY/13118981 </v>
      </c>
    </row>
    <row r="304" spans="1:13" ht="60" x14ac:dyDescent="0.25">
      <c r="A304" s="7" t="s">
        <v>1817</v>
      </c>
      <c r="B304" s="2" t="s">
        <v>1815</v>
      </c>
      <c r="C304" s="4">
        <v>1</v>
      </c>
      <c r="D304" s="5">
        <v>6.43</v>
      </c>
      <c r="E304" s="5">
        <v>16.989999999999998</v>
      </c>
      <c r="F304" s="4" t="s">
        <v>1816</v>
      </c>
      <c r="G304" s="2" t="s">
        <v>262</v>
      </c>
      <c r="H304" s="7" t="s">
        <v>196</v>
      </c>
      <c r="I304" s="2" t="s">
        <v>515</v>
      </c>
      <c r="J304" s="2" t="s">
        <v>827</v>
      </c>
      <c r="K304" s="2" t="s">
        <v>304</v>
      </c>
      <c r="L304" s="2" t="s">
        <v>358</v>
      </c>
      <c r="M304" s="8" t="str">
        <f t="shared" si="2"/>
        <v xml:space="preserve">http://slimages.macys.com/is/image/MCY/13118981 </v>
      </c>
    </row>
    <row r="305" spans="1:13" ht="60" x14ac:dyDescent="0.25">
      <c r="A305" s="7" t="s">
        <v>6295</v>
      </c>
      <c r="B305" s="2" t="s">
        <v>1815</v>
      </c>
      <c r="C305" s="4">
        <v>1</v>
      </c>
      <c r="D305" s="5">
        <v>6.43</v>
      </c>
      <c r="E305" s="5">
        <v>16.989999999999998</v>
      </c>
      <c r="F305" s="4" t="s">
        <v>1816</v>
      </c>
      <c r="G305" s="2" t="s">
        <v>262</v>
      </c>
      <c r="H305" s="7" t="s">
        <v>228</v>
      </c>
      <c r="I305" s="2" t="s">
        <v>515</v>
      </c>
      <c r="J305" s="2" t="s">
        <v>827</v>
      </c>
      <c r="K305" s="2" t="s">
        <v>304</v>
      </c>
      <c r="L305" s="2" t="s">
        <v>358</v>
      </c>
      <c r="M305" s="8" t="str">
        <f t="shared" si="2"/>
        <v xml:space="preserve">http://slimages.macys.com/is/image/MCY/13118981 </v>
      </c>
    </row>
    <row r="306" spans="1:13" ht="60" x14ac:dyDescent="0.25">
      <c r="A306" s="7" t="s">
        <v>1818</v>
      </c>
      <c r="B306" s="2" t="s">
        <v>1815</v>
      </c>
      <c r="C306" s="4">
        <v>1</v>
      </c>
      <c r="D306" s="5">
        <v>6.43</v>
      </c>
      <c r="E306" s="5">
        <v>16.989999999999998</v>
      </c>
      <c r="F306" s="4" t="s">
        <v>1816</v>
      </c>
      <c r="G306" s="2" t="s">
        <v>262</v>
      </c>
      <c r="H306" s="7" t="s">
        <v>284</v>
      </c>
      <c r="I306" s="2" t="s">
        <v>515</v>
      </c>
      <c r="J306" s="2" t="s">
        <v>827</v>
      </c>
      <c r="K306" s="2" t="s">
        <v>304</v>
      </c>
      <c r="L306" s="2" t="s">
        <v>358</v>
      </c>
      <c r="M306" s="8" t="str">
        <f t="shared" si="2"/>
        <v xml:space="preserve">http://slimages.macys.com/is/image/MCY/13118981 </v>
      </c>
    </row>
    <row r="307" spans="1:13" ht="60" x14ac:dyDescent="0.25">
      <c r="A307" s="7" t="s">
        <v>7599</v>
      </c>
      <c r="B307" s="2" t="s">
        <v>1820</v>
      </c>
      <c r="C307" s="4">
        <v>1</v>
      </c>
      <c r="D307" s="5">
        <v>6.41</v>
      </c>
      <c r="E307" s="5">
        <v>16.989999999999998</v>
      </c>
      <c r="F307" s="4" t="s">
        <v>1821</v>
      </c>
      <c r="G307" s="2" t="s">
        <v>28</v>
      </c>
      <c r="H307" s="7" t="s">
        <v>284</v>
      </c>
      <c r="I307" s="2" t="s">
        <v>515</v>
      </c>
      <c r="J307" s="2" t="s">
        <v>827</v>
      </c>
      <c r="K307" s="2" t="s">
        <v>304</v>
      </c>
      <c r="L307" s="2" t="s">
        <v>358</v>
      </c>
      <c r="M307" s="8" t="str">
        <f>HYPERLINK("http://slimages.macys.com/is/image/MCY/11531066 ")</f>
        <v xml:space="preserve">http://slimages.macys.com/is/image/MCY/11531066 </v>
      </c>
    </row>
    <row r="308" spans="1:13" ht="132" x14ac:dyDescent="0.25">
      <c r="A308" s="7" t="s">
        <v>10095</v>
      </c>
      <c r="B308" s="2" t="s">
        <v>1782</v>
      </c>
      <c r="C308" s="4">
        <v>1</v>
      </c>
      <c r="D308" s="5">
        <v>6.33</v>
      </c>
      <c r="E308" s="5">
        <v>12.99</v>
      </c>
      <c r="F308" s="4" t="s">
        <v>9568</v>
      </c>
      <c r="G308" s="2" t="s">
        <v>62</v>
      </c>
      <c r="H308" s="7" t="s">
        <v>63</v>
      </c>
      <c r="I308" s="2" t="s">
        <v>515</v>
      </c>
      <c r="J308" s="2" t="s">
        <v>516</v>
      </c>
      <c r="K308" s="2" t="s">
        <v>304</v>
      </c>
      <c r="L308" s="2" t="s">
        <v>1784</v>
      </c>
      <c r="M308" s="8" t="str">
        <f>HYPERLINK("http://slimages.macys.com/is/image/MCY/12387468 ")</f>
        <v xml:space="preserve">http://slimages.macys.com/is/image/MCY/12387468 </v>
      </c>
    </row>
    <row r="309" spans="1:13" ht="132" x14ac:dyDescent="0.25">
      <c r="A309" s="7" t="s">
        <v>9569</v>
      </c>
      <c r="B309" s="2" t="s">
        <v>1782</v>
      </c>
      <c r="C309" s="4">
        <v>1</v>
      </c>
      <c r="D309" s="5">
        <v>6.33</v>
      </c>
      <c r="E309" s="5">
        <v>12.99</v>
      </c>
      <c r="F309" s="4" t="s">
        <v>9568</v>
      </c>
      <c r="G309" s="2" t="s">
        <v>62</v>
      </c>
      <c r="H309" s="7" t="s">
        <v>311</v>
      </c>
      <c r="I309" s="2" t="s">
        <v>515</v>
      </c>
      <c r="J309" s="2" t="s">
        <v>516</v>
      </c>
      <c r="K309" s="2" t="s">
        <v>304</v>
      </c>
      <c r="L309" s="2" t="s">
        <v>1784</v>
      </c>
      <c r="M309" s="8" t="str">
        <f>HYPERLINK("http://slimages.macys.com/is/image/MCY/12387468 ")</f>
        <v xml:space="preserve">http://slimages.macys.com/is/image/MCY/12387468 </v>
      </c>
    </row>
    <row r="310" spans="1:13" ht="60" x14ac:dyDescent="0.25">
      <c r="A310" s="7" t="s">
        <v>10096</v>
      </c>
      <c r="B310" s="2" t="s">
        <v>2627</v>
      </c>
      <c r="C310" s="4">
        <v>1</v>
      </c>
      <c r="D310" s="5">
        <v>6.27</v>
      </c>
      <c r="E310" s="5">
        <v>16.989999999999998</v>
      </c>
      <c r="F310" s="4" t="s">
        <v>7614</v>
      </c>
      <c r="G310" s="2" t="s">
        <v>62</v>
      </c>
      <c r="H310" s="7" t="s">
        <v>228</v>
      </c>
      <c r="I310" s="2" t="s">
        <v>515</v>
      </c>
      <c r="J310" s="2" t="s">
        <v>827</v>
      </c>
      <c r="K310" s="2" t="s">
        <v>304</v>
      </c>
      <c r="L310" s="2" t="s">
        <v>358</v>
      </c>
      <c r="M310" s="8" t="str">
        <f>HYPERLINK("http://slimages.macys.com/is/image/MCY/13119480 ")</f>
        <v xml:space="preserve">http://slimages.macys.com/is/image/MCY/13119480 </v>
      </c>
    </row>
    <row r="311" spans="1:13" ht="60" x14ac:dyDescent="0.25">
      <c r="A311" s="7" t="s">
        <v>10097</v>
      </c>
      <c r="B311" s="2" t="s">
        <v>1025</v>
      </c>
      <c r="C311" s="4">
        <v>2</v>
      </c>
      <c r="D311" s="5">
        <v>6.25</v>
      </c>
      <c r="E311" s="5">
        <v>12.99</v>
      </c>
      <c r="F311" s="4" t="s">
        <v>1026</v>
      </c>
      <c r="G311" s="2" t="s">
        <v>48</v>
      </c>
      <c r="H311" s="7" t="s">
        <v>578</v>
      </c>
      <c r="I311" s="2" t="s">
        <v>515</v>
      </c>
      <c r="J311" s="2" t="s">
        <v>516</v>
      </c>
      <c r="K311" s="2" t="s">
        <v>304</v>
      </c>
      <c r="L311" s="2" t="s">
        <v>358</v>
      </c>
      <c r="M311" s="8" t="str">
        <f>HYPERLINK("http://slimages.macys.com/is/image/MCY/12953213 ")</f>
        <v xml:space="preserve">http://slimages.macys.com/is/image/MCY/12953213 </v>
      </c>
    </row>
    <row r="312" spans="1:13" ht="60" x14ac:dyDescent="0.25">
      <c r="A312" s="7" t="s">
        <v>10098</v>
      </c>
      <c r="B312" s="2" t="s">
        <v>2589</v>
      </c>
      <c r="C312" s="4">
        <v>1</v>
      </c>
      <c r="D312" s="5">
        <v>6.25</v>
      </c>
      <c r="E312" s="5">
        <v>12.99</v>
      </c>
      <c r="F312" s="4" t="s">
        <v>6307</v>
      </c>
      <c r="G312" s="2" t="s">
        <v>36</v>
      </c>
      <c r="H312" s="7" t="s">
        <v>63</v>
      </c>
      <c r="I312" s="2" t="s">
        <v>515</v>
      </c>
      <c r="J312" s="2" t="s">
        <v>516</v>
      </c>
      <c r="K312" s="2" t="s">
        <v>304</v>
      </c>
      <c r="L312" s="2" t="s">
        <v>358</v>
      </c>
      <c r="M312" s="8" t="str">
        <f>HYPERLINK("http://slimages.macys.com/is/image/MCY/12387450 ")</f>
        <v xml:space="preserve">http://slimages.macys.com/is/image/MCY/12387450 </v>
      </c>
    </row>
    <row r="313" spans="1:13" ht="60" x14ac:dyDescent="0.25">
      <c r="A313" s="7" t="s">
        <v>4960</v>
      </c>
      <c r="B313" s="2" t="s">
        <v>4961</v>
      </c>
      <c r="C313" s="4">
        <v>1</v>
      </c>
      <c r="D313" s="5">
        <v>6.19</v>
      </c>
      <c r="E313" s="5">
        <v>14.99</v>
      </c>
      <c r="F313" s="4" t="s">
        <v>4962</v>
      </c>
      <c r="G313" s="2" t="s">
        <v>62</v>
      </c>
      <c r="H313" s="7" t="s">
        <v>159</v>
      </c>
      <c r="I313" s="2" t="s">
        <v>218</v>
      </c>
      <c r="J313" s="2" t="s">
        <v>219</v>
      </c>
      <c r="K313" s="2" t="s">
        <v>304</v>
      </c>
      <c r="L313" s="2" t="s">
        <v>358</v>
      </c>
      <c r="M313" s="8" t="str">
        <f>HYPERLINK("http://slimages.macys.com/is/image/MCY/12340598 ")</f>
        <v xml:space="preserve">http://slimages.macys.com/is/image/MCY/12340598 </v>
      </c>
    </row>
    <row r="314" spans="1:13" ht="60" x14ac:dyDescent="0.25">
      <c r="A314" s="7" t="s">
        <v>6897</v>
      </c>
      <c r="B314" s="2" t="s">
        <v>1028</v>
      </c>
      <c r="C314" s="4">
        <v>1</v>
      </c>
      <c r="D314" s="5">
        <v>6.19</v>
      </c>
      <c r="E314" s="5">
        <v>16.989999999999998</v>
      </c>
      <c r="F314" s="4" t="s">
        <v>1029</v>
      </c>
      <c r="G314" s="2" t="s">
        <v>62</v>
      </c>
      <c r="H314" s="7" t="s">
        <v>228</v>
      </c>
      <c r="I314" s="2" t="s">
        <v>515</v>
      </c>
      <c r="J314" s="2" t="s">
        <v>827</v>
      </c>
      <c r="K314" s="2" t="s">
        <v>304</v>
      </c>
      <c r="L314" s="2" t="s">
        <v>358</v>
      </c>
      <c r="M314" s="8" t="str">
        <f>HYPERLINK("http://slimages.macys.com/is/image/MCY/11530992 ")</f>
        <v xml:space="preserve">http://slimages.macys.com/is/image/MCY/11530992 </v>
      </c>
    </row>
    <row r="315" spans="1:13" ht="60" x14ac:dyDescent="0.25">
      <c r="A315" s="7" t="s">
        <v>10099</v>
      </c>
      <c r="B315" s="2" t="s">
        <v>10100</v>
      </c>
      <c r="C315" s="4">
        <v>1</v>
      </c>
      <c r="D315" s="5">
        <v>6.19</v>
      </c>
      <c r="E315" s="5">
        <v>14.99</v>
      </c>
      <c r="F315" s="4" t="s">
        <v>10101</v>
      </c>
      <c r="G315" s="2" t="s">
        <v>62</v>
      </c>
      <c r="H315" s="7" t="s">
        <v>196</v>
      </c>
      <c r="I315" s="2" t="s">
        <v>515</v>
      </c>
      <c r="J315" s="2" t="s">
        <v>827</v>
      </c>
      <c r="K315" s="2" t="s">
        <v>304</v>
      </c>
      <c r="L315" s="2" t="s">
        <v>358</v>
      </c>
      <c r="M315" s="8" t="str">
        <f>HYPERLINK("http://slimages.macys.com/is/image/MCY/10410521 ")</f>
        <v xml:space="preserve">http://slimages.macys.com/is/image/MCY/10410521 </v>
      </c>
    </row>
    <row r="316" spans="1:13" ht="60" x14ac:dyDescent="0.25">
      <c r="A316" s="7" t="s">
        <v>6309</v>
      </c>
      <c r="B316" s="2" t="s">
        <v>1028</v>
      </c>
      <c r="C316" s="4">
        <v>1</v>
      </c>
      <c r="D316" s="5">
        <v>6.19</v>
      </c>
      <c r="E316" s="5">
        <v>16.989999999999998</v>
      </c>
      <c r="F316" s="4" t="s">
        <v>1029</v>
      </c>
      <c r="G316" s="2" t="s">
        <v>62</v>
      </c>
      <c r="H316" s="7" t="s">
        <v>159</v>
      </c>
      <c r="I316" s="2" t="s">
        <v>515</v>
      </c>
      <c r="J316" s="2" t="s">
        <v>827</v>
      </c>
      <c r="K316" s="2" t="s">
        <v>304</v>
      </c>
      <c r="L316" s="2" t="s">
        <v>358</v>
      </c>
      <c r="M316" s="8" t="str">
        <f>HYPERLINK("http://slimages.macys.com/is/image/MCY/11530992 ")</f>
        <v xml:space="preserve">http://slimages.macys.com/is/image/MCY/11530992 </v>
      </c>
    </row>
    <row r="317" spans="1:13" ht="60" x14ac:dyDescent="0.25">
      <c r="A317" s="7" t="s">
        <v>7625</v>
      </c>
      <c r="B317" s="2" t="s">
        <v>7622</v>
      </c>
      <c r="C317" s="4">
        <v>1</v>
      </c>
      <c r="D317" s="5">
        <v>6.19</v>
      </c>
      <c r="E317" s="5">
        <v>16.989999999999998</v>
      </c>
      <c r="F317" s="4" t="s">
        <v>7623</v>
      </c>
      <c r="G317" s="2" t="s">
        <v>653</v>
      </c>
      <c r="H317" s="7" t="s">
        <v>284</v>
      </c>
      <c r="I317" s="2" t="s">
        <v>515</v>
      </c>
      <c r="J317" s="2" t="s">
        <v>827</v>
      </c>
      <c r="K317" s="2" t="s">
        <v>304</v>
      </c>
      <c r="L317" s="2" t="s">
        <v>358</v>
      </c>
      <c r="M317" s="8" t="str">
        <f>HYPERLINK("http://slimages.macys.com/is/image/MCY/11860930 ")</f>
        <v xml:space="preserve">http://slimages.macys.com/is/image/MCY/11860930 </v>
      </c>
    </row>
    <row r="318" spans="1:13" ht="60" x14ac:dyDescent="0.25">
      <c r="A318" s="7" t="s">
        <v>10102</v>
      </c>
      <c r="B318" s="2" t="s">
        <v>10100</v>
      </c>
      <c r="C318" s="4">
        <v>1</v>
      </c>
      <c r="D318" s="5">
        <v>6.19</v>
      </c>
      <c r="E318" s="5">
        <v>14.99</v>
      </c>
      <c r="F318" s="4" t="s">
        <v>10101</v>
      </c>
      <c r="G318" s="2" t="s">
        <v>62</v>
      </c>
      <c r="H318" s="7" t="s">
        <v>228</v>
      </c>
      <c r="I318" s="2" t="s">
        <v>515</v>
      </c>
      <c r="J318" s="2" t="s">
        <v>827</v>
      </c>
      <c r="K318" s="2" t="s">
        <v>304</v>
      </c>
      <c r="L318" s="2" t="s">
        <v>358</v>
      </c>
      <c r="M318" s="8" t="str">
        <f>HYPERLINK("http://slimages.macys.com/is/image/MCY/10410521 ")</f>
        <v xml:space="preserve">http://slimages.macys.com/is/image/MCY/10410521 </v>
      </c>
    </row>
    <row r="319" spans="1:13" ht="96" x14ac:dyDescent="0.25">
      <c r="A319" s="7" t="s">
        <v>10103</v>
      </c>
      <c r="B319" s="2" t="s">
        <v>7628</v>
      </c>
      <c r="C319" s="4">
        <v>1</v>
      </c>
      <c r="D319" s="5">
        <v>6.19</v>
      </c>
      <c r="E319" s="5">
        <v>14.99</v>
      </c>
      <c r="F319" s="4" t="s">
        <v>7629</v>
      </c>
      <c r="G319" s="2" t="s">
        <v>1265</v>
      </c>
      <c r="H319" s="7" t="s">
        <v>228</v>
      </c>
      <c r="I319" s="2" t="s">
        <v>515</v>
      </c>
      <c r="J319" s="2" t="s">
        <v>827</v>
      </c>
      <c r="K319" s="2" t="s">
        <v>304</v>
      </c>
      <c r="L319" s="2" t="s">
        <v>7630</v>
      </c>
      <c r="M319" s="8" t="str">
        <f>HYPERLINK("http://slimages.macys.com/is/image/MCY/10410496 ")</f>
        <v xml:space="preserve">http://slimages.macys.com/is/image/MCY/10410496 </v>
      </c>
    </row>
    <row r="320" spans="1:13" ht="96" x14ac:dyDescent="0.25">
      <c r="A320" s="7" t="s">
        <v>10104</v>
      </c>
      <c r="B320" s="2" t="s">
        <v>7628</v>
      </c>
      <c r="C320" s="4">
        <v>1</v>
      </c>
      <c r="D320" s="5">
        <v>6.19</v>
      </c>
      <c r="E320" s="5">
        <v>14.99</v>
      </c>
      <c r="F320" s="4" t="s">
        <v>7629</v>
      </c>
      <c r="G320" s="2" t="s">
        <v>1265</v>
      </c>
      <c r="H320" s="7" t="s">
        <v>196</v>
      </c>
      <c r="I320" s="2" t="s">
        <v>515</v>
      </c>
      <c r="J320" s="2" t="s">
        <v>827</v>
      </c>
      <c r="K320" s="2" t="s">
        <v>304</v>
      </c>
      <c r="L320" s="2" t="s">
        <v>7630</v>
      </c>
      <c r="M320" s="8" t="str">
        <f>HYPERLINK("http://slimages.macys.com/is/image/MCY/10410496 ")</f>
        <v xml:space="preserve">http://slimages.macys.com/is/image/MCY/10410496 </v>
      </c>
    </row>
    <row r="321" spans="1:13" ht="96" x14ac:dyDescent="0.25">
      <c r="A321" s="7" t="s">
        <v>10105</v>
      </c>
      <c r="B321" s="2" t="s">
        <v>7628</v>
      </c>
      <c r="C321" s="4">
        <v>2</v>
      </c>
      <c r="D321" s="5">
        <v>6.19</v>
      </c>
      <c r="E321" s="5">
        <v>14.99</v>
      </c>
      <c r="F321" s="4" t="s">
        <v>7629</v>
      </c>
      <c r="G321" s="2" t="s">
        <v>1265</v>
      </c>
      <c r="H321" s="7" t="s">
        <v>284</v>
      </c>
      <c r="I321" s="2" t="s">
        <v>515</v>
      </c>
      <c r="J321" s="2" t="s">
        <v>827</v>
      </c>
      <c r="K321" s="2" t="s">
        <v>304</v>
      </c>
      <c r="L321" s="2" t="s">
        <v>7630</v>
      </c>
      <c r="M321" s="8" t="str">
        <f>HYPERLINK("http://slimages.macys.com/is/image/MCY/10410496 ")</f>
        <v xml:space="preserve">http://slimages.macys.com/is/image/MCY/10410496 </v>
      </c>
    </row>
    <row r="322" spans="1:13" ht="60" x14ac:dyDescent="0.25">
      <c r="A322" s="7" t="s">
        <v>10106</v>
      </c>
      <c r="B322" s="2" t="s">
        <v>10107</v>
      </c>
      <c r="C322" s="4">
        <v>3</v>
      </c>
      <c r="D322" s="5">
        <v>6.19</v>
      </c>
      <c r="E322" s="5">
        <v>16.989999999999998</v>
      </c>
      <c r="F322" s="4" t="s">
        <v>10108</v>
      </c>
      <c r="G322" s="2" t="s">
        <v>653</v>
      </c>
      <c r="H322" s="7" t="s">
        <v>196</v>
      </c>
      <c r="I322" s="2" t="s">
        <v>515</v>
      </c>
      <c r="J322" s="2" t="s">
        <v>827</v>
      </c>
      <c r="K322" s="2" t="s">
        <v>304</v>
      </c>
      <c r="L322" s="2" t="s">
        <v>358</v>
      </c>
      <c r="M322" s="8" t="str">
        <f>HYPERLINK("http://slimages.macys.com/is/image/MCY/11860832 ")</f>
        <v xml:space="preserve">http://slimages.macys.com/is/image/MCY/11860832 </v>
      </c>
    </row>
    <row r="323" spans="1:13" ht="60" x14ac:dyDescent="0.25">
      <c r="A323" s="7" t="s">
        <v>10109</v>
      </c>
      <c r="B323" s="2" t="s">
        <v>10107</v>
      </c>
      <c r="C323" s="4">
        <v>3</v>
      </c>
      <c r="D323" s="5">
        <v>6.19</v>
      </c>
      <c r="E323" s="5">
        <v>16.989999999999998</v>
      </c>
      <c r="F323" s="4" t="s">
        <v>10108</v>
      </c>
      <c r="G323" s="2" t="s">
        <v>653</v>
      </c>
      <c r="H323" s="7" t="s">
        <v>228</v>
      </c>
      <c r="I323" s="2" t="s">
        <v>515</v>
      </c>
      <c r="J323" s="2" t="s">
        <v>827</v>
      </c>
      <c r="K323" s="2" t="s">
        <v>304</v>
      </c>
      <c r="L323" s="2" t="s">
        <v>358</v>
      </c>
      <c r="M323" s="8" t="str">
        <f>HYPERLINK("http://slimages.macys.com/is/image/MCY/11860832 ")</f>
        <v xml:space="preserve">http://slimages.macys.com/is/image/MCY/11860832 </v>
      </c>
    </row>
    <row r="324" spans="1:13" ht="60" x14ac:dyDescent="0.25">
      <c r="A324" s="7" t="s">
        <v>7621</v>
      </c>
      <c r="B324" s="2" t="s">
        <v>7622</v>
      </c>
      <c r="C324" s="4">
        <v>2</v>
      </c>
      <c r="D324" s="5">
        <v>6.19</v>
      </c>
      <c r="E324" s="5">
        <v>16.989999999999998</v>
      </c>
      <c r="F324" s="4" t="s">
        <v>7623</v>
      </c>
      <c r="G324" s="2" t="s">
        <v>653</v>
      </c>
      <c r="H324" s="7" t="s">
        <v>228</v>
      </c>
      <c r="I324" s="2" t="s">
        <v>515</v>
      </c>
      <c r="J324" s="2" t="s">
        <v>827</v>
      </c>
      <c r="K324" s="2" t="s">
        <v>304</v>
      </c>
      <c r="L324" s="2" t="s">
        <v>358</v>
      </c>
      <c r="M324" s="8" t="str">
        <f>HYPERLINK("http://slimages.macys.com/is/image/MCY/11860930 ")</f>
        <v xml:space="preserve">http://slimages.macys.com/is/image/MCY/11860930 </v>
      </c>
    </row>
    <row r="325" spans="1:13" ht="60" x14ac:dyDescent="0.25">
      <c r="A325" s="7" t="s">
        <v>10110</v>
      </c>
      <c r="B325" s="2" t="s">
        <v>10107</v>
      </c>
      <c r="C325" s="4">
        <v>3</v>
      </c>
      <c r="D325" s="5">
        <v>6.19</v>
      </c>
      <c r="E325" s="5">
        <v>16.989999999999998</v>
      </c>
      <c r="F325" s="4" t="s">
        <v>10108</v>
      </c>
      <c r="G325" s="2" t="s">
        <v>653</v>
      </c>
      <c r="H325" s="7" t="s">
        <v>159</v>
      </c>
      <c r="I325" s="2" t="s">
        <v>515</v>
      </c>
      <c r="J325" s="2" t="s">
        <v>827</v>
      </c>
      <c r="K325" s="2" t="s">
        <v>304</v>
      </c>
      <c r="L325" s="2" t="s">
        <v>358</v>
      </c>
      <c r="M325" s="8" t="str">
        <f>HYPERLINK("http://slimages.macys.com/is/image/MCY/11860832 ")</f>
        <v xml:space="preserve">http://slimages.macys.com/is/image/MCY/11860832 </v>
      </c>
    </row>
    <row r="326" spans="1:13" ht="60" x14ac:dyDescent="0.25">
      <c r="A326" s="7" t="s">
        <v>10111</v>
      </c>
      <c r="B326" s="2" t="s">
        <v>1840</v>
      </c>
      <c r="C326" s="4">
        <v>1</v>
      </c>
      <c r="D326" s="5">
        <v>6.18</v>
      </c>
      <c r="E326" s="5">
        <v>16.989999999999998</v>
      </c>
      <c r="F326" s="4" t="s">
        <v>1841</v>
      </c>
      <c r="G326" s="2" t="s">
        <v>28</v>
      </c>
      <c r="H326" s="7" t="s">
        <v>228</v>
      </c>
      <c r="I326" s="2" t="s">
        <v>515</v>
      </c>
      <c r="J326" s="2" t="s">
        <v>827</v>
      </c>
      <c r="K326" s="2" t="s">
        <v>304</v>
      </c>
      <c r="L326" s="2" t="s">
        <v>358</v>
      </c>
      <c r="M326" s="8" t="str">
        <f>HYPERLINK("http://slimages.macys.com/is/image/MCY/11605971 ")</f>
        <v xml:space="preserve">http://slimages.macys.com/is/image/MCY/11605971 </v>
      </c>
    </row>
    <row r="327" spans="1:13" ht="60" x14ac:dyDescent="0.25">
      <c r="A327" s="7" t="s">
        <v>1839</v>
      </c>
      <c r="B327" s="2" t="s">
        <v>1840</v>
      </c>
      <c r="C327" s="4">
        <v>2</v>
      </c>
      <c r="D327" s="5">
        <v>6.18</v>
      </c>
      <c r="E327" s="5">
        <v>16.989999999999998</v>
      </c>
      <c r="F327" s="4" t="s">
        <v>1841</v>
      </c>
      <c r="G327" s="2" t="s">
        <v>28</v>
      </c>
      <c r="H327" s="7" t="s">
        <v>159</v>
      </c>
      <c r="I327" s="2" t="s">
        <v>515</v>
      </c>
      <c r="J327" s="2" t="s">
        <v>827</v>
      </c>
      <c r="K327" s="2" t="s">
        <v>304</v>
      </c>
      <c r="L327" s="2" t="s">
        <v>358</v>
      </c>
      <c r="M327" s="8" t="str">
        <f>HYPERLINK("http://slimages.macys.com/is/image/MCY/11605971 ")</f>
        <v xml:space="preserve">http://slimages.macys.com/is/image/MCY/11605971 </v>
      </c>
    </row>
    <row r="328" spans="1:13" ht="60" x14ac:dyDescent="0.25">
      <c r="A328" s="7" t="s">
        <v>4115</v>
      </c>
      <c r="B328" s="2" t="s">
        <v>1837</v>
      </c>
      <c r="C328" s="4">
        <v>2</v>
      </c>
      <c r="D328" s="5">
        <v>6.18</v>
      </c>
      <c r="E328" s="5">
        <v>16.989999999999998</v>
      </c>
      <c r="F328" s="4" t="s">
        <v>1838</v>
      </c>
      <c r="G328" s="2" t="s">
        <v>171</v>
      </c>
      <c r="H328" s="7" t="s">
        <v>159</v>
      </c>
      <c r="I328" s="2" t="s">
        <v>515</v>
      </c>
      <c r="J328" s="2" t="s">
        <v>827</v>
      </c>
      <c r="K328" s="2" t="s">
        <v>304</v>
      </c>
      <c r="L328" s="2" t="s">
        <v>358</v>
      </c>
      <c r="M328" s="8" t="str">
        <f>HYPERLINK("http://slimages.macys.com/is/image/MCY/11605899 ")</f>
        <v xml:space="preserve">http://slimages.macys.com/is/image/MCY/11605899 </v>
      </c>
    </row>
    <row r="329" spans="1:13" ht="60" x14ac:dyDescent="0.25">
      <c r="A329" s="7" t="s">
        <v>8297</v>
      </c>
      <c r="B329" s="2" t="s">
        <v>1840</v>
      </c>
      <c r="C329" s="4">
        <v>2</v>
      </c>
      <c r="D329" s="5">
        <v>6.18</v>
      </c>
      <c r="E329" s="5">
        <v>16.989999999999998</v>
      </c>
      <c r="F329" s="4" t="s">
        <v>1841</v>
      </c>
      <c r="G329" s="2" t="s">
        <v>28</v>
      </c>
      <c r="H329" s="7" t="s">
        <v>284</v>
      </c>
      <c r="I329" s="2" t="s">
        <v>515</v>
      </c>
      <c r="J329" s="2" t="s">
        <v>827</v>
      </c>
      <c r="K329" s="2" t="s">
        <v>304</v>
      </c>
      <c r="L329" s="2" t="s">
        <v>358</v>
      </c>
      <c r="M329" s="8" t="str">
        <f>HYPERLINK("http://slimages.macys.com/is/image/MCY/11605971 ")</f>
        <v xml:space="preserve">http://slimages.macys.com/is/image/MCY/11605971 </v>
      </c>
    </row>
    <row r="330" spans="1:13" ht="60" x14ac:dyDescent="0.25">
      <c r="A330" s="7" t="s">
        <v>9579</v>
      </c>
      <c r="B330" s="2" t="s">
        <v>6907</v>
      </c>
      <c r="C330" s="4">
        <v>1</v>
      </c>
      <c r="D330" s="5">
        <v>6.13</v>
      </c>
      <c r="E330" s="5">
        <v>16.989999999999998</v>
      </c>
      <c r="F330" s="4" t="s">
        <v>6908</v>
      </c>
      <c r="G330" s="2" t="s">
        <v>793</v>
      </c>
      <c r="H330" s="7" t="s">
        <v>159</v>
      </c>
      <c r="I330" s="2" t="s">
        <v>389</v>
      </c>
      <c r="J330" s="2" t="s">
        <v>354</v>
      </c>
      <c r="K330" s="2" t="s">
        <v>304</v>
      </c>
      <c r="L330" s="2" t="s">
        <v>119</v>
      </c>
      <c r="M330" s="8" t="str">
        <f>HYPERLINK("http://slimages.macys.com/is/image/MCY/12121666 ")</f>
        <v xml:space="preserve">http://slimages.macys.com/is/image/MCY/12121666 </v>
      </c>
    </row>
    <row r="331" spans="1:13" ht="60" x14ac:dyDescent="0.25">
      <c r="A331" s="7" t="s">
        <v>6906</v>
      </c>
      <c r="B331" s="2" t="s">
        <v>6907</v>
      </c>
      <c r="C331" s="4">
        <v>1</v>
      </c>
      <c r="D331" s="5">
        <v>6.13</v>
      </c>
      <c r="E331" s="5">
        <v>16.989999999999998</v>
      </c>
      <c r="F331" s="4" t="s">
        <v>6908</v>
      </c>
      <c r="G331" s="2" t="s">
        <v>793</v>
      </c>
      <c r="H331" s="7" t="s">
        <v>196</v>
      </c>
      <c r="I331" s="2" t="s">
        <v>389</v>
      </c>
      <c r="J331" s="2" t="s">
        <v>354</v>
      </c>
      <c r="K331" s="2" t="s">
        <v>304</v>
      </c>
      <c r="L331" s="2" t="s">
        <v>119</v>
      </c>
      <c r="M331" s="8" t="str">
        <f>HYPERLINK("http://slimages.macys.com/is/image/MCY/12121666 ")</f>
        <v xml:space="preserve">http://slimages.macys.com/is/image/MCY/12121666 </v>
      </c>
    </row>
    <row r="332" spans="1:13" ht="60" x14ac:dyDescent="0.25">
      <c r="A332" s="7" t="s">
        <v>10112</v>
      </c>
      <c r="B332" s="2" t="s">
        <v>4964</v>
      </c>
      <c r="C332" s="4">
        <v>2</v>
      </c>
      <c r="D332" s="5">
        <v>6.13</v>
      </c>
      <c r="E332" s="5">
        <v>16.989999999999998</v>
      </c>
      <c r="F332" s="4" t="s">
        <v>4965</v>
      </c>
      <c r="G332" s="2" t="s">
        <v>86</v>
      </c>
      <c r="H332" s="7" t="s">
        <v>228</v>
      </c>
      <c r="I332" s="2" t="s">
        <v>389</v>
      </c>
      <c r="J332" s="2" t="s">
        <v>354</v>
      </c>
      <c r="K332" s="2" t="s">
        <v>304</v>
      </c>
      <c r="L332" s="2" t="s">
        <v>596</v>
      </c>
      <c r="M332" s="8" t="str">
        <f>HYPERLINK("http://slimages.macys.com/is/image/MCY/12645407 ")</f>
        <v xml:space="preserve">http://slimages.macys.com/is/image/MCY/12645407 </v>
      </c>
    </row>
    <row r="333" spans="1:13" ht="60" x14ac:dyDescent="0.25">
      <c r="A333" s="7" t="s">
        <v>10113</v>
      </c>
      <c r="B333" s="2" t="s">
        <v>6907</v>
      </c>
      <c r="C333" s="4">
        <v>2</v>
      </c>
      <c r="D333" s="5">
        <v>6.13</v>
      </c>
      <c r="E333" s="5">
        <v>16.989999999999998</v>
      </c>
      <c r="F333" s="4" t="s">
        <v>6908</v>
      </c>
      <c r="G333" s="2" t="s">
        <v>793</v>
      </c>
      <c r="H333" s="7" t="s">
        <v>284</v>
      </c>
      <c r="I333" s="2" t="s">
        <v>389</v>
      </c>
      <c r="J333" s="2" t="s">
        <v>354</v>
      </c>
      <c r="K333" s="2" t="s">
        <v>304</v>
      </c>
      <c r="L333" s="2" t="s">
        <v>119</v>
      </c>
      <c r="M333" s="8" t="str">
        <f>HYPERLINK("http://slimages.macys.com/is/image/MCY/12121666 ")</f>
        <v xml:space="preserve">http://slimages.macys.com/is/image/MCY/12121666 </v>
      </c>
    </row>
    <row r="334" spans="1:13" ht="60" x14ac:dyDescent="0.25">
      <c r="A334" s="7" t="s">
        <v>10114</v>
      </c>
      <c r="B334" s="2" t="s">
        <v>9581</v>
      </c>
      <c r="C334" s="4">
        <v>1</v>
      </c>
      <c r="D334" s="5">
        <v>6.11</v>
      </c>
      <c r="E334" s="5">
        <v>16.989999999999998</v>
      </c>
      <c r="F334" s="4" t="s">
        <v>9582</v>
      </c>
      <c r="G334" s="2" t="s">
        <v>62</v>
      </c>
      <c r="H334" s="7" t="s">
        <v>228</v>
      </c>
      <c r="I334" s="2" t="s">
        <v>515</v>
      </c>
      <c r="J334" s="2" t="s">
        <v>827</v>
      </c>
      <c r="K334" s="2" t="s">
        <v>304</v>
      </c>
      <c r="L334" s="2" t="s">
        <v>358</v>
      </c>
      <c r="M334" s="8" t="str">
        <f>HYPERLINK("http://slimages.macys.com/is/image/MCY/11530909 ")</f>
        <v xml:space="preserve">http://slimages.macys.com/is/image/MCY/11530909 </v>
      </c>
    </row>
    <row r="335" spans="1:13" ht="60" x14ac:dyDescent="0.25">
      <c r="A335" s="7" t="s">
        <v>10115</v>
      </c>
      <c r="B335" s="2" t="s">
        <v>6283</v>
      </c>
      <c r="C335" s="4">
        <v>1</v>
      </c>
      <c r="D335" s="5">
        <v>6.11</v>
      </c>
      <c r="E335" s="5">
        <v>12.99</v>
      </c>
      <c r="F335" s="4" t="s">
        <v>9584</v>
      </c>
      <c r="G335" s="2" t="s">
        <v>36</v>
      </c>
      <c r="H335" s="7" t="s">
        <v>123</v>
      </c>
      <c r="I335" s="2" t="s">
        <v>515</v>
      </c>
      <c r="J335" s="2" t="s">
        <v>516</v>
      </c>
      <c r="K335" s="2" t="s">
        <v>304</v>
      </c>
      <c r="L335" s="2" t="s">
        <v>358</v>
      </c>
      <c r="M335" s="8" t="str">
        <f>HYPERLINK("http://slimages.macys.com/is/image/MCY/12387477 ")</f>
        <v xml:space="preserve">http://slimages.macys.com/is/image/MCY/12387477 </v>
      </c>
    </row>
    <row r="336" spans="1:13" ht="60" x14ac:dyDescent="0.25">
      <c r="A336" s="7" t="s">
        <v>10116</v>
      </c>
      <c r="B336" s="2" t="s">
        <v>7655</v>
      </c>
      <c r="C336" s="4">
        <v>1</v>
      </c>
      <c r="D336" s="5">
        <v>6.07</v>
      </c>
      <c r="E336" s="5">
        <v>17.989999999999998</v>
      </c>
      <c r="F336" s="4" t="s">
        <v>10117</v>
      </c>
      <c r="G336" s="2" t="s">
        <v>171</v>
      </c>
      <c r="H336" s="7" t="s">
        <v>91</v>
      </c>
      <c r="I336" s="2" t="s">
        <v>483</v>
      </c>
      <c r="J336" s="2" t="s">
        <v>536</v>
      </c>
      <c r="K336" s="2" t="s">
        <v>304</v>
      </c>
      <c r="L336" s="2" t="s">
        <v>119</v>
      </c>
      <c r="M336" s="8" t="str">
        <f>HYPERLINK("http://slimages.macys.com/is/image/MCY/12465871 ")</f>
        <v xml:space="preserve">http://slimages.macys.com/is/image/MCY/12465871 </v>
      </c>
    </row>
    <row r="337" spans="1:13" ht="60" x14ac:dyDescent="0.25">
      <c r="A337" s="7" t="s">
        <v>10118</v>
      </c>
      <c r="B337" s="2" t="s">
        <v>10119</v>
      </c>
      <c r="C337" s="4">
        <v>1</v>
      </c>
      <c r="D337" s="5">
        <v>6</v>
      </c>
      <c r="E337" s="5">
        <v>15.99</v>
      </c>
      <c r="F337" s="4" t="s">
        <v>10120</v>
      </c>
      <c r="G337" s="2" t="s">
        <v>28</v>
      </c>
      <c r="H337" s="7"/>
      <c r="I337" s="2" t="s">
        <v>321</v>
      </c>
      <c r="J337" s="2" t="s">
        <v>492</v>
      </c>
      <c r="K337" s="2" t="s">
        <v>304</v>
      </c>
      <c r="L337" s="2" t="s">
        <v>493</v>
      </c>
      <c r="M337" s="8" t="str">
        <f>HYPERLINK("http://slimages.macys.com/is/image/MCY/10924254 ")</f>
        <v xml:space="preserve">http://slimages.macys.com/is/image/MCY/10924254 </v>
      </c>
    </row>
    <row r="338" spans="1:13" ht="60" x14ac:dyDescent="0.25">
      <c r="A338" s="7" t="s">
        <v>10121</v>
      </c>
      <c r="B338" s="2" t="s">
        <v>10119</v>
      </c>
      <c r="C338" s="4">
        <v>1</v>
      </c>
      <c r="D338" s="5">
        <v>6</v>
      </c>
      <c r="E338" s="5">
        <v>15.99</v>
      </c>
      <c r="F338" s="4" t="s">
        <v>10120</v>
      </c>
      <c r="G338" s="2" t="s">
        <v>28</v>
      </c>
      <c r="H338" s="7"/>
      <c r="I338" s="2" t="s">
        <v>321</v>
      </c>
      <c r="J338" s="2" t="s">
        <v>492</v>
      </c>
      <c r="K338" s="2" t="s">
        <v>304</v>
      </c>
      <c r="L338" s="2" t="s">
        <v>493</v>
      </c>
      <c r="M338" s="8" t="str">
        <f>HYPERLINK("http://slimages.macys.com/is/image/MCY/10924254 ")</f>
        <v xml:space="preserve">http://slimages.macys.com/is/image/MCY/10924254 </v>
      </c>
    </row>
    <row r="339" spans="1:13" ht="60" x14ac:dyDescent="0.25">
      <c r="A339" s="7" t="s">
        <v>10122</v>
      </c>
      <c r="B339" s="2" t="s">
        <v>10123</v>
      </c>
      <c r="C339" s="4">
        <v>1</v>
      </c>
      <c r="D339" s="5">
        <v>6</v>
      </c>
      <c r="E339" s="5">
        <v>15.99</v>
      </c>
      <c r="F339" s="4" t="s">
        <v>10124</v>
      </c>
      <c r="G339" s="2" t="s">
        <v>62</v>
      </c>
      <c r="H339" s="7"/>
      <c r="I339" s="2" t="s">
        <v>321</v>
      </c>
      <c r="J339" s="2" t="s">
        <v>492</v>
      </c>
      <c r="K339" s="2" t="s">
        <v>304</v>
      </c>
      <c r="L339" s="2" t="s">
        <v>493</v>
      </c>
      <c r="M339" s="8" t="str">
        <f>HYPERLINK("http://slimages.macys.com/is/image/MCY/12045173 ")</f>
        <v xml:space="preserve">http://slimages.macys.com/is/image/MCY/12045173 </v>
      </c>
    </row>
    <row r="340" spans="1:13" ht="60" x14ac:dyDescent="0.25">
      <c r="A340" s="7" t="s">
        <v>10125</v>
      </c>
      <c r="B340" s="2" t="s">
        <v>4117</v>
      </c>
      <c r="C340" s="4">
        <v>1</v>
      </c>
      <c r="D340" s="5">
        <v>6</v>
      </c>
      <c r="E340" s="5">
        <v>11.99</v>
      </c>
      <c r="F340" s="4" t="s">
        <v>10126</v>
      </c>
      <c r="G340" s="2" t="s">
        <v>41</v>
      </c>
      <c r="H340" s="7" t="s">
        <v>144</v>
      </c>
      <c r="I340" s="2" t="s">
        <v>173</v>
      </c>
      <c r="J340" s="2" t="s">
        <v>1967</v>
      </c>
      <c r="K340" s="2" t="s">
        <v>304</v>
      </c>
      <c r="L340" s="2" t="s">
        <v>38</v>
      </c>
      <c r="M340" s="8" t="str">
        <f>HYPERLINK("http://slimages.macys.com/is/image/MCY/12282974 ")</f>
        <v xml:space="preserve">http://slimages.macys.com/is/image/MCY/12282974 </v>
      </c>
    </row>
    <row r="341" spans="1:13" ht="60" x14ac:dyDescent="0.25">
      <c r="A341" s="7" t="s">
        <v>10127</v>
      </c>
      <c r="B341" s="2" t="s">
        <v>10128</v>
      </c>
      <c r="C341" s="4">
        <v>1</v>
      </c>
      <c r="D341" s="5">
        <v>6</v>
      </c>
      <c r="E341" s="5">
        <v>15.99</v>
      </c>
      <c r="F341" s="4" t="s">
        <v>10129</v>
      </c>
      <c r="G341" s="2" t="s">
        <v>62</v>
      </c>
      <c r="H341" s="7"/>
      <c r="I341" s="2" t="s">
        <v>321</v>
      </c>
      <c r="J341" s="2" t="s">
        <v>492</v>
      </c>
      <c r="K341" s="2" t="s">
        <v>304</v>
      </c>
      <c r="L341" s="2" t="s">
        <v>493</v>
      </c>
      <c r="M341" s="8" t="str">
        <f>HYPERLINK("http://slimages.macys.com/is/image/MCY/12045175 ")</f>
        <v xml:space="preserve">http://slimages.macys.com/is/image/MCY/12045175 </v>
      </c>
    </row>
    <row r="342" spans="1:13" ht="156" x14ac:dyDescent="0.25">
      <c r="A342" s="7" t="s">
        <v>5952</v>
      </c>
      <c r="B342" s="2" t="s">
        <v>5945</v>
      </c>
      <c r="C342" s="4">
        <v>4</v>
      </c>
      <c r="D342" s="5">
        <v>6</v>
      </c>
      <c r="E342" s="5">
        <v>14</v>
      </c>
      <c r="F342" s="4" t="s">
        <v>5946</v>
      </c>
      <c r="G342" s="2" t="s">
        <v>62</v>
      </c>
      <c r="H342" s="7" t="s">
        <v>159</v>
      </c>
      <c r="I342" s="2" t="s">
        <v>468</v>
      </c>
      <c r="J342" s="2" t="s">
        <v>5947</v>
      </c>
      <c r="K342" s="2" t="s">
        <v>304</v>
      </c>
      <c r="L342" s="2" t="s">
        <v>5948</v>
      </c>
      <c r="M342" s="8" t="str">
        <f>HYPERLINK("http://slimages.macys.com/is/image/MCY/13936126 ")</f>
        <v xml:space="preserve">http://slimages.macys.com/is/image/MCY/13936126 </v>
      </c>
    </row>
    <row r="343" spans="1:13" ht="156" x14ac:dyDescent="0.25">
      <c r="A343" s="7" t="s">
        <v>5949</v>
      </c>
      <c r="B343" s="2" t="s">
        <v>5950</v>
      </c>
      <c r="C343" s="4">
        <v>5</v>
      </c>
      <c r="D343" s="5">
        <v>6</v>
      </c>
      <c r="E343" s="5">
        <v>14</v>
      </c>
      <c r="F343" s="4" t="s">
        <v>5946</v>
      </c>
      <c r="G343" s="2" t="s">
        <v>785</v>
      </c>
      <c r="H343" s="7" t="s">
        <v>284</v>
      </c>
      <c r="I343" s="2" t="s">
        <v>468</v>
      </c>
      <c r="J343" s="2" t="s">
        <v>5947</v>
      </c>
      <c r="K343" s="2" t="s">
        <v>304</v>
      </c>
      <c r="L343" s="2" t="s">
        <v>5948</v>
      </c>
      <c r="M343" s="8" t="str">
        <f>HYPERLINK("http://slimages.macys.com/is/image/MCY/13936125 ")</f>
        <v xml:space="preserve">http://slimages.macys.com/is/image/MCY/13936125 </v>
      </c>
    </row>
    <row r="344" spans="1:13" ht="60" x14ac:dyDescent="0.25">
      <c r="A344" s="7" t="s">
        <v>10130</v>
      </c>
      <c r="B344" s="2" t="s">
        <v>10131</v>
      </c>
      <c r="C344" s="4">
        <v>1</v>
      </c>
      <c r="D344" s="5">
        <v>6</v>
      </c>
      <c r="E344" s="5">
        <v>15.99</v>
      </c>
      <c r="F344" s="4" t="s">
        <v>10132</v>
      </c>
      <c r="G344" s="2" t="s">
        <v>698</v>
      </c>
      <c r="H344" s="7"/>
      <c r="I344" s="2" t="s">
        <v>321</v>
      </c>
      <c r="J344" s="2" t="s">
        <v>492</v>
      </c>
      <c r="K344" s="2" t="s">
        <v>304</v>
      </c>
      <c r="L344" s="2" t="s">
        <v>493</v>
      </c>
      <c r="M344" s="8" t="str">
        <f>HYPERLINK("http://slimages.macys.com/is/image/MCY/11539256 ")</f>
        <v xml:space="preserve">http://slimages.macys.com/is/image/MCY/11539256 </v>
      </c>
    </row>
    <row r="345" spans="1:13" ht="156" x14ac:dyDescent="0.25">
      <c r="A345" s="7" t="s">
        <v>5951</v>
      </c>
      <c r="B345" s="2" t="s">
        <v>5950</v>
      </c>
      <c r="C345" s="4">
        <v>7</v>
      </c>
      <c r="D345" s="5">
        <v>6</v>
      </c>
      <c r="E345" s="5">
        <v>14</v>
      </c>
      <c r="F345" s="4" t="s">
        <v>5946</v>
      </c>
      <c r="G345" s="2" t="s">
        <v>785</v>
      </c>
      <c r="H345" s="7" t="s">
        <v>159</v>
      </c>
      <c r="I345" s="2" t="s">
        <v>468</v>
      </c>
      <c r="J345" s="2" t="s">
        <v>5947</v>
      </c>
      <c r="K345" s="2" t="s">
        <v>304</v>
      </c>
      <c r="L345" s="2" t="s">
        <v>5948</v>
      </c>
      <c r="M345" s="8" t="str">
        <f>HYPERLINK("http://slimages.macys.com/is/image/MCY/13936125 ")</f>
        <v xml:space="preserve">http://slimages.macys.com/is/image/MCY/13936125 </v>
      </c>
    </row>
    <row r="346" spans="1:13" ht="156" x14ac:dyDescent="0.25">
      <c r="A346" s="7" t="s">
        <v>5944</v>
      </c>
      <c r="B346" s="2" t="s">
        <v>5945</v>
      </c>
      <c r="C346" s="4">
        <v>3</v>
      </c>
      <c r="D346" s="5">
        <v>6</v>
      </c>
      <c r="E346" s="5">
        <v>14</v>
      </c>
      <c r="F346" s="4" t="s">
        <v>5946</v>
      </c>
      <c r="G346" s="2" t="s">
        <v>62</v>
      </c>
      <c r="H346" s="7" t="s">
        <v>284</v>
      </c>
      <c r="I346" s="2" t="s">
        <v>468</v>
      </c>
      <c r="J346" s="2" t="s">
        <v>5947</v>
      </c>
      <c r="K346" s="2" t="s">
        <v>304</v>
      </c>
      <c r="L346" s="2" t="s">
        <v>5948</v>
      </c>
      <c r="M346" s="8" t="str">
        <f>HYPERLINK("http://slimages.macys.com/is/image/MCY/13936126 ")</f>
        <v xml:space="preserve">http://slimages.macys.com/is/image/MCY/13936126 </v>
      </c>
    </row>
    <row r="347" spans="1:13" ht="60" x14ac:dyDescent="0.25">
      <c r="A347" s="7" t="s">
        <v>10133</v>
      </c>
      <c r="B347" s="2" t="s">
        <v>8981</v>
      </c>
      <c r="C347" s="4">
        <v>1</v>
      </c>
      <c r="D347" s="5">
        <v>5.91</v>
      </c>
      <c r="E347" s="5">
        <v>14.99</v>
      </c>
      <c r="F347" s="4" t="s">
        <v>8982</v>
      </c>
      <c r="G347" s="2" t="s">
        <v>62</v>
      </c>
      <c r="H347" s="7" t="s">
        <v>196</v>
      </c>
      <c r="I347" s="2" t="s">
        <v>515</v>
      </c>
      <c r="J347" s="2" t="s">
        <v>827</v>
      </c>
      <c r="K347" s="2" t="s">
        <v>304</v>
      </c>
      <c r="L347" s="2" t="s">
        <v>358</v>
      </c>
      <c r="M347" s="8" t="str">
        <f>HYPERLINK("http://slimages.macys.com/is/image/MCY/10410507 ")</f>
        <v xml:space="preserve">http://slimages.macys.com/is/image/MCY/10410507 </v>
      </c>
    </row>
    <row r="348" spans="1:13" ht="60" x14ac:dyDescent="0.25">
      <c r="A348" s="7" t="s">
        <v>8984</v>
      </c>
      <c r="B348" s="2" t="s">
        <v>7652</v>
      </c>
      <c r="C348" s="4">
        <v>1</v>
      </c>
      <c r="D348" s="5">
        <v>5.91</v>
      </c>
      <c r="E348" s="5">
        <v>14.99</v>
      </c>
      <c r="F348" s="4" t="s">
        <v>7653</v>
      </c>
      <c r="G348" s="2" t="s">
        <v>1265</v>
      </c>
      <c r="H348" s="7" t="s">
        <v>284</v>
      </c>
      <c r="I348" s="2" t="s">
        <v>515</v>
      </c>
      <c r="J348" s="2" t="s">
        <v>827</v>
      </c>
      <c r="K348" s="2" t="s">
        <v>304</v>
      </c>
      <c r="L348" s="2" t="s">
        <v>358</v>
      </c>
      <c r="M348" s="8" t="str">
        <f>HYPERLINK("http://slimages.macys.com/is/image/MCY/10410452 ")</f>
        <v xml:space="preserve">http://slimages.macys.com/is/image/MCY/10410452 </v>
      </c>
    </row>
    <row r="349" spans="1:13" ht="60" x14ac:dyDescent="0.25">
      <c r="A349" s="7" t="s">
        <v>8983</v>
      </c>
      <c r="B349" s="2" t="s">
        <v>8981</v>
      </c>
      <c r="C349" s="4">
        <v>1</v>
      </c>
      <c r="D349" s="5">
        <v>5.91</v>
      </c>
      <c r="E349" s="5">
        <v>14.99</v>
      </c>
      <c r="F349" s="4" t="s">
        <v>8982</v>
      </c>
      <c r="G349" s="2" t="s">
        <v>62</v>
      </c>
      <c r="H349" s="7" t="s">
        <v>228</v>
      </c>
      <c r="I349" s="2" t="s">
        <v>515</v>
      </c>
      <c r="J349" s="2" t="s">
        <v>827</v>
      </c>
      <c r="K349" s="2" t="s">
        <v>304</v>
      </c>
      <c r="L349" s="2" t="s">
        <v>358</v>
      </c>
      <c r="M349" s="8" t="str">
        <f>HYPERLINK("http://slimages.macys.com/is/image/MCY/10410507 ")</f>
        <v xml:space="preserve">http://slimages.macys.com/is/image/MCY/10410507 </v>
      </c>
    </row>
    <row r="350" spans="1:13" ht="60" x14ac:dyDescent="0.25">
      <c r="A350" s="7" t="s">
        <v>7651</v>
      </c>
      <c r="B350" s="2" t="s">
        <v>7652</v>
      </c>
      <c r="C350" s="4">
        <v>2</v>
      </c>
      <c r="D350" s="5">
        <v>5.91</v>
      </c>
      <c r="E350" s="5">
        <v>14.99</v>
      </c>
      <c r="F350" s="4" t="s">
        <v>7653</v>
      </c>
      <c r="G350" s="2" t="s">
        <v>1265</v>
      </c>
      <c r="H350" s="7" t="s">
        <v>228</v>
      </c>
      <c r="I350" s="2" t="s">
        <v>515</v>
      </c>
      <c r="J350" s="2" t="s">
        <v>827</v>
      </c>
      <c r="K350" s="2" t="s">
        <v>304</v>
      </c>
      <c r="L350" s="2" t="s">
        <v>358</v>
      </c>
      <c r="M350" s="8" t="str">
        <f>HYPERLINK("http://slimages.macys.com/is/image/MCY/10410452 ")</f>
        <v xml:space="preserve">http://slimages.macys.com/is/image/MCY/10410452 </v>
      </c>
    </row>
    <row r="351" spans="1:13" ht="60" x14ac:dyDescent="0.25">
      <c r="A351" s="7" t="s">
        <v>10134</v>
      </c>
      <c r="B351" s="2" t="s">
        <v>7652</v>
      </c>
      <c r="C351" s="4">
        <v>2</v>
      </c>
      <c r="D351" s="5">
        <v>5.91</v>
      </c>
      <c r="E351" s="5">
        <v>14.99</v>
      </c>
      <c r="F351" s="4" t="s">
        <v>7653</v>
      </c>
      <c r="G351" s="2" t="s">
        <v>1265</v>
      </c>
      <c r="H351" s="7" t="s">
        <v>196</v>
      </c>
      <c r="I351" s="2" t="s">
        <v>515</v>
      </c>
      <c r="J351" s="2" t="s">
        <v>827</v>
      </c>
      <c r="K351" s="2" t="s">
        <v>304</v>
      </c>
      <c r="L351" s="2" t="s">
        <v>358</v>
      </c>
      <c r="M351" s="8" t="str">
        <f>HYPERLINK("http://slimages.macys.com/is/image/MCY/10410452 ")</f>
        <v xml:space="preserve">http://slimages.macys.com/is/image/MCY/10410452 </v>
      </c>
    </row>
    <row r="352" spans="1:13" ht="192" x14ac:dyDescent="0.25">
      <c r="A352" s="7" t="s">
        <v>10135</v>
      </c>
      <c r="B352" s="2" t="s">
        <v>10136</v>
      </c>
      <c r="C352" s="4">
        <v>1</v>
      </c>
      <c r="D352" s="5">
        <v>5.86</v>
      </c>
      <c r="E352" s="5">
        <v>16.989999999999998</v>
      </c>
      <c r="F352" s="4" t="s">
        <v>10137</v>
      </c>
      <c r="G352" s="2" t="s">
        <v>41</v>
      </c>
      <c r="H352" s="7" t="s">
        <v>590</v>
      </c>
      <c r="I352" s="2" t="s">
        <v>7609</v>
      </c>
      <c r="J352" s="2" t="s">
        <v>536</v>
      </c>
      <c r="K352" s="2" t="s">
        <v>304</v>
      </c>
      <c r="L352" s="2" t="s">
        <v>10138</v>
      </c>
      <c r="M352" s="8" t="str">
        <f>HYPERLINK("http://slimages.macys.com/is/image/MCY/10467587 ")</f>
        <v xml:space="preserve">http://slimages.macys.com/is/image/MCY/10467587 </v>
      </c>
    </row>
    <row r="353" spans="1:13" ht="60" x14ac:dyDescent="0.25">
      <c r="A353" s="7" t="s">
        <v>8990</v>
      </c>
      <c r="B353" s="2" t="s">
        <v>5003</v>
      </c>
      <c r="C353" s="4">
        <v>1</v>
      </c>
      <c r="D353" s="5">
        <v>5.86</v>
      </c>
      <c r="E353" s="5">
        <v>12.99</v>
      </c>
      <c r="F353" s="4" t="s">
        <v>5004</v>
      </c>
      <c r="G353" s="2" t="s">
        <v>28</v>
      </c>
      <c r="H353" s="7" t="s">
        <v>228</v>
      </c>
      <c r="I353" s="2" t="s">
        <v>218</v>
      </c>
      <c r="J353" s="2" t="s">
        <v>1740</v>
      </c>
      <c r="K353" s="2" t="s">
        <v>304</v>
      </c>
      <c r="L353" s="2" t="s">
        <v>358</v>
      </c>
      <c r="M353" s="8" t="str">
        <f>HYPERLINK("http://slimages.macys.com/is/image/MCY/12751326 ")</f>
        <v xml:space="preserve">http://slimages.macys.com/is/image/MCY/12751326 </v>
      </c>
    </row>
    <row r="354" spans="1:13" ht="60" x14ac:dyDescent="0.25">
      <c r="A354" s="7" t="s">
        <v>10139</v>
      </c>
      <c r="B354" s="2" t="s">
        <v>8992</v>
      </c>
      <c r="C354" s="4">
        <v>1</v>
      </c>
      <c r="D354" s="5">
        <v>5.85</v>
      </c>
      <c r="E354" s="5">
        <v>16.989999999999998</v>
      </c>
      <c r="F354" s="4" t="s">
        <v>8993</v>
      </c>
      <c r="G354" s="2" t="s">
        <v>62</v>
      </c>
      <c r="H354" s="7" t="s">
        <v>159</v>
      </c>
      <c r="I354" s="2" t="s">
        <v>468</v>
      </c>
      <c r="J354" s="2" t="s">
        <v>469</v>
      </c>
      <c r="K354" s="2" t="s">
        <v>304</v>
      </c>
      <c r="L354" s="2" t="s">
        <v>206</v>
      </c>
      <c r="M354" s="8" t="str">
        <f>HYPERLINK("http://slimages.macys.com/is/image/MCY/11959632 ")</f>
        <v xml:space="preserve">http://slimages.macys.com/is/image/MCY/11959632 </v>
      </c>
    </row>
    <row r="355" spans="1:13" ht="60" x14ac:dyDescent="0.25">
      <c r="A355" s="7" t="s">
        <v>10140</v>
      </c>
      <c r="B355" s="2" t="s">
        <v>10141</v>
      </c>
      <c r="C355" s="4">
        <v>1</v>
      </c>
      <c r="D355" s="5">
        <v>5.85</v>
      </c>
      <c r="E355" s="5">
        <v>12.99</v>
      </c>
      <c r="F355" s="4" t="s">
        <v>10142</v>
      </c>
      <c r="G355" s="2" t="s">
        <v>297</v>
      </c>
      <c r="H355" s="7" t="s">
        <v>144</v>
      </c>
      <c r="I355" s="2" t="s">
        <v>73</v>
      </c>
      <c r="J355" s="2" t="s">
        <v>778</v>
      </c>
      <c r="K355" s="2" t="s">
        <v>304</v>
      </c>
      <c r="L355" s="2" t="s">
        <v>119</v>
      </c>
      <c r="M355" s="8" t="str">
        <f>HYPERLINK("http://slimages.macys.com/is/image/MCY/12282266 ")</f>
        <v xml:space="preserve">http://slimages.macys.com/is/image/MCY/12282266 </v>
      </c>
    </row>
    <row r="356" spans="1:13" ht="60" x14ac:dyDescent="0.25">
      <c r="A356" s="7" t="s">
        <v>5959</v>
      </c>
      <c r="B356" s="2" t="s">
        <v>1877</v>
      </c>
      <c r="C356" s="4">
        <v>1</v>
      </c>
      <c r="D356" s="5">
        <v>5.8</v>
      </c>
      <c r="E356" s="5">
        <v>13.19</v>
      </c>
      <c r="F356" s="4">
        <v>18633210</v>
      </c>
      <c r="G356" s="2"/>
      <c r="H356" s="7" t="s">
        <v>91</v>
      </c>
      <c r="I356" s="2" t="s">
        <v>153</v>
      </c>
      <c r="J356" s="2" t="s">
        <v>154</v>
      </c>
      <c r="K356" s="2" t="s">
        <v>304</v>
      </c>
      <c r="L356" s="2" t="s">
        <v>38</v>
      </c>
      <c r="M356" s="8" t="str">
        <f>HYPERLINK("http://slimages.macys.com/is/image/MCY/13941923 ")</f>
        <v xml:space="preserve">http://slimages.macys.com/is/image/MCY/13941923 </v>
      </c>
    </row>
    <row r="357" spans="1:13" ht="60" x14ac:dyDescent="0.25">
      <c r="A357" s="7" t="s">
        <v>10143</v>
      </c>
      <c r="B357" s="2" t="s">
        <v>10144</v>
      </c>
      <c r="C357" s="4">
        <v>1</v>
      </c>
      <c r="D357" s="5">
        <v>5.8</v>
      </c>
      <c r="E357" s="5">
        <v>12.99</v>
      </c>
      <c r="F357" s="4" t="s">
        <v>10145</v>
      </c>
      <c r="G357" s="2" t="s">
        <v>171</v>
      </c>
      <c r="H357" s="7" t="s">
        <v>149</v>
      </c>
      <c r="I357" s="2" t="s">
        <v>483</v>
      </c>
      <c r="J357" s="2" t="s">
        <v>536</v>
      </c>
      <c r="K357" s="2" t="s">
        <v>304</v>
      </c>
      <c r="L357" s="2" t="s">
        <v>596</v>
      </c>
      <c r="M357" s="8" t="str">
        <f>HYPERLINK("http://slimages.macys.com/is/image/MCY/11436946 ")</f>
        <v xml:space="preserve">http://slimages.macys.com/is/image/MCY/11436946 </v>
      </c>
    </row>
    <row r="358" spans="1:13" ht="60" x14ac:dyDescent="0.25">
      <c r="A358" s="7" t="s">
        <v>6318</v>
      </c>
      <c r="B358" s="2" t="s">
        <v>1877</v>
      </c>
      <c r="C358" s="4">
        <v>1</v>
      </c>
      <c r="D358" s="5">
        <v>5.8</v>
      </c>
      <c r="E358" s="5">
        <v>13.19</v>
      </c>
      <c r="F358" s="4">
        <v>18634410</v>
      </c>
      <c r="G358" s="2"/>
      <c r="H358" s="7" t="s">
        <v>438</v>
      </c>
      <c r="I358" s="2" t="s">
        <v>153</v>
      </c>
      <c r="J358" s="2" t="s">
        <v>154</v>
      </c>
      <c r="K358" s="2" t="s">
        <v>304</v>
      </c>
      <c r="L358" s="2" t="s">
        <v>38</v>
      </c>
      <c r="M358" s="8" t="str">
        <f>HYPERLINK("http://slimages.macys.com/is/image/MCY/13941924 ")</f>
        <v xml:space="preserve">http://slimages.macys.com/is/image/MCY/13941924 </v>
      </c>
    </row>
    <row r="359" spans="1:13" ht="60" x14ac:dyDescent="0.25">
      <c r="A359" s="7" t="s">
        <v>6323</v>
      </c>
      <c r="B359" s="2" t="s">
        <v>5487</v>
      </c>
      <c r="C359" s="4">
        <v>1</v>
      </c>
      <c r="D359" s="5">
        <v>5.75</v>
      </c>
      <c r="E359" s="5">
        <v>16.989999999999998</v>
      </c>
      <c r="F359" s="4" t="s">
        <v>5488</v>
      </c>
      <c r="G359" s="2" t="s">
        <v>582</v>
      </c>
      <c r="H359" s="7" t="s">
        <v>159</v>
      </c>
      <c r="I359" s="2" t="s">
        <v>389</v>
      </c>
      <c r="J359" s="2" t="s">
        <v>354</v>
      </c>
      <c r="K359" s="2" t="s">
        <v>304</v>
      </c>
      <c r="L359" s="2" t="s">
        <v>596</v>
      </c>
      <c r="M359" s="8" t="str">
        <f>HYPERLINK("http://slimages.macys.com/is/image/MCY/12645395 ")</f>
        <v xml:space="preserve">http://slimages.macys.com/is/image/MCY/12645395 </v>
      </c>
    </row>
    <row r="360" spans="1:13" ht="96" x14ac:dyDescent="0.25">
      <c r="A360" s="7" t="s">
        <v>10146</v>
      </c>
      <c r="B360" s="2" t="s">
        <v>10147</v>
      </c>
      <c r="C360" s="4">
        <v>1</v>
      </c>
      <c r="D360" s="5">
        <v>5.75</v>
      </c>
      <c r="E360" s="5">
        <v>12.99</v>
      </c>
      <c r="F360" s="4" t="s">
        <v>10148</v>
      </c>
      <c r="G360" s="2" t="s">
        <v>86</v>
      </c>
      <c r="H360" s="7" t="s">
        <v>590</v>
      </c>
      <c r="I360" s="2" t="s">
        <v>483</v>
      </c>
      <c r="J360" s="2" t="s">
        <v>536</v>
      </c>
      <c r="K360" s="2" t="s">
        <v>304</v>
      </c>
      <c r="L360" s="2" t="s">
        <v>10149</v>
      </c>
      <c r="M360" s="8" t="str">
        <f>HYPERLINK("http://slimages.macys.com/is/image/MCY/11439974 ")</f>
        <v xml:space="preserve">http://slimages.macys.com/is/image/MCY/11439974 </v>
      </c>
    </row>
    <row r="361" spans="1:13" ht="60" x14ac:dyDescent="0.25">
      <c r="A361" s="7" t="s">
        <v>10150</v>
      </c>
      <c r="B361" s="2" t="s">
        <v>10151</v>
      </c>
      <c r="C361" s="4">
        <v>1</v>
      </c>
      <c r="D361" s="5">
        <v>5.75</v>
      </c>
      <c r="E361" s="5">
        <v>17.989999999999998</v>
      </c>
      <c r="F361" s="4" t="s">
        <v>10152</v>
      </c>
      <c r="G361" s="2" t="s">
        <v>297</v>
      </c>
      <c r="H361" s="7" t="s">
        <v>63</v>
      </c>
      <c r="I361" s="2" t="s">
        <v>342</v>
      </c>
      <c r="J361" s="2" t="s">
        <v>1613</v>
      </c>
      <c r="K361" s="2" t="s">
        <v>304</v>
      </c>
      <c r="L361" s="2" t="s">
        <v>119</v>
      </c>
      <c r="M361" s="8" t="str">
        <f>HYPERLINK("http://slimages.macys.com/is/image/MCY/12832278 ")</f>
        <v xml:space="preserve">http://slimages.macys.com/is/image/MCY/12832278 </v>
      </c>
    </row>
    <row r="362" spans="1:13" ht="60" x14ac:dyDescent="0.25">
      <c r="A362" s="7" t="s">
        <v>1892</v>
      </c>
      <c r="B362" s="2" t="s">
        <v>1893</v>
      </c>
      <c r="C362" s="4">
        <v>1</v>
      </c>
      <c r="D362" s="5">
        <v>5.73</v>
      </c>
      <c r="E362" s="5">
        <v>14.99</v>
      </c>
      <c r="F362" s="4" t="s">
        <v>1894</v>
      </c>
      <c r="G362" s="2" t="s">
        <v>62</v>
      </c>
      <c r="H362" s="7" t="s">
        <v>159</v>
      </c>
      <c r="I362" s="2" t="s">
        <v>515</v>
      </c>
      <c r="J362" s="2" t="s">
        <v>827</v>
      </c>
      <c r="K362" s="2" t="s">
        <v>304</v>
      </c>
      <c r="L362" s="2" t="s">
        <v>125</v>
      </c>
      <c r="M362" s="8" t="str">
        <f>HYPERLINK("http://slimages.macys.com/is/image/MCY/13119352 ")</f>
        <v xml:space="preserve">http://slimages.macys.com/is/image/MCY/13119352 </v>
      </c>
    </row>
    <row r="363" spans="1:13" ht="96" x14ac:dyDescent="0.25">
      <c r="A363" s="7" t="s">
        <v>9022</v>
      </c>
      <c r="B363" s="2" t="s">
        <v>1909</v>
      </c>
      <c r="C363" s="4">
        <v>4</v>
      </c>
      <c r="D363" s="5">
        <v>5.57</v>
      </c>
      <c r="E363" s="5">
        <v>16.989999999999998</v>
      </c>
      <c r="F363" s="4" t="s">
        <v>1910</v>
      </c>
      <c r="G363" s="2" t="s">
        <v>171</v>
      </c>
      <c r="H363" s="7" t="s">
        <v>159</v>
      </c>
      <c r="I363" s="2" t="s">
        <v>515</v>
      </c>
      <c r="J363" s="2" t="s">
        <v>827</v>
      </c>
      <c r="K363" s="2" t="s">
        <v>304</v>
      </c>
      <c r="L363" s="2" t="s">
        <v>1911</v>
      </c>
      <c r="M363" s="8" t="str">
        <f>HYPERLINK("http://slimages.macys.com/is/image/MCY/11606037 ")</f>
        <v xml:space="preserve">http://slimages.macys.com/is/image/MCY/11606037 </v>
      </c>
    </row>
    <row r="364" spans="1:13" ht="60" x14ac:dyDescent="0.25">
      <c r="A364" s="7" t="s">
        <v>10153</v>
      </c>
      <c r="B364" s="2" t="s">
        <v>6302</v>
      </c>
      <c r="C364" s="4">
        <v>1</v>
      </c>
      <c r="D364" s="5">
        <v>5.57</v>
      </c>
      <c r="E364" s="5">
        <v>12.99</v>
      </c>
      <c r="F364" s="4" t="s">
        <v>10154</v>
      </c>
      <c r="G364" s="2" t="s">
        <v>48</v>
      </c>
      <c r="H364" s="7" t="s">
        <v>311</v>
      </c>
      <c r="I364" s="2" t="s">
        <v>515</v>
      </c>
      <c r="J364" s="2" t="s">
        <v>516</v>
      </c>
      <c r="K364" s="2" t="s">
        <v>304</v>
      </c>
      <c r="L364" s="2" t="s">
        <v>358</v>
      </c>
      <c r="M364" s="8" t="str">
        <f>HYPERLINK("http://slimages.macys.com/is/image/MCY/11526559 ")</f>
        <v xml:space="preserve">http://slimages.macys.com/is/image/MCY/11526559 </v>
      </c>
    </row>
    <row r="365" spans="1:13" ht="96" x14ac:dyDescent="0.25">
      <c r="A365" s="7" t="s">
        <v>1908</v>
      </c>
      <c r="B365" s="2" t="s">
        <v>1909</v>
      </c>
      <c r="C365" s="4">
        <v>3</v>
      </c>
      <c r="D365" s="5">
        <v>5.57</v>
      </c>
      <c r="E365" s="5">
        <v>16.989999999999998</v>
      </c>
      <c r="F365" s="4" t="s">
        <v>1910</v>
      </c>
      <c r="G365" s="2" t="s">
        <v>171</v>
      </c>
      <c r="H365" s="7" t="s">
        <v>284</v>
      </c>
      <c r="I365" s="2" t="s">
        <v>515</v>
      </c>
      <c r="J365" s="2" t="s">
        <v>827</v>
      </c>
      <c r="K365" s="2" t="s">
        <v>304</v>
      </c>
      <c r="L365" s="2" t="s">
        <v>1911</v>
      </c>
      <c r="M365" s="8" t="str">
        <f>HYPERLINK("http://slimages.macys.com/is/image/MCY/11606037 ")</f>
        <v xml:space="preserve">http://slimages.macys.com/is/image/MCY/11606037 </v>
      </c>
    </row>
    <row r="366" spans="1:13" ht="96" x14ac:dyDescent="0.25">
      <c r="A366" s="7" t="s">
        <v>9023</v>
      </c>
      <c r="B366" s="2" t="s">
        <v>1909</v>
      </c>
      <c r="C366" s="4">
        <v>2</v>
      </c>
      <c r="D366" s="5">
        <v>5.57</v>
      </c>
      <c r="E366" s="5">
        <v>16.989999999999998</v>
      </c>
      <c r="F366" s="4" t="s">
        <v>1910</v>
      </c>
      <c r="G366" s="2" t="s">
        <v>171</v>
      </c>
      <c r="H366" s="7" t="s">
        <v>228</v>
      </c>
      <c r="I366" s="2" t="s">
        <v>515</v>
      </c>
      <c r="J366" s="2" t="s">
        <v>827</v>
      </c>
      <c r="K366" s="2" t="s">
        <v>304</v>
      </c>
      <c r="L366" s="2" t="s">
        <v>1911</v>
      </c>
      <c r="M366" s="8" t="str">
        <f>HYPERLINK("http://slimages.macys.com/is/image/MCY/11606037 ")</f>
        <v xml:space="preserve">http://slimages.macys.com/is/image/MCY/11606037 </v>
      </c>
    </row>
    <row r="367" spans="1:13" ht="96" x14ac:dyDescent="0.25">
      <c r="A367" s="7" t="s">
        <v>6331</v>
      </c>
      <c r="B367" s="2" t="s">
        <v>1909</v>
      </c>
      <c r="C367" s="4">
        <v>1</v>
      </c>
      <c r="D367" s="5">
        <v>5.57</v>
      </c>
      <c r="E367" s="5">
        <v>16.989999999999998</v>
      </c>
      <c r="F367" s="4" t="s">
        <v>1910</v>
      </c>
      <c r="G367" s="2" t="s">
        <v>171</v>
      </c>
      <c r="H367" s="7" t="s">
        <v>196</v>
      </c>
      <c r="I367" s="2" t="s">
        <v>515</v>
      </c>
      <c r="J367" s="2" t="s">
        <v>827</v>
      </c>
      <c r="K367" s="2" t="s">
        <v>304</v>
      </c>
      <c r="L367" s="2" t="s">
        <v>1911</v>
      </c>
      <c r="M367" s="8" t="str">
        <f>HYPERLINK("http://slimages.macys.com/is/image/MCY/11606037 ")</f>
        <v xml:space="preserve">http://slimages.macys.com/is/image/MCY/11606037 </v>
      </c>
    </row>
    <row r="368" spans="1:13" ht="60" x14ac:dyDescent="0.25">
      <c r="A368" s="7" t="s">
        <v>6954</v>
      </c>
      <c r="B368" s="2" t="s">
        <v>521</v>
      </c>
      <c r="C368" s="4">
        <v>5</v>
      </c>
      <c r="D368" s="5">
        <v>5.5</v>
      </c>
      <c r="E368" s="5">
        <v>14</v>
      </c>
      <c r="F368" s="4" t="s">
        <v>522</v>
      </c>
      <c r="G368" s="2" t="s">
        <v>41</v>
      </c>
      <c r="H368" s="7"/>
      <c r="I368" s="2" t="s">
        <v>523</v>
      </c>
      <c r="J368" s="2" t="s">
        <v>524</v>
      </c>
      <c r="K368" s="2" t="s">
        <v>304</v>
      </c>
      <c r="L368" s="2" t="s">
        <v>224</v>
      </c>
      <c r="M368" s="8" t="str">
        <f>HYPERLINK("http://slimages.macys.com/is/image/MCY/11797079 ")</f>
        <v xml:space="preserve">http://slimages.macys.com/is/image/MCY/11797079 </v>
      </c>
    </row>
    <row r="369" spans="1:13" ht="60" x14ac:dyDescent="0.25">
      <c r="A369" s="7" t="s">
        <v>6333</v>
      </c>
      <c r="B369" s="2" t="s">
        <v>521</v>
      </c>
      <c r="C369" s="4">
        <v>1</v>
      </c>
      <c r="D369" s="5">
        <v>5.5</v>
      </c>
      <c r="E369" s="5">
        <v>14</v>
      </c>
      <c r="F369" s="4" t="s">
        <v>522</v>
      </c>
      <c r="G369" s="2" t="s">
        <v>62</v>
      </c>
      <c r="H369" s="7"/>
      <c r="I369" s="2" t="s">
        <v>523</v>
      </c>
      <c r="J369" s="2" t="s">
        <v>524</v>
      </c>
      <c r="K369" s="2" t="s">
        <v>304</v>
      </c>
      <c r="L369" s="2" t="s">
        <v>224</v>
      </c>
      <c r="M369" s="8" t="str">
        <f>HYPERLINK("http://slimages.macys.com/is/image/MCY/11797079 ")</f>
        <v xml:space="preserve">http://slimages.macys.com/is/image/MCY/11797079 </v>
      </c>
    </row>
    <row r="370" spans="1:13" ht="60" x14ac:dyDescent="0.25">
      <c r="A370" s="7" t="s">
        <v>1912</v>
      </c>
      <c r="B370" s="2" t="s">
        <v>1074</v>
      </c>
      <c r="C370" s="4">
        <v>1</v>
      </c>
      <c r="D370" s="5">
        <v>5.5</v>
      </c>
      <c r="E370" s="5">
        <v>12.99</v>
      </c>
      <c r="F370" s="4" t="s">
        <v>1075</v>
      </c>
      <c r="G370" s="2"/>
      <c r="H370" s="7" t="s">
        <v>42</v>
      </c>
      <c r="I370" s="2" t="s">
        <v>92</v>
      </c>
      <c r="J370" s="2" t="s">
        <v>1076</v>
      </c>
      <c r="K370" s="2" t="s">
        <v>304</v>
      </c>
      <c r="L370" s="2" t="s">
        <v>100</v>
      </c>
      <c r="M370" s="8" t="str">
        <f>HYPERLINK("http://slimages.macys.com/is/image/MCY/15654522 ")</f>
        <v xml:space="preserve">http://slimages.macys.com/is/image/MCY/15654522 </v>
      </c>
    </row>
    <row r="371" spans="1:13" ht="168" x14ac:dyDescent="0.25">
      <c r="A371" s="7" t="s">
        <v>10155</v>
      </c>
      <c r="B371" s="2" t="s">
        <v>5017</v>
      </c>
      <c r="C371" s="4">
        <v>2</v>
      </c>
      <c r="D371" s="5">
        <v>5.5</v>
      </c>
      <c r="E371" s="5">
        <v>12.99</v>
      </c>
      <c r="F371" s="4" t="s">
        <v>5018</v>
      </c>
      <c r="G371" s="2" t="s">
        <v>129</v>
      </c>
      <c r="H371" s="7" t="s">
        <v>42</v>
      </c>
      <c r="I371" s="2" t="s">
        <v>92</v>
      </c>
      <c r="J371" s="2" t="s">
        <v>1076</v>
      </c>
      <c r="K371" s="2" t="s">
        <v>304</v>
      </c>
      <c r="L371" s="2" t="s">
        <v>5019</v>
      </c>
      <c r="M371" s="8" t="str">
        <f>HYPERLINK("http://slimages.macys.com/is/image/MCY/15654556 ")</f>
        <v xml:space="preserve">http://slimages.macys.com/is/image/MCY/15654556 </v>
      </c>
    </row>
    <row r="372" spans="1:13" ht="192" x14ac:dyDescent="0.25">
      <c r="A372" s="7" t="s">
        <v>4166</v>
      </c>
      <c r="B372" s="2" t="s">
        <v>4167</v>
      </c>
      <c r="C372" s="4">
        <v>1</v>
      </c>
      <c r="D372" s="5">
        <v>5.5</v>
      </c>
      <c r="E372" s="5">
        <v>12.99</v>
      </c>
      <c r="F372" s="4" t="s">
        <v>4168</v>
      </c>
      <c r="G372" s="2" t="s">
        <v>28</v>
      </c>
      <c r="H372" s="7" t="s">
        <v>91</v>
      </c>
      <c r="I372" s="2" t="s">
        <v>92</v>
      </c>
      <c r="J372" s="2" t="s">
        <v>1076</v>
      </c>
      <c r="K372" s="2" t="s">
        <v>304</v>
      </c>
      <c r="L372" s="2" t="s">
        <v>2647</v>
      </c>
      <c r="M372" s="8" t="str">
        <f>HYPERLINK("http://slimages.macys.com/is/image/MCY/15654443 ")</f>
        <v xml:space="preserve">http://slimages.macys.com/is/image/MCY/15654443 </v>
      </c>
    </row>
    <row r="373" spans="1:13" ht="60" x14ac:dyDescent="0.25">
      <c r="A373" s="7" t="s">
        <v>1077</v>
      </c>
      <c r="B373" s="2" t="s">
        <v>1078</v>
      </c>
      <c r="C373" s="4">
        <v>1</v>
      </c>
      <c r="D373" s="5">
        <v>5.5</v>
      </c>
      <c r="E373" s="5">
        <v>12.99</v>
      </c>
      <c r="F373" s="4">
        <v>6133</v>
      </c>
      <c r="G373" s="2" t="s">
        <v>28</v>
      </c>
      <c r="H373" s="7" t="s">
        <v>196</v>
      </c>
      <c r="I373" s="2" t="s">
        <v>523</v>
      </c>
      <c r="J373" s="2" t="s">
        <v>969</v>
      </c>
      <c r="K373" s="2" t="s">
        <v>304</v>
      </c>
      <c r="L373" s="2" t="s">
        <v>1036</v>
      </c>
      <c r="M373" s="8" t="str">
        <f>HYPERLINK("http://slimages.macys.com/is/image/MCY/13403932 ")</f>
        <v xml:space="preserve">http://slimages.macys.com/is/image/MCY/13403932 </v>
      </c>
    </row>
    <row r="374" spans="1:13" ht="60" x14ac:dyDescent="0.25">
      <c r="A374" s="7" t="s">
        <v>5033</v>
      </c>
      <c r="B374" s="2" t="s">
        <v>521</v>
      </c>
      <c r="C374" s="4">
        <v>4</v>
      </c>
      <c r="D374" s="5">
        <v>5.5</v>
      </c>
      <c r="E374" s="5">
        <v>14</v>
      </c>
      <c r="F374" s="4" t="s">
        <v>522</v>
      </c>
      <c r="G374" s="2" t="s">
        <v>41</v>
      </c>
      <c r="H374" s="7"/>
      <c r="I374" s="2" t="s">
        <v>523</v>
      </c>
      <c r="J374" s="2" t="s">
        <v>524</v>
      </c>
      <c r="K374" s="2" t="s">
        <v>304</v>
      </c>
      <c r="L374" s="2" t="s">
        <v>224</v>
      </c>
      <c r="M374" s="8" t="str">
        <f>HYPERLINK("http://slimages.macys.com/is/image/MCY/11797079 ")</f>
        <v xml:space="preserve">http://slimages.macys.com/is/image/MCY/11797079 </v>
      </c>
    </row>
    <row r="375" spans="1:13" ht="168" x14ac:dyDescent="0.25">
      <c r="A375" s="7" t="s">
        <v>10156</v>
      </c>
      <c r="B375" s="2" t="s">
        <v>5017</v>
      </c>
      <c r="C375" s="4">
        <v>1</v>
      </c>
      <c r="D375" s="5">
        <v>5.5</v>
      </c>
      <c r="E375" s="5">
        <v>12.99</v>
      </c>
      <c r="F375" s="4" t="s">
        <v>5018</v>
      </c>
      <c r="G375" s="2" t="s">
        <v>129</v>
      </c>
      <c r="H375" s="7" t="s">
        <v>91</v>
      </c>
      <c r="I375" s="2" t="s">
        <v>92</v>
      </c>
      <c r="J375" s="2" t="s">
        <v>1076</v>
      </c>
      <c r="K375" s="2" t="s">
        <v>304</v>
      </c>
      <c r="L375" s="2" t="s">
        <v>5019</v>
      </c>
      <c r="M375" s="8" t="str">
        <f>HYPERLINK("http://slimages.macys.com/is/image/MCY/15654556 ")</f>
        <v xml:space="preserve">http://slimages.macys.com/is/image/MCY/15654556 </v>
      </c>
    </row>
    <row r="376" spans="1:13" ht="60" x14ac:dyDescent="0.25">
      <c r="A376" s="7" t="s">
        <v>10157</v>
      </c>
      <c r="B376" s="2" t="s">
        <v>10158</v>
      </c>
      <c r="C376" s="4">
        <v>1</v>
      </c>
      <c r="D376" s="5">
        <v>5.5</v>
      </c>
      <c r="E376" s="5">
        <v>14.99</v>
      </c>
      <c r="F376" s="4" t="s">
        <v>10159</v>
      </c>
      <c r="G376" s="2" t="s">
        <v>253</v>
      </c>
      <c r="H376" s="7" t="s">
        <v>159</v>
      </c>
      <c r="I376" s="2" t="s">
        <v>173</v>
      </c>
      <c r="J376" s="2" t="s">
        <v>174</v>
      </c>
      <c r="K376" s="2" t="s">
        <v>304</v>
      </c>
      <c r="L376" s="2" t="s">
        <v>119</v>
      </c>
      <c r="M376" s="8" t="str">
        <f>HYPERLINK("http://slimages.macys.com/is/image/MCY/10479965 ")</f>
        <v xml:space="preserve">http://slimages.macys.com/is/image/MCY/10479965 </v>
      </c>
    </row>
    <row r="377" spans="1:13" ht="60" x14ac:dyDescent="0.25">
      <c r="A377" s="7" t="s">
        <v>1073</v>
      </c>
      <c r="B377" s="2" t="s">
        <v>1074</v>
      </c>
      <c r="C377" s="4">
        <v>1</v>
      </c>
      <c r="D377" s="5">
        <v>5.5</v>
      </c>
      <c r="E377" s="5">
        <v>12.99</v>
      </c>
      <c r="F377" s="4" t="s">
        <v>1075</v>
      </c>
      <c r="G377" s="2"/>
      <c r="H377" s="7" t="s">
        <v>442</v>
      </c>
      <c r="I377" s="2" t="s">
        <v>92</v>
      </c>
      <c r="J377" s="2" t="s">
        <v>1076</v>
      </c>
      <c r="K377" s="2" t="s">
        <v>304</v>
      </c>
      <c r="L377" s="2" t="s">
        <v>100</v>
      </c>
      <c r="M377" s="8" t="str">
        <f>HYPERLINK("http://slimages.macys.com/is/image/MCY/15654522 ")</f>
        <v xml:space="preserve">http://slimages.macys.com/is/image/MCY/15654522 </v>
      </c>
    </row>
    <row r="378" spans="1:13" ht="60" x14ac:dyDescent="0.25">
      <c r="A378" s="7" t="s">
        <v>3412</v>
      </c>
      <c r="B378" s="2" t="s">
        <v>521</v>
      </c>
      <c r="C378" s="4">
        <v>8</v>
      </c>
      <c r="D378" s="5">
        <v>5.5</v>
      </c>
      <c r="E378" s="5">
        <v>14</v>
      </c>
      <c r="F378" s="4" t="s">
        <v>522</v>
      </c>
      <c r="G378" s="2" t="s">
        <v>41</v>
      </c>
      <c r="H378" s="7"/>
      <c r="I378" s="2" t="s">
        <v>523</v>
      </c>
      <c r="J378" s="2" t="s">
        <v>524</v>
      </c>
      <c r="K378" s="2" t="s">
        <v>304</v>
      </c>
      <c r="L378" s="2" t="s">
        <v>224</v>
      </c>
      <c r="M378" s="8" t="str">
        <f>HYPERLINK("http://slimages.macys.com/is/image/MCY/11797079 ")</f>
        <v xml:space="preserve">http://slimages.macys.com/is/image/MCY/11797079 </v>
      </c>
    </row>
    <row r="379" spans="1:13" ht="60" x14ac:dyDescent="0.25">
      <c r="A379" s="7" t="s">
        <v>520</v>
      </c>
      <c r="B379" s="2" t="s">
        <v>521</v>
      </c>
      <c r="C379" s="4">
        <v>2</v>
      </c>
      <c r="D379" s="5">
        <v>5.5</v>
      </c>
      <c r="E379" s="5">
        <v>14</v>
      </c>
      <c r="F379" s="4" t="s">
        <v>522</v>
      </c>
      <c r="G379" s="2" t="s">
        <v>62</v>
      </c>
      <c r="H379" s="7"/>
      <c r="I379" s="2" t="s">
        <v>523</v>
      </c>
      <c r="J379" s="2" t="s">
        <v>524</v>
      </c>
      <c r="K379" s="2" t="s">
        <v>304</v>
      </c>
      <c r="L379" s="2" t="s">
        <v>224</v>
      </c>
      <c r="M379" s="8" t="str">
        <f>HYPERLINK("http://slimages.macys.com/is/image/MCY/11797079 ")</f>
        <v xml:space="preserve">http://slimages.macys.com/is/image/MCY/11797079 </v>
      </c>
    </row>
    <row r="380" spans="1:13" ht="60" x14ac:dyDescent="0.25">
      <c r="A380" s="7" t="s">
        <v>10160</v>
      </c>
      <c r="B380" s="2" t="s">
        <v>1078</v>
      </c>
      <c r="C380" s="4">
        <v>1</v>
      </c>
      <c r="D380" s="5">
        <v>5.5</v>
      </c>
      <c r="E380" s="5">
        <v>12.99</v>
      </c>
      <c r="F380" s="4">
        <v>6133</v>
      </c>
      <c r="G380" s="2" t="s">
        <v>28</v>
      </c>
      <c r="H380" s="7" t="s">
        <v>159</v>
      </c>
      <c r="I380" s="2" t="s">
        <v>523</v>
      </c>
      <c r="J380" s="2" t="s">
        <v>969</v>
      </c>
      <c r="K380" s="2" t="s">
        <v>304</v>
      </c>
      <c r="L380" s="2" t="s">
        <v>1036</v>
      </c>
      <c r="M380" s="8" t="str">
        <f>HYPERLINK("http://slimages.macys.com/is/image/MCY/13403932 ")</f>
        <v xml:space="preserve">http://slimages.macys.com/is/image/MCY/13403932 </v>
      </c>
    </row>
    <row r="381" spans="1:13" ht="108" x14ac:dyDescent="0.25">
      <c r="A381" s="7" t="s">
        <v>10161</v>
      </c>
      <c r="B381" s="2" t="s">
        <v>9027</v>
      </c>
      <c r="C381" s="4">
        <v>1</v>
      </c>
      <c r="D381" s="5">
        <v>5.46</v>
      </c>
      <c r="E381" s="5">
        <v>12.99</v>
      </c>
      <c r="F381" s="4" t="s">
        <v>9028</v>
      </c>
      <c r="G381" s="2" t="s">
        <v>48</v>
      </c>
      <c r="H381" s="7" t="s">
        <v>311</v>
      </c>
      <c r="I381" s="2" t="s">
        <v>515</v>
      </c>
      <c r="J381" s="2" t="s">
        <v>516</v>
      </c>
      <c r="K381" s="2" t="s">
        <v>304</v>
      </c>
      <c r="L381" s="2" t="s">
        <v>9029</v>
      </c>
      <c r="M381" s="8" t="str">
        <f>HYPERLINK("http://slimages.macys.com/is/image/MCY/12236308 ")</f>
        <v xml:space="preserve">http://slimages.macys.com/is/image/MCY/12236308 </v>
      </c>
    </row>
    <row r="382" spans="1:13" ht="60" x14ac:dyDescent="0.25">
      <c r="A382" s="7" t="s">
        <v>10162</v>
      </c>
      <c r="B382" s="2" t="s">
        <v>9618</v>
      </c>
      <c r="C382" s="4">
        <v>2</v>
      </c>
      <c r="D382" s="5">
        <v>5.46</v>
      </c>
      <c r="E382" s="5">
        <v>12.99</v>
      </c>
      <c r="F382" s="4" t="s">
        <v>9619</v>
      </c>
      <c r="G382" s="2" t="s">
        <v>62</v>
      </c>
      <c r="H382" s="7" t="s">
        <v>514</v>
      </c>
      <c r="I382" s="2" t="s">
        <v>515</v>
      </c>
      <c r="J382" s="2" t="s">
        <v>516</v>
      </c>
      <c r="K382" s="2" t="s">
        <v>304</v>
      </c>
      <c r="L382" s="2" t="s">
        <v>100</v>
      </c>
      <c r="M382" s="8" t="str">
        <f>HYPERLINK("http://slimages.macys.com/is/image/MCY/11947399 ")</f>
        <v xml:space="preserve">http://slimages.macys.com/is/image/MCY/11947399 </v>
      </c>
    </row>
    <row r="383" spans="1:13" ht="84" x14ac:dyDescent="0.25">
      <c r="A383" s="7" t="s">
        <v>9037</v>
      </c>
      <c r="B383" s="2" t="s">
        <v>1924</v>
      </c>
      <c r="C383" s="4">
        <v>1</v>
      </c>
      <c r="D383" s="5">
        <v>5.41</v>
      </c>
      <c r="E383" s="5">
        <v>16.989999999999998</v>
      </c>
      <c r="F383" s="4" t="s">
        <v>1925</v>
      </c>
      <c r="G383" s="2" t="s">
        <v>86</v>
      </c>
      <c r="H383" s="7" t="s">
        <v>196</v>
      </c>
      <c r="I383" s="2" t="s">
        <v>515</v>
      </c>
      <c r="J383" s="2" t="s">
        <v>827</v>
      </c>
      <c r="K383" s="2" t="s">
        <v>304</v>
      </c>
      <c r="L383" s="2" t="s">
        <v>1117</v>
      </c>
      <c r="M383" s="8" t="str">
        <f>HYPERLINK("http://slimages.macys.com/is/image/MCY/11605918 ")</f>
        <v xml:space="preserve">http://slimages.macys.com/is/image/MCY/11605918 </v>
      </c>
    </row>
    <row r="384" spans="1:13" ht="84" x14ac:dyDescent="0.25">
      <c r="A384" s="7" t="s">
        <v>10163</v>
      </c>
      <c r="B384" s="2" t="s">
        <v>1924</v>
      </c>
      <c r="C384" s="4">
        <v>3</v>
      </c>
      <c r="D384" s="5">
        <v>5.41</v>
      </c>
      <c r="E384" s="5">
        <v>16.989999999999998</v>
      </c>
      <c r="F384" s="4" t="s">
        <v>1925</v>
      </c>
      <c r="G384" s="2" t="s">
        <v>86</v>
      </c>
      <c r="H384" s="7" t="s">
        <v>228</v>
      </c>
      <c r="I384" s="2" t="s">
        <v>515</v>
      </c>
      <c r="J384" s="2" t="s">
        <v>827</v>
      </c>
      <c r="K384" s="2" t="s">
        <v>304</v>
      </c>
      <c r="L384" s="2" t="s">
        <v>1117</v>
      </c>
      <c r="M384" s="8" t="str">
        <f>HYPERLINK("http://slimages.macys.com/is/image/MCY/11605918 ")</f>
        <v xml:space="preserve">http://slimages.macys.com/is/image/MCY/11605918 </v>
      </c>
    </row>
    <row r="385" spans="1:13" ht="84" x14ac:dyDescent="0.25">
      <c r="A385" s="7" t="s">
        <v>3413</v>
      </c>
      <c r="B385" s="2" t="s">
        <v>1924</v>
      </c>
      <c r="C385" s="4">
        <v>1</v>
      </c>
      <c r="D385" s="5">
        <v>5.41</v>
      </c>
      <c r="E385" s="5">
        <v>16.989999999999998</v>
      </c>
      <c r="F385" s="4" t="s">
        <v>1925</v>
      </c>
      <c r="G385" s="2" t="s">
        <v>86</v>
      </c>
      <c r="H385" s="7" t="s">
        <v>284</v>
      </c>
      <c r="I385" s="2" t="s">
        <v>515</v>
      </c>
      <c r="J385" s="2" t="s">
        <v>827</v>
      </c>
      <c r="K385" s="2" t="s">
        <v>304</v>
      </c>
      <c r="L385" s="2" t="s">
        <v>1117</v>
      </c>
      <c r="M385" s="8" t="str">
        <f>HYPERLINK("http://slimages.macys.com/is/image/MCY/11605918 ")</f>
        <v xml:space="preserve">http://slimages.macys.com/is/image/MCY/11605918 </v>
      </c>
    </row>
    <row r="386" spans="1:13" ht="84" x14ac:dyDescent="0.25">
      <c r="A386" s="7" t="s">
        <v>1923</v>
      </c>
      <c r="B386" s="2" t="s">
        <v>1924</v>
      </c>
      <c r="C386" s="4">
        <v>7</v>
      </c>
      <c r="D386" s="5">
        <v>5.41</v>
      </c>
      <c r="E386" s="5">
        <v>16.989999999999998</v>
      </c>
      <c r="F386" s="4" t="s">
        <v>1925</v>
      </c>
      <c r="G386" s="2" t="s">
        <v>86</v>
      </c>
      <c r="H386" s="7" t="s">
        <v>159</v>
      </c>
      <c r="I386" s="2" t="s">
        <v>515</v>
      </c>
      <c r="J386" s="2" t="s">
        <v>827</v>
      </c>
      <c r="K386" s="2" t="s">
        <v>304</v>
      </c>
      <c r="L386" s="2" t="s">
        <v>1117</v>
      </c>
      <c r="M386" s="8" t="str">
        <f>HYPERLINK("http://slimages.macys.com/is/image/MCY/11605918 ")</f>
        <v xml:space="preserve">http://slimages.macys.com/is/image/MCY/11605918 </v>
      </c>
    </row>
    <row r="387" spans="1:13" ht="72" x14ac:dyDescent="0.25">
      <c r="A387" s="7" t="s">
        <v>1934</v>
      </c>
      <c r="B387" s="2" t="s">
        <v>1932</v>
      </c>
      <c r="C387" s="4">
        <v>3</v>
      </c>
      <c r="D387" s="5">
        <v>5.4</v>
      </c>
      <c r="E387" s="5">
        <v>12.99</v>
      </c>
      <c r="F387" s="4" t="s">
        <v>1933</v>
      </c>
      <c r="G387" s="2" t="s">
        <v>129</v>
      </c>
      <c r="H387" s="7" t="s">
        <v>91</v>
      </c>
      <c r="I387" s="2" t="s">
        <v>92</v>
      </c>
      <c r="J387" s="2" t="s">
        <v>1076</v>
      </c>
      <c r="K387" s="2" t="s">
        <v>304</v>
      </c>
      <c r="L387" s="2" t="s">
        <v>1929</v>
      </c>
      <c r="M387" s="8" t="str">
        <f>HYPERLINK("http://slimages.macys.com/is/image/MCY/15654548 ")</f>
        <v xml:space="preserve">http://slimages.macys.com/is/image/MCY/15654548 </v>
      </c>
    </row>
    <row r="388" spans="1:13" ht="72" x14ac:dyDescent="0.25">
      <c r="A388" s="7" t="s">
        <v>1935</v>
      </c>
      <c r="B388" s="2" t="s">
        <v>1927</v>
      </c>
      <c r="C388" s="4">
        <v>1</v>
      </c>
      <c r="D388" s="5">
        <v>5.4</v>
      </c>
      <c r="E388" s="5">
        <v>12.99</v>
      </c>
      <c r="F388" s="4" t="s">
        <v>1928</v>
      </c>
      <c r="G388" s="2"/>
      <c r="H388" s="7" t="s">
        <v>42</v>
      </c>
      <c r="I388" s="2" t="s">
        <v>92</v>
      </c>
      <c r="J388" s="2" t="s">
        <v>1076</v>
      </c>
      <c r="K388" s="2" t="s">
        <v>304</v>
      </c>
      <c r="L388" s="2" t="s">
        <v>1929</v>
      </c>
      <c r="M388" s="8" t="str">
        <f>HYPERLINK("http://slimages.macys.com/is/image/MCY/15654525 ")</f>
        <v xml:space="preserve">http://slimages.macys.com/is/image/MCY/15654525 </v>
      </c>
    </row>
    <row r="389" spans="1:13" ht="72" x14ac:dyDescent="0.25">
      <c r="A389" s="7" t="s">
        <v>1931</v>
      </c>
      <c r="B389" s="2" t="s">
        <v>1932</v>
      </c>
      <c r="C389" s="4">
        <v>1</v>
      </c>
      <c r="D389" s="5">
        <v>5.4</v>
      </c>
      <c r="E389" s="5">
        <v>12.99</v>
      </c>
      <c r="F389" s="4" t="s">
        <v>1933</v>
      </c>
      <c r="G389" s="2" t="s">
        <v>129</v>
      </c>
      <c r="H389" s="7" t="s">
        <v>442</v>
      </c>
      <c r="I389" s="2" t="s">
        <v>92</v>
      </c>
      <c r="J389" s="2" t="s">
        <v>1076</v>
      </c>
      <c r="K389" s="2" t="s">
        <v>304</v>
      </c>
      <c r="L389" s="2" t="s">
        <v>1929</v>
      </c>
      <c r="M389" s="8" t="str">
        <f>HYPERLINK("http://slimages.macys.com/is/image/MCY/15654548 ")</f>
        <v xml:space="preserve">http://slimages.macys.com/is/image/MCY/15654548 </v>
      </c>
    </row>
    <row r="390" spans="1:13" ht="72" x14ac:dyDescent="0.25">
      <c r="A390" s="7" t="s">
        <v>1930</v>
      </c>
      <c r="B390" s="2" t="s">
        <v>1927</v>
      </c>
      <c r="C390" s="4">
        <v>2</v>
      </c>
      <c r="D390" s="5">
        <v>5.4</v>
      </c>
      <c r="E390" s="5">
        <v>12.99</v>
      </c>
      <c r="F390" s="4" t="s">
        <v>1928</v>
      </c>
      <c r="G390" s="2"/>
      <c r="H390" s="7" t="s">
        <v>91</v>
      </c>
      <c r="I390" s="2" t="s">
        <v>92</v>
      </c>
      <c r="J390" s="2" t="s">
        <v>1076</v>
      </c>
      <c r="K390" s="2" t="s">
        <v>304</v>
      </c>
      <c r="L390" s="2" t="s">
        <v>1929</v>
      </c>
      <c r="M390" s="8" t="str">
        <f>HYPERLINK("http://slimages.macys.com/is/image/MCY/15654525 ")</f>
        <v xml:space="preserve">http://slimages.macys.com/is/image/MCY/15654525 </v>
      </c>
    </row>
    <row r="391" spans="1:13" ht="72" x14ac:dyDescent="0.25">
      <c r="A391" s="7" t="s">
        <v>1926</v>
      </c>
      <c r="B391" s="2" t="s">
        <v>1927</v>
      </c>
      <c r="C391" s="4">
        <v>2</v>
      </c>
      <c r="D391" s="5">
        <v>5.4</v>
      </c>
      <c r="E391" s="5">
        <v>12.99</v>
      </c>
      <c r="F391" s="4" t="s">
        <v>1928</v>
      </c>
      <c r="G391" s="2"/>
      <c r="H391" s="7" t="s">
        <v>442</v>
      </c>
      <c r="I391" s="2" t="s">
        <v>92</v>
      </c>
      <c r="J391" s="2" t="s">
        <v>1076</v>
      </c>
      <c r="K391" s="2" t="s">
        <v>304</v>
      </c>
      <c r="L391" s="2" t="s">
        <v>1929</v>
      </c>
      <c r="M391" s="8" t="str">
        <f>HYPERLINK("http://slimages.macys.com/is/image/MCY/15654525 ")</f>
        <v xml:space="preserve">http://slimages.macys.com/is/image/MCY/15654525 </v>
      </c>
    </row>
    <row r="392" spans="1:13" ht="72" x14ac:dyDescent="0.25">
      <c r="A392" s="7" t="s">
        <v>1936</v>
      </c>
      <c r="B392" s="2" t="s">
        <v>1932</v>
      </c>
      <c r="C392" s="4">
        <v>1</v>
      </c>
      <c r="D392" s="5">
        <v>5.4</v>
      </c>
      <c r="E392" s="5">
        <v>12.99</v>
      </c>
      <c r="F392" s="4" t="s">
        <v>1933</v>
      </c>
      <c r="G392" s="2" t="s">
        <v>129</v>
      </c>
      <c r="H392" s="7" t="s">
        <v>42</v>
      </c>
      <c r="I392" s="2" t="s">
        <v>92</v>
      </c>
      <c r="J392" s="2" t="s">
        <v>1076</v>
      </c>
      <c r="K392" s="2" t="s">
        <v>304</v>
      </c>
      <c r="L392" s="2" t="s">
        <v>1929</v>
      </c>
      <c r="M392" s="8" t="str">
        <f>HYPERLINK("http://slimages.macys.com/is/image/MCY/15654548 ")</f>
        <v xml:space="preserve">http://slimages.macys.com/is/image/MCY/15654548 </v>
      </c>
    </row>
    <row r="393" spans="1:13" ht="96" x14ac:dyDescent="0.25">
      <c r="A393" s="7" t="s">
        <v>1952</v>
      </c>
      <c r="B393" s="2" t="s">
        <v>1950</v>
      </c>
      <c r="C393" s="4">
        <v>1</v>
      </c>
      <c r="D393" s="5">
        <v>5.25</v>
      </c>
      <c r="E393" s="5">
        <v>14.99</v>
      </c>
      <c r="F393" s="4" t="s">
        <v>1951</v>
      </c>
      <c r="G393" s="2" t="s">
        <v>129</v>
      </c>
      <c r="H393" s="7" t="s">
        <v>91</v>
      </c>
      <c r="I393" s="2" t="s">
        <v>92</v>
      </c>
      <c r="J393" s="2" t="s">
        <v>1076</v>
      </c>
      <c r="K393" s="2" t="s">
        <v>304</v>
      </c>
      <c r="L393" s="2" t="s">
        <v>1948</v>
      </c>
      <c r="M393" s="8" t="str">
        <f>HYPERLINK("http://slimages.macys.com/is/image/MCY/15654553 ")</f>
        <v xml:space="preserve">http://slimages.macys.com/is/image/MCY/15654553 </v>
      </c>
    </row>
    <row r="394" spans="1:13" ht="96" x14ac:dyDescent="0.25">
      <c r="A394" s="7" t="s">
        <v>10164</v>
      </c>
      <c r="B394" s="2" t="s">
        <v>1946</v>
      </c>
      <c r="C394" s="4">
        <v>1</v>
      </c>
      <c r="D394" s="5">
        <v>5.25</v>
      </c>
      <c r="E394" s="5">
        <v>14.99</v>
      </c>
      <c r="F394" s="4" t="s">
        <v>1947</v>
      </c>
      <c r="G394" s="2"/>
      <c r="H394" s="7" t="s">
        <v>91</v>
      </c>
      <c r="I394" s="2" t="s">
        <v>92</v>
      </c>
      <c r="J394" s="2" t="s">
        <v>1076</v>
      </c>
      <c r="K394" s="2" t="s">
        <v>304</v>
      </c>
      <c r="L394" s="2" t="s">
        <v>1948</v>
      </c>
      <c r="M394" s="8" t="str">
        <f>HYPERLINK("http://slimages.macys.com/is/image/MCY/15654526 ")</f>
        <v xml:space="preserve">http://slimages.macys.com/is/image/MCY/15654526 </v>
      </c>
    </row>
    <row r="395" spans="1:13" ht="96" x14ac:dyDescent="0.25">
      <c r="A395" s="7" t="s">
        <v>1955</v>
      </c>
      <c r="B395" s="2" t="s">
        <v>1946</v>
      </c>
      <c r="C395" s="4">
        <v>1</v>
      </c>
      <c r="D395" s="5">
        <v>5.25</v>
      </c>
      <c r="E395" s="5">
        <v>14.99</v>
      </c>
      <c r="F395" s="4" t="s">
        <v>1947</v>
      </c>
      <c r="G395" s="2"/>
      <c r="H395" s="7" t="s">
        <v>442</v>
      </c>
      <c r="I395" s="2" t="s">
        <v>92</v>
      </c>
      <c r="J395" s="2" t="s">
        <v>1076</v>
      </c>
      <c r="K395" s="2" t="s">
        <v>304</v>
      </c>
      <c r="L395" s="2" t="s">
        <v>1948</v>
      </c>
      <c r="M395" s="8" t="str">
        <f>HYPERLINK("http://slimages.macys.com/is/image/MCY/15654526 ")</f>
        <v xml:space="preserve">http://slimages.macys.com/is/image/MCY/15654526 </v>
      </c>
    </row>
    <row r="396" spans="1:13" ht="96" x14ac:dyDescent="0.25">
      <c r="A396" s="7" t="s">
        <v>1954</v>
      </c>
      <c r="B396" s="2" t="s">
        <v>1946</v>
      </c>
      <c r="C396" s="4">
        <v>1</v>
      </c>
      <c r="D396" s="5">
        <v>5.25</v>
      </c>
      <c r="E396" s="5">
        <v>14.99</v>
      </c>
      <c r="F396" s="4" t="s">
        <v>1947</v>
      </c>
      <c r="G396" s="2"/>
      <c r="H396" s="7" t="s">
        <v>42</v>
      </c>
      <c r="I396" s="2" t="s">
        <v>92</v>
      </c>
      <c r="J396" s="2" t="s">
        <v>1076</v>
      </c>
      <c r="K396" s="2" t="s">
        <v>304</v>
      </c>
      <c r="L396" s="2" t="s">
        <v>1948</v>
      </c>
      <c r="M396" s="8" t="str">
        <f>HYPERLINK("http://slimages.macys.com/is/image/MCY/15654526 ")</f>
        <v xml:space="preserve">http://slimages.macys.com/is/image/MCY/15654526 </v>
      </c>
    </row>
    <row r="397" spans="1:13" ht="60" x14ac:dyDescent="0.25">
      <c r="A397" s="7" t="s">
        <v>8318</v>
      </c>
      <c r="B397" s="2" t="s">
        <v>6970</v>
      </c>
      <c r="C397" s="4">
        <v>1</v>
      </c>
      <c r="D397" s="5">
        <v>5.25</v>
      </c>
      <c r="E397" s="5">
        <v>12.77</v>
      </c>
      <c r="F397" s="4">
        <v>17880810</v>
      </c>
      <c r="G397" s="2"/>
      <c r="H397" s="7" t="s">
        <v>42</v>
      </c>
      <c r="I397" s="2" t="s">
        <v>153</v>
      </c>
      <c r="J397" s="2" t="s">
        <v>3580</v>
      </c>
      <c r="K397" s="2" t="s">
        <v>304</v>
      </c>
      <c r="L397" s="2" t="s">
        <v>125</v>
      </c>
      <c r="M397" s="8" t="str">
        <f>HYPERLINK("http://slimages.macys.com/is/image/MCY/13728577 ")</f>
        <v xml:space="preserve">http://slimages.macys.com/is/image/MCY/13728577 </v>
      </c>
    </row>
    <row r="398" spans="1:13" ht="60" x14ac:dyDescent="0.25">
      <c r="A398" s="7" t="s">
        <v>10165</v>
      </c>
      <c r="B398" s="2" t="s">
        <v>5971</v>
      </c>
      <c r="C398" s="4">
        <v>1</v>
      </c>
      <c r="D398" s="5">
        <v>5.25</v>
      </c>
      <c r="E398" s="5">
        <v>12.99</v>
      </c>
      <c r="F398" s="4" t="s">
        <v>5972</v>
      </c>
      <c r="G398" s="2" t="s">
        <v>41</v>
      </c>
      <c r="H398" s="7" t="s">
        <v>284</v>
      </c>
      <c r="I398" s="2" t="s">
        <v>218</v>
      </c>
      <c r="J398" s="2" t="s">
        <v>1740</v>
      </c>
      <c r="K398" s="2" t="s">
        <v>304</v>
      </c>
      <c r="L398" s="2" t="s">
        <v>119</v>
      </c>
      <c r="M398" s="8" t="str">
        <f>HYPERLINK("http://slimages.macys.com/is/image/MCY/12688051 ")</f>
        <v xml:space="preserve">http://slimages.macys.com/is/image/MCY/12688051 </v>
      </c>
    </row>
    <row r="399" spans="1:13" ht="60" x14ac:dyDescent="0.25">
      <c r="A399" s="7" t="s">
        <v>6982</v>
      </c>
      <c r="B399" s="2" t="s">
        <v>5038</v>
      </c>
      <c r="C399" s="4">
        <v>1</v>
      </c>
      <c r="D399" s="5">
        <v>5.19</v>
      </c>
      <c r="E399" s="5">
        <v>14.99</v>
      </c>
      <c r="F399" s="4" t="s">
        <v>5039</v>
      </c>
      <c r="G399" s="2" t="s">
        <v>785</v>
      </c>
      <c r="H399" s="7" t="s">
        <v>63</v>
      </c>
      <c r="I399" s="2" t="s">
        <v>1689</v>
      </c>
      <c r="J399" s="2" t="s">
        <v>354</v>
      </c>
      <c r="K399" s="2" t="s">
        <v>304</v>
      </c>
      <c r="L399" s="2" t="s">
        <v>119</v>
      </c>
      <c r="M399" s="8" t="str">
        <f>HYPERLINK("http://slimages.macys.com/is/image/MCY/12938570 ")</f>
        <v xml:space="preserve">http://slimages.macys.com/is/image/MCY/12938570 </v>
      </c>
    </row>
    <row r="400" spans="1:13" ht="84" x14ac:dyDescent="0.25">
      <c r="A400" s="7" t="s">
        <v>10166</v>
      </c>
      <c r="B400" s="2" t="s">
        <v>3429</v>
      </c>
      <c r="C400" s="4">
        <v>2</v>
      </c>
      <c r="D400" s="5">
        <v>5.08</v>
      </c>
      <c r="E400" s="5">
        <v>12.99</v>
      </c>
      <c r="F400" s="4" t="s">
        <v>3430</v>
      </c>
      <c r="G400" s="2" t="s">
        <v>28</v>
      </c>
      <c r="H400" s="7" t="s">
        <v>196</v>
      </c>
      <c r="I400" s="2" t="s">
        <v>515</v>
      </c>
      <c r="J400" s="2" t="s">
        <v>827</v>
      </c>
      <c r="K400" s="2" t="s">
        <v>304</v>
      </c>
      <c r="L400" s="2" t="s">
        <v>1117</v>
      </c>
      <c r="M400" s="8" t="str">
        <f>HYPERLINK("http://slimages.macys.com/is/image/MCY/11605984 ")</f>
        <v xml:space="preserve">http://slimages.macys.com/is/image/MCY/11605984 </v>
      </c>
    </row>
    <row r="401" spans="1:13" ht="84" x14ac:dyDescent="0.25">
      <c r="A401" s="7" t="s">
        <v>10167</v>
      </c>
      <c r="B401" s="2" t="s">
        <v>9049</v>
      </c>
      <c r="C401" s="4">
        <v>4</v>
      </c>
      <c r="D401" s="5">
        <v>5.08</v>
      </c>
      <c r="E401" s="5">
        <v>12.99</v>
      </c>
      <c r="F401" s="4" t="s">
        <v>9050</v>
      </c>
      <c r="G401" s="2" t="s">
        <v>527</v>
      </c>
      <c r="H401" s="7" t="s">
        <v>159</v>
      </c>
      <c r="I401" s="2" t="s">
        <v>515</v>
      </c>
      <c r="J401" s="2" t="s">
        <v>827</v>
      </c>
      <c r="K401" s="2" t="s">
        <v>304</v>
      </c>
      <c r="L401" s="2" t="s">
        <v>1117</v>
      </c>
      <c r="M401" s="8" t="str">
        <f>HYPERLINK("http://slimages.macys.com/is/image/MCY/11606025 ")</f>
        <v xml:space="preserve">http://slimages.macys.com/is/image/MCY/11606025 </v>
      </c>
    </row>
    <row r="402" spans="1:13" ht="84" x14ac:dyDescent="0.25">
      <c r="A402" s="7" t="s">
        <v>10168</v>
      </c>
      <c r="B402" s="2" t="s">
        <v>9049</v>
      </c>
      <c r="C402" s="4">
        <v>2</v>
      </c>
      <c r="D402" s="5">
        <v>5.08</v>
      </c>
      <c r="E402" s="5">
        <v>12.99</v>
      </c>
      <c r="F402" s="4" t="s">
        <v>9050</v>
      </c>
      <c r="G402" s="2" t="s">
        <v>527</v>
      </c>
      <c r="H402" s="7" t="s">
        <v>196</v>
      </c>
      <c r="I402" s="2" t="s">
        <v>515</v>
      </c>
      <c r="J402" s="2" t="s">
        <v>827</v>
      </c>
      <c r="K402" s="2" t="s">
        <v>304</v>
      </c>
      <c r="L402" s="2" t="s">
        <v>1117</v>
      </c>
      <c r="M402" s="8" t="str">
        <f>HYPERLINK("http://slimages.macys.com/is/image/MCY/11606025 ")</f>
        <v xml:space="preserve">http://slimages.macys.com/is/image/MCY/11606025 </v>
      </c>
    </row>
    <row r="403" spans="1:13" ht="84" x14ac:dyDescent="0.25">
      <c r="A403" s="7" t="s">
        <v>9048</v>
      </c>
      <c r="B403" s="2" t="s">
        <v>9049</v>
      </c>
      <c r="C403" s="4">
        <v>2</v>
      </c>
      <c r="D403" s="5">
        <v>5.08</v>
      </c>
      <c r="E403" s="5">
        <v>12.99</v>
      </c>
      <c r="F403" s="4" t="s">
        <v>9050</v>
      </c>
      <c r="G403" s="2" t="s">
        <v>527</v>
      </c>
      <c r="H403" s="7" t="s">
        <v>228</v>
      </c>
      <c r="I403" s="2" t="s">
        <v>515</v>
      </c>
      <c r="J403" s="2" t="s">
        <v>827</v>
      </c>
      <c r="K403" s="2" t="s">
        <v>304</v>
      </c>
      <c r="L403" s="2" t="s">
        <v>1117</v>
      </c>
      <c r="M403" s="8" t="str">
        <f>HYPERLINK("http://slimages.macys.com/is/image/MCY/11606025 ")</f>
        <v xml:space="preserve">http://slimages.macys.com/is/image/MCY/11606025 </v>
      </c>
    </row>
    <row r="404" spans="1:13" ht="84" x14ac:dyDescent="0.25">
      <c r="A404" s="7" t="s">
        <v>9052</v>
      </c>
      <c r="B404" s="2" t="s">
        <v>3429</v>
      </c>
      <c r="C404" s="4">
        <v>1</v>
      </c>
      <c r="D404" s="5">
        <v>5.08</v>
      </c>
      <c r="E404" s="5">
        <v>12.99</v>
      </c>
      <c r="F404" s="4" t="s">
        <v>3430</v>
      </c>
      <c r="G404" s="2" t="s">
        <v>28</v>
      </c>
      <c r="H404" s="7" t="s">
        <v>228</v>
      </c>
      <c r="I404" s="2" t="s">
        <v>515</v>
      </c>
      <c r="J404" s="2" t="s">
        <v>827</v>
      </c>
      <c r="K404" s="2" t="s">
        <v>304</v>
      </c>
      <c r="L404" s="2" t="s">
        <v>1117</v>
      </c>
      <c r="M404" s="8" t="str">
        <f>HYPERLINK("http://slimages.macys.com/is/image/MCY/11605984 ")</f>
        <v xml:space="preserve">http://slimages.macys.com/is/image/MCY/11605984 </v>
      </c>
    </row>
    <row r="405" spans="1:13" ht="84" x14ac:dyDescent="0.25">
      <c r="A405" s="7" t="s">
        <v>9051</v>
      </c>
      <c r="B405" s="2" t="s">
        <v>3429</v>
      </c>
      <c r="C405" s="4">
        <v>2</v>
      </c>
      <c r="D405" s="5">
        <v>5.08</v>
      </c>
      <c r="E405" s="5">
        <v>12.99</v>
      </c>
      <c r="F405" s="4" t="s">
        <v>3430</v>
      </c>
      <c r="G405" s="2" t="s">
        <v>28</v>
      </c>
      <c r="H405" s="7" t="s">
        <v>159</v>
      </c>
      <c r="I405" s="2" t="s">
        <v>515</v>
      </c>
      <c r="J405" s="2" t="s">
        <v>827</v>
      </c>
      <c r="K405" s="2" t="s">
        <v>304</v>
      </c>
      <c r="L405" s="2" t="s">
        <v>1117</v>
      </c>
      <c r="M405" s="8" t="str">
        <f>HYPERLINK("http://slimages.macys.com/is/image/MCY/11605984 ")</f>
        <v xml:space="preserve">http://slimages.macys.com/is/image/MCY/11605984 </v>
      </c>
    </row>
    <row r="406" spans="1:13" ht="96" x14ac:dyDescent="0.25">
      <c r="A406" s="7" t="s">
        <v>9064</v>
      </c>
      <c r="B406" s="2" t="s">
        <v>9061</v>
      </c>
      <c r="C406" s="4">
        <v>1</v>
      </c>
      <c r="D406" s="5">
        <v>5.04</v>
      </c>
      <c r="E406" s="5">
        <v>12.99</v>
      </c>
      <c r="F406" s="4" t="s">
        <v>9062</v>
      </c>
      <c r="G406" s="2" t="s">
        <v>297</v>
      </c>
      <c r="H406" s="7" t="s">
        <v>228</v>
      </c>
      <c r="I406" s="2" t="s">
        <v>515</v>
      </c>
      <c r="J406" s="2" t="s">
        <v>827</v>
      </c>
      <c r="K406" s="2" t="s">
        <v>304</v>
      </c>
      <c r="L406" s="2" t="s">
        <v>1516</v>
      </c>
      <c r="M406" s="8" t="str">
        <f>HYPERLINK("http://slimages.macys.com/is/image/MCY/12284279 ")</f>
        <v xml:space="preserve">http://slimages.macys.com/is/image/MCY/12284279 </v>
      </c>
    </row>
    <row r="407" spans="1:13" ht="60" x14ac:dyDescent="0.25">
      <c r="A407" s="7" t="s">
        <v>10169</v>
      </c>
      <c r="B407" s="2" t="s">
        <v>10170</v>
      </c>
      <c r="C407" s="4">
        <v>1</v>
      </c>
      <c r="D407" s="5">
        <v>5</v>
      </c>
      <c r="E407" s="5">
        <v>10.99</v>
      </c>
      <c r="F407" s="4" t="s">
        <v>10171</v>
      </c>
      <c r="G407" s="2" t="s">
        <v>2107</v>
      </c>
      <c r="H407" s="7" t="s">
        <v>209</v>
      </c>
      <c r="I407" s="2" t="s">
        <v>380</v>
      </c>
      <c r="J407" s="2" t="s">
        <v>258</v>
      </c>
      <c r="K407" s="2" t="s">
        <v>304</v>
      </c>
      <c r="L407" s="2" t="s">
        <v>119</v>
      </c>
      <c r="M407" s="8" t="str">
        <f>HYPERLINK("http://slimages.macys.com/is/image/MCY/12465296 ")</f>
        <v xml:space="preserve">http://slimages.macys.com/is/image/MCY/12465296 </v>
      </c>
    </row>
    <row r="408" spans="1:13" ht="60" x14ac:dyDescent="0.25">
      <c r="A408" s="7" t="s">
        <v>10172</v>
      </c>
      <c r="B408" s="2" t="s">
        <v>10173</v>
      </c>
      <c r="C408" s="4">
        <v>1</v>
      </c>
      <c r="D408" s="5">
        <v>5</v>
      </c>
      <c r="E408" s="5">
        <v>10.99</v>
      </c>
      <c r="F408" s="4" t="s">
        <v>10174</v>
      </c>
      <c r="G408" s="2" t="s">
        <v>28</v>
      </c>
      <c r="H408" s="7" t="s">
        <v>317</v>
      </c>
      <c r="I408" s="2" t="s">
        <v>380</v>
      </c>
      <c r="J408" s="2" t="s">
        <v>258</v>
      </c>
      <c r="K408" s="2" t="s">
        <v>304</v>
      </c>
      <c r="L408" s="2" t="s">
        <v>119</v>
      </c>
      <c r="M408" s="8" t="str">
        <f>HYPERLINK("http://slimages.macys.com/is/image/MCY/12736554 ")</f>
        <v xml:space="preserve">http://slimages.macys.com/is/image/MCY/12736554 </v>
      </c>
    </row>
    <row r="409" spans="1:13" ht="60" x14ac:dyDescent="0.25">
      <c r="A409" s="7" t="s">
        <v>9631</v>
      </c>
      <c r="B409" s="2" t="s">
        <v>9632</v>
      </c>
      <c r="C409" s="4">
        <v>1</v>
      </c>
      <c r="D409" s="5">
        <v>5</v>
      </c>
      <c r="E409" s="5">
        <v>10.99</v>
      </c>
      <c r="F409" s="4" t="s">
        <v>9633</v>
      </c>
      <c r="G409" s="2" t="s">
        <v>892</v>
      </c>
      <c r="H409" s="7" t="s">
        <v>144</v>
      </c>
      <c r="I409" s="2" t="s">
        <v>380</v>
      </c>
      <c r="J409" s="2" t="s">
        <v>258</v>
      </c>
      <c r="K409" s="2" t="s">
        <v>304</v>
      </c>
      <c r="L409" s="2" t="s">
        <v>119</v>
      </c>
      <c r="M409" s="8" t="str">
        <f>HYPERLINK("http://slimages.macys.com/is/image/MCY/12465300 ")</f>
        <v xml:space="preserve">http://slimages.macys.com/is/image/MCY/12465300 </v>
      </c>
    </row>
    <row r="410" spans="1:13" ht="60" x14ac:dyDescent="0.25">
      <c r="A410" s="7" t="s">
        <v>10175</v>
      </c>
      <c r="B410" s="2" t="s">
        <v>10173</v>
      </c>
      <c r="C410" s="4">
        <v>1</v>
      </c>
      <c r="D410" s="5">
        <v>5</v>
      </c>
      <c r="E410" s="5">
        <v>10.99</v>
      </c>
      <c r="F410" s="4" t="s">
        <v>10174</v>
      </c>
      <c r="G410" s="2" t="s">
        <v>28</v>
      </c>
      <c r="H410" s="7" t="s">
        <v>166</v>
      </c>
      <c r="I410" s="2" t="s">
        <v>380</v>
      </c>
      <c r="J410" s="2" t="s">
        <v>258</v>
      </c>
      <c r="K410" s="2" t="s">
        <v>304</v>
      </c>
      <c r="L410" s="2" t="s">
        <v>119</v>
      </c>
      <c r="M410" s="8" t="str">
        <f>HYPERLINK("http://slimages.macys.com/is/image/MCY/12736554 ")</f>
        <v xml:space="preserve">http://slimages.macys.com/is/image/MCY/12736554 </v>
      </c>
    </row>
    <row r="411" spans="1:13" ht="60" x14ac:dyDescent="0.25">
      <c r="A411" s="7" t="s">
        <v>10176</v>
      </c>
      <c r="B411" s="2" t="s">
        <v>10173</v>
      </c>
      <c r="C411" s="4">
        <v>2</v>
      </c>
      <c r="D411" s="5">
        <v>5</v>
      </c>
      <c r="E411" s="5">
        <v>10.99</v>
      </c>
      <c r="F411" s="4" t="s">
        <v>10177</v>
      </c>
      <c r="G411" s="2" t="s">
        <v>28</v>
      </c>
      <c r="H411" s="7" t="s">
        <v>144</v>
      </c>
      <c r="I411" s="2" t="s">
        <v>380</v>
      </c>
      <c r="J411" s="2" t="s">
        <v>258</v>
      </c>
      <c r="K411" s="2" t="s">
        <v>304</v>
      </c>
      <c r="L411" s="2" t="s">
        <v>119</v>
      </c>
      <c r="M411" s="8" t="str">
        <f>HYPERLINK("http://slimages.macys.com/is/image/MCY/11723471 ")</f>
        <v xml:space="preserve">http://slimages.macys.com/is/image/MCY/11723471 </v>
      </c>
    </row>
    <row r="412" spans="1:13" ht="60" x14ac:dyDescent="0.25">
      <c r="A412" s="7" t="s">
        <v>1973</v>
      </c>
      <c r="B412" s="2" t="s">
        <v>1969</v>
      </c>
      <c r="C412" s="4">
        <v>1</v>
      </c>
      <c r="D412" s="5">
        <v>4.9800000000000004</v>
      </c>
      <c r="E412" s="5">
        <v>12.99</v>
      </c>
      <c r="F412" s="4" t="s">
        <v>1970</v>
      </c>
      <c r="G412" s="2" t="s">
        <v>48</v>
      </c>
      <c r="H412" s="7" t="s">
        <v>196</v>
      </c>
      <c r="I412" s="2" t="s">
        <v>515</v>
      </c>
      <c r="J412" s="2" t="s">
        <v>1971</v>
      </c>
      <c r="K412" s="2" t="s">
        <v>304</v>
      </c>
      <c r="L412" s="2" t="s">
        <v>119</v>
      </c>
      <c r="M412" s="8" t="str">
        <f>HYPERLINK("http://slimages.macys.com/is/image/MCY/13586213 ")</f>
        <v xml:space="preserve">http://slimages.macys.com/is/image/MCY/13586213 </v>
      </c>
    </row>
    <row r="413" spans="1:13" ht="60" x14ac:dyDescent="0.25">
      <c r="A413" s="7" t="s">
        <v>5976</v>
      </c>
      <c r="B413" s="2" t="s">
        <v>1969</v>
      </c>
      <c r="C413" s="4">
        <v>1</v>
      </c>
      <c r="D413" s="5">
        <v>4.9800000000000004</v>
      </c>
      <c r="E413" s="5">
        <v>12.99</v>
      </c>
      <c r="F413" s="4" t="s">
        <v>1970</v>
      </c>
      <c r="G413" s="2" t="s">
        <v>41</v>
      </c>
      <c r="H413" s="7" t="s">
        <v>159</v>
      </c>
      <c r="I413" s="2" t="s">
        <v>515</v>
      </c>
      <c r="J413" s="2" t="s">
        <v>1971</v>
      </c>
      <c r="K413" s="2" t="s">
        <v>304</v>
      </c>
      <c r="L413" s="2" t="s">
        <v>119</v>
      </c>
      <c r="M413" s="8" t="str">
        <f>HYPERLINK("http://slimages.macys.com/is/image/MCY/12688527 ")</f>
        <v xml:space="preserve">http://slimages.macys.com/is/image/MCY/12688527 </v>
      </c>
    </row>
    <row r="414" spans="1:13" ht="60" x14ac:dyDescent="0.25">
      <c r="A414" s="7" t="s">
        <v>10178</v>
      </c>
      <c r="B414" s="2" t="s">
        <v>9640</v>
      </c>
      <c r="C414" s="4">
        <v>1</v>
      </c>
      <c r="D414" s="5">
        <v>4.9800000000000004</v>
      </c>
      <c r="E414" s="5">
        <v>11.99</v>
      </c>
      <c r="F414" s="4" t="s">
        <v>9641</v>
      </c>
      <c r="G414" s="2" t="s">
        <v>353</v>
      </c>
      <c r="H414" s="7" t="s">
        <v>159</v>
      </c>
      <c r="I414" s="2" t="s">
        <v>292</v>
      </c>
      <c r="J414" s="2" t="s">
        <v>293</v>
      </c>
      <c r="K414" s="2" t="s">
        <v>304</v>
      </c>
      <c r="L414" s="2" t="s">
        <v>119</v>
      </c>
      <c r="M414" s="8" t="str">
        <f>HYPERLINK("http://slimages.macys.com/is/image/MCY/11527662 ")</f>
        <v xml:space="preserve">http://slimages.macys.com/is/image/MCY/11527662 </v>
      </c>
    </row>
    <row r="415" spans="1:13" ht="60" x14ac:dyDescent="0.25">
      <c r="A415" s="7" t="s">
        <v>10179</v>
      </c>
      <c r="B415" s="2" t="s">
        <v>5510</v>
      </c>
      <c r="C415" s="4">
        <v>1</v>
      </c>
      <c r="D415" s="5">
        <v>4.92</v>
      </c>
      <c r="E415" s="5">
        <v>11.99</v>
      </c>
      <c r="F415" s="4" t="s">
        <v>5511</v>
      </c>
      <c r="G415" s="2" t="s">
        <v>353</v>
      </c>
      <c r="H415" s="7" t="s">
        <v>217</v>
      </c>
      <c r="I415" s="2" t="s">
        <v>292</v>
      </c>
      <c r="J415" s="2" t="s">
        <v>293</v>
      </c>
      <c r="K415" s="2" t="s">
        <v>304</v>
      </c>
      <c r="L415" s="2" t="s">
        <v>119</v>
      </c>
      <c r="M415" s="8" t="str">
        <f>HYPERLINK("http://slimages.macys.com/is/image/MCY/13080815 ")</f>
        <v xml:space="preserve">http://slimages.macys.com/is/image/MCY/13080815 </v>
      </c>
    </row>
    <row r="416" spans="1:13" ht="84" x14ac:dyDescent="0.25">
      <c r="A416" s="7" t="s">
        <v>10180</v>
      </c>
      <c r="B416" s="2" t="s">
        <v>1979</v>
      </c>
      <c r="C416" s="4">
        <v>1</v>
      </c>
      <c r="D416" s="5">
        <v>4.92</v>
      </c>
      <c r="E416" s="5">
        <v>12.99</v>
      </c>
      <c r="F416" s="4" t="s">
        <v>1980</v>
      </c>
      <c r="G416" s="2" t="s">
        <v>62</v>
      </c>
      <c r="H416" s="7" t="s">
        <v>284</v>
      </c>
      <c r="I416" s="2" t="s">
        <v>515</v>
      </c>
      <c r="J416" s="2" t="s">
        <v>827</v>
      </c>
      <c r="K416" s="2" t="s">
        <v>304</v>
      </c>
      <c r="L416" s="2" t="s">
        <v>1117</v>
      </c>
      <c r="M416" s="8" t="str">
        <f>HYPERLINK("http://slimages.macys.com/is/image/MCY/12687243 ")</f>
        <v xml:space="preserve">http://slimages.macys.com/is/image/MCY/12687243 </v>
      </c>
    </row>
    <row r="417" spans="1:13" ht="156" x14ac:dyDescent="0.25">
      <c r="A417" s="7" t="s">
        <v>10181</v>
      </c>
      <c r="B417" s="2" t="s">
        <v>10182</v>
      </c>
      <c r="C417" s="4">
        <v>1</v>
      </c>
      <c r="D417" s="5">
        <v>4.8499999999999996</v>
      </c>
      <c r="E417" s="5">
        <v>14.99</v>
      </c>
      <c r="F417" s="4" t="s">
        <v>10183</v>
      </c>
      <c r="G417" s="2" t="s">
        <v>755</v>
      </c>
      <c r="H417" s="7" t="s">
        <v>63</v>
      </c>
      <c r="I417" s="2" t="s">
        <v>321</v>
      </c>
      <c r="J417" s="2" t="s">
        <v>3444</v>
      </c>
      <c r="K417" s="2" t="s">
        <v>304</v>
      </c>
      <c r="L417" s="2" t="s">
        <v>10184</v>
      </c>
      <c r="M417" s="8" t="str">
        <f>HYPERLINK("http://slimages.macys.com/is/image/MCY/11228340 ")</f>
        <v xml:space="preserve">http://slimages.macys.com/is/image/MCY/11228340 </v>
      </c>
    </row>
    <row r="418" spans="1:13" ht="60" x14ac:dyDescent="0.25">
      <c r="A418" s="7" t="s">
        <v>10185</v>
      </c>
      <c r="B418" s="2" t="s">
        <v>4194</v>
      </c>
      <c r="C418" s="4">
        <v>1</v>
      </c>
      <c r="D418" s="5">
        <v>4.76</v>
      </c>
      <c r="E418" s="5">
        <v>12.99</v>
      </c>
      <c r="F418" s="4" t="s">
        <v>4195</v>
      </c>
      <c r="G418" s="2" t="s">
        <v>595</v>
      </c>
      <c r="H418" s="7" t="s">
        <v>578</v>
      </c>
      <c r="I418" s="2" t="s">
        <v>515</v>
      </c>
      <c r="J418" s="2" t="s">
        <v>875</v>
      </c>
      <c r="K418" s="2" t="s">
        <v>304</v>
      </c>
      <c r="L418" s="2" t="s">
        <v>4196</v>
      </c>
      <c r="M418" s="8" t="str">
        <f>HYPERLINK("http://slimages.macys.com/is/image/MCY/11606116 ")</f>
        <v xml:space="preserve">http://slimages.macys.com/is/image/MCY/11606116 </v>
      </c>
    </row>
    <row r="419" spans="1:13" ht="60" x14ac:dyDescent="0.25">
      <c r="A419" s="7" t="s">
        <v>1110</v>
      </c>
      <c r="B419" s="2" t="s">
        <v>1086</v>
      </c>
      <c r="C419" s="4">
        <v>1</v>
      </c>
      <c r="D419" s="5">
        <v>4.75</v>
      </c>
      <c r="E419" s="5">
        <v>11.99</v>
      </c>
      <c r="F419" s="4">
        <v>4217</v>
      </c>
      <c r="G419" s="2" t="s">
        <v>41</v>
      </c>
      <c r="H419" s="7" t="s">
        <v>284</v>
      </c>
      <c r="I419" s="2" t="s">
        <v>523</v>
      </c>
      <c r="J419" s="2" t="s">
        <v>921</v>
      </c>
      <c r="K419" s="2" t="s">
        <v>304</v>
      </c>
      <c r="L419" s="2" t="s">
        <v>323</v>
      </c>
      <c r="M419" s="8" t="str">
        <f>HYPERLINK("http://slimages.macys.com/is/image/MCY/13050184 ")</f>
        <v xml:space="preserve">http://slimages.macys.com/is/image/MCY/13050184 </v>
      </c>
    </row>
    <row r="420" spans="1:13" ht="60" x14ac:dyDescent="0.25">
      <c r="A420" s="7" t="s">
        <v>1990</v>
      </c>
      <c r="B420" s="2" t="s">
        <v>1991</v>
      </c>
      <c r="C420" s="4">
        <v>2</v>
      </c>
      <c r="D420" s="5">
        <v>4.75</v>
      </c>
      <c r="E420" s="5">
        <v>8.99</v>
      </c>
      <c r="F420" s="4" t="s">
        <v>1992</v>
      </c>
      <c r="G420" s="2" t="s">
        <v>653</v>
      </c>
      <c r="H420" s="7" t="s">
        <v>284</v>
      </c>
      <c r="I420" s="2" t="s">
        <v>73</v>
      </c>
      <c r="J420" s="2" t="s">
        <v>1917</v>
      </c>
      <c r="K420" s="2" t="s">
        <v>304</v>
      </c>
      <c r="L420" s="2" t="s">
        <v>125</v>
      </c>
      <c r="M420" s="8" t="str">
        <f>HYPERLINK("http://slimages.macys.com/is/image/MCY/13726811 ")</f>
        <v xml:space="preserve">http://slimages.macys.com/is/image/MCY/13726811 </v>
      </c>
    </row>
    <row r="421" spans="1:13" ht="60" x14ac:dyDescent="0.25">
      <c r="A421" s="7" t="s">
        <v>10186</v>
      </c>
      <c r="B421" s="2" t="s">
        <v>10187</v>
      </c>
      <c r="C421" s="4">
        <v>1</v>
      </c>
      <c r="D421" s="5">
        <v>4.7</v>
      </c>
      <c r="E421" s="5">
        <v>10.93</v>
      </c>
      <c r="F421" s="4" t="s">
        <v>10188</v>
      </c>
      <c r="G421" s="2"/>
      <c r="H421" s="7" t="s">
        <v>675</v>
      </c>
      <c r="I421" s="2" t="s">
        <v>153</v>
      </c>
      <c r="J421" s="2" t="s">
        <v>154</v>
      </c>
      <c r="K421" s="2" t="s">
        <v>304</v>
      </c>
      <c r="L421" s="2" t="s">
        <v>125</v>
      </c>
      <c r="M421" s="8" t="str">
        <f>HYPERLINK("http://slimages.macys.com/is/image/MCY/10090781 ")</f>
        <v xml:space="preserve">http://slimages.macys.com/is/image/MCY/10090781 </v>
      </c>
    </row>
    <row r="422" spans="1:13" ht="108" x14ac:dyDescent="0.25">
      <c r="A422" s="7" t="s">
        <v>1999</v>
      </c>
      <c r="B422" s="2" t="s">
        <v>1996</v>
      </c>
      <c r="C422" s="4">
        <v>1</v>
      </c>
      <c r="D422" s="5">
        <v>4.67</v>
      </c>
      <c r="E422" s="5">
        <v>12</v>
      </c>
      <c r="F422" s="4" t="s">
        <v>1997</v>
      </c>
      <c r="G422" s="2" t="s">
        <v>437</v>
      </c>
      <c r="H422" s="7" t="s">
        <v>482</v>
      </c>
      <c r="I422" s="2" t="s">
        <v>483</v>
      </c>
      <c r="J422" s="2" t="s">
        <v>536</v>
      </c>
      <c r="K422" s="2" t="s">
        <v>304</v>
      </c>
      <c r="L422" s="2" t="s">
        <v>1998</v>
      </c>
      <c r="M422" s="8" t="str">
        <f>HYPERLINK("http://slimages.macys.com/is/image/MCY/12466268 ")</f>
        <v xml:space="preserve">http://slimages.macys.com/is/image/MCY/12466268 </v>
      </c>
    </row>
    <row r="423" spans="1:13" ht="60" x14ac:dyDescent="0.25">
      <c r="A423" s="7" t="s">
        <v>5531</v>
      </c>
      <c r="B423" s="2" t="s">
        <v>2002</v>
      </c>
      <c r="C423" s="4">
        <v>1</v>
      </c>
      <c r="D423" s="5">
        <v>4.6500000000000004</v>
      </c>
      <c r="E423" s="5">
        <v>14.99</v>
      </c>
      <c r="F423" s="4" t="s">
        <v>2003</v>
      </c>
      <c r="G423" s="2" t="s">
        <v>657</v>
      </c>
      <c r="H423" s="7" t="s">
        <v>311</v>
      </c>
      <c r="I423" s="2" t="s">
        <v>292</v>
      </c>
      <c r="J423" s="2" t="s">
        <v>354</v>
      </c>
      <c r="K423" s="2" t="s">
        <v>304</v>
      </c>
      <c r="L423" s="2" t="s">
        <v>125</v>
      </c>
      <c r="M423" s="8" t="str">
        <f>HYPERLINK("http://slimages.macys.com/is/image/MCY/13893167 ")</f>
        <v xml:space="preserve">http://slimages.macys.com/is/image/MCY/13893167 </v>
      </c>
    </row>
    <row r="424" spans="1:13" ht="60" x14ac:dyDescent="0.25">
      <c r="A424" s="7" t="s">
        <v>2001</v>
      </c>
      <c r="B424" s="2" t="s">
        <v>2002</v>
      </c>
      <c r="C424" s="4">
        <v>2</v>
      </c>
      <c r="D424" s="5">
        <v>4.6500000000000004</v>
      </c>
      <c r="E424" s="5">
        <v>14.99</v>
      </c>
      <c r="F424" s="4" t="s">
        <v>2003</v>
      </c>
      <c r="G424" s="2" t="s">
        <v>657</v>
      </c>
      <c r="H424" s="7" t="s">
        <v>123</v>
      </c>
      <c r="I424" s="2" t="s">
        <v>292</v>
      </c>
      <c r="J424" s="2" t="s">
        <v>354</v>
      </c>
      <c r="K424" s="2" t="s">
        <v>304</v>
      </c>
      <c r="L424" s="2" t="s">
        <v>125</v>
      </c>
      <c r="M424" s="8" t="str">
        <f>HYPERLINK("http://slimages.macys.com/is/image/MCY/13893167 ")</f>
        <v xml:space="preserve">http://slimages.macys.com/is/image/MCY/13893167 </v>
      </c>
    </row>
    <row r="425" spans="1:13" ht="60" x14ac:dyDescent="0.25">
      <c r="A425" s="7" t="s">
        <v>5985</v>
      </c>
      <c r="B425" s="2" t="s">
        <v>2002</v>
      </c>
      <c r="C425" s="4">
        <v>1</v>
      </c>
      <c r="D425" s="5">
        <v>4.6500000000000004</v>
      </c>
      <c r="E425" s="5">
        <v>14.99</v>
      </c>
      <c r="F425" s="4" t="s">
        <v>2003</v>
      </c>
      <c r="G425" s="2" t="s">
        <v>657</v>
      </c>
      <c r="H425" s="7" t="s">
        <v>618</v>
      </c>
      <c r="I425" s="2" t="s">
        <v>292</v>
      </c>
      <c r="J425" s="2" t="s">
        <v>354</v>
      </c>
      <c r="K425" s="2" t="s">
        <v>304</v>
      </c>
      <c r="L425" s="2" t="s">
        <v>125</v>
      </c>
      <c r="M425" s="8" t="str">
        <f>HYPERLINK("http://slimages.macys.com/is/image/MCY/13893167 ")</f>
        <v xml:space="preserve">http://slimages.macys.com/is/image/MCY/13893167 </v>
      </c>
    </row>
    <row r="426" spans="1:13" ht="60" x14ac:dyDescent="0.25">
      <c r="A426" s="7" t="s">
        <v>10189</v>
      </c>
      <c r="B426" s="2" t="s">
        <v>10190</v>
      </c>
      <c r="C426" s="4">
        <v>1</v>
      </c>
      <c r="D426" s="5">
        <v>4.6500000000000004</v>
      </c>
      <c r="E426" s="5">
        <v>12.99</v>
      </c>
      <c r="F426" s="4" t="s">
        <v>10191</v>
      </c>
      <c r="G426" s="2" t="s">
        <v>62</v>
      </c>
      <c r="H426" s="7" t="s">
        <v>284</v>
      </c>
      <c r="I426" s="2" t="s">
        <v>218</v>
      </c>
      <c r="J426" s="2" t="s">
        <v>1740</v>
      </c>
      <c r="K426" s="2" t="s">
        <v>304</v>
      </c>
      <c r="L426" s="2" t="s">
        <v>119</v>
      </c>
      <c r="M426" s="8" t="str">
        <f>HYPERLINK("http://slimages.macys.com/is/image/MCY/11483852 ")</f>
        <v xml:space="preserve">http://slimages.macys.com/is/image/MCY/11483852 </v>
      </c>
    </row>
    <row r="427" spans="1:13" ht="60" x14ac:dyDescent="0.25">
      <c r="A427" s="7" t="s">
        <v>2009</v>
      </c>
      <c r="B427" s="2" t="s">
        <v>2006</v>
      </c>
      <c r="C427" s="4">
        <v>1</v>
      </c>
      <c r="D427" s="5">
        <v>4.5999999999999996</v>
      </c>
      <c r="E427" s="5">
        <v>10.99</v>
      </c>
      <c r="F427" s="4" t="s">
        <v>2007</v>
      </c>
      <c r="G427" s="2" t="s">
        <v>62</v>
      </c>
      <c r="H427" s="7" t="s">
        <v>311</v>
      </c>
      <c r="I427" s="2" t="s">
        <v>218</v>
      </c>
      <c r="J427" s="2" t="s">
        <v>2008</v>
      </c>
      <c r="K427" s="2" t="s">
        <v>304</v>
      </c>
      <c r="L427" s="2" t="s">
        <v>358</v>
      </c>
      <c r="M427" s="8" t="str">
        <f>HYPERLINK("http://slimages.macys.com/is/image/MCY/12235586 ")</f>
        <v xml:space="preserve">http://slimages.macys.com/is/image/MCY/12235586 </v>
      </c>
    </row>
    <row r="428" spans="1:13" ht="60" x14ac:dyDescent="0.25">
      <c r="A428" s="7" t="s">
        <v>10192</v>
      </c>
      <c r="B428" s="2" t="s">
        <v>2138</v>
      </c>
      <c r="C428" s="4">
        <v>1</v>
      </c>
      <c r="D428" s="5">
        <v>4.5999999999999996</v>
      </c>
      <c r="E428" s="5">
        <v>10.99</v>
      </c>
      <c r="F428" s="4" t="s">
        <v>9100</v>
      </c>
      <c r="G428" s="2" t="s">
        <v>41</v>
      </c>
      <c r="H428" s="7" t="s">
        <v>196</v>
      </c>
      <c r="I428" s="2" t="s">
        <v>389</v>
      </c>
      <c r="J428" s="2" t="s">
        <v>354</v>
      </c>
      <c r="K428" s="2" t="s">
        <v>304</v>
      </c>
      <c r="L428" s="2" t="s">
        <v>119</v>
      </c>
      <c r="M428" s="8" t="str">
        <f>HYPERLINK("http://slimages.macys.com/is/image/MCY/10178268 ")</f>
        <v xml:space="preserve">http://slimages.macys.com/is/image/MCY/10178268 </v>
      </c>
    </row>
    <row r="429" spans="1:13" ht="84" x14ac:dyDescent="0.25">
      <c r="A429" s="7" t="s">
        <v>10193</v>
      </c>
      <c r="B429" s="2" t="s">
        <v>9106</v>
      </c>
      <c r="C429" s="4">
        <v>3</v>
      </c>
      <c r="D429" s="5">
        <v>4.59</v>
      </c>
      <c r="E429" s="5">
        <v>12.99</v>
      </c>
      <c r="F429" s="4" t="s">
        <v>9107</v>
      </c>
      <c r="G429" s="2" t="s">
        <v>28</v>
      </c>
      <c r="H429" s="7" t="s">
        <v>228</v>
      </c>
      <c r="I429" s="2" t="s">
        <v>515</v>
      </c>
      <c r="J429" s="2" t="s">
        <v>827</v>
      </c>
      <c r="K429" s="2" t="s">
        <v>304</v>
      </c>
      <c r="L429" s="2" t="s">
        <v>1117</v>
      </c>
      <c r="M429" s="8" t="str">
        <f>HYPERLINK("http://slimages.macys.com/is/image/MCY/11605907 ")</f>
        <v xml:space="preserve">http://slimages.macys.com/is/image/MCY/11605907 </v>
      </c>
    </row>
    <row r="430" spans="1:13" ht="84" x14ac:dyDescent="0.25">
      <c r="A430" s="7" t="s">
        <v>10194</v>
      </c>
      <c r="B430" s="2" t="s">
        <v>9106</v>
      </c>
      <c r="C430" s="4">
        <v>1</v>
      </c>
      <c r="D430" s="5">
        <v>4.59</v>
      </c>
      <c r="E430" s="5">
        <v>12.99</v>
      </c>
      <c r="F430" s="4" t="s">
        <v>9107</v>
      </c>
      <c r="G430" s="2" t="s">
        <v>28</v>
      </c>
      <c r="H430" s="7" t="s">
        <v>159</v>
      </c>
      <c r="I430" s="2" t="s">
        <v>515</v>
      </c>
      <c r="J430" s="2" t="s">
        <v>827</v>
      </c>
      <c r="K430" s="2" t="s">
        <v>304</v>
      </c>
      <c r="L430" s="2" t="s">
        <v>1117</v>
      </c>
      <c r="M430" s="8" t="str">
        <f>HYPERLINK("http://slimages.macys.com/is/image/MCY/11605907 ")</f>
        <v xml:space="preserve">http://slimages.macys.com/is/image/MCY/11605907 </v>
      </c>
    </row>
    <row r="431" spans="1:13" ht="84" x14ac:dyDescent="0.25">
      <c r="A431" s="7" t="s">
        <v>3459</v>
      </c>
      <c r="B431" s="2" t="s">
        <v>1115</v>
      </c>
      <c r="C431" s="4">
        <v>1</v>
      </c>
      <c r="D431" s="5">
        <v>4.59</v>
      </c>
      <c r="E431" s="5">
        <v>12.99</v>
      </c>
      <c r="F431" s="4" t="s">
        <v>1116</v>
      </c>
      <c r="G431" s="2" t="s">
        <v>28</v>
      </c>
      <c r="H431" s="7" t="s">
        <v>284</v>
      </c>
      <c r="I431" s="2" t="s">
        <v>515</v>
      </c>
      <c r="J431" s="2" t="s">
        <v>827</v>
      </c>
      <c r="K431" s="2" t="s">
        <v>304</v>
      </c>
      <c r="L431" s="2" t="s">
        <v>1117</v>
      </c>
      <c r="M431" s="8" t="str">
        <f>HYPERLINK("http://slimages.macys.com/is/image/MCY/11606022 ")</f>
        <v xml:space="preserve">http://slimages.macys.com/is/image/MCY/11606022 </v>
      </c>
    </row>
    <row r="432" spans="1:13" ht="84" x14ac:dyDescent="0.25">
      <c r="A432" s="7" t="s">
        <v>9657</v>
      </c>
      <c r="B432" s="2" t="s">
        <v>1115</v>
      </c>
      <c r="C432" s="4">
        <v>5</v>
      </c>
      <c r="D432" s="5">
        <v>4.59</v>
      </c>
      <c r="E432" s="5">
        <v>12.99</v>
      </c>
      <c r="F432" s="4" t="s">
        <v>1116</v>
      </c>
      <c r="G432" s="2" t="s">
        <v>28</v>
      </c>
      <c r="H432" s="7" t="s">
        <v>228</v>
      </c>
      <c r="I432" s="2" t="s">
        <v>515</v>
      </c>
      <c r="J432" s="2" t="s">
        <v>827</v>
      </c>
      <c r="K432" s="2" t="s">
        <v>304</v>
      </c>
      <c r="L432" s="2" t="s">
        <v>1117</v>
      </c>
      <c r="M432" s="8" t="str">
        <f>HYPERLINK("http://slimages.macys.com/is/image/MCY/11606022 ")</f>
        <v xml:space="preserve">http://slimages.macys.com/is/image/MCY/11606022 </v>
      </c>
    </row>
    <row r="433" spans="1:13" ht="84" x14ac:dyDescent="0.25">
      <c r="A433" s="7" t="s">
        <v>7009</v>
      </c>
      <c r="B433" s="2" t="s">
        <v>2011</v>
      </c>
      <c r="C433" s="4">
        <v>2</v>
      </c>
      <c r="D433" s="5">
        <v>4.59</v>
      </c>
      <c r="E433" s="5">
        <v>12.99</v>
      </c>
      <c r="F433" s="4" t="s">
        <v>2012</v>
      </c>
      <c r="G433" s="2" t="s">
        <v>28</v>
      </c>
      <c r="H433" s="7" t="s">
        <v>159</v>
      </c>
      <c r="I433" s="2" t="s">
        <v>515</v>
      </c>
      <c r="J433" s="2" t="s">
        <v>827</v>
      </c>
      <c r="K433" s="2" t="s">
        <v>304</v>
      </c>
      <c r="L433" s="2" t="s">
        <v>1117</v>
      </c>
      <c r="M433" s="8" t="str">
        <f>HYPERLINK("http://slimages.macys.com/is/image/MCY/11606013 ")</f>
        <v xml:space="preserve">http://slimages.macys.com/is/image/MCY/11606013 </v>
      </c>
    </row>
    <row r="434" spans="1:13" ht="84" x14ac:dyDescent="0.25">
      <c r="A434" s="7" t="s">
        <v>8342</v>
      </c>
      <c r="B434" s="2" t="s">
        <v>2011</v>
      </c>
      <c r="C434" s="4">
        <v>2</v>
      </c>
      <c r="D434" s="5">
        <v>4.59</v>
      </c>
      <c r="E434" s="5">
        <v>12.99</v>
      </c>
      <c r="F434" s="4" t="s">
        <v>2012</v>
      </c>
      <c r="G434" s="2" t="s">
        <v>28</v>
      </c>
      <c r="H434" s="7" t="s">
        <v>284</v>
      </c>
      <c r="I434" s="2" t="s">
        <v>515</v>
      </c>
      <c r="J434" s="2" t="s">
        <v>827</v>
      </c>
      <c r="K434" s="2" t="s">
        <v>304</v>
      </c>
      <c r="L434" s="2" t="s">
        <v>1117</v>
      </c>
      <c r="M434" s="8" t="str">
        <f>HYPERLINK("http://slimages.macys.com/is/image/MCY/11606013 ")</f>
        <v xml:space="preserve">http://slimages.macys.com/is/image/MCY/11606013 </v>
      </c>
    </row>
    <row r="435" spans="1:13" ht="84" x14ac:dyDescent="0.25">
      <c r="A435" s="7" t="s">
        <v>1114</v>
      </c>
      <c r="B435" s="2" t="s">
        <v>1115</v>
      </c>
      <c r="C435" s="4">
        <v>3</v>
      </c>
      <c r="D435" s="5">
        <v>4.59</v>
      </c>
      <c r="E435" s="5">
        <v>12.99</v>
      </c>
      <c r="F435" s="4" t="s">
        <v>1116</v>
      </c>
      <c r="G435" s="2" t="s">
        <v>28</v>
      </c>
      <c r="H435" s="7" t="s">
        <v>196</v>
      </c>
      <c r="I435" s="2" t="s">
        <v>515</v>
      </c>
      <c r="J435" s="2" t="s">
        <v>827</v>
      </c>
      <c r="K435" s="2" t="s">
        <v>304</v>
      </c>
      <c r="L435" s="2" t="s">
        <v>1117</v>
      </c>
      <c r="M435" s="8" t="str">
        <f>HYPERLINK("http://slimages.macys.com/is/image/MCY/11606022 ")</f>
        <v xml:space="preserve">http://slimages.macys.com/is/image/MCY/11606022 </v>
      </c>
    </row>
    <row r="436" spans="1:13" ht="84" x14ac:dyDescent="0.25">
      <c r="A436" s="7" t="s">
        <v>9105</v>
      </c>
      <c r="B436" s="2" t="s">
        <v>9106</v>
      </c>
      <c r="C436" s="4">
        <v>2</v>
      </c>
      <c r="D436" s="5">
        <v>4.59</v>
      </c>
      <c r="E436" s="5">
        <v>12.99</v>
      </c>
      <c r="F436" s="4" t="s">
        <v>9107</v>
      </c>
      <c r="G436" s="2" t="s">
        <v>28</v>
      </c>
      <c r="H436" s="7" t="s">
        <v>284</v>
      </c>
      <c r="I436" s="2" t="s">
        <v>515</v>
      </c>
      <c r="J436" s="2" t="s">
        <v>827</v>
      </c>
      <c r="K436" s="2" t="s">
        <v>304</v>
      </c>
      <c r="L436" s="2" t="s">
        <v>1117</v>
      </c>
      <c r="M436" s="8" t="str">
        <f>HYPERLINK("http://slimages.macys.com/is/image/MCY/11605907 ")</f>
        <v xml:space="preserve">http://slimages.macys.com/is/image/MCY/11605907 </v>
      </c>
    </row>
    <row r="437" spans="1:13" ht="84" x14ac:dyDescent="0.25">
      <c r="A437" s="7" t="s">
        <v>10195</v>
      </c>
      <c r="B437" s="2" t="s">
        <v>2011</v>
      </c>
      <c r="C437" s="4">
        <v>3</v>
      </c>
      <c r="D437" s="5">
        <v>4.59</v>
      </c>
      <c r="E437" s="5">
        <v>12.99</v>
      </c>
      <c r="F437" s="4" t="s">
        <v>2012</v>
      </c>
      <c r="G437" s="2" t="s">
        <v>28</v>
      </c>
      <c r="H437" s="7" t="s">
        <v>196</v>
      </c>
      <c r="I437" s="2" t="s">
        <v>515</v>
      </c>
      <c r="J437" s="2" t="s">
        <v>827</v>
      </c>
      <c r="K437" s="2" t="s">
        <v>304</v>
      </c>
      <c r="L437" s="2" t="s">
        <v>1117</v>
      </c>
      <c r="M437" s="8" t="str">
        <f>HYPERLINK("http://slimages.macys.com/is/image/MCY/11606013 ")</f>
        <v xml:space="preserve">http://slimages.macys.com/is/image/MCY/11606013 </v>
      </c>
    </row>
    <row r="438" spans="1:13" ht="84" x14ac:dyDescent="0.25">
      <c r="A438" s="7" t="s">
        <v>2010</v>
      </c>
      <c r="B438" s="2" t="s">
        <v>2011</v>
      </c>
      <c r="C438" s="4">
        <v>2</v>
      </c>
      <c r="D438" s="5">
        <v>4.59</v>
      </c>
      <c r="E438" s="5">
        <v>12.99</v>
      </c>
      <c r="F438" s="4" t="s">
        <v>2012</v>
      </c>
      <c r="G438" s="2" t="s">
        <v>28</v>
      </c>
      <c r="H438" s="7" t="s">
        <v>228</v>
      </c>
      <c r="I438" s="2" t="s">
        <v>515</v>
      </c>
      <c r="J438" s="2" t="s">
        <v>827</v>
      </c>
      <c r="K438" s="2" t="s">
        <v>304</v>
      </c>
      <c r="L438" s="2" t="s">
        <v>1117</v>
      </c>
      <c r="M438" s="8" t="str">
        <f>HYPERLINK("http://slimages.macys.com/is/image/MCY/11606013 ")</f>
        <v xml:space="preserve">http://slimages.macys.com/is/image/MCY/11606013 </v>
      </c>
    </row>
    <row r="439" spans="1:13" ht="84" x14ac:dyDescent="0.25">
      <c r="A439" s="7" t="s">
        <v>10196</v>
      </c>
      <c r="B439" s="2" t="s">
        <v>9106</v>
      </c>
      <c r="C439" s="4">
        <v>1</v>
      </c>
      <c r="D439" s="5">
        <v>4.59</v>
      </c>
      <c r="E439" s="5">
        <v>12.99</v>
      </c>
      <c r="F439" s="4" t="s">
        <v>9107</v>
      </c>
      <c r="G439" s="2" t="s">
        <v>28</v>
      </c>
      <c r="H439" s="7" t="s">
        <v>196</v>
      </c>
      <c r="I439" s="2" t="s">
        <v>515</v>
      </c>
      <c r="J439" s="2" t="s">
        <v>827</v>
      </c>
      <c r="K439" s="2" t="s">
        <v>304</v>
      </c>
      <c r="L439" s="2" t="s">
        <v>1117</v>
      </c>
      <c r="M439" s="8" t="str">
        <f>HYPERLINK("http://slimages.macys.com/is/image/MCY/11605907 ")</f>
        <v xml:space="preserve">http://slimages.macys.com/is/image/MCY/11605907 </v>
      </c>
    </row>
    <row r="440" spans="1:13" ht="96" x14ac:dyDescent="0.25">
      <c r="A440" s="7" t="s">
        <v>2016</v>
      </c>
      <c r="B440" s="2" t="s">
        <v>2017</v>
      </c>
      <c r="C440" s="4">
        <v>2</v>
      </c>
      <c r="D440" s="5">
        <v>4.54</v>
      </c>
      <c r="E440" s="5">
        <v>12.99</v>
      </c>
      <c r="F440" s="4" t="s">
        <v>2018</v>
      </c>
      <c r="G440" s="2" t="s">
        <v>36</v>
      </c>
      <c r="H440" s="7" t="s">
        <v>159</v>
      </c>
      <c r="I440" s="2" t="s">
        <v>515</v>
      </c>
      <c r="J440" s="2" t="s">
        <v>827</v>
      </c>
      <c r="K440" s="2" t="s">
        <v>304</v>
      </c>
      <c r="L440" s="2" t="s">
        <v>1516</v>
      </c>
      <c r="M440" s="8" t="str">
        <f>HYPERLINK("http://slimages.macys.com/is/image/MCY/12340587 ")</f>
        <v xml:space="preserve">http://slimages.macys.com/is/image/MCY/12340587 </v>
      </c>
    </row>
    <row r="441" spans="1:13" ht="96" x14ac:dyDescent="0.25">
      <c r="A441" s="7" t="s">
        <v>9114</v>
      </c>
      <c r="B441" s="2" t="s">
        <v>2017</v>
      </c>
      <c r="C441" s="4">
        <v>2</v>
      </c>
      <c r="D441" s="5">
        <v>4.54</v>
      </c>
      <c r="E441" s="5">
        <v>12.99</v>
      </c>
      <c r="F441" s="4" t="s">
        <v>2018</v>
      </c>
      <c r="G441" s="2" t="s">
        <v>36</v>
      </c>
      <c r="H441" s="7" t="s">
        <v>228</v>
      </c>
      <c r="I441" s="2" t="s">
        <v>515</v>
      </c>
      <c r="J441" s="2" t="s">
        <v>827</v>
      </c>
      <c r="K441" s="2" t="s">
        <v>304</v>
      </c>
      <c r="L441" s="2" t="s">
        <v>1516</v>
      </c>
      <c r="M441" s="8" t="str">
        <f>HYPERLINK("http://slimages.macys.com/is/image/MCY/12340587 ")</f>
        <v xml:space="preserve">http://slimages.macys.com/is/image/MCY/12340587 </v>
      </c>
    </row>
    <row r="442" spans="1:13" ht="96" x14ac:dyDescent="0.25">
      <c r="A442" s="7" t="s">
        <v>9112</v>
      </c>
      <c r="B442" s="2" t="s">
        <v>2017</v>
      </c>
      <c r="C442" s="4">
        <v>2</v>
      </c>
      <c r="D442" s="5">
        <v>4.54</v>
      </c>
      <c r="E442" s="5">
        <v>12.99</v>
      </c>
      <c r="F442" s="4" t="s">
        <v>2018</v>
      </c>
      <c r="G442" s="2" t="s">
        <v>36</v>
      </c>
      <c r="H442" s="7" t="s">
        <v>196</v>
      </c>
      <c r="I442" s="2" t="s">
        <v>515</v>
      </c>
      <c r="J442" s="2" t="s">
        <v>827</v>
      </c>
      <c r="K442" s="2" t="s">
        <v>304</v>
      </c>
      <c r="L442" s="2" t="s">
        <v>1516</v>
      </c>
      <c r="M442" s="8" t="str">
        <f>HYPERLINK("http://slimages.macys.com/is/image/MCY/12340587 ")</f>
        <v xml:space="preserve">http://slimages.macys.com/is/image/MCY/12340587 </v>
      </c>
    </row>
    <row r="443" spans="1:13" ht="60" x14ac:dyDescent="0.25">
      <c r="A443" s="7" t="s">
        <v>10197</v>
      </c>
      <c r="B443" s="2" t="s">
        <v>10198</v>
      </c>
      <c r="C443" s="4">
        <v>1</v>
      </c>
      <c r="D443" s="5">
        <v>4.5</v>
      </c>
      <c r="E443" s="5">
        <v>9.99</v>
      </c>
      <c r="F443" s="4" t="s">
        <v>10199</v>
      </c>
      <c r="G443" s="2" t="s">
        <v>62</v>
      </c>
      <c r="H443" s="7" t="s">
        <v>42</v>
      </c>
      <c r="I443" s="2" t="s">
        <v>135</v>
      </c>
      <c r="J443" s="2" t="s">
        <v>258</v>
      </c>
      <c r="K443" s="2" t="s">
        <v>304</v>
      </c>
      <c r="L443" s="2" t="s">
        <v>119</v>
      </c>
      <c r="M443" s="8" t="str">
        <f>HYPERLINK("http://slimages.macys.com/is/image/MCY/12326877 ")</f>
        <v xml:space="preserve">http://slimages.macys.com/is/image/MCY/12326877 </v>
      </c>
    </row>
    <row r="444" spans="1:13" ht="60" x14ac:dyDescent="0.25">
      <c r="A444" s="7" t="s">
        <v>10200</v>
      </c>
      <c r="B444" s="2" t="s">
        <v>6989</v>
      </c>
      <c r="C444" s="4">
        <v>1</v>
      </c>
      <c r="D444" s="5">
        <v>4.5</v>
      </c>
      <c r="E444" s="5">
        <v>7.99</v>
      </c>
      <c r="F444" s="4" t="s">
        <v>7751</v>
      </c>
      <c r="G444" s="2" t="s">
        <v>36</v>
      </c>
      <c r="H444" s="7" t="s">
        <v>317</v>
      </c>
      <c r="I444" s="2" t="s">
        <v>73</v>
      </c>
      <c r="J444" s="2" t="s">
        <v>1963</v>
      </c>
      <c r="K444" s="2" t="s">
        <v>304</v>
      </c>
      <c r="L444" s="2" t="s">
        <v>119</v>
      </c>
      <c r="M444" s="8" t="str">
        <f>HYPERLINK("http://slimages.macys.com/is/image/MCY/12284138 ")</f>
        <v xml:space="preserve">http://slimages.macys.com/is/image/MCY/12284138 </v>
      </c>
    </row>
    <row r="445" spans="1:13" ht="84" x14ac:dyDescent="0.25">
      <c r="A445" s="7" t="s">
        <v>10201</v>
      </c>
      <c r="B445" s="2" t="s">
        <v>2036</v>
      </c>
      <c r="C445" s="4">
        <v>1</v>
      </c>
      <c r="D445" s="5">
        <v>4.43</v>
      </c>
      <c r="E445" s="5">
        <v>12.99</v>
      </c>
      <c r="F445" s="4" t="s">
        <v>2037</v>
      </c>
      <c r="G445" s="2" t="s">
        <v>48</v>
      </c>
      <c r="H445" s="7" t="s">
        <v>284</v>
      </c>
      <c r="I445" s="2" t="s">
        <v>515</v>
      </c>
      <c r="J445" s="2" t="s">
        <v>827</v>
      </c>
      <c r="K445" s="2" t="s">
        <v>304</v>
      </c>
      <c r="L445" s="2" t="s">
        <v>1117</v>
      </c>
      <c r="M445" s="8" t="str">
        <f>HYPERLINK("http://slimages.macys.com/is/image/MCY/11860902 ")</f>
        <v xml:space="preserve">http://slimages.macys.com/is/image/MCY/11860902 </v>
      </c>
    </row>
    <row r="446" spans="1:13" ht="60" x14ac:dyDescent="0.25">
      <c r="A446" s="7" t="s">
        <v>10202</v>
      </c>
      <c r="B446" s="2" t="s">
        <v>2028</v>
      </c>
      <c r="C446" s="4">
        <v>1</v>
      </c>
      <c r="D446" s="5">
        <v>4.43</v>
      </c>
      <c r="E446" s="5">
        <v>12.99</v>
      </c>
      <c r="F446" s="4" t="s">
        <v>2029</v>
      </c>
      <c r="G446" s="2" t="s">
        <v>653</v>
      </c>
      <c r="H446" s="7" t="s">
        <v>196</v>
      </c>
      <c r="I446" s="2" t="s">
        <v>515</v>
      </c>
      <c r="J446" s="2" t="s">
        <v>827</v>
      </c>
      <c r="K446" s="2" t="s">
        <v>304</v>
      </c>
      <c r="L446" s="2" t="s">
        <v>358</v>
      </c>
      <c r="M446" s="8" t="str">
        <f>HYPERLINK("http://slimages.macys.com/is/image/MCY/11860927 ")</f>
        <v xml:space="preserve">http://slimages.macys.com/is/image/MCY/11860927 </v>
      </c>
    </row>
    <row r="447" spans="1:13" ht="60" x14ac:dyDescent="0.25">
      <c r="A447" s="7" t="s">
        <v>2027</v>
      </c>
      <c r="B447" s="2" t="s">
        <v>2028</v>
      </c>
      <c r="C447" s="4">
        <v>1</v>
      </c>
      <c r="D447" s="5">
        <v>4.43</v>
      </c>
      <c r="E447" s="5">
        <v>12.99</v>
      </c>
      <c r="F447" s="4" t="s">
        <v>2029</v>
      </c>
      <c r="G447" s="2" t="s">
        <v>653</v>
      </c>
      <c r="H447" s="7" t="s">
        <v>228</v>
      </c>
      <c r="I447" s="2" t="s">
        <v>515</v>
      </c>
      <c r="J447" s="2" t="s">
        <v>827</v>
      </c>
      <c r="K447" s="2" t="s">
        <v>304</v>
      </c>
      <c r="L447" s="2" t="s">
        <v>358</v>
      </c>
      <c r="M447" s="8" t="str">
        <f>HYPERLINK("http://slimages.macys.com/is/image/MCY/11860927 ")</f>
        <v xml:space="preserve">http://slimages.macys.com/is/image/MCY/11860927 </v>
      </c>
    </row>
    <row r="448" spans="1:13" ht="60" x14ac:dyDescent="0.25">
      <c r="A448" s="7" t="s">
        <v>10203</v>
      </c>
      <c r="B448" s="2" t="s">
        <v>5990</v>
      </c>
      <c r="C448" s="4">
        <v>1</v>
      </c>
      <c r="D448" s="5">
        <v>4.43</v>
      </c>
      <c r="E448" s="5">
        <v>10.99</v>
      </c>
      <c r="F448" s="4" t="s">
        <v>5991</v>
      </c>
      <c r="G448" s="2" t="s">
        <v>297</v>
      </c>
      <c r="H448" s="7" t="s">
        <v>311</v>
      </c>
      <c r="I448" s="2" t="s">
        <v>218</v>
      </c>
      <c r="J448" s="2" t="s">
        <v>2008</v>
      </c>
      <c r="K448" s="2" t="s">
        <v>304</v>
      </c>
      <c r="L448" s="2" t="s">
        <v>119</v>
      </c>
      <c r="M448" s="8" t="str">
        <f>HYPERLINK("http://slimages.macys.com/is/image/MCY/11953331 ")</f>
        <v xml:space="preserve">http://slimages.macys.com/is/image/MCY/11953331 </v>
      </c>
    </row>
    <row r="449" spans="1:13" ht="84" x14ac:dyDescent="0.25">
      <c r="A449" s="7" t="s">
        <v>10204</v>
      </c>
      <c r="B449" s="2" t="s">
        <v>10205</v>
      </c>
      <c r="C449" s="4">
        <v>1</v>
      </c>
      <c r="D449" s="5">
        <v>4.43</v>
      </c>
      <c r="E449" s="5">
        <v>12.99</v>
      </c>
      <c r="F449" s="4" t="s">
        <v>10206</v>
      </c>
      <c r="G449" s="2" t="s">
        <v>62</v>
      </c>
      <c r="H449" s="7" t="s">
        <v>284</v>
      </c>
      <c r="I449" s="2" t="s">
        <v>515</v>
      </c>
      <c r="J449" s="2" t="s">
        <v>827</v>
      </c>
      <c r="K449" s="2" t="s">
        <v>304</v>
      </c>
      <c r="L449" s="2" t="s">
        <v>1117</v>
      </c>
      <c r="M449" s="8" t="str">
        <f>HYPERLINK("http://slimages.macys.com/is/image/MCY/11860868 ")</f>
        <v xml:space="preserve">http://slimages.macys.com/is/image/MCY/11860868 </v>
      </c>
    </row>
    <row r="450" spans="1:13" ht="60" x14ac:dyDescent="0.25">
      <c r="A450" s="7" t="s">
        <v>10207</v>
      </c>
      <c r="B450" s="2" t="s">
        <v>10208</v>
      </c>
      <c r="C450" s="4">
        <v>1</v>
      </c>
      <c r="D450" s="5">
        <v>4.4000000000000004</v>
      </c>
      <c r="E450" s="5">
        <v>9.99</v>
      </c>
      <c r="F450" s="4" t="s">
        <v>10209</v>
      </c>
      <c r="G450" s="2" t="s">
        <v>62</v>
      </c>
      <c r="H450" s="7" t="s">
        <v>228</v>
      </c>
      <c r="I450" s="2" t="s">
        <v>468</v>
      </c>
      <c r="J450" s="2" t="s">
        <v>469</v>
      </c>
      <c r="K450" s="2" t="s">
        <v>304</v>
      </c>
      <c r="L450" s="2" t="s">
        <v>119</v>
      </c>
      <c r="M450" s="8" t="str">
        <f>HYPERLINK("http://slimages.macys.com/is/image/MCY/13398926 ")</f>
        <v xml:space="preserve">http://slimages.macys.com/is/image/MCY/13398926 </v>
      </c>
    </row>
    <row r="451" spans="1:13" ht="60" x14ac:dyDescent="0.25">
      <c r="A451" s="7" t="s">
        <v>3472</v>
      </c>
      <c r="B451" s="2" t="s">
        <v>3473</v>
      </c>
      <c r="C451" s="4">
        <v>1</v>
      </c>
      <c r="D451" s="5">
        <v>4.4000000000000004</v>
      </c>
      <c r="E451" s="5">
        <v>9.99</v>
      </c>
      <c r="F451" s="4" t="s">
        <v>3474</v>
      </c>
      <c r="G451" s="2" t="s">
        <v>171</v>
      </c>
      <c r="H451" s="7" t="s">
        <v>159</v>
      </c>
      <c r="I451" s="2" t="s">
        <v>468</v>
      </c>
      <c r="J451" s="2" t="s">
        <v>469</v>
      </c>
      <c r="K451" s="2" t="s">
        <v>304</v>
      </c>
      <c r="L451" s="2" t="s">
        <v>119</v>
      </c>
      <c r="M451" s="8" t="str">
        <f>HYPERLINK("http://slimages.macys.com/is/image/MCY/12809149 ")</f>
        <v xml:space="preserve">http://slimages.macys.com/is/image/MCY/12809149 </v>
      </c>
    </row>
    <row r="452" spans="1:13" ht="60" x14ac:dyDescent="0.25">
      <c r="A452" s="7" t="s">
        <v>10210</v>
      </c>
      <c r="B452" s="2" t="s">
        <v>3473</v>
      </c>
      <c r="C452" s="4">
        <v>1</v>
      </c>
      <c r="D452" s="5">
        <v>4.4000000000000004</v>
      </c>
      <c r="E452" s="5">
        <v>9.99</v>
      </c>
      <c r="F452" s="4" t="s">
        <v>3474</v>
      </c>
      <c r="G452" s="2" t="s">
        <v>171</v>
      </c>
      <c r="H452" s="7" t="s">
        <v>217</v>
      </c>
      <c r="I452" s="2" t="s">
        <v>468</v>
      </c>
      <c r="J452" s="2" t="s">
        <v>469</v>
      </c>
      <c r="K452" s="2" t="s">
        <v>304</v>
      </c>
      <c r="L452" s="2" t="s">
        <v>119</v>
      </c>
      <c r="M452" s="8" t="str">
        <f>HYPERLINK("http://slimages.macys.com/is/image/MCY/12809149 ")</f>
        <v xml:space="preserve">http://slimages.macys.com/is/image/MCY/12809149 </v>
      </c>
    </row>
    <row r="453" spans="1:13" ht="60" x14ac:dyDescent="0.25">
      <c r="A453" s="7" t="s">
        <v>10211</v>
      </c>
      <c r="B453" s="2" t="s">
        <v>10212</v>
      </c>
      <c r="C453" s="4">
        <v>1</v>
      </c>
      <c r="D453" s="5">
        <v>4.4000000000000004</v>
      </c>
      <c r="E453" s="5">
        <v>8.99</v>
      </c>
      <c r="F453" s="4">
        <v>16475217</v>
      </c>
      <c r="G453" s="2"/>
      <c r="H453" s="7" t="s">
        <v>233</v>
      </c>
      <c r="I453" s="2" t="s">
        <v>153</v>
      </c>
      <c r="J453" s="2" t="s">
        <v>154</v>
      </c>
      <c r="K453" s="2" t="s">
        <v>304</v>
      </c>
      <c r="L453" s="2" t="s">
        <v>206</v>
      </c>
      <c r="M453" s="8" t="str">
        <f>HYPERLINK("http://slimages.macys.com/is/image/MCY/12051792 ")</f>
        <v xml:space="preserve">http://slimages.macys.com/is/image/MCY/12051792 </v>
      </c>
    </row>
    <row r="454" spans="1:13" ht="60" x14ac:dyDescent="0.25">
      <c r="A454" s="7" t="s">
        <v>7760</v>
      </c>
      <c r="B454" s="2" t="s">
        <v>7761</v>
      </c>
      <c r="C454" s="4">
        <v>1</v>
      </c>
      <c r="D454" s="5">
        <v>4.38</v>
      </c>
      <c r="E454" s="5">
        <v>11.99</v>
      </c>
      <c r="F454" s="4" t="s">
        <v>7762</v>
      </c>
      <c r="G454" s="2" t="s">
        <v>129</v>
      </c>
      <c r="H454" s="7" t="s">
        <v>228</v>
      </c>
      <c r="I454" s="2" t="s">
        <v>292</v>
      </c>
      <c r="J454" s="2" t="s">
        <v>293</v>
      </c>
      <c r="K454" s="2" t="s">
        <v>304</v>
      </c>
      <c r="L454" s="2" t="s">
        <v>119</v>
      </c>
      <c r="M454" s="8" t="str">
        <f>HYPERLINK("http://slimages.macys.com/is/image/MCY/13938960 ")</f>
        <v xml:space="preserve">http://slimages.macys.com/is/image/MCY/13938960 </v>
      </c>
    </row>
    <row r="455" spans="1:13" ht="60" x14ac:dyDescent="0.25">
      <c r="A455" s="7" t="s">
        <v>10213</v>
      </c>
      <c r="B455" s="2" t="s">
        <v>7761</v>
      </c>
      <c r="C455" s="4">
        <v>1</v>
      </c>
      <c r="D455" s="5">
        <v>4.38</v>
      </c>
      <c r="E455" s="5">
        <v>11.99</v>
      </c>
      <c r="F455" s="4" t="s">
        <v>7762</v>
      </c>
      <c r="G455" s="2" t="s">
        <v>129</v>
      </c>
      <c r="H455" s="7" t="s">
        <v>159</v>
      </c>
      <c r="I455" s="2" t="s">
        <v>292</v>
      </c>
      <c r="J455" s="2" t="s">
        <v>293</v>
      </c>
      <c r="K455" s="2" t="s">
        <v>304</v>
      </c>
      <c r="L455" s="2" t="s">
        <v>119</v>
      </c>
      <c r="M455" s="8" t="str">
        <f>HYPERLINK("http://slimages.macys.com/is/image/MCY/13938960 ")</f>
        <v xml:space="preserve">http://slimages.macys.com/is/image/MCY/13938960 </v>
      </c>
    </row>
    <row r="456" spans="1:13" ht="60" x14ac:dyDescent="0.25">
      <c r="A456" s="7" t="s">
        <v>9668</v>
      </c>
      <c r="B456" s="2" t="s">
        <v>2044</v>
      </c>
      <c r="C456" s="4">
        <v>1</v>
      </c>
      <c r="D456" s="5">
        <v>4.37</v>
      </c>
      <c r="E456" s="5">
        <v>12.99</v>
      </c>
      <c r="F456" s="4" t="s">
        <v>2045</v>
      </c>
      <c r="G456" s="2" t="s">
        <v>437</v>
      </c>
      <c r="H456" s="7" t="s">
        <v>228</v>
      </c>
      <c r="I456" s="2" t="s">
        <v>515</v>
      </c>
      <c r="J456" s="2" t="s">
        <v>1971</v>
      </c>
      <c r="K456" s="2" t="s">
        <v>304</v>
      </c>
      <c r="L456" s="2" t="s">
        <v>119</v>
      </c>
      <c r="M456" s="8" t="str">
        <f>HYPERLINK("http://slimages.macys.com/is/image/MCY/12508210 ")</f>
        <v xml:space="preserve">http://slimages.macys.com/is/image/MCY/12508210 </v>
      </c>
    </row>
    <row r="457" spans="1:13" ht="60" x14ac:dyDescent="0.25">
      <c r="A457" s="7" t="s">
        <v>9133</v>
      </c>
      <c r="B457" s="2" t="s">
        <v>2044</v>
      </c>
      <c r="C457" s="4">
        <v>1</v>
      </c>
      <c r="D457" s="5">
        <v>4.37</v>
      </c>
      <c r="E457" s="5">
        <v>12.99</v>
      </c>
      <c r="F457" s="4" t="s">
        <v>2045</v>
      </c>
      <c r="G457" s="2" t="s">
        <v>437</v>
      </c>
      <c r="H457" s="7" t="s">
        <v>284</v>
      </c>
      <c r="I457" s="2" t="s">
        <v>515</v>
      </c>
      <c r="J457" s="2" t="s">
        <v>1971</v>
      </c>
      <c r="K457" s="2" t="s">
        <v>304</v>
      </c>
      <c r="L457" s="2" t="s">
        <v>119</v>
      </c>
      <c r="M457" s="8" t="str">
        <f>HYPERLINK("http://slimages.macys.com/is/image/MCY/12508210 ")</f>
        <v xml:space="preserve">http://slimages.macys.com/is/image/MCY/12508210 </v>
      </c>
    </row>
    <row r="458" spans="1:13" ht="60" x14ac:dyDescent="0.25">
      <c r="A458" s="7" t="s">
        <v>10214</v>
      </c>
      <c r="B458" s="2" t="s">
        <v>1975</v>
      </c>
      <c r="C458" s="4">
        <v>1</v>
      </c>
      <c r="D458" s="5">
        <v>4.3600000000000003</v>
      </c>
      <c r="E458" s="5">
        <v>9.99</v>
      </c>
      <c r="F458" s="4" t="s">
        <v>2047</v>
      </c>
      <c r="G458" s="2" t="s">
        <v>527</v>
      </c>
      <c r="H458" s="7" t="s">
        <v>63</v>
      </c>
      <c r="I458" s="2" t="s">
        <v>515</v>
      </c>
      <c r="J458" s="2" t="s">
        <v>875</v>
      </c>
      <c r="K458" s="2" t="s">
        <v>304</v>
      </c>
      <c r="L458" s="2" t="s">
        <v>119</v>
      </c>
      <c r="M458" s="8" t="str">
        <f>HYPERLINK("http://slimages.macys.com/is/image/MCY/11526551 ")</f>
        <v xml:space="preserve">http://slimages.macys.com/is/image/MCY/11526551 </v>
      </c>
    </row>
    <row r="459" spans="1:13" ht="60" x14ac:dyDescent="0.25">
      <c r="A459" s="7" t="s">
        <v>10215</v>
      </c>
      <c r="B459" s="2" t="s">
        <v>2055</v>
      </c>
      <c r="C459" s="4">
        <v>1</v>
      </c>
      <c r="D459" s="5">
        <v>4.3099999999999996</v>
      </c>
      <c r="E459" s="5">
        <v>10.99</v>
      </c>
      <c r="F459" s="4" t="s">
        <v>2056</v>
      </c>
      <c r="G459" s="2" t="s">
        <v>86</v>
      </c>
      <c r="H459" s="7" t="s">
        <v>196</v>
      </c>
      <c r="I459" s="2" t="s">
        <v>389</v>
      </c>
      <c r="J459" s="2" t="s">
        <v>354</v>
      </c>
      <c r="K459" s="2" t="s">
        <v>304</v>
      </c>
      <c r="L459" s="2" t="s">
        <v>358</v>
      </c>
      <c r="M459" s="8" t="str">
        <f>HYPERLINK("http://slimages.macys.com/is/image/MCY/11855534 ")</f>
        <v xml:space="preserve">http://slimages.macys.com/is/image/MCY/11855534 </v>
      </c>
    </row>
    <row r="460" spans="1:13" ht="60" x14ac:dyDescent="0.25">
      <c r="A460" s="7" t="s">
        <v>10216</v>
      </c>
      <c r="B460" s="2" t="s">
        <v>10217</v>
      </c>
      <c r="C460" s="4">
        <v>1</v>
      </c>
      <c r="D460" s="5">
        <v>4.26</v>
      </c>
      <c r="E460" s="5">
        <v>10.99</v>
      </c>
      <c r="F460" s="4" t="s">
        <v>10218</v>
      </c>
      <c r="G460" s="2" t="s">
        <v>103</v>
      </c>
      <c r="H460" s="7" t="s">
        <v>196</v>
      </c>
      <c r="I460" s="2" t="s">
        <v>389</v>
      </c>
      <c r="J460" s="2" t="s">
        <v>354</v>
      </c>
      <c r="K460" s="2" t="s">
        <v>304</v>
      </c>
      <c r="L460" s="2" t="s">
        <v>119</v>
      </c>
      <c r="M460" s="8" t="str">
        <f>HYPERLINK("http://slimages.macys.com/is/image/MCY/12121564 ")</f>
        <v xml:space="preserve">http://slimages.macys.com/is/image/MCY/12121564 </v>
      </c>
    </row>
    <row r="461" spans="1:13" ht="60" x14ac:dyDescent="0.25">
      <c r="A461" s="7" t="s">
        <v>10219</v>
      </c>
      <c r="B461" s="2" t="s">
        <v>5559</v>
      </c>
      <c r="C461" s="4">
        <v>1</v>
      </c>
      <c r="D461" s="5">
        <v>4.25</v>
      </c>
      <c r="E461" s="5">
        <v>10.99</v>
      </c>
      <c r="F461" s="4" t="s">
        <v>5560</v>
      </c>
      <c r="G461" s="2" t="s">
        <v>41</v>
      </c>
      <c r="H461" s="7"/>
      <c r="I461" s="2" t="s">
        <v>312</v>
      </c>
      <c r="J461" s="2" t="s">
        <v>2077</v>
      </c>
      <c r="K461" s="2" t="s">
        <v>304</v>
      </c>
      <c r="L461" s="2" t="s">
        <v>125</v>
      </c>
      <c r="M461" s="8" t="str">
        <f>HYPERLINK("http://slimages.macys.com/is/image/MCY/12045146 ")</f>
        <v xml:space="preserve">http://slimages.macys.com/is/image/MCY/12045146 </v>
      </c>
    </row>
    <row r="462" spans="1:13" ht="60" x14ac:dyDescent="0.25">
      <c r="A462" s="7" t="s">
        <v>10220</v>
      </c>
      <c r="B462" s="2" t="s">
        <v>10221</v>
      </c>
      <c r="C462" s="4">
        <v>1</v>
      </c>
      <c r="D462" s="5">
        <v>4.22</v>
      </c>
      <c r="E462" s="5">
        <v>9.99</v>
      </c>
      <c r="F462" s="4" t="s">
        <v>10222</v>
      </c>
      <c r="G462" s="2" t="s">
        <v>48</v>
      </c>
      <c r="H462" s="7" t="s">
        <v>311</v>
      </c>
      <c r="I462" s="2" t="s">
        <v>515</v>
      </c>
      <c r="J462" s="2" t="s">
        <v>875</v>
      </c>
      <c r="K462" s="2" t="s">
        <v>304</v>
      </c>
      <c r="L462" s="2" t="s">
        <v>119</v>
      </c>
      <c r="M462" s="8" t="str">
        <f>HYPERLINK("http://slimages.macys.com/is/image/MCY/12235378 ")</f>
        <v xml:space="preserve">http://slimages.macys.com/is/image/MCY/12235378 </v>
      </c>
    </row>
    <row r="463" spans="1:13" ht="60" x14ac:dyDescent="0.25">
      <c r="A463" s="7" t="s">
        <v>2081</v>
      </c>
      <c r="B463" s="2" t="s">
        <v>2075</v>
      </c>
      <c r="C463" s="4">
        <v>1</v>
      </c>
      <c r="D463" s="5">
        <v>4.1500000000000004</v>
      </c>
      <c r="E463" s="5">
        <v>10.99</v>
      </c>
      <c r="F463" s="4" t="s">
        <v>2076</v>
      </c>
      <c r="G463" s="2"/>
      <c r="H463" s="7"/>
      <c r="I463" s="2" t="s">
        <v>312</v>
      </c>
      <c r="J463" s="2" t="s">
        <v>2077</v>
      </c>
      <c r="K463" s="2" t="s">
        <v>304</v>
      </c>
      <c r="L463" s="2" t="s">
        <v>2078</v>
      </c>
      <c r="M463" s="8" t="str">
        <f>HYPERLINK("http://slimages.macys.com/is/image/MCY/12045142 ")</f>
        <v xml:space="preserve">http://slimages.macys.com/is/image/MCY/12045142 </v>
      </c>
    </row>
    <row r="464" spans="1:13" ht="60" x14ac:dyDescent="0.25">
      <c r="A464" s="7" t="s">
        <v>10223</v>
      </c>
      <c r="B464" s="2" t="s">
        <v>10224</v>
      </c>
      <c r="C464" s="4">
        <v>1</v>
      </c>
      <c r="D464" s="5">
        <v>4.1500000000000004</v>
      </c>
      <c r="E464" s="5">
        <v>8.99</v>
      </c>
      <c r="F464" s="4" t="s">
        <v>10225</v>
      </c>
      <c r="G464" s="2" t="s">
        <v>41</v>
      </c>
      <c r="H464" s="7" t="s">
        <v>618</v>
      </c>
      <c r="I464" s="2" t="s">
        <v>380</v>
      </c>
      <c r="J464" s="2" t="s">
        <v>544</v>
      </c>
      <c r="K464" s="2" t="s">
        <v>304</v>
      </c>
      <c r="L464" s="2" t="s">
        <v>119</v>
      </c>
      <c r="M464" s="8" t="str">
        <f>HYPERLINK("http://slimages.macys.com/is/image/MCY/11867584 ")</f>
        <v xml:space="preserve">http://slimages.macys.com/is/image/MCY/11867584 </v>
      </c>
    </row>
    <row r="465" spans="1:13" ht="60" x14ac:dyDescent="0.25">
      <c r="A465" s="7" t="s">
        <v>10226</v>
      </c>
      <c r="B465" s="2" t="s">
        <v>10224</v>
      </c>
      <c r="C465" s="4">
        <v>1</v>
      </c>
      <c r="D465" s="5">
        <v>4.1500000000000004</v>
      </c>
      <c r="E465" s="5">
        <v>8.99</v>
      </c>
      <c r="F465" s="4" t="s">
        <v>10225</v>
      </c>
      <c r="G465" s="2" t="s">
        <v>41</v>
      </c>
      <c r="H465" s="7" t="s">
        <v>317</v>
      </c>
      <c r="I465" s="2" t="s">
        <v>380</v>
      </c>
      <c r="J465" s="2" t="s">
        <v>544</v>
      </c>
      <c r="K465" s="2" t="s">
        <v>304</v>
      </c>
      <c r="L465" s="2" t="s">
        <v>119</v>
      </c>
      <c r="M465" s="8" t="str">
        <f>HYPERLINK("http://slimages.macys.com/is/image/MCY/11867584 ")</f>
        <v xml:space="preserve">http://slimages.macys.com/is/image/MCY/11867584 </v>
      </c>
    </row>
    <row r="466" spans="1:13" ht="60" x14ac:dyDescent="0.25">
      <c r="A466" s="7" t="s">
        <v>10227</v>
      </c>
      <c r="B466" s="2" t="s">
        <v>10228</v>
      </c>
      <c r="C466" s="4">
        <v>1</v>
      </c>
      <c r="D466" s="5">
        <v>4.1500000000000004</v>
      </c>
      <c r="E466" s="5">
        <v>9.99</v>
      </c>
      <c r="F466" s="4" t="s">
        <v>10229</v>
      </c>
      <c r="G466" s="2" t="s">
        <v>262</v>
      </c>
      <c r="H466" s="7" t="s">
        <v>217</v>
      </c>
      <c r="I466" s="2" t="s">
        <v>468</v>
      </c>
      <c r="J466" s="2" t="s">
        <v>469</v>
      </c>
      <c r="K466" s="2" t="s">
        <v>304</v>
      </c>
      <c r="L466" s="2" t="s">
        <v>119</v>
      </c>
      <c r="M466" s="8" t="str">
        <f>HYPERLINK("http://slimages.macys.com/is/image/MCY/14316077 ")</f>
        <v xml:space="preserve">http://slimages.macys.com/is/image/MCY/14316077 </v>
      </c>
    </row>
    <row r="467" spans="1:13" ht="60" x14ac:dyDescent="0.25">
      <c r="A467" s="7" t="s">
        <v>6369</v>
      </c>
      <c r="B467" s="2" t="s">
        <v>6370</v>
      </c>
      <c r="C467" s="4">
        <v>2</v>
      </c>
      <c r="D467" s="5">
        <v>4.1500000000000004</v>
      </c>
      <c r="E467" s="5">
        <v>9.99</v>
      </c>
      <c r="F467" s="4" t="s">
        <v>6371</v>
      </c>
      <c r="G467" s="2" t="s">
        <v>62</v>
      </c>
      <c r="H467" s="7" t="s">
        <v>228</v>
      </c>
      <c r="I467" s="2" t="s">
        <v>468</v>
      </c>
      <c r="J467" s="2" t="s">
        <v>469</v>
      </c>
      <c r="K467" s="2" t="s">
        <v>304</v>
      </c>
      <c r="L467" s="2" t="s">
        <v>119</v>
      </c>
      <c r="M467" s="8" t="str">
        <f>HYPERLINK("http://slimages.macys.com/is/image/MCY/12809145 ")</f>
        <v xml:space="preserve">http://slimages.macys.com/is/image/MCY/12809145 </v>
      </c>
    </row>
    <row r="468" spans="1:13" ht="60" x14ac:dyDescent="0.25">
      <c r="A468" s="7" t="s">
        <v>10230</v>
      </c>
      <c r="B468" s="2" t="s">
        <v>6370</v>
      </c>
      <c r="C468" s="4">
        <v>1</v>
      </c>
      <c r="D468" s="5">
        <v>4.1500000000000004</v>
      </c>
      <c r="E468" s="5">
        <v>9.99</v>
      </c>
      <c r="F468" s="4" t="s">
        <v>6371</v>
      </c>
      <c r="G468" s="2" t="s">
        <v>62</v>
      </c>
      <c r="H468" s="7" t="s">
        <v>217</v>
      </c>
      <c r="I468" s="2" t="s">
        <v>468</v>
      </c>
      <c r="J468" s="2" t="s">
        <v>469</v>
      </c>
      <c r="K468" s="2" t="s">
        <v>304</v>
      </c>
      <c r="L468" s="2" t="s">
        <v>119</v>
      </c>
      <c r="M468" s="8" t="str">
        <f>HYPERLINK("http://slimages.macys.com/is/image/MCY/12809145 ")</f>
        <v xml:space="preserve">http://slimages.macys.com/is/image/MCY/12809145 </v>
      </c>
    </row>
    <row r="469" spans="1:13" ht="60" x14ac:dyDescent="0.25">
      <c r="A469" s="7" t="s">
        <v>10231</v>
      </c>
      <c r="B469" s="2" t="s">
        <v>6370</v>
      </c>
      <c r="C469" s="4">
        <v>2</v>
      </c>
      <c r="D469" s="5">
        <v>4.1500000000000004</v>
      </c>
      <c r="E469" s="5">
        <v>9.99</v>
      </c>
      <c r="F469" s="4" t="s">
        <v>6371</v>
      </c>
      <c r="G469" s="2" t="s">
        <v>62</v>
      </c>
      <c r="H469" s="7" t="s">
        <v>159</v>
      </c>
      <c r="I469" s="2" t="s">
        <v>468</v>
      </c>
      <c r="J469" s="2" t="s">
        <v>469</v>
      </c>
      <c r="K469" s="2" t="s">
        <v>304</v>
      </c>
      <c r="L469" s="2" t="s">
        <v>119</v>
      </c>
      <c r="M469" s="8" t="str">
        <f>HYPERLINK("http://slimages.macys.com/is/image/MCY/12809145 ")</f>
        <v xml:space="preserve">http://slimages.macys.com/is/image/MCY/12809145 </v>
      </c>
    </row>
    <row r="470" spans="1:13" ht="60" x14ac:dyDescent="0.25">
      <c r="A470" s="7" t="s">
        <v>9674</v>
      </c>
      <c r="B470" s="2" t="s">
        <v>8360</v>
      </c>
      <c r="C470" s="4">
        <v>1</v>
      </c>
      <c r="D470" s="5">
        <v>4.1500000000000004</v>
      </c>
      <c r="E470" s="5">
        <v>9.99</v>
      </c>
      <c r="F470" s="4" t="s">
        <v>8361</v>
      </c>
      <c r="G470" s="2" t="s">
        <v>262</v>
      </c>
      <c r="H470" s="7" t="s">
        <v>217</v>
      </c>
      <c r="I470" s="2" t="s">
        <v>468</v>
      </c>
      <c r="J470" s="2" t="s">
        <v>469</v>
      </c>
      <c r="K470" s="2" t="s">
        <v>304</v>
      </c>
      <c r="L470" s="2" t="s">
        <v>119</v>
      </c>
      <c r="M470" s="8" t="str">
        <f>HYPERLINK("http://slimages.macys.com/is/image/MCY/12809148 ")</f>
        <v xml:space="preserve">http://slimages.macys.com/is/image/MCY/12809148 </v>
      </c>
    </row>
    <row r="471" spans="1:13" ht="60" x14ac:dyDescent="0.25">
      <c r="A471" s="7" t="s">
        <v>10232</v>
      </c>
      <c r="B471" s="2" t="s">
        <v>10228</v>
      </c>
      <c r="C471" s="4">
        <v>1</v>
      </c>
      <c r="D471" s="5">
        <v>4.1500000000000004</v>
      </c>
      <c r="E471" s="5">
        <v>9.99</v>
      </c>
      <c r="F471" s="4" t="s">
        <v>10229</v>
      </c>
      <c r="G471" s="2" t="s">
        <v>262</v>
      </c>
      <c r="H471" s="7" t="s">
        <v>159</v>
      </c>
      <c r="I471" s="2" t="s">
        <v>468</v>
      </c>
      <c r="J471" s="2" t="s">
        <v>469</v>
      </c>
      <c r="K471" s="2" t="s">
        <v>304</v>
      </c>
      <c r="L471" s="2" t="s">
        <v>119</v>
      </c>
      <c r="M471" s="8" t="str">
        <f>HYPERLINK("http://slimages.macys.com/is/image/MCY/14316077 ")</f>
        <v xml:space="preserve">http://slimages.macys.com/is/image/MCY/14316077 </v>
      </c>
    </row>
    <row r="472" spans="1:13" ht="60" x14ac:dyDescent="0.25">
      <c r="A472" s="7" t="s">
        <v>4249</v>
      </c>
      <c r="B472" s="2" t="s">
        <v>4250</v>
      </c>
      <c r="C472" s="4">
        <v>1</v>
      </c>
      <c r="D472" s="5">
        <v>4.1100000000000003</v>
      </c>
      <c r="E472" s="5">
        <v>10.99</v>
      </c>
      <c r="F472" s="4" t="s">
        <v>4251</v>
      </c>
      <c r="G472" s="2" t="s">
        <v>86</v>
      </c>
      <c r="H472" s="7" t="s">
        <v>159</v>
      </c>
      <c r="I472" s="2" t="s">
        <v>389</v>
      </c>
      <c r="J472" s="2" t="s">
        <v>354</v>
      </c>
      <c r="K472" s="2" t="s">
        <v>304</v>
      </c>
      <c r="L472" s="2" t="s">
        <v>119</v>
      </c>
      <c r="M472" s="8" t="str">
        <f>HYPERLINK("http://slimages.macys.com/is/image/MCY/11499705 ")</f>
        <v xml:space="preserve">http://slimages.macys.com/is/image/MCY/11499705 </v>
      </c>
    </row>
    <row r="473" spans="1:13" ht="60" x14ac:dyDescent="0.25">
      <c r="A473" s="7" t="s">
        <v>10233</v>
      </c>
      <c r="B473" s="2" t="s">
        <v>4250</v>
      </c>
      <c r="C473" s="4">
        <v>1</v>
      </c>
      <c r="D473" s="5">
        <v>4.1100000000000003</v>
      </c>
      <c r="E473" s="5">
        <v>10.99</v>
      </c>
      <c r="F473" s="4" t="s">
        <v>4251</v>
      </c>
      <c r="G473" s="2" t="s">
        <v>86</v>
      </c>
      <c r="H473" s="7" t="s">
        <v>284</v>
      </c>
      <c r="I473" s="2" t="s">
        <v>389</v>
      </c>
      <c r="J473" s="2" t="s">
        <v>354</v>
      </c>
      <c r="K473" s="2" t="s">
        <v>304</v>
      </c>
      <c r="L473" s="2" t="s">
        <v>119</v>
      </c>
      <c r="M473" s="8" t="str">
        <f>HYPERLINK("http://slimages.macys.com/is/image/MCY/11499705 ")</f>
        <v xml:space="preserve">http://slimages.macys.com/is/image/MCY/11499705 </v>
      </c>
    </row>
    <row r="474" spans="1:13" ht="84" x14ac:dyDescent="0.25">
      <c r="A474" s="7" t="s">
        <v>10234</v>
      </c>
      <c r="B474" s="2" t="s">
        <v>6375</v>
      </c>
      <c r="C474" s="4">
        <v>1</v>
      </c>
      <c r="D474" s="5">
        <v>4.05</v>
      </c>
      <c r="E474" s="5">
        <v>9.99</v>
      </c>
      <c r="F474" s="4" t="s">
        <v>6376</v>
      </c>
      <c r="G474" s="2" t="s">
        <v>582</v>
      </c>
      <c r="H474" s="7" t="s">
        <v>578</v>
      </c>
      <c r="I474" s="2" t="s">
        <v>515</v>
      </c>
      <c r="J474" s="2" t="s">
        <v>875</v>
      </c>
      <c r="K474" s="2" t="s">
        <v>304</v>
      </c>
      <c r="L474" s="2" t="s">
        <v>6377</v>
      </c>
      <c r="M474" s="8" t="str">
        <f>HYPERLINK("http://slimages.macys.com/is/image/MCY/12953223 ")</f>
        <v xml:space="preserve">http://slimages.macys.com/is/image/MCY/12953223 </v>
      </c>
    </row>
    <row r="475" spans="1:13" ht="84" x14ac:dyDescent="0.25">
      <c r="A475" s="7" t="s">
        <v>9144</v>
      </c>
      <c r="B475" s="2" t="s">
        <v>6375</v>
      </c>
      <c r="C475" s="4">
        <v>1</v>
      </c>
      <c r="D475" s="5">
        <v>4.05</v>
      </c>
      <c r="E475" s="5">
        <v>9.99</v>
      </c>
      <c r="F475" s="4" t="s">
        <v>6376</v>
      </c>
      <c r="G475" s="2" t="s">
        <v>103</v>
      </c>
      <c r="H475" s="7" t="s">
        <v>1151</v>
      </c>
      <c r="I475" s="2" t="s">
        <v>515</v>
      </c>
      <c r="J475" s="2" t="s">
        <v>875</v>
      </c>
      <c r="K475" s="2" t="s">
        <v>304</v>
      </c>
      <c r="L475" s="2" t="s">
        <v>6377</v>
      </c>
      <c r="M475" s="8" t="str">
        <f>HYPERLINK("http://slimages.macys.com/is/image/MCY/12953223 ")</f>
        <v xml:space="preserve">http://slimages.macys.com/is/image/MCY/12953223 </v>
      </c>
    </row>
    <row r="476" spans="1:13" ht="84" x14ac:dyDescent="0.25">
      <c r="A476" s="7" t="s">
        <v>10235</v>
      </c>
      <c r="B476" s="2" t="s">
        <v>6375</v>
      </c>
      <c r="C476" s="4">
        <v>2</v>
      </c>
      <c r="D476" s="5">
        <v>4.05</v>
      </c>
      <c r="E476" s="5">
        <v>9.99</v>
      </c>
      <c r="F476" s="4" t="s">
        <v>6376</v>
      </c>
      <c r="G476" s="2" t="s">
        <v>103</v>
      </c>
      <c r="H476" s="7" t="s">
        <v>514</v>
      </c>
      <c r="I476" s="2" t="s">
        <v>515</v>
      </c>
      <c r="J476" s="2" t="s">
        <v>875</v>
      </c>
      <c r="K476" s="2" t="s">
        <v>304</v>
      </c>
      <c r="L476" s="2" t="s">
        <v>6377</v>
      </c>
      <c r="M476" s="8" t="str">
        <f>HYPERLINK("http://slimages.macys.com/is/image/MCY/12953223 ")</f>
        <v xml:space="preserve">http://slimages.macys.com/is/image/MCY/12953223 </v>
      </c>
    </row>
    <row r="477" spans="1:13" ht="84" x14ac:dyDescent="0.25">
      <c r="A477" s="7" t="s">
        <v>10236</v>
      </c>
      <c r="B477" s="2" t="s">
        <v>6375</v>
      </c>
      <c r="C477" s="4">
        <v>2</v>
      </c>
      <c r="D477" s="5">
        <v>4.05</v>
      </c>
      <c r="E477" s="5">
        <v>9.99</v>
      </c>
      <c r="F477" s="4" t="s">
        <v>6376</v>
      </c>
      <c r="G477" s="2" t="s">
        <v>103</v>
      </c>
      <c r="H477" s="7" t="s">
        <v>123</v>
      </c>
      <c r="I477" s="2" t="s">
        <v>515</v>
      </c>
      <c r="J477" s="2" t="s">
        <v>875</v>
      </c>
      <c r="K477" s="2" t="s">
        <v>304</v>
      </c>
      <c r="L477" s="2" t="s">
        <v>8363</v>
      </c>
      <c r="M477" s="8" t="str">
        <f>HYPERLINK("http://slimages.macys.com/is/image/MCY/12387448 ")</f>
        <v xml:space="preserve">http://slimages.macys.com/is/image/MCY/12387448 </v>
      </c>
    </row>
    <row r="478" spans="1:13" ht="84" x14ac:dyDescent="0.25">
      <c r="A478" s="7" t="s">
        <v>10237</v>
      </c>
      <c r="B478" s="2" t="s">
        <v>6375</v>
      </c>
      <c r="C478" s="4">
        <v>1</v>
      </c>
      <c r="D478" s="5">
        <v>4.05</v>
      </c>
      <c r="E478" s="5">
        <v>9.99</v>
      </c>
      <c r="F478" s="4" t="s">
        <v>6376</v>
      </c>
      <c r="G478" s="2" t="s">
        <v>36</v>
      </c>
      <c r="H478" s="7" t="s">
        <v>123</v>
      </c>
      <c r="I478" s="2" t="s">
        <v>515</v>
      </c>
      <c r="J478" s="2" t="s">
        <v>875</v>
      </c>
      <c r="K478" s="2" t="s">
        <v>304</v>
      </c>
      <c r="L478" s="2" t="s">
        <v>8363</v>
      </c>
      <c r="M478" s="8" t="str">
        <f>HYPERLINK("http://slimages.macys.com/is/image/MCY/12953221 ")</f>
        <v xml:space="preserve">http://slimages.macys.com/is/image/MCY/12953221 </v>
      </c>
    </row>
    <row r="479" spans="1:13" ht="84" x14ac:dyDescent="0.25">
      <c r="A479" s="7" t="s">
        <v>10238</v>
      </c>
      <c r="B479" s="2" t="s">
        <v>6375</v>
      </c>
      <c r="C479" s="4">
        <v>1</v>
      </c>
      <c r="D479" s="5">
        <v>4.05</v>
      </c>
      <c r="E479" s="5">
        <v>9.99</v>
      </c>
      <c r="F479" s="4" t="s">
        <v>6376</v>
      </c>
      <c r="G479" s="2" t="s">
        <v>103</v>
      </c>
      <c r="H479" s="7" t="s">
        <v>311</v>
      </c>
      <c r="I479" s="2" t="s">
        <v>515</v>
      </c>
      <c r="J479" s="2" t="s">
        <v>875</v>
      </c>
      <c r="K479" s="2" t="s">
        <v>304</v>
      </c>
      <c r="L479" s="2" t="s">
        <v>8363</v>
      </c>
      <c r="M479" s="8" t="str">
        <f>HYPERLINK("http://slimages.macys.com/is/image/MCY/12387448 ")</f>
        <v xml:space="preserve">http://slimages.macys.com/is/image/MCY/12387448 </v>
      </c>
    </row>
    <row r="480" spans="1:13" ht="60" x14ac:dyDescent="0.25">
      <c r="A480" s="7" t="s">
        <v>10239</v>
      </c>
      <c r="B480" s="2" t="s">
        <v>6419</v>
      </c>
      <c r="C480" s="4">
        <v>1</v>
      </c>
      <c r="D480" s="5">
        <v>4.04</v>
      </c>
      <c r="E480" s="5">
        <v>6.99</v>
      </c>
      <c r="F480" s="4" t="s">
        <v>10240</v>
      </c>
      <c r="G480" s="2" t="s">
        <v>1747</v>
      </c>
      <c r="H480" s="7" t="s">
        <v>196</v>
      </c>
      <c r="I480" s="2" t="s">
        <v>73</v>
      </c>
      <c r="J480" s="2" t="s">
        <v>1917</v>
      </c>
      <c r="K480" s="2" t="s">
        <v>304</v>
      </c>
      <c r="L480" s="2" t="s">
        <v>119</v>
      </c>
      <c r="M480" s="8" t="str">
        <f>HYPERLINK("http://slimages.macys.com/is/image/MCY/12952999 ")</f>
        <v xml:space="preserve">http://slimages.macys.com/is/image/MCY/12952999 </v>
      </c>
    </row>
    <row r="481" spans="1:13" ht="60" x14ac:dyDescent="0.25">
      <c r="A481" s="7" t="s">
        <v>10241</v>
      </c>
      <c r="B481" s="2" t="s">
        <v>2128</v>
      </c>
      <c r="C481" s="4">
        <v>1</v>
      </c>
      <c r="D481" s="5">
        <v>4.04</v>
      </c>
      <c r="E481" s="5">
        <v>6.99</v>
      </c>
      <c r="F481" s="4" t="s">
        <v>10242</v>
      </c>
      <c r="G481" s="2" t="s">
        <v>28</v>
      </c>
      <c r="H481" s="7" t="s">
        <v>159</v>
      </c>
      <c r="I481" s="2" t="s">
        <v>80</v>
      </c>
      <c r="J481" s="2" t="s">
        <v>1917</v>
      </c>
      <c r="K481" s="2" t="s">
        <v>304</v>
      </c>
      <c r="L481" s="2" t="s">
        <v>125</v>
      </c>
      <c r="M481" s="8" t="str">
        <f>HYPERLINK("http://slimages.macys.com/is/image/MCY/12751351 ")</f>
        <v xml:space="preserve">http://slimages.macys.com/is/image/MCY/12751351 </v>
      </c>
    </row>
    <row r="482" spans="1:13" ht="60" x14ac:dyDescent="0.25">
      <c r="A482" s="7" t="s">
        <v>10243</v>
      </c>
      <c r="B482" s="2" t="s">
        <v>6423</v>
      </c>
      <c r="C482" s="4">
        <v>1</v>
      </c>
      <c r="D482" s="5">
        <v>4.04</v>
      </c>
      <c r="E482" s="5">
        <v>6.99</v>
      </c>
      <c r="F482" s="4" t="s">
        <v>10244</v>
      </c>
      <c r="G482" s="2" t="s">
        <v>28</v>
      </c>
      <c r="H482" s="7" t="s">
        <v>159</v>
      </c>
      <c r="I482" s="2" t="s">
        <v>80</v>
      </c>
      <c r="J482" s="2" t="s">
        <v>1917</v>
      </c>
      <c r="K482" s="2" t="s">
        <v>304</v>
      </c>
      <c r="L482" s="2" t="s">
        <v>493</v>
      </c>
      <c r="M482" s="8" t="str">
        <f>HYPERLINK("http://slimages.macys.com/is/image/MCY/9369126 ")</f>
        <v xml:space="preserve">http://slimages.macys.com/is/image/MCY/9369126 </v>
      </c>
    </row>
    <row r="483" spans="1:13" ht="60" x14ac:dyDescent="0.25">
      <c r="A483" s="7" t="s">
        <v>10245</v>
      </c>
      <c r="B483" s="2" t="s">
        <v>10246</v>
      </c>
      <c r="C483" s="4">
        <v>1</v>
      </c>
      <c r="D483" s="5">
        <v>4.03</v>
      </c>
      <c r="E483" s="5">
        <v>10.99</v>
      </c>
      <c r="F483" s="4" t="s">
        <v>10247</v>
      </c>
      <c r="G483" s="2" t="s">
        <v>1360</v>
      </c>
      <c r="H483" s="7" t="s">
        <v>149</v>
      </c>
      <c r="I483" s="2" t="s">
        <v>483</v>
      </c>
      <c r="J483" s="2" t="s">
        <v>536</v>
      </c>
      <c r="K483" s="2" t="s">
        <v>304</v>
      </c>
      <c r="L483" s="2" t="s">
        <v>38</v>
      </c>
      <c r="M483" s="8" t="str">
        <f>HYPERLINK("http://slimages.macys.com/is/image/MCY/12708288 ")</f>
        <v xml:space="preserve">http://slimages.macys.com/is/image/MCY/12708288 </v>
      </c>
    </row>
    <row r="484" spans="1:13" ht="60" x14ac:dyDescent="0.25">
      <c r="A484" s="7" t="s">
        <v>10248</v>
      </c>
      <c r="B484" s="2" t="s">
        <v>1149</v>
      </c>
      <c r="C484" s="4">
        <v>1</v>
      </c>
      <c r="D484" s="5">
        <v>4.01</v>
      </c>
      <c r="E484" s="5">
        <v>9.99</v>
      </c>
      <c r="F484" s="4" t="s">
        <v>1150</v>
      </c>
      <c r="G484" s="2" t="s">
        <v>657</v>
      </c>
      <c r="H484" s="7" t="s">
        <v>514</v>
      </c>
      <c r="I484" s="2" t="s">
        <v>515</v>
      </c>
      <c r="J484" s="2" t="s">
        <v>875</v>
      </c>
      <c r="K484" s="2" t="s">
        <v>304</v>
      </c>
      <c r="L484" s="2" t="s">
        <v>119</v>
      </c>
      <c r="M484" s="8" t="str">
        <f>HYPERLINK("http://slimages.macys.com/is/image/MCY/12387459 ")</f>
        <v xml:space="preserve">http://slimages.macys.com/is/image/MCY/12387459 </v>
      </c>
    </row>
    <row r="485" spans="1:13" ht="60" x14ac:dyDescent="0.25">
      <c r="A485" s="7" t="s">
        <v>10249</v>
      </c>
      <c r="B485" s="2" t="s">
        <v>3478</v>
      </c>
      <c r="C485" s="4">
        <v>1</v>
      </c>
      <c r="D485" s="5">
        <v>4</v>
      </c>
      <c r="E485" s="5">
        <v>9.99</v>
      </c>
      <c r="F485" s="4" t="s">
        <v>3479</v>
      </c>
      <c r="G485" s="2" t="s">
        <v>643</v>
      </c>
      <c r="H485" s="7" t="s">
        <v>217</v>
      </c>
      <c r="I485" s="2" t="s">
        <v>468</v>
      </c>
      <c r="J485" s="2" t="s">
        <v>469</v>
      </c>
      <c r="K485" s="2" t="s">
        <v>304</v>
      </c>
      <c r="L485" s="2" t="s">
        <v>119</v>
      </c>
      <c r="M485" s="8" t="str">
        <f>HYPERLINK("http://slimages.macys.com/is/image/MCY/12724878 ")</f>
        <v xml:space="preserve">http://slimages.macys.com/is/image/MCY/12724878 </v>
      </c>
    </row>
    <row r="486" spans="1:13" ht="60" x14ac:dyDescent="0.25">
      <c r="A486" s="7" t="s">
        <v>8364</v>
      </c>
      <c r="B486" s="2" t="s">
        <v>1153</v>
      </c>
      <c r="C486" s="4">
        <v>4</v>
      </c>
      <c r="D486" s="5">
        <v>4</v>
      </c>
      <c r="E486" s="5">
        <v>9.99</v>
      </c>
      <c r="F486" s="4" t="s">
        <v>1154</v>
      </c>
      <c r="G486" s="2" t="s">
        <v>86</v>
      </c>
      <c r="H486" s="7" t="s">
        <v>159</v>
      </c>
      <c r="I486" s="2" t="s">
        <v>468</v>
      </c>
      <c r="J486" s="2" t="s">
        <v>469</v>
      </c>
      <c r="K486" s="2" t="s">
        <v>304</v>
      </c>
      <c r="L486" s="2" t="s">
        <v>119</v>
      </c>
      <c r="M486" s="8" t="str">
        <f>HYPERLINK("http://slimages.macys.com/is/image/MCY/12506792 ")</f>
        <v xml:space="preserve">http://slimages.macys.com/is/image/MCY/12506792 </v>
      </c>
    </row>
    <row r="487" spans="1:13" ht="60" x14ac:dyDescent="0.25">
      <c r="A487" s="7" t="s">
        <v>9151</v>
      </c>
      <c r="B487" s="2" t="s">
        <v>8366</v>
      </c>
      <c r="C487" s="4">
        <v>1</v>
      </c>
      <c r="D487" s="5">
        <v>4</v>
      </c>
      <c r="E487" s="5">
        <v>9.99</v>
      </c>
      <c r="F487" s="4" t="s">
        <v>8367</v>
      </c>
      <c r="G487" s="2" t="s">
        <v>62</v>
      </c>
      <c r="H487" s="7" t="s">
        <v>217</v>
      </c>
      <c r="I487" s="2" t="s">
        <v>468</v>
      </c>
      <c r="J487" s="2" t="s">
        <v>469</v>
      </c>
      <c r="K487" s="2" t="s">
        <v>304</v>
      </c>
      <c r="L487" s="2" t="s">
        <v>119</v>
      </c>
      <c r="M487" s="8" t="str">
        <f>HYPERLINK("http://slimages.macys.com/is/image/MCY/12506652 ")</f>
        <v xml:space="preserve">http://slimages.macys.com/is/image/MCY/12506652 </v>
      </c>
    </row>
    <row r="488" spans="1:13" ht="60" x14ac:dyDescent="0.25">
      <c r="A488" s="7" t="s">
        <v>10250</v>
      </c>
      <c r="B488" s="2" t="s">
        <v>1153</v>
      </c>
      <c r="C488" s="4">
        <v>2</v>
      </c>
      <c r="D488" s="5">
        <v>4</v>
      </c>
      <c r="E488" s="5">
        <v>9.99</v>
      </c>
      <c r="F488" s="4" t="s">
        <v>1154</v>
      </c>
      <c r="G488" s="2" t="s">
        <v>86</v>
      </c>
      <c r="H488" s="7" t="s">
        <v>284</v>
      </c>
      <c r="I488" s="2" t="s">
        <v>468</v>
      </c>
      <c r="J488" s="2" t="s">
        <v>469</v>
      </c>
      <c r="K488" s="2" t="s">
        <v>304</v>
      </c>
      <c r="L488" s="2" t="s">
        <v>119</v>
      </c>
      <c r="M488" s="8" t="str">
        <f>HYPERLINK("http://slimages.macys.com/is/image/MCY/12506792 ")</f>
        <v xml:space="preserve">http://slimages.macys.com/is/image/MCY/12506792 </v>
      </c>
    </row>
    <row r="489" spans="1:13" ht="60" x14ac:dyDescent="0.25">
      <c r="A489" s="7" t="s">
        <v>10251</v>
      </c>
      <c r="B489" s="2" t="s">
        <v>1153</v>
      </c>
      <c r="C489" s="4">
        <v>1</v>
      </c>
      <c r="D489" s="5">
        <v>4</v>
      </c>
      <c r="E489" s="5">
        <v>9.99</v>
      </c>
      <c r="F489" s="4" t="s">
        <v>1154</v>
      </c>
      <c r="G489" s="2" t="s">
        <v>86</v>
      </c>
      <c r="H489" s="7" t="s">
        <v>228</v>
      </c>
      <c r="I489" s="2" t="s">
        <v>468</v>
      </c>
      <c r="J489" s="2" t="s">
        <v>469</v>
      </c>
      <c r="K489" s="2" t="s">
        <v>304</v>
      </c>
      <c r="L489" s="2" t="s">
        <v>119</v>
      </c>
      <c r="M489" s="8" t="str">
        <f>HYPERLINK("http://slimages.macys.com/is/image/MCY/12506792 ")</f>
        <v xml:space="preserve">http://slimages.macys.com/is/image/MCY/12506792 </v>
      </c>
    </row>
    <row r="490" spans="1:13" ht="60" x14ac:dyDescent="0.25">
      <c r="A490" s="7" t="s">
        <v>1152</v>
      </c>
      <c r="B490" s="2" t="s">
        <v>1153</v>
      </c>
      <c r="C490" s="4">
        <v>2</v>
      </c>
      <c r="D490" s="5">
        <v>4</v>
      </c>
      <c r="E490" s="5">
        <v>9.99</v>
      </c>
      <c r="F490" s="4" t="s">
        <v>1154</v>
      </c>
      <c r="G490" s="2" t="s">
        <v>86</v>
      </c>
      <c r="H490" s="7" t="s">
        <v>217</v>
      </c>
      <c r="I490" s="2" t="s">
        <v>468</v>
      </c>
      <c r="J490" s="2" t="s">
        <v>469</v>
      </c>
      <c r="K490" s="2" t="s">
        <v>304</v>
      </c>
      <c r="L490" s="2" t="s">
        <v>119</v>
      </c>
      <c r="M490" s="8" t="str">
        <f>HYPERLINK("http://slimages.macys.com/is/image/MCY/12506792 ")</f>
        <v xml:space="preserve">http://slimages.macys.com/is/image/MCY/12506792 </v>
      </c>
    </row>
    <row r="491" spans="1:13" ht="72" x14ac:dyDescent="0.25">
      <c r="A491" s="7" t="s">
        <v>10252</v>
      </c>
      <c r="B491" s="2" t="s">
        <v>6015</v>
      </c>
      <c r="C491" s="4">
        <v>2</v>
      </c>
      <c r="D491" s="5">
        <v>3.83</v>
      </c>
      <c r="E491" s="5">
        <v>9.99</v>
      </c>
      <c r="F491" s="4" t="s">
        <v>6016</v>
      </c>
      <c r="G491" s="2" t="s">
        <v>103</v>
      </c>
      <c r="H491" s="7" t="s">
        <v>63</v>
      </c>
      <c r="I491" s="2" t="s">
        <v>515</v>
      </c>
      <c r="J491" s="2" t="s">
        <v>875</v>
      </c>
      <c r="K491" s="2" t="s">
        <v>304</v>
      </c>
      <c r="L491" s="2" t="s">
        <v>6017</v>
      </c>
      <c r="M491" s="8" t="str">
        <f>HYPERLINK("http://slimages.macys.com/is/image/MCY/12387472 ")</f>
        <v xml:space="preserve">http://slimages.macys.com/is/image/MCY/12387472 </v>
      </c>
    </row>
    <row r="492" spans="1:13" ht="60" x14ac:dyDescent="0.25">
      <c r="A492" s="7" t="s">
        <v>2101</v>
      </c>
      <c r="B492" s="2" t="s">
        <v>2102</v>
      </c>
      <c r="C492" s="4">
        <v>1</v>
      </c>
      <c r="D492" s="5">
        <v>3.82</v>
      </c>
      <c r="E492" s="5">
        <v>16.8</v>
      </c>
      <c r="F492" s="4" t="s">
        <v>2103</v>
      </c>
      <c r="G492" s="2" t="s">
        <v>437</v>
      </c>
      <c r="H492" s="7" t="s">
        <v>531</v>
      </c>
      <c r="I492" s="2" t="s">
        <v>483</v>
      </c>
      <c r="J492" s="2" t="s">
        <v>536</v>
      </c>
      <c r="K492" s="2" t="s">
        <v>304</v>
      </c>
      <c r="L492" s="2"/>
      <c r="M492" s="8" t="str">
        <f>HYPERLINK("http://slimages.macys.com/is/image/MCY/12466269 ")</f>
        <v xml:space="preserve">http://slimages.macys.com/is/image/MCY/12466269 </v>
      </c>
    </row>
    <row r="493" spans="1:13" ht="60" x14ac:dyDescent="0.25">
      <c r="A493" s="7" t="s">
        <v>10253</v>
      </c>
      <c r="B493" s="2" t="s">
        <v>10254</v>
      </c>
      <c r="C493" s="4">
        <v>1</v>
      </c>
      <c r="D493" s="5">
        <v>3.74</v>
      </c>
      <c r="E493" s="5">
        <v>10.99</v>
      </c>
      <c r="F493" s="4" t="s">
        <v>10255</v>
      </c>
      <c r="G493" s="2" t="s">
        <v>262</v>
      </c>
      <c r="H493" s="7" t="s">
        <v>149</v>
      </c>
      <c r="I493" s="2" t="s">
        <v>483</v>
      </c>
      <c r="J493" s="2" t="s">
        <v>536</v>
      </c>
      <c r="K493" s="2" t="s">
        <v>304</v>
      </c>
      <c r="L493" s="2" t="s">
        <v>87</v>
      </c>
      <c r="M493" s="8" t="str">
        <f>HYPERLINK("http://slimages.macys.com/is/image/MCY/11710381 ")</f>
        <v xml:space="preserve">http://slimages.macys.com/is/image/MCY/11710381 </v>
      </c>
    </row>
    <row r="494" spans="1:13" ht="60" x14ac:dyDescent="0.25">
      <c r="A494" s="7" t="s">
        <v>5597</v>
      </c>
      <c r="B494" s="2" t="s">
        <v>5598</v>
      </c>
      <c r="C494" s="4">
        <v>1</v>
      </c>
      <c r="D494" s="5">
        <v>3.66</v>
      </c>
      <c r="E494" s="5">
        <v>7.99</v>
      </c>
      <c r="F494" s="4" t="s">
        <v>5599</v>
      </c>
      <c r="G494" s="2" t="s">
        <v>36</v>
      </c>
      <c r="H494" s="7" t="s">
        <v>123</v>
      </c>
      <c r="I494" s="2" t="s">
        <v>292</v>
      </c>
      <c r="J494" s="2" t="s">
        <v>354</v>
      </c>
      <c r="K494" s="2" t="s">
        <v>304</v>
      </c>
      <c r="L494" s="2" t="s">
        <v>119</v>
      </c>
      <c r="M494" s="8" t="str">
        <f>HYPERLINK("http://slimages.macys.com/is/image/MCY/11776293 ")</f>
        <v xml:space="preserve">http://slimages.macys.com/is/image/MCY/11776293 </v>
      </c>
    </row>
    <row r="495" spans="1:13" ht="60" x14ac:dyDescent="0.25">
      <c r="A495" s="7" t="s">
        <v>10256</v>
      </c>
      <c r="B495" s="2" t="s">
        <v>7797</v>
      </c>
      <c r="C495" s="4">
        <v>1</v>
      </c>
      <c r="D495" s="5">
        <v>3.66</v>
      </c>
      <c r="E495" s="5">
        <v>7.99</v>
      </c>
      <c r="F495" s="4" t="s">
        <v>7798</v>
      </c>
      <c r="G495" s="2" t="s">
        <v>41</v>
      </c>
      <c r="H495" s="7" t="s">
        <v>578</v>
      </c>
      <c r="I495" s="2" t="s">
        <v>292</v>
      </c>
      <c r="J495" s="2" t="s">
        <v>354</v>
      </c>
      <c r="K495" s="2" t="s">
        <v>304</v>
      </c>
      <c r="L495" s="2" t="s">
        <v>571</v>
      </c>
      <c r="M495" s="8" t="str">
        <f>HYPERLINK("http://slimages.macys.com/is/image/MCY/12684445 ")</f>
        <v xml:space="preserve">http://slimages.macys.com/is/image/MCY/12684445 </v>
      </c>
    </row>
    <row r="496" spans="1:13" ht="60" x14ac:dyDescent="0.25">
      <c r="A496" s="7" t="s">
        <v>2112</v>
      </c>
      <c r="B496" s="2" t="s">
        <v>2113</v>
      </c>
      <c r="C496" s="4">
        <v>1</v>
      </c>
      <c r="D496" s="5">
        <v>3.58</v>
      </c>
      <c r="E496" s="5">
        <v>8.99</v>
      </c>
      <c r="F496" s="4" t="s">
        <v>2114</v>
      </c>
      <c r="G496" s="2" t="s">
        <v>297</v>
      </c>
      <c r="H496" s="7"/>
      <c r="I496" s="2" t="s">
        <v>483</v>
      </c>
      <c r="J496" s="2" t="s">
        <v>536</v>
      </c>
      <c r="K496" s="2" t="s">
        <v>304</v>
      </c>
      <c r="L496" s="2" t="s">
        <v>119</v>
      </c>
      <c r="M496" s="8" t="str">
        <f>HYPERLINK("http://slimages.macys.com/is/image/MCY/13987501 ")</f>
        <v xml:space="preserve">http://slimages.macys.com/is/image/MCY/13987501 </v>
      </c>
    </row>
    <row r="497" spans="1:13" ht="60" x14ac:dyDescent="0.25">
      <c r="A497" s="7" t="s">
        <v>10257</v>
      </c>
      <c r="B497" s="2" t="s">
        <v>10258</v>
      </c>
      <c r="C497" s="4">
        <v>1</v>
      </c>
      <c r="D497" s="5">
        <v>3.55</v>
      </c>
      <c r="E497" s="5">
        <v>8.26</v>
      </c>
      <c r="F497" s="4" t="s">
        <v>10259</v>
      </c>
      <c r="G497" s="2"/>
      <c r="H497" s="7" t="s">
        <v>438</v>
      </c>
      <c r="I497" s="2" t="s">
        <v>153</v>
      </c>
      <c r="J497" s="2" t="s">
        <v>154</v>
      </c>
      <c r="K497" s="2" t="s">
        <v>304</v>
      </c>
      <c r="L497" s="2" t="s">
        <v>75</v>
      </c>
      <c r="M497" s="8" t="str">
        <f>HYPERLINK("http://slimages.macys.com/is/image/MCY/10090488 ")</f>
        <v xml:space="preserve">http://slimages.macys.com/is/image/MCY/10090488 </v>
      </c>
    </row>
    <row r="498" spans="1:13" ht="60" x14ac:dyDescent="0.25">
      <c r="A498" s="7" t="s">
        <v>10260</v>
      </c>
      <c r="B498" s="2" t="s">
        <v>8379</v>
      </c>
      <c r="C498" s="4">
        <v>1</v>
      </c>
      <c r="D498" s="5">
        <v>3.5</v>
      </c>
      <c r="E498" s="5">
        <v>8</v>
      </c>
      <c r="F498" s="4">
        <v>18197610</v>
      </c>
      <c r="G498" s="2" t="s">
        <v>48</v>
      </c>
      <c r="H498" s="7" t="s">
        <v>675</v>
      </c>
      <c r="I498" s="2" t="s">
        <v>153</v>
      </c>
      <c r="J498" s="2" t="s">
        <v>154</v>
      </c>
      <c r="K498" s="2" t="s">
        <v>304</v>
      </c>
      <c r="L498" s="2" t="s">
        <v>38</v>
      </c>
      <c r="M498" s="8" t="str">
        <f>HYPERLINK("http://slimages.macys.com/is/image/MCY/14608364 ")</f>
        <v xml:space="preserve">http://slimages.macys.com/is/image/MCY/14608364 </v>
      </c>
    </row>
    <row r="499" spans="1:13" ht="60" x14ac:dyDescent="0.25">
      <c r="A499" s="7" t="s">
        <v>10261</v>
      </c>
      <c r="B499" s="2" t="s">
        <v>7031</v>
      </c>
      <c r="C499" s="4">
        <v>1</v>
      </c>
      <c r="D499" s="5">
        <v>3.5</v>
      </c>
      <c r="E499" s="5">
        <v>7.99</v>
      </c>
      <c r="F499" s="4">
        <v>18203110</v>
      </c>
      <c r="G499" s="2" t="s">
        <v>752</v>
      </c>
      <c r="H499" s="7" t="s">
        <v>675</v>
      </c>
      <c r="I499" s="2" t="s">
        <v>153</v>
      </c>
      <c r="J499" s="2" t="s">
        <v>154</v>
      </c>
      <c r="K499" s="2" t="s">
        <v>304</v>
      </c>
      <c r="L499" s="2" t="s">
        <v>38</v>
      </c>
      <c r="M499" s="8" t="str">
        <f>HYPERLINK("http://slimages.macys.com/is/image/MCY/13852967 ")</f>
        <v xml:space="preserve">http://slimages.macys.com/is/image/MCY/13852967 </v>
      </c>
    </row>
    <row r="500" spans="1:13" ht="60" x14ac:dyDescent="0.25">
      <c r="A500" s="7" t="s">
        <v>10262</v>
      </c>
      <c r="B500" s="2" t="s">
        <v>4290</v>
      </c>
      <c r="C500" s="4">
        <v>1</v>
      </c>
      <c r="D500" s="5">
        <v>3.49</v>
      </c>
      <c r="E500" s="5">
        <v>7.99</v>
      </c>
      <c r="F500" s="4" t="s">
        <v>4291</v>
      </c>
      <c r="G500" s="2" t="s">
        <v>86</v>
      </c>
      <c r="H500" s="7" t="s">
        <v>63</v>
      </c>
      <c r="I500" s="2" t="s">
        <v>1689</v>
      </c>
      <c r="J500" s="2" t="s">
        <v>354</v>
      </c>
      <c r="K500" s="2" t="s">
        <v>304</v>
      </c>
      <c r="L500" s="2" t="s">
        <v>596</v>
      </c>
      <c r="M500" s="8" t="str">
        <f>HYPERLINK("http://slimages.macys.com/is/image/MCY/12938587 ")</f>
        <v xml:space="preserve">http://slimages.macys.com/is/image/MCY/12938587 </v>
      </c>
    </row>
    <row r="501" spans="1:13" ht="60" x14ac:dyDescent="0.25">
      <c r="A501" s="7" t="s">
        <v>4314</v>
      </c>
      <c r="B501" s="2" t="s">
        <v>4293</v>
      </c>
      <c r="C501" s="4">
        <v>1</v>
      </c>
      <c r="D501" s="5">
        <v>3.49</v>
      </c>
      <c r="E501" s="5">
        <v>7.99</v>
      </c>
      <c r="F501" s="4" t="s">
        <v>4294</v>
      </c>
      <c r="G501" s="2" t="s">
        <v>129</v>
      </c>
      <c r="H501" s="7" t="s">
        <v>578</v>
      </c>
      <c r="I501" s="2" t="s">
        <v>292</v>
      </c>
      <c r="J501" s="2" t="s">
        <v>354</v>
      </c>
      <c r="K501" s="2" t="s">
        <v>304</v>
      </c>
      <c r="L501" s="2" t="s">
        <v>119</v>
      </c>
      <c r="M501" s="8" t="str">
        <f>HYPERLINK("http://slimages.macys.com/is/image/MCY/13077248 ")</f>
        <v xml:space="preserve">http://slimages.macys.com/is/image/MCY/13077248 </v>
      </c>
    </row>
    <row r="502" spans="1:13" ht="60" x14ac:dyDescent="0.25">
      <c r="A502" s="7" t="s">
        <v>10263</v>
      </c>
      <c r="B502" s="2" t="s">
        <v>10264</v>
      </c>
      <c r="C502" s="4">
        <v>1</v>
      </c>
      <c r="D502" s="5">
        <v>3.49</v>
      </c>
      <c r="E502" s="5">
        <v>7.99</v>
      </c>
      <c r="F502" s="4" t="s">
        <v>10265</v>
      </c>
      <c r="G502" s="2" t="s">
        <v>793</v>
      </c>
      <c r="H502" s="7" t="s">
        <v>311</v>
      </c>
      <c r="I502" s="2" t="s">
        <v>292</v>
      </c>
      <c r="J502" s="2" t="s">
        <v>354</v>
      </c>
      <c r="K502" s="2" t="s">
        <v>304</v>
      </c>
      <c r="L502" s="2" t="s">
        <v>119</v>
      </c>
      <c r="M502" s="8" t="str">
        <f>HYPERLINK("http://slimages.macys.com/is/image/MCY/11527523 ")</f>
        <v xml:space="preserve">http://slimages.macys.com/is/image/MCY/11527523 </v>
      </c>
    </row>
    <row r="503" spans="1:13" ht="60" x14ac:dyDescent="0.25">
      <c r="A503" s="7" t="s">
        <v>7037</v>
      </c>
      <c r="B503" s="2" t="s">
        <v>2128</v>
      </c>
      <c r="C503" s="4">
        <v>1</v>
      </c>
      <c r="D503" s="5">
        <v>3.48</v>
      </c>
      <c r="E503" s="5">
        <v>5.99</v>
      </c>
      <c r="F503" s="4" t="s">
        <v>2129</v>
      </c>
      <c r="G503" s="2" t="s">
        <v>62</v>
      </c>
      <c r="H503" s="7" t="s">
        <v>144</v>
      </c>
      <c r="I503" s="2" t="s">
        <v>80</v>
      </c>
      <c r="J503" s="2" t="s">
        <v>1857</v>
      </c>
      <c r="K503" s="2" t="s">
        <v>304</v>
      </c>
      <c r="L503" s="2" t="s">
        <v>125</v>
      </c>
      <c r="M503" s="8" t="str">
        <f>HYPERLINK("http://slimages.macys.com/is/image/MCY/12751351 ")</f>
        <v xml:space="preserve">http://slimages.macys.com/is/image/MCY/12751351 </v>
      </c>
    </row>
    <row r="504" spans="1:13" ht="60" x14ac:dyDescent="0.25">
      <c r="A504" s="7" t="s">
        <v>10266</v>
      </c>
      <c r="B504" s="2" t="s">
        <v>10267</v>
      </c>
      <c r="C504" s="4">
        <v>1</v>
      </c>
      <c r="D504" s="5">
        <v>3.47</v>
      </c>
      <c r="E504" s="5">
        <v>7.99</v>
      </c>
      <c r="F504" s="4" t="s">
        <v>10268</v>
      </c>
      <c r="G504" s="2" t="s">
        <v>134</v>
      </c>
      <c r="H504" s="7" t="s">
        <v>514</v>
      </c>
      <c r="I504" s="2" t="s">
        <v>483</v>
      </c>
      <c r="J504" s="2" t="s">
        <v>536</v>
      </c>
      <c r="K504" s="2" t="s">
        <v>304</v>
      </c>
      <c r="L504" s="2" t="s">
        <v>119</v>
      </c>
      <c r="M504" s="8" t="str">
        <f>HYPERLINK("http://slimages.macys.com/is/image/MCY/9907255 ")</f>
        <v xml:space="preserve">http://slimages.macys.com/is/image/MCY/9907255 </v>
      </c>
    </row>
    <row r="505" spans="1:13" ht="108" x14ac:dyDescent="0.25">
      <c r="A505" s="7" t="s">
        <v>6446</v>
      </c>
      <c r="B505" s="2" t="s">
        <v>565</v>
      </c>
      <c r="C505" s="4">
        <v>1</v>
      </c>
      <c r="D505" s="5">
        <v>3.45</v>
      </c>
      <c r="E505" s="5">
        <v>7.99</v>
      </c>
      <c r="F505" s="4" t="s">
        <v>566</v>
      </c>
      <c r="G505" s="2" t="s">
        <v>28</v>
      </c>
      <c r="H505" s="7" t="s">
        <v>123</v>
      </c>
      <c r="I505" s="2" t="s">
        <v>292</v>
      </c>
      <c r="J505" s="2" t="s">
        <v>354</v>
      </c>
      <c r="K505" s="2" t="s">
        <v>304</v>
      </c>
      <c r="L505" s="2" t="s">
        <v>567</v>
      </c>
      <c r="M505" s="8" t="str">
        <f>HYPERLINK("http://slimages.macys.com/is/image/MCY/12684419 ")</f>
        <v xml:space="preserve">http://slimages.macys.com/is/image/MCY/12684419 </v>
      </c>
    </row>
    <row r="506" spans="1:13" ht="60" x14ac:dyDescent="0.25">
      <c r="A506" s="7" t="s">
        <v>10269</v>
      </c>
      <c r="B506" s="2" t="s">
        <v>3502</v>
      </c>
      <c r="C506" s="4">
        <v>1</v>
      </c>
      <c r="D506" s="5">
        <v>3.44</v>
      </c>
      <c r="E506" s="5">
        <v>7.99</v>
      </c>
      <c r="F506" s="4" t="s">
        <v>3503</v>
      </c>
      <c r="G506" s="2" t="s">
        <v>86</v>
      </c>
      <c r="H506" s="7" t="s">
        <v>311</v>
      </c>
      <c r="I506" s="2" t="s">
        <v>1689</v>
      </c>
      <c r="J506" s="2" t="s">
        <v>354</v>
      </c>
      <c r="K506" s="2" t="s">
        <v>304</v>
      </c>
      <c r="L506" s="2" t="s">
        <v>596</v>
      </c>
      <c r="M506" s="8" t="str">
        <f>HYPERLINK("http://slimages.macys.com/is/image/MCY/12494891 ")</f>
        <v xml:space="preserve">http://slimages.macys.com/is/image/MCY/12494891 </v>
      </c>
    </row>
    <row r="507" spans="1:13" ht="60" x14ac:dyDescent="0.25">
      <c r="A507" s="7" t="s">
        <v>3501</v>
      </c>
      <c r="B507" s="2" t="s">
        <v>3502</v>
      </c>
      <c r="C507" s="4">
        <v>1</v>
      </c>
      <c r="D507" s="5">
        <v>3.44</v>
      </c>
      <c r="E507" s="5">
        <v>7.99</v>
      </c>
      <c r="F507" s="4" t="s">
        <v>3503</v>
      </c>
      <c r="G507" s="2" t="s">
        <v>752</v>
      </c>
      <c r="H507" s="7" t="s">
        <v>123</v>
      </c>
      <c r="I507" s="2" t="s">
        <v>1689</v>
      </c>
      <c r="J507" s="2" t="s">
        <v>354</v>
      </c>
      <c r="K507" s="2" t="s">
        <v>304</v>
      </c>
      <c r="L507" s="2" t="s">
        <v>596</v>
      </c>
      <c r="M507" s="8" t="str">
        <f>HYPERLINK("http://slimages.macys.com/is/image/MCY/12494891 ")</f>
        <v xml:space="preserve">http://slimages.macys.com/is/image/MCY/12494891 </v>
      </c>
    </row>
    <row r="508" spans="1:13" ht="60" x14ac:dyDescent="0.25">
      <c r="A508" s="7" t="s">
        <v>4321</v>
      </c>
      <c r="B508" s="2" t="s">
        <v>3502</v>
      </c>
      <c r="C508" s="4">
        <v>1</v>
      </c>
      <c r="D508" s="5">
        <v>3.44</v>
      </c>
      <c r="E508" s="5">
        <v>7.99</v>
      </c>
      <c r="F508" s="4" t="s">
        <v>3503</v>
      </c>
      <c r="G508" s="2" t="s">
        <v>752</v>
      </c>
      <c r="H508" s="7" t="s">
        <v>311</v>
      </c>
      <c r="I508" s="2" t="s">
        <v>1689</v>
      </c>
      <c r="J508" s="2" t="s">
        <v>354</v>
      </c>
      <c r="K508" s="2" t="s">
        <v>304</v>
      </c>
      <c r="L508" s="2" t="s">
        <v>596</v>
      </c>
      <c r="M508" s="8" t="str">
        <f>HYPERLINK("http://slimages.macys.com/is/image/MCY/12494891 ")</f>
        <v xml:space="preserve">http://slimages.macys.com/is/image/MCY/12494891 </v>
      </c>
    </row>
    <row r="509" spans="1:13" ht="60" x14ac:dyDescent="0.25">
      <c r="A509" s="7" t="s">
        <v>10270</v>
      </c>
      <c r="B509" s="2" t="s">
        <v>4332</v>
      </c>
      <c r="C509" s="4">
        <v>1</v>
      </c>
      <c r="D509" s="5">
        <v>3.36</v>
      </c>
      <c r="E509" s="5">
        <v>7.99</v>
      </c>
      <c r="F509" s="4" t="s">
        <v>4333</v>
      </c>
      <c r="G509" s="2" t="s">
        <v>103</v>
      </c>
      <c r="H509" s="7" t="s">
        <v>123</v>
      </c>
      <c r="I509" s="2" t="s">
        <v>1689</v>
      </c>
      <c r="J509" s="2" t="s">
        <v>354</v>
      </c>
      <c r="K509" s="2" t="s">
        <v>304</v>
      </c>
      <c r="L509" s="2" t="s">
        <v>596</v>
      </c>
      <c r="M509" s="8" t="str">
        <f>HYPERLINK("http://slimages.macys.com/is/image/MCY/12492777 ")</f>
        <v xml:space="preserve">http://slimages.macys.com/is/image/MCY/12492777 </v>
      </c>
    </row>
    <row r="510" spans="1:13" ht="60" x14ac:dyDescent="0.25">
      <c r="A510" s="7" t="s">
        <v>2137</v>
      </c>
      <c r="B510" s="2" t="s">
        <v>2138</v>
      </c>
      <c r="C510" s="4">
        <v>1</v>
      </c>
      <c r="D510" s="5">
        <v>3.3</v>
      </c>
      <c r="E510" s="5">
        <v>7.99</v>
      </c>
      <c r="F510" s="4" t="s">
        <v>2139</v>
      </c>
      <c r="G510" s="2" t="s">
        <v>793</v>
      </c>
      <c r="H510" s="7" t="s">
        <v>123</v>
      </c>
      <c r="I510" s="2" t="s">
        <v>1689</v>
      </c>
      <c r="J510" s="2" t="s">
        <v>354</v>
      </c>
      <c r="K510" s="2" t="s">
        <v>304</v>
      </c>
      <c r="L510" s="2" t="s">
        <v>119</v>
      </c>
      <c r="M510" s="8" t="str">
        <f>HYPERLINK("http://slimages.macys.com/is/image/MCY/10178138 ")</f>
        <v xml:space="preserve">http://slimages.macys.com/is/image/MCY/10178138 </v>
      </c>
    </row>
    <row r="511" spans="1:13" ht="60" x14ac:dyDescent="0.25">
      <c r="A511" s="7" t="s">
        <v>10271</v>
      </c>
      <c r="B511" s="2" t="s">
        <v>5655</v>
      </c>
      <c r="C511" s="4">
        <v>2</v>
      </c>
      <c r="D511" s="5">
        <v>3.29</v>
      </c>
      <c r="E511" s="5">
        <v>7.99</v>
      </c>
      <c r="F511" s="4" t="s">
        <v>5656</v>
      </c>
      <c r="G511" s="2" t="s">
        <v>86</v>
      </c>
      <c r="H511" s="7" t="s">
        <v>63</v>
      </c>
      <c r="I511" s="2" t="s">
        <v>1689</v>
      </c>
      <c r="J511" s="2" t="s">
        <v>354</v>
      </c>
      <c r="K511" s="2" t="s">
        <v>304</v>
      </c>
      <c r="L511" s="2" t="s">
        <v>119</v>
      </c>
      <c r="M511" s="8" t="str">
        <f>HYPERLINK("http://slimages.macys.com/is/image/MCY/12493876 ")</f>
        <v xml:space="preserve">http://slimages.macys.com/is/image/MCY/12493876 </v>
      </c>
    </row>
    <row r="512" spans="1:13" ht="60" x14ac:dyDescent="0.25">
      <c r="A512" s="7" t="s">
        <v>7058</v>
      </c>
      <c r="B512" s="2" t="s">
        <v>2150</v>
      </c>
      <c r="C512" s="4">
        <v>1</v>
      </c>
      <c r="D512" s="5">
        <v>3.29</v>
      </c>
      <c r="E512" s="5">
        <v>7.99</v>
      </c>
      <c r="F512" s="4" t="s">
        <v>2151</v>
      </c>
      <c r="G512" s="2" t="s">
        <v>86</v>
      </c>
      <c r="H512" s="7" t="s">
        <v>123</v>
      </c>
      <c r="I512" s="2" t="s">
        <v>1689</v>
      </c>
      <c r="J512" s="2" t="s">
        <v>354</v>
      </c>
      <c r="K512" s="2" t="s">
        <v>304</v>
      </c>
      <c r="L512" s="2" t="s">
        <v>119</v>
      </c>
      <c r="M512" s="8" t="str">
        <f>HYPERLINK("http://slimages.macys.com/is/image/MCY/12938525 ")</f>
        <v xml:space="preserve">http://slimages.macys.com/is/image/MCY/12938525 </v>
      </c>
    </row>
    <row r="513" spans="1:13" ht="60" x14ac:dyDescent="0.25">
      <c r="A513" s="7" t="s">
        <v>10272</v>
      </c>
      <c r="B513" s="2" t="s">
        <v>10273</v>
      </c>
      <c r="C513" s="4">
        <v>1</v>
      </c>
      <c r="D513" s="5">
        <v>3.29</v>
      </c>
      <c r="E513" s="5">
        <v>7.99</v>
      </c>
      <c r="F513" s="4" t="s">
        <v>10274</v>
      </c>
      <c r="G513" s="2" t="s">
        <v>582</v>
      </c>
      <c r="H513" s="7" t="s">
        <v>123</v>
      </c>
      <c r="I513" s="2" t="s">
        <v>1689</v>
      </c>
      <c r="J513" s="2" t="s">
        <v>354</v>
      </c>
      <c r="K513" s="2" t="s">
        <v>304</v>
      </c>
      <c r="L513" s="2" t="s">
        <v>119</v>
      </c>
      <c r="M513" s="8" t="str">
        <f>HYPERLINK("http://slimages.macys.com/is/image/MCY/11976245 ")</f>
        <v xml:space="preserve">http://slimages.macys.com/is/image/MCY/11976245 </v>
      </c>
    </row>
    <row r="514" spans="1:13" ht="60" x14ac:dyDescent="0.25">
      <c r="A514" s="7" t="s">
        <v>4366</v>
      </c>
      <c r="B514" s="2" t="s">
        <v>2150</v>
      </c>
      <c r="C514" s="4">
        <v>1</v>
      </c>
      <c r="D514" s="5">
        <v>3.29</v>
      </c>
      <c r="E514" s="5">
        <v>7.99</v>
      </c>
      <c r="F514" s="4" t="s">
        <v>2151</v>
      </c>
      <c r="G514" s="2" t="s">
        <v>86</v>
      </c>
      <c r="H514" s="7" t="s">
        <v>514</v>
      </c>
      <c r="I514" s="2" t="s">
        <v>1689</v>
      </c>
      <c r="J514" s="2" t="s">
        <v>354</v>
      </c>
      <c r="K514" s="2" t="s">
        <v>304</v>
      </c>
      <c r="L514" s="2" t="s">
        <v>119</v>
      </c>
      <c r="M514" s="8" t="str">
        <f>HYPERLINK("http://slimages.macys.com/is/image/MCY/12938525 ")</f>
        <v xml:space="preserve">http://slimages.macys.com/is/image/MCY/12938525 </v>
      </c>
    </row>
    <row r="515" spans="1:13" ht="60" x14ac:dyDescent="0.25">
      <c r="A515" s="7" t="s">
        <v>10275</v>
      </c>
      <c r="B515" s="2" t="s">
        <v>2147</v>
      </c>
      <c r="C515" s="4">
        <v>1</v>
      </c>
      <c r="D515" s="5">
        <v>3.29</v>
      </c>
      <c r="E515" s="5">
        <v>7.99</v>
      </c>
      <c r="F515" s="4" t="s">
        <v>2148</v>
      </c>
      <c r="G515" s="2" t="s">
        <v>103</v>
      </c>
      <c r="H515" s="7" t="s">
        <v>578</v>
      </c>
      <c r="I515" s="2" t="s">
        <v>1689</v>
      </c>
      <c r="J515" s="2" t="s">
        <v>354</v>
      </c>
      <c r="K515" s="2" t="s">
        <v>304</v>
      </c>
      <c r="L515" s="2" t="s">
        <v>119</v>
      </c>
      <c r="M515" s="8" t="str">
        <f>HYPERLINK("http://slimages.macys.com/is/image/MCY/12938500 ")</f>
        <v xml:space="preserve">http://slimages.macys.com/is/image/MCY/12938500 </v>
      </c>
    </row>
    <row r="516" spans="1:13" ht="60" x14ac:dyDescent="0.25">
      <c r="A516" s="7" t="s">
        <v>10276</v>
      </c>
      <c r="B516" s="2" t="s">
        <v>5655</v>
      </c>
      <c r="C516" s="4">
        <v>1</v>
      </c>
      <c r="D516" s="5">
        <v>3.29</v>
      </c>
      <c r="E516" s="5">
        <v>7.99</v>
      </c>
      <c r="F516" s="4" t="s">
        <v>5656</v>
      </c>
      <c r="G516" s="2" t="s">
        <v>86</v>
      </c>
      <c r="H516" s="7" t="s">
        <v>514</v>
      </c>
      <c r="I516" s="2" t="s">
        <v>1689</v>
      </c>
      <c r="J516" s="2" t="s">
        <v>354</v>
      </c>
      <c r="K516" s="2" t="s">
        <v>304</v>
      </c>
      <c r="L516" s="2" t="s">
        <v>119</v>
      </c>
      <c r="M516" s="8" t="str">
        <f>HYPERLINK("http://slimages.macys.com/is/image/MCY/12493876 ")</f>
        <v xml:space="preserve">http://slimages.macys.com/is/image/MCY/12493876 </v>
      </c>
    </row>
    <row r="517" spans="1:13" ht="60" x14ac:dyDescent="0.25">
      <c r="A517" s="7" t="s">
        <v>5654</v>
      </c>
      <c r="B517" s="2" t="s">
        <v>5655</v>
      </c>
      <c r="C517" s="4">
        <v>1</v>
      </c>
      <c r="D517" s="5">
        <v>3.29</v>
      </c>
      <c r="E517" s="5">
        <v>7.99</v>
      </c>
      <c r="F517" s="4" t="s">
        <v>5656</v>
      </c>
      <c r="G517" s="2" t="s">
        <v>86</v>
      </c>
      <c r="H517" s="7" t="s">
        <v>123</v>
      </c>
      <c r="I517" s="2" t="s">
        <v>1689</v>
      </c>
      <c r="J517" s="2" t="s">
        <v>354</v>
      </c>
      <c r="K517" s="2" t="s">
        <v>304</v>
      </c>
      <c r="L517" s="2" t="s">
        <v>119</v>
      </c>
      <c r="M517" s="8" t="str">
        <f>HYPERLINK("http://slimages.macys.com/is/image/MCY/12493876 ")</f>
        <v xml:space="preserve">http://slimages.macys.com/is/image/MCY/12493876 </v>
      </c>
    </row>
    <row r="518" spans="1:13" ht="60" x14ac:dyDescent="0.25">
      <c r="A518" s="7" t="s">
        <v>10277</v>
      </c>
      <c r="B518" s="2" t="s">
        <v>5655</v>
      </c>
      <c r="C518" s="4">
        <v>1</v>
      </c>
      <c r="D518" s="5">
        <v>3.29</v>
      </c>
      <c r="E518" s="5">
        <v>7.99</v>
      </c>
      <c r="F518" s="4" t="s">
        <v>5656</v>
      </c>
      <c r="G518" s="2" t="s">
        <v>86</v>
      </c>
      <c r="H518" s="7" t="s">
        <v>1151</v>
      </c>
      <c r="I518" s="2" t="s">
        <v>1689</v>
      </c>
      <c r="J518" s="2" t="s">
        <v>354</v>
      </c>
      <c r="K518" s="2" t="s">
        <v>304</v>
      </c>
      <c r="L518" s="2" t="s">
        <v>119</v>
      </c>
      <c r="M518" s="8" t="str">
        <f>HYPERLINK("http://slimages.macys.com/is/image/MCY/12493876 ")</f>
        <v xml:space="preserve">http://slimages.macys.com/is/image/MCY/12493876 </v>
      </c>
    </row>
    <row r="519" spans="1:13" ht="60" x14ac:dyDescent="0.25">
      <c r="A519" s="7" t="s">
        <v>8411</v>
      </c>
      <c r="B519" s="2" t="s">
        <v>585</v>
      </c>
      <c r="C519" s="4">
        <v>1</v>
      </c>
      <c r="D519" s="5">
        <v>3.14</v>
      </c>
      <c r="E519" s="5">
        <v>7.99</v>
      </c>
      <c r="F519" s="4">
        <v>10004192500</v>
      </c>
      <c r="G519" s="2" t="s">
        <v>171</v>
      </c>
      <c r="H519" s="7" t="s">
        <v>604</v>
      </c>
      <c r="I519" s="2" t="s">
        <v>483</v>
      </c>
      <c r="J519" s="2" t="s">
        <v>536</v>
      </c>
      <c r="K519" s="2" t="s">
        <v>304</v>
      </c>
      <c r="L519" s="2" t="s">
        <v>75</v>
      </c>
      <c r="M519" s="8" t="str">
        <f>HYPERLINK("http://slimages.macys.com/is/image/MCY/11519409 ")</f>
        <v xml:space="preserve">http://slimages.macys.com/is/image/MCY/11519409 </v>
      </c>
    </row>
    <row r="520" spans="1:13" ht="60" x14ac:dyDescent="0.25">
      <c r="A520" s="7" t="s">
        <v>1182</v>
      </c>
      <c r="B520" s="2" t="s">
        <v>1183</v>
      </c>
      <c r="C520" s="4">
        <v>1</v>
      </c>
      <c r="D520" s="5">
        <v>3.03</v>
      </c>
      <c r="E520" s="5">
        <v>7.99</v>
      </c>
      <c r="F520" s="4" t="s">
        <v>1184</v>
      </c>
      <c r="G520" s="2" t="s">
        <v>41</v>
      </c>
      <c r="H520" s="7" t="s">
        <v>514</v>
      </c>
      <c r="I520" s="2" t="s">
        <v>483</v>
      </c>
      <c r="J520" s="2" t="s">
        <v>536</v>
      </c>
      <c r="K520" s="2" t="s">
        <v>304</v>
      </c>
      <c r="L520" s="2" t="s">
        <v>38</v>
      </c>
      <c r="M520" s="8" t="str">
        <f>HYPERLINK("http://slimages.macys.com/is/image/MCY/13987599 ")</f>
        <v xml:space="preserve">http://slimages.macys.com/is/image/MCY/13987599 </v>
      </c>
    </row>
    <row r="521" spans="1:13" ht="60" x14ac:dyDescent="0.25">
      <c r="A521" s="7" t="s">
        <v>10278</v>
      </c>
      <c r="B521" s="2" t="s">
        <v>9732</v>
      </c>
      <c r="C521" s="4">
        <v>1</v>
      </c>
      <c r="D521" s="5">
        <v>2.97</v>
      </c>
      <c r="E521" s="5">
        <v>7.99</v>
      </c>
      <c r="F521" s="4" t="s">
        <v>9733</v>
      </c>
      <c r="G521" s="2" t="s">
        <v>1265</v>
      </c>
      <c r="H521" s="7" t="s">
        <v>590</v>
      </c>
      <c r="I521" s="2" t="s">
        <v>483</v>
      </c>
      <c r="J521" s="2" t="s">
        <v>536</v>
      </c>
      <c r="K521" s="2" t="s">
        <v>304</v>
      </c>
      <c r="L521" s="2" t="s">
        <v>100</v>
      </c>
      <c r="M521" s="8" t="str">
        <f>HYPERLINK("http://slimages.macys.com/is/image/MCY/12465404 ")</f>
        <v xml:space="preserve">http://slimages.macys.com/is/image/MCY/12465404 </v>
      </c>
    </row>
    <row r="522" spans="1:13" ht="60" x14ac:dyDescent="0.25">
      <c r="A522" s="7" t="s">
        <v>10279</v>
      </c>
      <c r="B522" s="2" t="s">
        <v>9735</v>
      </c>
      <c r="C522" s="4">
        <v>1</v>
      </c>
      <c r="D522" s="5">
        <v>2.97</v>
      </c>
      <c r="E522" s="5">
        <v>7.99</v>
      </c>
      <c r="F522" s="4" t="s">
        <v>9736</v>
      </c>
      <c r="G522" s="2" t="s">
        <v>1147</v>
      </c>
      <c r="H522" s="7" t="s">
        <v>149</v>
      </c>
      <c r="I522" s="2" t="s">
        <v>483</v>
      </c>
      <c r="J522" s="2" t="s">
        <v>536</v>
      </c>
      <c r="K522" s="2" t="s">
        <v>304</v>
      </c>
      <c r="L522" s="2" t="s">
        <v>100</v>
      </c>
      <c r="M522" s="8" t="str">
        <f>HYPERLINK("http://slimages.macys.com/is/image/MCY/12465404 ")</f>
        <v xml:space="preserve">http://slimages.macys.com/is/image/MCY/12465404 </v>
      </c>
    </row>
    <row r="523" spans="1:13" ht="60" x14ac:dyDescent="0.25">
      <c r="A523" s="7" t="s">
        <v>10280</v>
      </c>
      <c r="B523" s="2" t="s">
        <v>5077</v>
      </c>
      <c r="C523" s="4">
        <v>1</v>
      </c>
      <c r="D523" s="5">
        <v>2.94</v>
      </c>
      <c r="E523" s="5">
        <v>6.99</v>
      </c>
      <c r="F523" s="4" t="s">
        <v>5078</v>
      </c>
      <c r="G523" s="2" t="s">
        <v>200</v>
      </c>
      <c r="H523" s="7" t="s">
        <v>42</v>
      </c>
      <c r="I523" s="2" t="s">
        <v>483</v>
      </c>
      <c r="J523" s="2" t="s">
        <v>536</v>
      </c>
      <c r="K523" s="2" t="s">
        <v>304</v>
      </c>
      <c r="L523" s="2" t="s">
        <v>119</v>
      </c>
      <c r="M523" s="8" t="str">
        <f>HYPERLINK("http://slimages.macys.com/is/image/MCY/10528643 ")</f>
        <v xml:space="preserve">http://slimages.macys.com/is/image/MCY/10528643 </v>
      </c>
    </row>
    <row r="524" spans="1:13" ht="60" x14ac:dyDescent="0.25">
      <c r="A524" s="7" t="s">
        <v>7119</v>
      </c>
      <c r="B524" s="2" t="s">
        <v>4418</v>
      </c>
      <c r="C524" s="4">
        <v>1</v>
      </c>
      <c r="D524" s="5">
        <v>2.94</v>
      </c>
      <c r="E524" s="5">
        <v>7.99</v>
      </c>
      <c r="F524" s="4" t="s">
        <v>4419</v>
      </c>
      <c r="G524" s="2" t="s">
        <v>28</v>
      </c>
      <c r="H524" s="7" t="s">
        <v>514</v>
      </c>
      <c r="I524" s="2" t="s">
        <v>483</v>
      </c>
      <c r="J524" s="2" t="s">
        <v>536</v>
      </c>
      <c r="K524" s="2" t="s">
        <v>304</v>
      </c>
      <c r="L524" s="2" t="s">
        <v>206</v>
      </c>
      <c r="M524" s="8" t="str">
        <f>HYPERLINK("http://slimages.macys.com/is/image/MCY/13386207 ")</f>
        <v xml:space="preserve">http://slimages.macys.com/is/image/MCY/13386207 </v>
      </c>
    </row>
    <row r="525" spans="1:13" ht="60" x14ac:dyDescent="0.25">
      <c r="A525" s="7" t="s">
        <v>5076</v>
      </c>
      <c r="B525" s="2" t="s">
        <v>5077</v>
      </c>
      <c r="C525" s="4">
        <v>2</v>
      </c>
      <c r="D525" s="5">
        <v>2.94</v>
      </c>
      <c r="E525" s="5">
        <v>6.99</v>
      </c>
      <c r="F525" s="4" t="s">
        <v>5078</v>
      </c>
      <c r="G525" s="2" t="s">
        <v>200</v>
      </c>
      <c r="H525" s="7" t="s">
        <v>91</v>
      </c>
      <c r="I525" s="2" t="s">
        <v>483</v>
      </c>
      <c r="J525" s="2" t="s">
        <v>536</v>
      </c>
      <c r="K525" s="2" t="s">
        <v>304</v>
      </c>
      <c r="L525" s="2" t="s">
        <v>119</v>
      </c>
      <c r="M525" s="8" t="str">
        <f>HYPERLINK("http://slimages.macys.com/is/image/MCY/10528643 ")</f>
        <v xml:space="preserve">http://slimages.macys.com/is/image/MCY/10528643 </v>
      </c>
    </row>
    <row r="526" spans="1:13" ht="60" x14ac:dyDescent="0.25">
      <c r="A526" s="7" t="s">
        <v>7118</v>
      </c>
      <c r="B526" s="2" t="s">
        <v>4424</v>
      </c>
      <c r="C526" s="4">
        <v>1</v>
      </c>
      <c r="D526" s="5">
        <v>2.94</v>
      </c>
      <c r="E526" s="5">
        <v>7.99</v>
      </c>
      <c r="F526" s="4" t="s">
        <v>4425</v>
      </c>
      <c r="G526" s="2" t="s">
        <v>527</v>
      </c>
      <c r="H526" s="7" t="s">
        <v>514</v>
      </c>
      <c r="I526" s="2" t="s">
        <v>483</v>
      </c>
      <c r="J526" s="2" t="s">
        <v>536</v>
      </c>
      <c r="K526" s="2" t="s">
        <v>304</v>
      </c>
      <c r="L526" s="2" t="s">
        <v>119</v>
      </c>
      <c r="M526" s="8" t="str">
        <f>HYPERLINK("http://slimages.macys.com/is/image/MCY/13987179 ")</f>
        <v xml:space="preserve">http://slimages.macys.com/is/image/MCY/13987179 </v>
      </c>
    </row>
    <row r="527" spans="1:13" ht="60" x14ac:dyDescent="0.25">
      <c r="A527" s="7" t="s">
        <v>4427</v>
      </c>
      <c r="B527" s="2" t="s">
        <v>4428</v>
      </c>
      <c r="C527" s="4">
        <v>1</v>
      </c>
      <c r="D527" s="5">
        <v>2.93</v>
      </c>
      <c r="E527" s="5">
        <v>8.99</v>
      </c>
      <c r="F527" s="4">
        <v>10006317700</v>
      </c>
      <c r="G527" s="2" t="s">
        <v>134</v>
      </c>
      <c r="H527" s="7"/>
      <c r="I527" s="2" t="s">
        <v>483</v>
      </c>
      <c r="J527" s="2" t="s">
        <v>536</v>
      </c>
      <c r="K527" s="2" t="s">
        <v>304</v>
      </c>
      <c r="L527" s="2" t="s">
        <v>38</v>
      </c>
      <c r="M527" s="8" t="str">
        <f>HYPERLINK("http://slimages.macys.com/is/image/MCY/13987487 ")</f>
        <v xml:space="preserve">http://slimages.macys.com/is/image/MCY/13987487 </v>
      </c>
    </row>
    <row r="528" spans="1:13" ht="60" x14ac:dyDescent="0.25">
      <c r="A528" s="7" t="s">
        <v>6023</v>
      </c>
      <c r="B528" s="2" t="s">
        <v>4428</v>
      </c>
      <c r="C528" s="4">
        <v>1</v>
      </c>
      <c r="D528" s="5">
        <v>2.93</v>
      </c>
      <c r="E528" s="5">
        <v>8.99</v>
      </c>
      <c r="F528" s="4">
        <v>10006317700</v>
      </c>
      <c r="G528" s="2" t="s">
        <v>134</v>
      </c>
      <c r="H528" s="7" t="s">
        <v>590</v>
      </c>
      <c r="I528" s="2" t="s">
        <v>483</v>
      </c>
      <c r="J528" s="2" t="s">
        <v>536</v>
      </c>
      <c r="K528" s="2" t="s">
        <v>304</v>
      </c>
      <c r="L528" s="2" t="s">
        <v>38</v>
      </c>
      <c r="M528" s="8" t="str">
        <f>HYPERLINK("http://slimages.macys.com/is/image/MCY/13987487 ")</f>
        <v xml:space="preserve">http://slimages.macys.com/is/image/MCY/13987487 </v>
      </c>
    </row>
    <row r="529" spans="1:13" ht="60" x14ac:dyDescent="0.25">
      <c r="A529" s="7" t="s">
        <v>10281</v>
      </c>
      <c r="B529" s="2" t="s">
        <v>7123</v>
      </c>
      <c r="C529" s="4">
        <v>1</v>
      </c>
      <c r="D529" s="5">
        <v>2.91</v>
      </c>
      <c r="E529" s="5">
        <v>6.99</v>
      </c>
      <c r="F529" s="4">
        <v>10004349800</v>
      </c>
      <c r="G529" s="2" t="s">
        <v>134</v>
      </c>
      <c r="H529" s="7"/>
      <c r="I529" s="2" t="s">
        <v>483</v>
      </c>
      <c r="J529" s="2" t="s">
        <v>536</v>
      </c>
      <c r="K529" s="2" t="s">
        <v>304</v>
      </c>
      <c r="L529" s="2" t="s">
        <v>119</v>
      </c>
      <c r="M529" s="8" t="str">
        <f>HYPERLINK("http://slimages.macys.com/is/image/MCY/11437071 ")</f>
        <v xml:space="preserve">http://slimages.macys.com/is/image/MCY/11437071 </v>
      </c>
    </row>
    <row r="530" spans="1:13" ht="60" x14ac:dyDescent="0.25">
      <c r="A530" s="7" t="s">
        <v>10282</v>
      </c>
      <c r="B530" s="2" t="s">
        <v>10283</v>
      </c>
      <c r="C530" s="4">
        <v>1</v>
      </c>
      <c r="D530" s="5">
        <v>2.91</v>
      </c>
      <c r="E530" s="5">
        <v>6.99</v>
      </c>
      <c r="F530" s="4" t="s">
        <v>10284</v>
      </c>
      <c r="G530" s="2" t="s">
        <v>297</v>
      </c>
      <c r="H530" s="7" t="s">
        <v>590</v>
      </c>
      <c r="I530" s="2" t="s">
        <v>483</v>
      </c>
      <c r="J530" s="2" t="s">
        <v>536</v>
      </c>
      <c r="K530" s="2" t="s">
        <v>304</v>
      </c>
      <c r="L530" s="2" t="s">
        <v>119</v>
      </c>
      <c r="M530" s="8" t="str">
        <f>HYPERLINK("http://slimages.macys.com/is/image/MCY/11437210 ")</f>
        <v xml:space="preserve">http://slimages.macys.com/is/image/MCY/11437210 </v>
      </c>
    </row>
    <row r="531" spans="1:13" ht="60" x14ac:dyDescent="0.25">
      <c r="A531" s="7" t="s">
        <v>2705</v>
      </c>
      <c r="B531" s="2" t="s">
        <v>2706</v>
      </c>
      <c r="C531" s="4">
        <v>1</v>
      </c>
      <c r="D531" s="5">
        <v>2.88</v>
      </c>
      <c r="E531" s="5">
        <v>6.99</v>
      </c>
      <c r="F531" s="4" t="s">
        <v>2707</v>
      </c>
      <c r="G531" s="2" t="s">
        <v>62</v>
      </c>
      <c r="H531" s="7" t="s">
        <v>442</v>
      </c>
      <c r="I531" s="2" t="s">
        <v>483</v>
      </c>
      <c r="J531" s="2" t="s">
        <v>536</v>
      </c>
      <c r="K531" s="2" t="s">
        <v>304</v>
      </c>
      <c r="L531" s="2" t="s">
        <v>119</v>
      </c>
      <c r="M531" s="8" t="str">
        <f>HYPERLINK("http://slimages.macys.com/is/image/MCY/8882367 ")</f>
        <v xml:space="preserve">http://slimages.macys.com/is/image/MCY/8882367 </v>
      </c>
    </row>
    <row r="532" spans="1:13" ht="60" x14ac:dyDescent="0.25">
      <c r="A532" s="7" t="s">
        <v>1204</v>
      </c>
      <c r="B532" s="2" t="s">
        <v>1205</v>
      </c>
      <c r="C532" s="4">
        <v>1</v>
      </c>
      <c r="D532" s="5">
        <v>2.87</v>
      </c>
      <c r="E532" s="5">
        <v>7.99</v>
      </c>
      <c r="F532" s="4" t="s">
        <v>1206</v>
      </c>
      <c r="G532" s="2" t="s">
        <v>437</v>
      </c>
      <c r="H532" s="7" t="s">
        <v>531</v>
      </c>
      <c r="I532" s="2" t="s">
        <v>483</v>
      </c>
      <c r="J532" s="2" t="s">
        <v>536</v>
      </c>
      <c r="K532" s="2" t="s">
        <v>304</v>
      </c>
      <c r="L532" s="2" t="s">
        <v>1207</v>
      </c>
      <c r="M532" s="8" t="str">
        <f>HYPERLINK("http://slimages.macys.com/is/image/MCY/12466264 ")</f>
        <v xml:space="preserve">http://slimages.macys.com/is/image/MCY/12466264 </v>
      </c>
    </row>
    <row r="533" spans="1:13" ht="60" x14ac:dyDescent="0.25">
      <c r="A533" s="7" t="s">
        <v>8417</v>
      </c>
      <c r="B533" s="2" t="s">
        <v>1209</v>
      </c>
      <c r="C533" s="4">
        <v>1</v>
      </c>
      <c r="D533" s="5">
        <v>2.85</v>
      </c>
      <c r="E533" s="5">
        <v>4.99</v>
      </c>
      <c r="F533" s="4">
        <v>4114</v>
      </c>
      <c r="G533" s="2" t="s">
        <v>653</v>
      </c>
      <c r="H533" s="7" t="s">
        <v>284</v>
      </c>
      <c r="I533" s="2" t="s">
        <v>523</v>
      </c>
      <c r="J533" s="2" t="s">
        <v>921</v>
      </c>
      <c r="K533" s="2" t="s">
        <v>304</v>
      </c>
      <c r="L533" s="2" t="s">
        <v>323</v>
      </c>
      <c r="M533" s="8" t="str">
        <f>HYPERLINK("http://slimages.macys.com/is/image/MCY/13050228 ")</f>
        <v xml:space="preserve">http://slimages.macys.com/is/image/MCY/13050228 </v>
      </c>
    </row>
    <row r="534" spans="1:13" ht="60" x14ac:dyDescent="0.25">
      <c r="A534" s="7" t="s">
        <v>10285</v>
      </c>
      <c r="B534" s="2" t="s">
        <v>10286</v>
      </c>
      <c r="C534" s="4">
        <v>1</v>
      </c>
      <c r="D534" s="5">
        <v>2.85</v>
      </c>
      <c r="E534" s="5">
        <v>7.99</v>
      </c>
      <c r="F534" s="4" t="s">
        <v>10287</v>
      </c>
      <c r="G534" s="2" t="s">
        <v>41</v>
      </c>
      <c r="H534" s="7" t="s">
        <v>578</v>
      </c>
      <c r="I534" s="2" t="s">
        <v>483</v>
      </c>
      <c r="J534" s="2" t="s">
        <v>536</v>
      </c>
      <c r="K534" s="2" t="s">
        <v>304</v>
      </c>
      <c r="L534" s="2" t="s">
        <v>100</v>
      </c>
      <c r="M534" s="8" t="str">
        <f>HYPERLINK("http://slimages.macys.com/is/image/MCY/12466322 ")</f>
        <v xml:space="preserve">http://slimages.macys.com/is/image/MCY/12466322 </v>
      </c>
    </row>
    <row r="535" spans="1:13" ht="60" x14ac:dyDescent="0.25">
      <c r="A535" s="7" t="s">
        <v>1210</v>
      </c>
      <c r="B535" s="2" t="s">
        <v>1209</v>
      </c>
      <c r="C535" s="4">
        <v>2</v>
      </c>
      <c r="D535" s="5">
        <v>2.85</v>
      </c>
      <c r="E535" s="5">
        <v>4.99</v>
      </c>
      <c r="F535" s="4">
        <v>4114</v>
      </c>
      <c r="G535" s="2" t="s">
        <v>653</v>
      </c>
      <c r="H535" s="7" t="s">
        <v>196</v>
      </c>
      <c r="I535" s="2" t="s">
        <v>523</v>
      </c>
      <c r="J535" s="2" t="s">
        <v>921</v>
      </c>
      <c r="K535" s="2" t="s">
        <v>304</v>
      </c>
      <c r="L535" s="2" t="s">
        <v>323</v>
      </c>
      <c r="M535" s="8" t="str">
        <f>HYPERLINK("http://slimages.macys.com/is/image/MCY/13050228 ")</f>
        <v xml:space="preserve">http://slimages.macys.com/is/image/MCY/13050228 </v>
      </c>
    </row>
    <row r="536" spans="1:13" ht="120" x14ac:dyDescent="0.25">
      <c r="A536" s="7" t="s">
        <v>2200</v>
      </c>
      <c r="B536" s="2" t="s">
        <v>598</v>
      </c>
      <c r="C536" s="4">
        <v>1</v>
      </c>
      <c r="D536" s="5">
        <v>2.84</v>
      </c>
      <c r="E536" s="5">
        <v>7.99</v>
      </c>
      <c r="F536" s="4" t="s">
        <v>599</v>
      </c>
      <c r="G536" s="2" t="s">
        <v>62</v>
      </c>
      <c r="H536" s="7" t="s">
        <v>149</v>
      </c>
      <c r="I536" s="2" t="s">
        <v>483</v>
      </c>
      <c r="J536" s="2" t="s">
        <v>536</v>
      </c>
      <c r="K536" s="2" t="s">
        <v>304</v>
      </c>
      <c r="L536" s="2" t="s">
        <v>600</v>
      </c>
      <c r="M536" s="8" t="str">
        <f>HYPERLINK("http://slimages.macys.com/is/image/MCY/14384837 ")</f>
        <v xml:space="preserve">http://slimages.macys.com/is/image/MCY/14384837 </v>
      </c>
    </row>
    <row r="537" spans="1:13" ht="60" x14ac:dyDescent="0.25">
      <c r="A537" s="7" t="s">
        <v>10288</v>
      </c>
      <c r="B537" s="2" t="s">
        <v>2713</v>
      </c>
      <c r="C537" s="4">
        <v>1</v>
      </c>
      <c r="D537" s="5">
        <v>2.79</v>
      </c>
      <c r="E537" s="5">
        <v>7.99</v>
      </c>
      <c r="F537" s="4">
        <v>10004191500</v>
      </c>
      <c r="G537" s="2" t="s">
        <v>2107</v>
      </c>
      <c r="H537" s="7" t="s">
        <v>149</v>
      </c>
      <c r="I537" s="2" t="s">
        <v>483</v>
      </c>
      <c r="J537" s="2" t="s">
        <v>536</v>
      </c>
      <c r="K537" s="2" t="s">
        <v>304</v>
      </c>
      <c r="L537" s="2" t="s">
        <v>119</v>
      </c>
      <c r="M537" s="8" t="str">
        <f>HYPERLINK("http://slimages.macys.com/is/image/MCY/11519969 ")</f>
        <v xml:space="preserve">http://slimages.macys.com/is/image/MCY/11519969 </v>
      </c>
    </row>
    <row r="538" spans="1:13" ht="60" x14ac:dyDescent="0.25">
      <c r="A538" s="7" t="s">
        <v>2211</v>
      </c>
      <c r="B538" s="2" t="s">
        <v>2209</v>
      </c>
      <c r="C538" s="4">
        <v>3</v>
      </c>
      <c r="D538" s="5">
        <v>2.77</v>
      </c>
      <c r="E538" s="5">
        <v>7.99</v>
      </c>
      <c r="F538" s="4">
        <v>10004191600</v>
      </c>
      <c r="G538" s="2" t="s">
        <v>1360</v>
      </c>
      <c r="H538" s="7" t="s">
        <v>604</v>
      </c>
      <c r="I538" s="2" t="s">
        <v>483</v>
      </c>
      <c r="J538" s="2" t="s">
        <v>536</v>
      </c>
      <c r="K538" s="2" t="s">
        <v>304</v>
      </c>
      <c r="L538" s="2" t="s">
        <v>119</v>
      </c>
      <c r="M538" s="8" t="str">
        <f>HYPERLINK("http://slimages.macys.com/is/image/MCY/11547113 ")</f>
        <v xml:space="preserve">http://slimages.macys.com/is/image/MCY/11547113 </v>
      </c>
    </row>
    <row r="539" spans="1:13" ht="60" x14ac:dyDescent="0.25">
      <c r="A539" s="7" t="s">
        <v>5679</v>
      </c>
      <c r="B539" s="2" t="s">
        <v>1217</v>
      </c>
      <c r="C539" s="4">
        <v>1</v>
      </c>
      <c r="D539" s="5">
        <v>2.77</v>
      </c>
      <c r="E539" s="5">
        <v>7.99</v>
      </c>
      <c r="F539" s="4">
        <v>10005049100</v>
      </c>
      <c r="G539" s="2" t="s">
        <v>527</v>
      </c>
      <c r="H539" s="7"/>
      <c r="I539" s="2" t="s">
        <v>483</v>
      </c>
      <c r="J539" s="2" t="s">
        <v>536</v>
      </c>
      <c r="K539" s="2" t="s">
        <v>304</v>
      </c>
      <c r="L539" s="2" t="s">
        <v>119</v>
      </c>
      <c r="M539" s="8" t="str">
        <f>HYPERLINK("http://slimages.macys.com/is/image/MCY/11520375 ")</f>
        <v xml:space="preserve">http://slimages.macys.com/is/image/MCY/11520375 </v>
      </c>
    </row>
    <row r="540" spans="1:13" ht="60" x14ac:dyDescent="0.25">
      <c r="A540" s="7" t="s">
        <v>4451</v>
      </c>
      <c r="B540" s="2" t="s">
        <v>4449</v>
      </c>
      <c r="C540" s="4">
        <v>1</v>
      </c>
      <c r="D540" s="5">
        <v>2.77</v>
      </c>
      <c r="E540" s="5">
        <v>7.99</v>
      </c>
      <c r="F540" s="4" t="s">
        <v>4450</v>
      </c>
      <c r="G540" s="2" t="s">
        <v>62</v>
      </c>
      <c r="H540" s="7" t="s">
        <v>1151</v>
      </c>
      <c r="I540" s="2" t="s">
        <v>483</v>
      </c>
      <c r="J540" s="2" t="s">
        <v>536</v>
      </c>
      <c r="K540" s="2" t="s">
        <v>304</v>
      </c>
      <c r="L540" s="2" t="s">
        <v>38</v>
      </c>
      <c r="M540" s="8" t="str">
        <f>HYPERLINK("http://slimages.macys.com/is/image/MCY/13337362 ")</f>
        <v xml:space="preserve">http://slimages.macys.com/is/image/MCY/13337362 </v>
      </c>
    </row>
    <row r="541" spans="1:13" ht="60" x14ac:dyDescent="0.25">
      <c r="A541" s="7" t="s">
        <v>2208</v>
      </c>
      <c r="B541" s="2" t="s">
        <v>2209</v>
      </c>
      <c r="C541" s="4">
        <v>2</v>
      </c>
      <c r="D541" s="5">
        <v>2.77</v>
      </c>
      <c r="E541" s="5">
        <v>7.99</v>
      </c>
      <c r="F541" s="4">
        <v>10004191600</v>
      </c>
      <c r="G541" s="2" t="s">
        <v>1360</v>
      </c>
      <c r="H541" s="7" t="s">
        <v>586</v>
      </c>
      <c r="I541" s="2" t="s">
        <v>483</v>
      </c>
      <c r="J541" s="2" t="s">
        <v>536</v>
      </c>
      <c r="K541" s="2" t="s">
        <v>304</v>
      </c>
      <c r="L541" s="2" t="s">
        <v>119</v>
      </c>
      <c r="M541" s="8" t="str">
        <f>HYPERLINK("http://slimages.macys.com/is/image/MCY/11547113 ")</f>
        <v xml:space="preserve">http://slimages.macys.com/is/image/MCY/11547113 </v>
      </c>
    </row>
    <row r="542" spans="1:13" ht="60" x14ac:dyDescent="0.25">
      <c r="A542" s="7" t="s">
        <v>2212</v>
      </c>
      <c r="B542" s="2" t="s">
        <v>2209</v>
      </c>
      <c r="C542" s="4">
        <v>4</v>
      </c>
      <c r="D542" s="5">
        <v>2.77</v>
      </c>
      <c r="E542" s="5">
        <v>7.99</v>
      </c>
      <c r="F542" s="4">
        <v>10004191600</v>
      </c>
      <c r="G542" s="2" t="s">
        <v>1360</v>
      </c>
      <c r="H542" s="7"/>
      <c r="I542" s="2" t="s">
        <v>483</v>
      </c>
      <c r="J542" s="2" t="s">
        <v>536</v>
      </c>
      <c r="K542" s="2" t="s">
        <v>304</v>
      </c>
      <c r="L542" s="2" t="s">
        <v>119</v>
      </c>
      <c r="M542" s="8" t="str">
        <f>HYPERLINK("http://slimages.macys.com/is/image/MCY/11547113 ")</f>
        <v xml:space="preserve">http://slimages.macys.com/is/image/MCY/11547113 </v>
      </c>
    </row>
    <row r="543" spans="1:13" ht="60" x14ac:dyDescent="0.25">
      <c r="A543" s="7" t="s">
        <v>9741</v>
      </c>
      <c r="B543" s="2" t="s">
        <v>7143</v>
      </c>
      <c r="C543" s="4">
        <v>1</v>
      </c>
      <c r="D543" s="5">
        <v>2.74</v>
      </c>
      <c r="E543" s="5">
        <v>7.99</v>
      </c>
      <c r="F543" s="4" t="s">
        <v>7144</v>
      </c>
      <c r="G543" s="2" t="s">
        <v>643</v>
      </c>
      <c r="H543" s="7" t="s">
        <v>1151</v>
      </c>
      <c r="I543" s="2" t="s">
        <v>483</v>
      </c>
      <c r="J543" s="2" t="s">
        <v>536</v>
      </c>
      <c r="K543" s="2" t="s">
        <v>304</v>
      </c>
      <c r="L543" s="2" t="s">
        <v>206</v>
      </c>
      <c r="M543" s="8" t="str">
        <f>HYPERLINK("http://slimages.macys.com/is/image/MCY/13337390 ")</f>
        <v xml:space="preserve">http://slimages.macys.com/is/image/MCY/13337390 </v>
      </c>
    </row>
    <row r="544" spans="1:13" ht="60" x14ac:dyDescent="0.25">
      <c r="A544" s="7" t="s">
        <v>9199</v>
      </c>
      <c r="B544" s="2" t="s">
        <v>2223</v>
      </c>
      <c r="C544" s="4">
        <v>1</v>
      </c>
      <c r="D544" s="5">
        <v>2.69</v>
      </c>
      <c r="E544" s="5">
        <v>5.99</v>
      </c>
      <c r="F544" s="4" t="s">
        <v>2224</v>
      </c>
      <c r="G544" s="2" t="s">
        <v>874</v>
      </c>
      <c r="H544" s="7" t="s">
        <v>149</v>
      </c>
      <c r="I544" s="2" t="s">
        <v>483</v>
      </c>
      <c r="J544" s="2" t="s">
        <v>536</v>
      </c>
      <c r="K544" s="2" t="s">
        <v>304</v>
      </c>
      <c r="L544" s="2" t="s">
        <v>206</v>
      </c>
      <c r="M544" s="8" t="str">
        <f>HYPERLINK("http://slimages.macys.com/is/image/MCY/11436881 ")</f>
        <v xml:space="preserve">http://slimages.macys.com/is/image/MCY/11436881 </v>
      </c>
    </row>
    <row r="545" spans="1:13" ht="60" x14ac:dyDescent="0.25">
      <c r="A545" s="7" t="s">
        <v>10289</v>
      </c>
      <c r="B545" s="2" t="s">
        <v>10290</v>
      </c>
      <c r="C545" s="4">
        <v>1</v>
      </c>
      <c r="D545" s="5">
        <v>2.68</v>
      </c>
      <c r="E545" s="5">
        <v>5.99</v>
      </c>
      <c r="F545" s="4" t="s">
        <v>10291</v>
      </c>
      <c r="G545" s="2" t="s">
        <v>129</v>
      </c>
      <c r="H545" s="7" t="s">
        <v>442</v>
      </c>
      <c r="I545" s="2" t="s">
        <v>483</v>
      </c>
      <c r="J545" s="2" t="s">
        <v>536</v>
      </c>
      <c r="K545" s="2" t="s">
        <v>304</v>
      </c>
      <c r="L545" s="2" t="s">
        <v>38</v>
      </c>
      <c r="M545" s="8" t="str">
        <f>HYPERLINK("http://slimages.macys.com/is/image/MCY/11856977 ")</f>
        <v xml:space="preserve">http://slimages.macys.com/is/image/MCY/11856977 </v>
      </c>
    </row>
    <row r="546" spans="1:13" ht="84" x14ac:dyDescent="0.25">
      <c r="A546" s="7" t="s">
        <v>2237</v>
      </c>
      <c r="B546" s="2" t="s">
        <v>2228</v>
      </c>
      <c r="C546" s="4">
        <v>1</v>
      </c>
      <c r="D546" s="5">
        <v>2.67</v>
      </c>
      <c r="E546" s="5">
        <v>7.99</v>
      </c>
      <c r="F546" s="4" t="s">
        <v>2229</v>
      </c>
      <c r="G546" s="2" t="s">
        <v>527</v>
      </c>
      <c r="H546" s="7"/>
      <c r="I546" s="2" t="s">
        <v>483</v>
      </c>
      <c r="J546" s="2" t="s">
        <v>536</v>
      </c>
      <c r="K546" s="2" t="s">
        <v>304</v>
      </c>
      <c r="L546" s="2" t="s">
        <v>2230</v>
      </c>
      <c r="M546" s="8" t="str">
        <f>HYPERLINK("http://slimages.macys.com/is/image/MCY/14385110 ")</f>
        <v xml:space="preserve">http://slimages.macys.com/is/image/MCY/14385110 </v>
      </c>
    </row>
    <row r="547" spans="1:13" ht="60" x14ac:dyDescent="0.25">
      <c r="A547" s="7" t="s">
        <v>5683</v>
      </c>
      <c r="B547" s="2" t="s">
        <v>4479</v>
      </c>
      <c r="C547" s="4">
        <v>1</v>
      </c>
      <c r="D547" s="5">
        <v>2.67</v>
      </c>
      <c r="E547" s="5">
        <v>6.99</v>
      </c>
      <c r="F547" s="4" t="s">
        <v>4480</v>
      </c>
      <c r="G547" s="2" t="s">
        <v>195</v>
      </c>
      <c r="H547" s="7" t="s">
        <v>149</v>
      </c>
      <c r="I547" s="2" t="s">
        <v>483</v>
      </c>
      <c r="J547" s="2" t="s">
        <v>536</v>
      </c>
      <c r="K547" s="2" t="s">
        <v>304</v>
      </c>
      <c r="L547" s="2" t="s">
        <v>38</v>
      </c>
      <c r="M547" s="8" t="str">
        <f>HYPERLINK("http://slimages.macys.com/is/image/MCY/12465793 ")</f>
        <v xml:space="preserve">http://slimages.macys.com/is/image/MCY/12465793 </v>
      </c>
    </row>
    <row r="548" spans="1:13" ht="84" x14ac:dyDescent="0.25">
      <c r="A548" s="7" t="s">
        <v>2238</v>
      </c>
      <c r="B548" s="2" t="s">
        <v>2228</v>
      </c>
      <c r="C548" s="4">
        <v>2</v>
      </c>
      <c r="D548" s="5">
        <v>2.67</v>
      </c>
      <c r="E548" s="5">
        <v>7.99</v>
      </c>
      <c r="F548" s="4" t="s">
        <v>2229</v>
      </c>
      <c r="G548" s="2" t="s">
        <v>527</v>
      </c>
      <c r="H548" s="7" t="s">
        <v>590</v>
      </c>
      <c r="I548" s="2" t="s">
        <v>483</v>
      </c>
      <c r="J548" s="2" t="s">
        <v>536</v>
      </c>
      <c r="K548" s="2" t="s">
        <v>304</v>
      </c>
      <c r="L548" s="2" t="s">
        <v>2230</v>
      </c>
      <c r="M548" s="8" t="str">
        <f>HYPERLINK("http://slimages.macys.com/is/image/MCY/14385110 ")</f>
        <v xml:space="preserve">http://slimages.macys.com/is/image/MCY/14385110 </v>
      </c>
    </row>
    <row r="549" spans="1:13" ht="60" x14ac:dyDescent="0.25">
      <c r="A549" s="7" t="s">
        <v>10292</v>
      </c>
      <c r="B549" s="2" t="s">
        <v>4489</v>
      </c>
      <c r="C549" s="4">
        <v>1</v>
      </c>
      <c r="D549" s="5">
        <v>2.65</v>
      </c>
      <c r="E549" s="5">
        <v>7.99</v>
      </c>
      <c r="F549" s="4" t="s">
        <v>4490</v>
      </c>
      <c r="G549" s="2" t="s">
        <v>41</v>
      </c>
      <c r="H549" s="7" t="s">
        <v>514</v>
      </c>
      <c r="I549" s="2" t="s">
        <v>483</v>
      </c>
      <c r="J549" s="2" t="s">
        <v>536</v>
      </c>
      <c r="K549" s="2" t="s">
        <v>304</v>
      </c>
      <c r="L549" s="2" t="s">
        <v>206</v>
      </c>
      <c r="M549" s="8" t="str">
        <f>HYPERLINK("http://slimages.macys.com/is/image/MCY/11857322 ")</f>
        <v xml:space="preserve">http://slimages.macys.com/is/image/MCY/11857322 </v>
      </c>
    </row>
    <row r="550" spans="1:13" ht="108" x14ac:dyDescent="0.25">
      <c r="A550" s="7" t="s">
        <v>4491</v>
      </c>
      <c r="B550" s="2" t="s">
        <v>4492</v>
      </c>
      <c r="C550" s="4">
        <v>1</v>
      </c>
      <c r="D550" s="5">
        <v>2.64</v>
      </c>
      <c r="E550" s="5">
        <v>6.99</v>
      </c>
      <c r="F550" s="4">
        <v>10004350100</v>
      </c>
      <c r="G550" s="2" t="s">
        <v>134</v>
      </c>
      <c r="H550" s="7" t="s">
        <v>604</v>
      </c>
      <c r="I550" s="2" t="s">
        <v>483</v>
      </c>
      <c r="J550" s="2" t="s">
        <v>536</v>
      </c>
      <c r="K550" s="2" t="s">
        <v>304</v>
      </c>
      <c r="L550" s="2" t="s">
        <v>4493</v>
      </c>
      <c r="M550" s="8" t="str">
        <f>HYPERLINK("http://slimages.macys.com/is/image/MCY/11437061 ")</f>
        <v xml:space="preserve">http://slimages.macys.com/is/image/MCY/11437061 </v>
      </c>
    </row>
    <row r="551" spans="1:13" ht="96" x14ac:dyDescent="0.25">
      <c r="A551" s="7" t="s">
        <v>10293</v>
      </c>
      <c r="B551" s="2" t="s">
        <v>10294</v>
      </c>
      <c r="C551" s="4">
        <v>1</v>
      </c>
      <c r="D551" s="5">
        <v>2.64</v>
      </c>
      <c r="E551" s="5">
        <v>6.99</v>
      </c>
      <c r="F551" s="4" t="s">
        <v>10295</v>
      </c>
      <c r="G551" s="2" t="s">
        <v>297</v>
      </c>
      <c r="H551" s="7" t="s">
        <v>604</v>
      </c>
      <c r="I551" s="2" t="s">
        <v>483</v>
      </c>
      <c r="J551" s="2" t="s">
        <v>536</v>
      </c>
      <c r="K551" s="2" t="s">
        <v>304</v>
      </c>
      <c r="L551" s="2" t="s">
        <v>10296</v>
      </c>
      <c r="M551" s="8" t="str">
        <f>HYPERLINK("http://slimages.macys.com/is/image/MCY/11437208 ")</f>
        <v xml:space="preserve">http://slimages.macys.com/is/image/MCY/11437208 </v>
      </c>
    </row>
    <row r="552" spans="1:13" ht="96" x14ac:dyDescent="0.25">
      <c r="A552" s="7" t="s">
        <v>10297</v>
      </c>
      <c r="B552" s="2" t="s">
        <v>10294</v>
      </c>
      <c r="C552" s="4">
        <v>1</v>
      </c>
      <c r="D552" s="5">
        <v>2.64</v>
      </c>
      <c r="E552" s="5">
        <v>6.99</v>
      </c>
      <c r="F552" s="4" t="s">
        <v>10295</v>
      </c>
      <c r="G552" s="2" t="s">
        <v>297</v>
      </c>
      <c r="H552" s="7" t="s">
        <v>586</v>
      </c>
      <c r="I552" s="2" t="s">
        <v>483</v>
      </c>
      <c r="J552" s="2" t="s">
        <v>536</v>
      </c>
      <c r="K552" s="2" t="s">
        <v>304</v>
      </c>
      <c r="L552" s="2" t="s">
        <v>10296</v>
      </c>
      <c r="M552" s="8" t="str">
        <f>HYPERLINK("http://slimages.macys.com/is/image/MCY/11437208 ")</f>
        <v xml:space="preserve">http://slimages.macys.com/is/image/MCY/11437208 </v>
      </c>
    </row>
    <row r="553" spans="1:13" ht="108" x14ac:dyDescent="0.25">
      <c r="A553" s="7" t="s">
        <v>10298</v>
      </c>
      <c r="B553" s="2" t="s">
        <v>4492</v>
      </c>
      <c r="C553" s="4">
        <v>1</v>
      </c>
      <c r="D553" s="5">
        <v>2.64</v>
      </c>
      <c r="E553" s="5">
        <v>6.99</v>
      </c>
      <c r="F553" s="4">
        <v>10004350100</v>
      </c>
      <c r="G553" s="2" t="s">
        <v>134</v>
      </c>
      <c r="H553" s="7" t="s">
        <v>586</v>
      </c>
      <c r="I553" s="2" t="s">
        <v>483</v>
      </c>
      <c r="J553" s="2" t="s">
        <v>536</v>
      </c>
      <c r="K553" s="2" t="s">
        <v>304</v>
      </c>
      <c r="L553" s="2" t="s">
        <v>4493</v>
      </c>
      <c r="M553" s="8" t="str">
        <f>HYPERLINK("http://slimages.macys.com/is/image/MCY/11437061 ")</f>
        <v xml:space="preserve">http://slimages.macys.com/is/image/MCY/11437061 </v>
      </c>
    </row>
    <row r="554" spans="1:13" ht="108" x14ac:dyDescent="0.25">
      <c r="A554" s="7" t="s">
        <v>8430</v>
      </c>
      <c r="B554" s="2" t="s">
        <v>8431</v>
      </c>
      <c r="C554" s="4">
        <v>2</v>
      </c>
      <c r="D554" s="5">
        <v>2.64</v>
      </c>
      <c r="E554" s="5">
        <v>6.99</v>
      </c>
      <c r="F554" s="4" t="s">
        <v>8432</v>
      </c>
      <c r="G554" s="2" t="s">
        <v>171</v>
      </c>
      <c r="H554" s="7" t="s">
        <v>604</v>
      </c>
      <c r="I554" s="2" t="s">
        <v>483</v>
      </c>
      <c r="J554" s="2" t="s">
        <v>536</v>
      </c>
      <c r="K554" s="2" t="s">
        <v>304</v>
      </c>
      <c r="L554" s="2" t="s">
        <v>8433</v>
      </c>
      <c r="M554" s="8" t="str">
        <f>HYPERLINK("http://slimages.macys.com/is/image/MCY/11435760 ")</f>
        <v xml:space="preserve">http://slimages.macys.com/is/image/MCY/11435760 </v>
      </c>
    </row>
    <row r="555" spans="1:13" ht="60" x14ac:dyDescent="0.25">
      <c r="A555" s="7" t="s">
        <v>9208</v>
      </c>
      <c r="B555" s="2" t="s">
        <v>4495</v>
      </c>
      <c r="C555" s="4">
        <v>1</v>
      </c>
      <c r="D555" s="5">
        <v>2.63</v>
      </c>
      <c r="E555" s="5">
        <v>5.99</v>
      </c>
      <c r="F555" s="4" t="s">
        <v>4496</v>
      </c>
      <c r="G555" s="2" t="s">
        <v>858</v>
      </c>
      <c r="H555" s="7" t="s">
        <v>442</v>
      </c>
      <c r="I555" s="2" t="s">
        <v>483</v>
      </c>
      <c r="J555" s="2" t="s">
        <v>536</v>
      </c>
      <c r="K555" s="2" t="s">
        <v>304</v>
      </c>
      <c r="L555" s="2" t="s">
        <v>206</v>
      </c>
      <c r="M555" s="8" t="str">
        <f>HYPERLINK("http://slimages.macys.com/is/image/MCY/11709478 ")</f>
        <v xml:space="preserve">http://slimages.macys.com/is/image/MCY/11709478 </v>
      </c>
    </row>
    <row r="556" spans="1:13" ht="60" x14ac:dyDescent="0.25">
      <c r="A556" s="7" t="s">
        <v>6034</v>
      </c>
      <c r="B556" s="2" t="s">
        <v>6032</v>
      </c>
      <c r="C556" s="4">
        <v>1</v>
      </c>
      <c r="D556" s="5">
        <v>2.63</v>
      </c>
      <c r="E556" s="5">
        <v>6.99</v>
      </c>
      <c r="F556" s="4" t="s">
        <v>6033</v>
      </c>
      <c r="G556" s="2" t="s">
        <v>297</v>
      </c>
      <c r="H556" s="7" t="s">
        <v>42</v>
      </c>
      <c r="I556" s="2" t="s">
        <v>483</v>
      </c>
      <c r="J556" s="2" t="s">
        <v>536</v>
      </c>
      <c r="K556" s="2" t="s">
        <v>304</v>
      </c>
      <c r="L556" s="2" t="s">
        <v>100</v>
      </c>
      <c r="M556" s="8" t="str">
        <f>HYPERLINK("http://slimages.macys.com/is/image/MCY/11378313 ")</f>
        <v xml:space="preserve">http://slimages.macys.com/is/image/MCY/11378313 </v>
      </c>
    </row>
    <row r="557" spans="1:13" ht="60" x14ac:dyDescent="0.25">
      <c r="A557" s="7" t="s">
        <v>7164</v>
      </c>
      <c r="B557" s="2" t="s">
        <v>1243</v>
      </c>
      <c r="C557" s="4">
        <v>1</v>
      </c>
      <c r="D557" s="5">
        <v>2.62</v>
      </c>
      <c r="E557" s="5">
        <v>6.99</v>
      </c>
      <c r="F557" s="4" t="s">
        <v>1244</v>
      </c>
      <c r="G557" s="2" t="s">
        <v>41</v>
      </c>
      <c r="H557" s="7" t="s">
        <v>91</v>
      </c>
      <c r="I557" s="2" t="s">
        <v>483</v>
      </c>
      <c r="J557" s="2" t="s">
        <v>536</v>
      </c>
      <c r="K557" s="2" t="s">
        <v>304</v>
      </c>
      <c r="L557" s="2" t="s">
        <v>38</v>
      </c>
      <c r="M557" s="8" t="str">
        <f>HYPERLINK("http://slimages.macys.com/is/image/MCY/13987599 ")</f>
        <v xml:space="preserve">http://slimages.macys.com/is/image/MCY/13987599 </v>
      </c>
    </row>
    <row r="558" spans="1:13" ht="60" x14ac:dyDescent="0.25">
      <c r="A558" s="7" t="s">
        <v>10299</v>
      </c>
      <c r="B558" s="2" t="s">
        <v>7906</v>
      </c>
      <c r="C558" s="4">
        <v>1</v>
      </c>
      <c r="D558" s="5">
        <v>2.62</v>
      </c>
      <c r="E558" s="5">
        <v>6.99</v>
      </c>
      <c r="F558" s="4" t="s">
        <v>7907</v>
      </c>
      <c r="G558" s="2" t="s">
        <v>41</v>
      </c>
      <c r="H558" s="7" t="s">
        <v>91</v>
      </c>
      <c r="I558" s="2" t="s">
        <v>483</v>
      </c>
      <c r="J558" s="2" t="s">
        <v>536</v>
      </c>
      <c r="K558" s="2" t="s">
        <v>304</v>
      </c>
      <c r="L558" s="2" t="s">
        <v>100</v>
      </c>
      <c r="M558" s="8" t="str">
        <f>HYPERLINK("http://slimages.macys.com/is/image/MCY/11855828 ")</f>
        <v xml:space="preserve">http://slimages.macys.com/is/image/MCY/11855828 </v>
      </c>
    </row>
    <row r="559" spans="1:13" ht="60" x14ac:dyDescent="0.25">
      <c r="A559" s="7" t="s">
        <v>2253</v>
      </c>
      <c r="B559" s="2" t="s">
        <v>2254</v>
      </c>
      <c r="C559" s="4">
        <v>1</v>
      </c>
      <c r="D559" s="5">
        <v>2.62</v>
      </c>
      <c r="E559" s="5">
        <v>5.99</v>
      </c>
      <c r="F559" s="4" t="s">
        <v>2255</v>
      </c>
      <c r="G559" s="2" t="s">
        <v>657</v>
      </c>
      <c r="H559" s="7" t="s">
        <v>42</v>
      </c>
      <c r="I559" s="2" t="s">
        <v>483</v>
      </c>
      <c r="J559" s="2" t="s">
        <v>536</v>
      </c>
      <c r="K559" s="2" t="s">
        <v>304</v>
      </c>
      <c r="L559" s="2" t="s">
        <v>119</v>
      </c>
      <c r="M559" s="8" t="str">
        <f>HYPERLINK("http://slimages.macys.com/is/image/MCY/12644604 ")</f>
        <v xml:space="preserve">http://slimages.macys.com/is/image/MCY/12644604 </v>
      </c>
    </row>
    <row r="560" spans="1:13" ht="60" x14ac:dyDescent="0.25">
      <c r="A560" s="7" t="s">
        <v>2256</v>
      </c>
      <c r="B560" s="2" t="s">
        <v>2254</v>
      </c>
      <c r="C560" s="4">
        <v>2</v>
      </c>
      <c r="D560" s="5">
        <v>2.62</v>
      </c>
      <c r="E560" s="5">
        <v>5.99</v>
      </c>
      <c r="F560" s="4" t="s">
        <v>2255</v>
      </c>
      <c r="G560" s="2" t="s">
        <v>657</v>
      </c>
      <c r="H560" s="7" t="s">
        <v>149</v>
      </c>
      <c r="I560" s="2" t="s">
        <v>483</v>
      </c>
      <c r="J560" s="2" t="s">
        <v>536</v>
      </c>
      <c r="K560" s="2" t="s">
        <v>304</v>
      </c>
      <c r="L560" s="2" t="s">
        <v>119</v>
      </c>
      <c r="M560" s="8" t="str">
        <f>HYPERLINK("http://slimages.macys.com/is/image/MCY/12644604 ")</f>
        <v xml:space="preserve">http://slimages.macys.com/is/image/MCY/12644604 </v>
      </c>
    </row>
    <row r="561" spans="1:13" ht="60" x14ac:dyDescent="0.25">
      <c r="A561" s="7" t="s">
        <v>2265</v>
      </c>
      <c r="B561" s="2" t="s">
        <v>2261</v>
      </c>
      <c r="C561" s="4">
        <v>1</v>
      </c>
      <c r="D561" s="5">
        <v>2.62</v>
      </c>
      <c r="E561" s="5">
        <v>5.99</v>
      </c>
      <c r="F561" s="4" t="s">
        <v>2262</v>
      </c>
      <c r="G561" s="2" t="s">
        <v>858</v>
      </c>
      <c r="H561" s="7" t="s">
        <v>442</v>
      </c>
      <c r="I561" s="2" t="s">
        <v>483</v>
      </c>
      <c r="J561" s="2" t="s">
        <v>536</v>
      </c>
      <c r="K561" s="2" t="s">
        <v>304</v>
      </c>
      <c r="L561" s="2" t="s">
        <v>119</v>
      </c>
      <c r="M561" s="8" t="str">
        <f>HYPERLINK("http://slimages.macys.com/is/image/MCY/12644569 ")</f>
        <v xml:space="preserve">http://slimages.macys.com/is/image/MCY/12644569 </v>
      </c>
    </row>
    <row r="562" spans="1:13" ht="60" x14ac:dyDescent="0.25">
      <c r="A562" s="7" t="s">
        <v>10300</v>
      </c>
      <c r="B562" s="2" t="s">
        <v>10301</v>
      </c>
      <c r="C562" s="4">
        <v>1</v>
      </c>
      <c r="D562" s="5">
        <v>2.62</v>
      </c>
      <c r="E562" s="5">
        <v>7.99</v>
      </c>
      <c r="F562" s="4" t="s">
        <v>10302</v>
      </c>
      <c r="G562" s="2" t="s">
        <v>28</v>
      </c>
      <c r="H562" s="7" t="s">
        <v>1151</v>
      </c>
      <c r="I562" s="2" t="s">
        <v>483</v>
      </c>
      <c r="J562" s="2" t="s">
        <v>536</v>
      </c>
      <c r="K562" s="2" t="s">
        <v>304</v>
      </c>
      <c r="L562" s="2" t="s">
        <v>100</v>
      </c>
      <c r="M562" s="8" t="str">
        <f>HYPERLINK("http://slimages.macys.com/is/image/MCY/11856941 ")</f>
        <v xml:space="preserve">http://slimages.macys.com/is/image/MCY/11856941 </v>
      </c>
    </row>
    <row r="563" spans="1:13" ht="60" x14ac:dyDescent="0.25">
      <c r="A563" s="7" t="s">
        <v>10303</v>
      </c>
      <c r="B563" s="2" t="s">
        <v>7906</v>
      </c>
      <c r="C563" s="4">
        <v>1</v>
      </c>
      <c r="D563" s="5">
        <v>2.62</v>
      </c>
      <c r="E563" s="5">
        <v>6.99</v>
      </c>
      <c r="F563" s="4" t="s">
        <v>7907</v>
      </c>
      <c r="G563" s="2" t="s">
        <v>41</v>
      </c>
      <c r="H563" s="7" t="s">
        <v>442</v>
      </c>
      <c r="I563" s="2" t="s">
        <v>483</v>
      </c>
      <c r="J563" s="2" t="s">
        <v>536</v>
      </c>
      <c r="K563" s="2" t="s">
        <v>304</v>
      </c>
      <c r="L563" s="2" t="s">
        <v>100</v>
      </c>
      <c r="M563" s="8" t="str">
        <f>HYPERLINK("http://slimages.macys.com/is/image/MCY/11855828 ")</f>
        <v xml:space="preserve">http://slimages.macys.com/is/image/MCY/11855828 </v>
      </c>
    </row>
    <row r="564" spans="1:13" ht="60" x14ac:dyDescent="0.25">
      <c r="A564" s="7" t="s">
        <v>4520</v>
      </c>
      <c r="B564" s="2" t="s">
        <v>4521</v>
      </c>
      <c r="C564" s="4">
        <v>1</v>
      </c>
      <c r="D564" s="5">
        <v>2.61</v>
      </c>
      <c r="E564" s="5">
        <v>7.99</v>
      </c>
      <c r="F564" s="4" t="s">
        <v>4522</v>
      </c>
      <c r="G564" s="2" t="s">
        <v>353</v>
      </c>
      <c r="H564" s="7" t="s">
        <v>514</v>
      </c>
      <c r="I564" s="2" t="s">
        <v>483</v>
      </c>
      <c r="J564" s="2" t="s">
        <v>536</v>
      </c>
      <c r="K564" s="2" t="s">
        <v>304</v>
      </c>
      <c r="L564" s="2" t="s">
        <v>38</v>
      </c>
      <c r="M564" s="8" t="str">
        <f>HYPERLINK("http://slimages.macys.com/is/image/MCY/12466331 ")</f>
        <v xml:space="preserve">http://slimages.macys.com/is/image/MCY/12466331 </v>
      </c>
    </row>
    <row r="565" spans="1:13" ht="60" x14ac:dyDescent="0.25">
      <c r="A565" s="7" t="s">
        <v>1255</v>
      </c>
      <c r="B565" s="2" t="s">
        <v>1250</v>
      </c>
      <c r="C565" s="4">
        <v>1</v>
      </c>
      <c r="D565" s="5">
        <v>2.61</v>
      </c>
      <c r="E565" s="5">
        <v>7.99</v>
      </c>
      <c r="F565" s="4" t="s">
        <v>1251</v>
      </c>
      <c r="G565" s="2" t="s">
        <v>643</v>
      </c>
      <c r="H565" s="7" t="s">
        <v>1151</v>
      </c>
      <c r="I565" s="2" t="s">
        <v>483</v>
      </c>
      <c r="J565" s="2" t="s">
        <v>536</v>
      </c>
      <c r="K565" s="2" t="s">
        <v>304</v>
      </c>
      <c r="L565" s="2" t="s">
        <v>38</v>
      </c>
      <c r="M565" s="8" t="str">
        <f>HYPERLINK("http://slimages.macys.com/is/image/MCY/13987601 ")</f>
        <v xml:space="preserve">http://slimages.macys.com/is/image/MCY/13987601 </v>
      </c>
    </row>
    <row r="566" spans="1:13" ht="60" x14ac:dyDescent="0.25">
      <c r="A566" s="7" t="s">
        <v>10304</v>
      </c>
      <c r="B566" s="2" t="s">
        <v>10305</v>
      </c>
      <c r="C566" s="4">
        <v>1</v>
      </c>
      <c r="D566" s="5">
        <v>2.59</v>
      </c>
      <c r="E566" s="5">
        <v>6.99</v>
      </c>
      <c r="F566" s="4" t="s">
        <v>10306</v>
      </c>
      <c r="G566" s="2" t="s">
        <v>657</v>
      </c>
      <c r="H566" s="7" t="s">
        <v>590</v>
      </c>
      <c r="I566" s="2" t="s">
        <v>483</v>
      </c>
      <c r="J566" s="2" t="s">
        <v>536</v>
      </c>
      <c r="K566" s="2" t="s">
        <v>304</v>
      </c>
      <c r="L566" s="2" t="s">
        <v>596</v>
      </c>
      <c r="M566" s="8" t="str">
        <f>HYPERLINK("http://slimages.macys.com/is/image/MCY/11433180 ")</f>
        <v xml:space="preserve">http://slimages.macys.com/is/image/MCY/11433180 </v>
      </c>
    </row>
    <row r="567" spans="1:13" ht="60" x14ac:dyDescent="0.25">
      <c r="A567" s="7" t="s">
        <v>7912</v>
      </c>
      <c r="B567" s="2" t="s">
        <v>7913</v>
      </c>
      <c r="C567" s="4">
        <v>1</v>
      </c>
      <c r="D567" s="5">
        <v>2.57</v>
      </c>
      <c r="E567" s="5">
        <v>6.99</v>
      </c>
      <c r="F567" s="4" t="s">
        <v>7914</v>
      </c>
      <c r="G567" s="2" t="s">
        <v>28</v>
      </c>
      <c r="H567" s="7" t="s">
        <v>149</v>
      </c>
      <c r="I567" s="2" t="s">
        <v>483</v>
      </c>
      <c r="J567" s="2" t="s">
        <v>536</v>
      </c>
      <c r="K567" s="2" t="s">
        <v>304</v>
      </c>
      <c r="L567" s="2" t="s">
        <v>100</v>
      </c>
      <c r="M567" s="8" t="str">
        <f>HYPERLINK("http://slimages.macys.com/is/image/MCY/11379069 ")</f>
        <v xml:space="preserve">http://slimages.macys.com/is/image/MCY/11379069 </v>
      </c>
    </row>
    <row r="568" spans="1:13" ht="60" x14ac:dyDescent="0.25">
      <c r="A568" s="7" t="s">
        <v>10307</v>
      </c>
      <c r="B568" s="2" t="s">
        <v>4532</v>
      </c>
      <c r="C568" s="4">
        <v>1</v>
      </c>
      <c r="D568" s="5">
        <v>2.57</v>
      </c>
      <c r="E568" s="5">
        <v>6.99</v>
      </c>
      <c r="F568" s="4">
        <v>100021102</v>
      </c>
      <c r="G568" s="2" t="s">
        <v>86</v>
      </c>
      <c r="H568" s="7" t="s">
        <v>149</v>
      </c>
      <c r="I568" s="2" t="s">
        <v>483</v>
      </c>
      <c r="J568" s="2" t="s">
        <v>536</v>
      </c>
      <c r="K568" s="2" t="s">
        <v>304</v>
      </c>
      <c r="L568" s="2" t="s">
        <v>596</v>
      </c>
      <c r="M568" s="8" t="str">
        <f>HYPERLINK("http://slimages.macys.com/is/image/MCY/9648773 ")</f>
        <v xml:space="preserve">http://slimages.macys.com/is/image/MCY/9648773 </v>
      </c>
    </row>
    <row r="569" spans="1:13" ht="60" x14ac:dyDescent="0.25">
      <c r="A569" s="7" t="s">
        <v>6042</v>
      </c>
      <c r="B569" s="2" t="s">
        <v>4532</v>
      </c>
      <c r="C569" s="4">
        <v>1</v>
      </c>
      <c r="D569" s="5">
        <v>2.57</v>
      </c>
      <c r="E569" s="5">
        <v>6.99</v>
      </c>
      <c r="F569" s="4">
        <v>100021102</v>
      </c>
      <c r="G569" s="2" t="s">
        <v>793</v>
      </c>
      <c r="H569" s="7" t="s">
        <v>91</v>
      </c>
      <c r="I569" s="2" t="s">
        <v>483</v>
      </c>
      <c r="J569" s="2" t="s">
        <v>536</v>
      </c>
      <c r="K569" s="2" t="s">
        <v>304</v>
      </c>
      <c r="L569" s="2" t="s">
        <v>596</v>
      </c>
      <c r="M569" s="8" t="str">
        <f>HYPERLINK("http://slimages.macys.com/is/image/MCY/9648773 ")</f>
        <v xml:space="preserve">http://slimages.macys.com/is/image/MCY/9648773 </v>
      </c>
    </row>
    <row r="570" spans="1:13" ht="60" x14ac:dyDescent="0.25">
      <c r="A570" s="7" t="s">
        <v>10308</v>
      </c>
      <c r="B570" s="2" t="s">
        <v>1260</v>
      </c>
      <c r="C570" s="4">
        <v>1</v>
      </c>
      <c r="D570" s="5">
        <v>2.56</v>
      </c>
      <c r="E570" s="5">
        <v>6.99</v>
      </c>
      <c r="F570" s="4" t="s">
        <v>1261</v>
      </c>
      <c r="G570" s="2" t="s">
        <v>437</v>
      </c>
      <c r="H570" s="7" t="s">
        <v>91</v>
      </c>
      <c r="I570" s="2" t="s">
        <v>483</v>
      </c>
      <c r="J570" s="2" t="s">
        <v>536</v>
      </c>
      <c r="K570" s="2" t="s">
        <v>304</v>
      </c>
      <c r="L570" s="2" t="s">
        <v>100</v>
      </c>
      <c r="M570" s="8" t="str">
        <f>HYPERLINK("http://slimages.macys.com/is/image/MCY/11779082 ")</f>
        <v xml:space="preserve">http://slimages.macys.com/is/image/MCY/11779082 </v>
      </c>
    </row>
    <row r="571" spans="1:13" ht="60" x14ac:dyDescent="0.25">
      <c r="A571" s="7" t="s">
        <v>6537</v>
      </c>
      <c r="B571" s="2" t="s">
        <v>5692</v>
      </c>
      <c r="C571" s="4">
        <v>1</v>
      </c>
      <c r="D571" s="5">
        <v>2.5499999999999998</v>
      </c>
      <c r="E571" s="5">
        <v>6.99</v>
      </c>
      <c r="F571" s="4">
        <v>10004349400</v>
      </c>
      <c r="G571" s="2" t="s">
        <v>134</v>
      </c>
      <c r="H571" s="7" t="s">
        <v>149</v>
      </c>
      <c r="I571" s="2" t="s">
        <v>483</v>
      </c>
      <c r="J571" s="2" t="s">
        <v>536</v>
      </c>
      <c r="K571" s="2" t="s">
        <v>304</v>
      </c>
      <c r="L571" s="2" t="s">
        <v>206</v>
      </c>
      <c r="M571" s="8" t="str">
        <f>HYPERLINK("http://slimages.macys.com/is/image/MCY/11434520 ")</f>
        <v xml:space="preserve">http://slimages.macys.com/is/image/MCY/11434520 </v>
      </c>
    </row>
    <row r="572" spans="1:13" ht="60" x14ac:dyDescent="0.25">
      <c r="A572" s="7" t="s">
        <v>6536</v>
      </c>
      <c r="B572" s="2" t="s">
        <v>5692</v>
      </c>
      <c r="C572" s="4">
        <v>1</v>
      </c>
      <c r="D572" s="5">
        <v>2.5499999999999998</v>
      </c>
      <c r="E572" s="5">
        <v>6.99</v>
      </c>
      <c r="F572" s="4">
        <v>10004349400</v>
      </c>
      <c r="G572" s="2" t="s">
        <v>134</v>
      </c>
      <c r="H572" s="7" t="s">
        <v>442</v>
      </c>
      <c r="I572" s="2" t="s">
        <v>483</v>
      </c>
      <c r="J572" s="2" t="s">
        <v>536</v>
      </c>
      <c r="K572" s="2" t="s">
        <v>304</v>
      </c>
      <c r="L572" s="2" t="s">
        <v>206</v>
      </c>
      <c r="M572" s="8" t="str">
        <f>HYPERLINK("http://slimages.macys.com/is/image/MCY/11434520 ")</f>
        <v xml:space="preserve">http://slimages.macys.com/is/image/MCY/11434520 </v>
      </c>
    </row>
    <row r="573" spans="1:13" ht="60" x14ac:dyDescent="0.25">
      <c r="A573" s="7" t="s">
        <v>6064</v>
      </c>
      <c r="B573" s="2" t="s">
        <v>2283</v>
      </c>
      <c r="C573" s="4">
        <v>1</v>
      </c>
      <c r="D573" s="5">
        <v>2.5499999999999998</v>
      </c>
      <c r="E573" s="5">
        <v>5.99</v>
      </c>
      <c r="F573" s="4" t="s">
        <v>2284</v>
      </c>
      <c r="G573" s="2" t="s">
        <v>86</v>
      </c>
      <c r="H573" s="7" t="s">
        <v>42</v>
      </c>
      <c r="I573" s="2" t="s">
        <v>483</v>
      </c>
      <c r="J573" s="2" t="s">
        <v>536</v>
      </c>
      <c r="K573" s="2" t="s">
        <v>304</v>
      </c>
      <c r="L573" s="2" t="s">
        <v>206</v>
      </c>
      <c r="M573" s="8" t="str">
        <f>HYPERLINK("http://slimages.macys.com/is/image/MCY/11436902 ")</f>
        <v xml:space="preserve">http://slimages.macys.com/is/image/MCY/11436902 </v>
      </c>
    </row>
    <row r="574" spans="1:13" ht="60" x14ac:dyDescent="0.25">
      <c r="A574" s="7" t="s">
        <v>10309</v>
      </c>
      <c r="B574" s="2" t="s">
        <v>1269</v>
      </c>
      <c r="C574" s="4">
        <v>1</v>
      </c>
      <c r="D574" s="5">
        <v>2.54</v>
      </c>
      <c r="E574" s="5">
        <v>6.99</v>
      </c>
      <c r="F574" s="4" t="s">
        <v>1270</v>
      </c>
      <c r="G574" s="2" t="s">
        <v>41</v>
      </c>
      <c r="H574" s="7" t="s">
        <v>442</v>
      </c>
      <c r="I574" s="2" t="s">
        <v>483</v>
      </c>
      <c r="J574" s="2" t="s">
        <v>536</v>
      </c>
      <c r="K574" s="2" t="s">
        <v>304</v>
      </c>
      <c r="L574" s="2" t="s">
        <v>38</v>
      </c>
      <c r="M574" s="8" t="str">
        <f>HYPERLINK("http://slimages.macys.com/is/image/MCY/13987495 ")</f>
        <v xml:space="preserve">http://slimages.macys.com/is/image/MCY/13987495 </v>
      </c>
    </row>
    <row r="575" spans="1:13" ht="60" x14ac:dyDescent="0.25">
      <c r="A575" s="7" t="s">
        <v>7192</v>
      </c>
      <c r="B575" s="2" t="s">
        <v>7193</v>
      </c>
      <c r="C575" s="4">
        <v>1</v>
      </c>
      <c r="D575" s="5">
        <v>2.54</v>
      </c>
      <c r="E575" s="5">
        <v>6.99</v>
      </c>
      <c r="F575" s="4" t="s">
        <v>7194</v>
      </c>
      <c r="G575" s="2" t="s">
        <v>297</v>
      </c>
      <c r="H575" s="7" t="s">
        <v>149</v>
      </c>
      <c r="I575" s="2" t="s">
        <v>483</v>
      </c>
      <c r="J575" s="2" t="s">
        <v>536</v>
      </c>
      <c r="K575" s="2" t="s">
        <v>304</v>
      </c>
      <c r="L575" s="2" t="s">
        <v>206</v>
      </c>
      <c r="M575" s="8" t="str">
        <f>HYPERLINK("http://slimages.macys.com/is/image/MCY/12466227 ")</f>
        <v xml:space="preserve">http://slimages.macys.com/is/image/MCY/12466227 </v>
      </c>
    </row>
    <row r="576" spans="1:13" ht="60" x14ac:dyDescent="0.25">
      <c r="A576" s="7" t="s">
        <v>1279</v>
      </c>
      <c r="B576" s="2" t="s">
        <v>1280</v>
      </c>
      <c r="C576" s="4">
        <v>1</v>
      </c>
      <c r="D576" s="5">
        <v>2.5299999999999998</v>
      </c>
      <c r="E576" s="5">
        <v>5.99</v>
      </c>
      <c r="F576" s="4" t="s">
        <v>1281</v>
      </c>
      <c r="G576" s="2" t="s">
        <v>41</v>
      </c>
      <c r="H576" s="7" t="s">
        <v>149</v>
      </c>
      <c r="I576" s="2" t="s">
        <v>483</v>
      </c>
      <c r="J576" s="2" t="s">
        <v>536</v>
      </c>
      <c r="K576" s="2" t="s">
        <v>304</v>
      </c>
      <c r="L576" s="2" t="s">
        <v>206</v>
      </c>
      <c r="M576" s="8" t="str">
        <f>HYPERLINK("http://slimages.macys.com/is/image/MCY/13385820 ")</f>
        <v xml:space="preserve">http://slimages.macys.com/is/image/MCY/13385820 </v>
      </c>
    </row>
    <row r="577" spans="1:13" ht="84" x14ac:dyDescent="0.25">
      <c r="A577" s="7" t="s">
        <v>10310</v>
      </c>
      <c r="B577" s="2" t="s">
        <v>8463</v>
      </c>
      <c r="C577" s="4">
        <v>1</v>
      </c>
      <c r="D577" s="5">
        <v>2.5299999999999998</v>
      </c>
      <c r="E577" s="5">
        <v>5.99</v>
      </c>
      <c r="F577" s="4" t="s">
        <v>8464</v>
      </c>
      <c r="G577" s="2" t="s">
        <v>653</v>
      </c>
      <c r="H577" s="7" t="s">
        <v>149</v>
      </c>
      <c r="I577" s="2" t="s">
        <v>483</v>
      </c>
      <c r="J577" s="2" t="s">
        <v>536</v>
      </c>
      <c r="K577" s="2" t="s">
        <v>304</v>
      </c>
      <c r="L577" s="2" t="s">
        <v>8465</v>
      </c>
      <c r="M577" s="8" t="str">
        <f>HYPERLINK("http://slimages.macys.com/is/image/MCY/11708628 ")</f>
        <v xml:space="preserve">http://slimages.macys.com/is/image/MCY/11708628 </v>
      </c>
    </row>
    <row r="578" spans="1:13" ht="60" x14ac:dyDescent="0.25">
      <c r="A578" s="7" t="s">
        <v>9215</v>
      </c>
      <c r="B578" s="2" t="s">
        <v>1277</v>
      </c>
      <c r="C578" s="4">
        <v>1</v>
      </c>
      <c r="D578" s="5">
        <v>2.5299999999999998</v>
      </c>
      <c r="E578" s="5">
        <v>5.99</v>
      </c>
      <c r="F578" s="4" t="s">
        <v>1278</v>
      </c>
      <c r="G578" s="2" t="s">
        <v>527</v>
      </c>
      <c r="H578" s="7" t="s">
        <v>590</v>
      </c>
      <c r="I578" s="2" t="s">
        <v>483</v>
      </c>
      <c r="J578" s="2" t="s">
        <v>536</v>
      </c>
      <c r="K578" s="2" t="s">
        <v>304</v>
      </c>
      <c r="L578" s="2" t="s">
        <v>119</v>
      </c>
      <c r="M578" s="8" t="str">
        <f>HYPERLINK("http://slimages.macys.com/is/image/MCY/13987179 ")</f>
        <v xml:space="preserve">http://slimages.macys.com/is/image/MCY/13987179 </v>
      </c>
    </row>
    <row r="579" spans="1:13" ht="60" x14ac:dyDescent="0.25">
      <c r="A579" s="7" t="s">
        <v>10311</v>
      </c>
      <c r="B579" s="2" t="s">
        <v>1277</v>
      </c>
      <c r="C579" s="4">
        <v>1</v>
      </c>
      <c r="D579" s="5">
        <v>2.5299999999999998</v>
      </c>
      <c r="E579" s="5">
        <v>5.99</v>
      </c>
      <c r="F579" s="4" t="s">
        <v>1278</v>
      </c>
      <c r="G579" s="2" t="s">
        <v>527</v>
      </c>
      <c r="H579" s="7" t="s">
        <v>42</v>
      </c>
      <c r="I579" s="2" t="s">
        <v>483</v>
      </c>
      <c r="J579" s="2" t="s">
        <v>536</v>
      </c>
      <c r="K579" s="2" t="s">
        <v>304</v>
      </c>
      <c r="L579" s="2" t="s">
        <v>119</v>
      </c>
      <c r="M579" s="8" t="str">
        <f>HYPERLINK("http://slimages.macys.com/is/image/MCY/13987179 ")</f>
        <v xml:space="preserve">http://slimages.macys.com/is/image/MCY/13987179 </v>
      </c>
    </row>
    <row r="580" spans="1:13" ht="60" x14ac:dyDescent="0.25">
      <c r="A580" s="7" t="s">
        <v>10312</v>
      </c>
      <c r="B580" s="2" t="s">
        <v>4545</v>
      </c>
      <c r="C580" s="4">
        <v>1</v>
      </c>
      <c r="D580" s="5">
        <v>2.5299999999999998</v>
      </c>
      <c r="E580" s="5">
        <v>5.99</v>
      </c>
      <c r="F580" s="4" t="s">
        <v>4546</v>
      </c>
      <c r="G580" s="2" t="s">
        <v>657</v>
      </c>
      <c r="H580" s="7" t="s">
        <v>442</v>
      </c>
      <c r="I580" s="2" t="s">
        <v>483</v>
      </c>
      <c r="J580" s="2" t="s">
        <v>536</v>
      </c>
      <c r="K580" s="2" t="s">
        <v>304</v>
      </c>
      <c r="L580" s="2" t="s">
        <v>119</v>
      </c>
      <c r="M580" s="8" t="str">
        <f>HYPERLINK("http://slimages.macys.com/is/image/MCY/11856951 ")</f>
        <v xml:space="preserve">http://slimages.macys.com/is/image/MCY/11856951 </v>
      </c>
    </row>
    <row r="581" spans="1:13" ht="60" x14ac:dyDescent="0.25">
      <c r="A581" s="7" t="s">
        <v>2297</v>
      </c>
      <c r="B581" s="2" t="s">
        <v>2295</v>
      </c>
      <c r="C581" s="4">
        <v>2</v>
      </c>
      <c r="D581" s="5">
        <v>2.5099999999999998</v>
      </c>
      <c r="E581" s="5">
        <v>5.99</v>
      </c>
      <c r="F581" s="4" t="s">
        <v>2296</v>
      </c>
      <c r="G581" s="2" t="s">
        <v>28</v>
      </c>
      <c r="H581" s="7" t="s">
        <v>91</v>
      </c>
      <c r="I581" s="2" t="s">
        <v>483</v>
      </c>
      <c r="J581" s="2" t="s">
        <v>536</v>
      </c>
      <c r="K581" s="2" t="s">
        <v>304</v>
      </c>
      <c r="L581" s="2" t="s">
        <v>119</v>
      </c>
      <c r="M581" s="8" t="str">
        <f>HYPERLINK("http://slimages.macys.com/is/image/MCY/11436914 ")</f>
        <v xml:space="preserve">http://slimages.macys.com/is/image/MCY/11436914 </v>
      </c>
    </row>
    <row r="582" spans="1:13" ht="60" x14ac:dyDescent="0.25">
      <c r="A582" s="7" t="s">
        <v>6074</v>
      </c>
      <c r="B582" s="2" t="s">
        <v>2295</v>
      </c>
      <c r="C582" s="4">
        <v>3</v>
      </c>
      <c r="D582" s="5">
        <v>2.5099999999999998</v>
      </c>
      <c r="E582" s="5">
        <v>5.99</v>
      </c>
      <c r="F582" s="4" t="s">
        <v>2296</v>
      </c>
      <c r="G582" s="2" t="s">
        <v>28</v>
      </c>
      <c r="H582" s="7" t="s">
        <v>42</v>
      </c>
      <c r="I582" s="2" t="s">
        <v>483</v>
      </c>
      <c r="J582" s="2" t="s">
        <v>536</v>
      </c>
      <c r="K582" s="2" t="s">
        <v>304</v>
      </c>
      <c r="L582" s="2" t="s">
        <v>119</v>
      </c>
      <c r="M582" s="8" t="str">
        <f>HYPERLINK("http://slimages.macys.com/is/image/MCY/11436914 ")</f>
        <v xml:space="preserve">http://slimages.macys.com/is/image/MCY/11436914 </v>
      </c>
    </row>
    <row r="583" spans="1:13" ht="60" x14ac:dyDescent="0.25">
      <c r="A583" s="7" t="s">
        <v>2294</v>
      </c>
      <c r="B583" s="2" t="s">
        <v>2295</v>
      </c>
      <c r="C583" s="4">
        <v>1</v>
      </c>
      <c r="D583" s="5">
        <v>2.5099999999999998</v>
      </c>
      <c r="E583" s="5">
        <v>5.99</v>
      </c>
      <c r="F583" s="4" t="s">
        <v>2296</v>
      </c>
      <c r="G583" s="2" t="s">
        <v>28</v>
      </c>
      <c r="H583" s="7" t="s">
        <v>590</v>
      </c>
      <c r="I583" s="2" t="s">
        <v>483</v>
      </c>
      <c r="J583" s="2" t="s">
        <v>536</v>
      </c>
      <c r="K583" s="2" t="s">
        <v>304</v>
      </c>
      <c r="L583" s="2" t="s">
        <v>119</v>
      </c>
      <c r="M583" s="8" t="str">
        <f>HYPERLINK("http://slimages.macys.com/is/image/MCY/11436914 ")</f>
        <v xml:space="preserve">http://slimages.macys.com/is/image/MCY/11436914 </v>
      </c>
    </row>
    <row r="584" spans="1:13" ht="60" x14ac:dyDescent="0.25">
      <c r="A584" s="7" t="s">
        <v>9222</v>
      </c>
      <c r="B584" s="2" t="s">
        <v>2725</v>
      </c>
      <c r="C584" s="4">
        <v>1</v>
      </c>
      <c r="D584" s="5">
        <v>2.5</v>
      </c>
      <c r="E584" s="5">
        <v>5.99</v>
      </c>
      <c r="F584" s="4" t="s">
        <v>2726</v>
      </c>
      <c r="G584" s="2" t="s">
        <v>103</v>
      </c>
      <c r="H584" s="7" t="s">
        <v>149</v>
      </c>
      <c r="I584" s="2" t="s">
        <v>483</v>
      </c>
      <c r="J584" s="2" t="s">
        <v>536</v>
      </c>
      <c r="K584" s="2" t="s">
        <v>304</v>
      </c>
      <c r="L584" s="2" t="s">
        <v>87</v>
      </c>
      <c r="M584" s="8" t="str">
        <f>HYPERLINK("http://slimages.macys.com/is/image/MCY/11524101 ")</f>
        <v xml:space="preserve">http://slimages.macys.com/is/image/MCY/11524101 </v>
      </c>
    </row>
    <row r="585" spans="1:13" ht="108" x14ac:dyDescent="0.25">
      <c r="A585" s="7" t="s">
        <v>7207</v>
      </c>
      <c r="B585" s="2" t="s">
        <v>2302</v>
      </c>
      <c r="C585" s="4">
        <v>1</v>
      </c>
      <c r="D585" s="5">
        <v>2.4900000000000002</v>
      </c>
      <c r="E585" s="5">
        <v>6.99</v>
      </c>
      <c r="F585" s="4" t="s">
        <v>2303</v>
      </c>
      <c r="G585" s="2" t="s">
        <v>134</v>
      </c>
      <c r="H585" s="7"/>
      <c r="I585" s="2" t="s">
        <v>483</v>
      </c>
      <c r="J585" s="2" t="s">
        <v>536</v>
      </c>
      <c r="K585" s="2" t="s">
        <v>304</v>
      </c>
      <c r="L585" s="2" t="s">
        <v>2304</v>
      </c>
      <c r="M585" s="8" t="str">
        <f>HYPERLINK("http://slimages.macys.com/is/image/MCY/13987461 ")</f>
        <v xml:space="preserve">http://slimages.macys.com/is/image/MCY/13987461 </v>
      </c>
    </row>
    <row r="586" spans="1:13" ht="60" x14ac:dyDescent="0.25">
      <c r="A586" s="7" t="s">
        <v>10313</v>
      </c>
      <c r="B586" s="2" t="s">
        <v>6567</v>
      </c>
      <c r="C586" s="4">
        <v>1</v>
      </c>
      <c r="D586" s="5">
        <v>2.4900000000000002</v>
      </c>
      <c r="E586" s="5">
        <v>5.99</v>
      </c>
      <c r="F586" s="4" t="s">
        <v>6568</v>
      </c>
      <c r="G586" s="2" t="s">
        <v>353</v>
      </c>
      <c r="H586" s="7" t="s">
        <v>91</v>
      </c>
      <c r="I586" s="2" t="s">
        <v>483</v>
      </c>
      <c r="J586" s="2" t="s">
        <v>536</v>
      </c>
      <c r="K586" s="2" t="s">
        <v>304</v>
      </c>
      <c r="L586" s="2" t="s">
        <v>87</v>
      </c>
      <c r="M586" s="8" t="str">
        <f>HYPERLINK("http://slimages.macys.com/is/image/MCY/12462744 ")</f>
        <v xml:space="preserve">http://slimages.macys.com/is/image/MCY/12462744 </v>
      </c>
    </row>
    <row r="587" spans="1:13" ht="60" x14ac:dyDescent="0.25">
      <c r="A587" s="7" t="s">
        <v>2310</v>
      </c>
      <c r="B587" s="2" t="s">
        <v>622</v>
      </c>
      <c r="C587" s="4">
        <v>1</v>
      </c>
      <c r="D587" s="5">
        <v>2.48</v>
      </c>
      <c r="E587" s="5">
        <v>7.99</v>
      </c>
      <c r="F587" s="4">
        <v>10005379300</v>
      </c>
      <c r="G587" s="2" t="s">
        <v>62</v>
      </c>
      <c r="H587" s="7"/>
      <c r="I587" s="2" t="s">
        <v>483</v>
      </c>
      <c r="J587" s="2" t="s">
        <v>536</v>
      </c>
      <c r="K587" s="2" t="s">
        <v>304</v>
      </c>
      <c r="L587" s="2" t="s">
        <v>623</v>
      </c>
      <c r="M587" s="8" t="str">
        <f>HYPERLINK("http://slimages.macys.com/is/image/MCY/12465415 ")</f>
        <v xml:space="preserve">http://slimages.macys.com/is/image/MCY/12465415 </v>
      </c>
    </row>
    <row r="588" spans="1:13" ht="60" x14ac:dyDescent="0.25">
      <c r="A588" s="7" t="s">
        <v>3531</v>
      </c>
      <c r="B588" s="2" t="s">
        <v>1327</v>
      </c>
      <c r="C588" s="4">
        <v>1</v>
      </c>
      <c r="D588" s="5">
        <v>2.44</v>
      </c>
      <c r="E588" s="5">
        <v>5.99</v>
      </c>
      <c r="F588" s="4" t="s">
        <v>1328</v>
      </c>
      <c r="G588" s="2" t="s">
        <v>41</v>
      </c>
      <c r="H588" s="7" t="s">
        <v>590</v>
      </c>
      <c r="I588" s="2" t="s">
        <v>483</v>
      </c>
      <c r="J588" s="2" t="s">
        <v>536</v>
      </c>
      <c r="K588" s="2" t="s">
        <v>304</v>
      </c>
      <c r="L588" s="2" t="s">
        <v>119</v>
      </c>
      <c r="M588" s="8" t="str">
        <f>HYPERLINK("http://slimages.macys.com/is/image/MCY/12466322 ")</f>
        <v xml:space="preserve">http://slimages.macys.com/is/image/MCY/12466322 </v>
      </c>
    </row>
    <row r="589" spans="1:13" ht="60" x14ac:dyDescent="0.25">
      <c r="A589" s="7" t="s">
        <v>6574</v>
      </c>
      <c r="B589" s="2" t="s">
        <v>6575</v>
      </c>
      <c r="C589" s="4">
        <v>1</v>
      </c>
      <c r="D589" s="5">
        <v>2.44</v>
      </c>
      <c r="E589" s="5">
        <v>6.99</v>
      </c>
      <c r="F589" s="4" t="s">
        <v>6576</v>
      </c>
      <c r="G589" s="2" t="s">
        <v>28</v>
      </c>
      <c r="H589" s="7" t="s">
        <v>149</v>
      </c>
      <c r="I589" s="2" t="s">
        <v>483</v>
      </c>
      <c r="J589" s="2" t="s">
        <v>536</v>
      </c>
      <c r="K589" s="2" t="s">
        <v>304</v>
      </c>
      <c r="L589" s="2" t="s">
        <v>100</v>
      </c>
      <c r="M589" s="8" t="str">
        <f>HYPERLINK("http://slimages.macys.com/is/image/MCY/10368213 ")</f>
        <v xml:space="preserve">http://slimages.macys.com/is/image/MCY/10368213 </v>
      </c>
    </row>
    <row r="590" spans="1:13" ht="108" x14ac:dyDescent="0.25">
      <c r="A590" s="7" t="s">
        <v>2326</v>
      </c>
      <c r="B590" s="2" t="s">
        <v>2322</v>
      </c>
      <c r="C590" s="4">
        <v>2</v>
      </c>
      <c r="D590" s="5">
        <v>2.4300000000000002</v>
      </c>
      <c r="E590" s="5">
        <v>7.99</v>
      </c>
      <c r="F590" s="4" t="s">
        <v>2323</v>
      </c>
      <c r="G590" s="2" t="s">
        <v>41</v>
      </c>
      <c r="H590" s="7" t="s">
        <v>149</v>
      </c>
      <c r="I590" s="2" t="s">
        <v>483</v>
      </c>
      <c r="J590" s="2" t="s">
        <v>536</v>
      </c>
      <c r="K590" s="2" t="s">
        <v>304</v>
      </c>
      <c r="L590" s="2" t="s">
        <v>2324</v>
      </c>
      <c r="M590" s="8" t="str">
        <f>HYPERLINK("http://slimages.macys.com/is/image/MCY/14384998 ")</f>
        <v xml:space="preserve">http://slimages.macys.com/is/image/MCY/14384998 </v>
      </c>
    </row>
    <row r="591" spans="1:13" ht="108" x14ac:dyDescent="0.25">
      <c r="A591" s="7" t="s">
        <v>2321</v>
      </c>
      <c r="B591" s="2" t="s">
        <v>2322</v>
      </c>
      <c r="C591" s="4">
        <v>1</v>
      </c>
      <c r="D591" s="5">
        <v>2.4300000000000002</v>
      </c>
      <c r="E591" s="5">
        <v>7.99</v>
      </c>
      <c r="F591" s="4" t="s">
        <v>2323</v>
      </c>
      <c r="G591" s="2" t="s">
        <v>41</v>
      </c>
      <c r="H591" s="7"/>
      <c r="I591" s="2" t="s">
        <v>483</v>
      </c>
      <c r="J591" s="2" t="s">
        <v>536</v>
      </c>
      <c r="K591" s="2" t="s">
        <v>304</v>
      </c>
      <c r="L591" s="2" t="s">
        <v>2324</v>
      </c>
      <c r="M591" s="8" t="str">
        <f>HYPERLINK("http://slimages.macys.com/is/image/MCY/14384998 ")</f>
        <v xml:space="preserve">http://slimages.macys.com/is/image/MCY/14384998 </v>
      </c>
    </row>
    <row r="592" spans="1:13" ht="60" x14ac:dyDescent="0.25">
      <c r="A592" s="7" t="s">
        <v>10314</v>
      </c>
      <c r="B592" s="2" t="s">
        <v>10315</v>
      </c>
      <c r="C592" s="4">
        <v>1</v>
      </c>
      <c r="D592" s="5">
        <v>2.41</v>
      </c>
      <c r="E592" s="5">
        <v>5.99</v>
      </c>
      <c r="F592" s="4" t="s">
        <v>10316</v>
      </c>
      <c r="G592" s="2" t="s">
        <v>41</v>
      </c>
      <c r="H592" s="7" t="s">
        <v>149</v>
      </c>
      <c r="I592" s="2" t="s">
        <v>483</v>
      </c>
      <c r="J592" s="2" t="s">
        <v>536</v>
      </c>
      <c r="K592" s="2" t="s">
        <v>304</v>
      </c>
      <c r="L592" s="2" t="s">
        <v>38</v>
      </c>
      <c r="M592" s="8" t="str">
        <f>HYPERLINK("http://slimages.macys.com/is/image/MCY/11857512 ")</f>
        <v xml:space="preserve">http://slimages.macys.com/is/image/MCY/11857512 </v>
      </c>
    </row>
    <row r="593" spans="1:13" ht="60" x14ac:dyDescent="0.25">
      <c r="A593" s="7" t="s">
        <v>2328</v>
      </c>
      <c r="B593" s="2" t="s">
        <v>1348</v>
      </c>
      <c r="C593" s="4">
        <v>1</v>
      </c>
      <c r="D593" s="5">
        <v>2.36</v>
      </c>
      <c r="E593" s="5">
        <v>5.99</v>
      </c>
      <c r="F593" s="4" t="s">
        <v>1349</v>
      </c>
      <c r="G593" s="2" t="s">
        <v>62</v>
      </c>
      <c r="H593" s="7" t="s">
        <v>442</v>
      </c>
      <c r="I593" s="2" t="s">
        <v>483</v>
      </c>
      <c r="J593" s="2" t="s">
        <v>536</v>
      </c>
      <c r="K593" s="2" t="s">
        <v>304</v>
      </c>
      <c r="L593" s="2" t="s">
        <v>38</v>
      </c>
      <c r="M593" s="8" t="str">
        <f>HYPERLINK("http://slimages.macys.com/is/image/MCY/13337362 ")</f>
        <v xml:space="preserve">http://slimages.macys.com/is/image/MCY/13337362 </v>
      </c>
    </row>
    <row r="594" spans="1:13" ht="60" x14ac:dyDescent="0.25">
      <c r="A594" s="7" t="s">
        <v>10317</v>
      </c>
      <c r="B594" s="2" t="s">
        <v>1348</v>
      </c>
      <c r="C594" s="4">
        <v>1</v>
      </c>
      <c r="D594" s="5">
        <v>2.36</v>
      </c>
      <c r="E594" s="5">
        <v>5.99</v>
      </c>
      <c r="F594" s="4" t="s">
        <v>1349</v>
      </c>
      <c r="G594" s="2" t="s">
        <v>62</v>
      </c>
      <c r="H594" s="7" t="s">
        <v>91</v>
      </c>
      <c r="I594" s="2" t="s">
        <v>483</v>
      </c>
      <c r="J594" s="2" t="s">
        <v>536</v>
      </c>
      <c r="K594" s="2" t="s">
        <v>304</v>
      </c>
      <c r="L594" s="2" t="s">
        <v>38</v>
      </c>
      <c r="M594" s="8" t="str">
        <f>HYPERLINK("http://slimages.macys.com/is/image/MCY/13337362 ")</f>
        <v xml:space="preserve">http://slimages.macys.com/is/image/MCY/13337362 </v>
      </c>
    </row>
    <row r="595" spans="1:13" ht="60" x14ac:dyDescent="0.25">
      <c r="A595" s="7" t="s">
        <v>1347</v>
      </c>
      <c r="B595" s="2" t="s">
        <v>1348</v>
      </c>
      <c r="C595" s="4">
        <v>1</v>
      </c>
      <c r="D595" s="5">
        <v>2.36</v>
      </c>
      <c r="E595" s="5">
        <v>5.99</v>
      </c>
      <c r="F595" s="4" t="s">
        <v>1349</v>
      </c>
      <c r="G595" s="2" t="s">
        <v>62</v>
      </c>
      <c r="H595" s="7" t="s">
        <v>590</v>
      </c>
      <c r="I595" s="2" t="s">
        <v>483</v>
      </c>
      <c r="J595" s="2" t="s">
        <v>536</v>
      </c>
      <c r="K595" s="2" t="s">
        <v>304</v>
      </c>
      <c r="L595" s="2" t="s">
        <v>38</v>
      </c>
      <c r="M595" s="8" t="str">
        <f>HYPERLINK("http://slimages.macys.com/is/image/MCY/13337362 ")</f>
        <v xml:space="preserve">http://slimages.macys.com/is/image/MCY/13337362 </v>
      </c>
    </row>
    <row r="596" spans="1:13" ht="60" x14ac:dyDescent="0.25">
      <c r="A596" s="7" t="s">
        <v>4570</v>
      </c>
      <c r="B596" s="2" t="s">
        <v>2330</v>
      </c>
      <c r="C596" s="4">
        <v>1</v>
      </c>
      <c r="D596" s="5">
        <v>2.35</v>
      </c>
      <c r="E596" s="5">
        <v>5.99</v>
      </c>
      <c r="F596" s="4" t="s">
        <v>2331</v>
      </c>
      <c r="G596" s="2" t="s">
        <v>36</v>
      </c>
      <c r="H596" s="7" t="s">
        <v>149</v>
      </c>
      <c r="I596" s="2" t="s">
        <v>483</v>
      </c>
      <c r="J596" s="2" t="s">
        <v>536</v>
      </c>
      <c r="K596" s="2" t="s">
        <v>304</v>
      </c>
      <c r="L596" s="2" t="s">
        <v>596</v>
      </c>
      <c r="M596" s="8" t="str">
        <f>HYPERLINK("http://slimages.macys.com/is/image/MCY/12466357 ")</f>
        <v xml:space="preserve">http://slimages.macys.com/is/image/MCY/12466357 </v>
      </c>
    </row>
    <row r="597" spans="1:13" ht="60" x14ac:dyDescent="0.25">
      <c r="A597" s="7" t="s">
        <v>5753</v>
      </c>
      <c r="B597" s="2" t="s">
        <v>2330</v>
      </c>
      <c r="C597" s="4">
        <v>1</v>
      </c>
      <c r="D597" s="5">
        <v>2.35</v>
      </c>
      <c r="E597" s="5">
        <v>5.99</v>
      </c>
      <c r="F597" s="4" t="s">
        <v>2331</v>
      </c>
      <c r="G597" s="2" t="s">
        <v>36</v>
      </c>
      <c r="H597" s="7" t="s">
        <v>91</v>
      </c>
      <c r="I597" s="2" t="s">
        <v>483</v>
      </c>
      <c r="J597" s="2" t="s">
        <v>536</v>
      </c>
      <c r="K597" s="2" t="s">
        <v>304</v>
      </c>
      <c r="L597" s="2" t="s">
        <v>596</v>
      </c>
      <c r="M597" s="8" t="str">
        <f>HYPERLINK("http://slimages.macys.com/is/image/MCY/12466357 ")</f>
        <v xml:space="preserve">http://slimages.macys.com/is/image/MCY/12466357 </v>
      </c>
    </row>
    <row r="598" spans="1:13" ht="60" x14ac:dyDescent="0.25">
      <c r="A598" s="7" t="s">
        <v>2329</v>
      </c>
      <c r="B598" s="2" t="s">
        <v>2330</v>
      </c>
      <c r="C598" s="4">
        <v>1</v>
      </c>
      <c r="D598" s="5">
        <v>2.35</v>
      </c>
      <c r="E598" s="5">
        <v>5.99</v>
      </c>
      <c r="F598" s="4" t="s">
        <v>2331</v>
      </c>
      <c r="G598" s="2" t="s">
        <v>36</v>
      </c>
      <c r="H598" s="7" t="s">
        <v>442</v>
      </c>
      <c r="I598" s="2" t="s">
        <v>483</v>
      </c>
      <c r="J598" s="2" t="s">
        <v>536</v>
      </c>
      <c r="K598" s="2" t="s">
        <v>304</v>
      </c>
      <c r="L598" s="2" t="s">
        <v>596</v>
      </c>
      <c r="M598" s="8" t="str">
        <f>HYPERLINK("http://slimages.macys.com/is/image/MCY/12466357 ")</f>
        <v xml:space="preserve">http://slimages.macys.com/is/image/MCY/12466357 </v>
      </c>
    </row>
    <row r="599" spans="1:13" ht="60" x14ac:dyDescent="0.25">
      <c r="A599" s="7" t="s">
        <v>2340</v>
      </c>
      <c r="B599" s="2" t="s">
        <v>2338</v>
      </c>
      <c r="C599" s="4">
        <v>1</v>
      </c>
      <c r="D599" s="5">
        <v>2.34</v>
      </c>
      <c r="E599" s="5">
        <v>5.99</v>
      </c>
      <c r="F599" s="4" t="s">
        <v>2339</v>
      </c>
      <c r="G599" s="2" t="s">
        <v>41</v>
      </c>
      <c r="H599" s="7" t="s">
        <v>42</v>
      </c>
      <c r="I599" s="2" t="s">
        <v>483</v>
      </c>
      <c r="J599" s="2" t="s">
        <v>536</v>
      </c>
      <c r="K599" s="2" t="s">
        <v>304</v>
      </c>
      <c r="L599" s="2" t="s">
        <v>38</v>
      </c>
      <c r="M599" s="8" t="str">
        <f>HYPERLINK("http://slimages.macys.com/is/image/MCY/13386590 ")</f>
        <v xml:space="preserve">http://slimages.macys.com/is/image/MCY/13386590 </v>
      </c>
    </row>
    <row r="600" spans="1:13" ht="60" x14ac:dyDescent="0.25">
      <c r="A600" s="7" t="s">
        <v>1358</v>
      </c>
      <c r="B600" s="2" t="s">
        <v>1359</v>
      </c>
      <c r="C600" s="4">
        <v>2</v>
      </c>
      <c r="D600" s="5">
        <v>2.33</v>
      </c>
      <c r="E600" s="5">
        <v>7.99</v>
      </c>
      <c r="F600" s="4">
        <v>10004191800</v>
      </c>
      <c r="G600" s="2" t="s">
        <v>1360</v>
      </c>
      <c r="H600" s="7" t="s">
        <v>531</v>
      </c>
      <c r="I600" s="2" t="s">
        <v>483</v>
      </c>
      <c r="J600" s="2" t="s">
        <v>536</v>
      </c>
      <c r="K600" s="2" t="s">
        <v>304</v>
      </c>
      <c r="L600" s="2" t="s">
        <v>38</v>
      </c>
      <c r="M600" s="8" t="str">
        <f>HYPERLINK("http://slimages.macys.com/is/image/MCY/11520378 ")</f>
        <v xml:space="preserve">http://slimages.macys.com/is/image/MCY/11520378 </v>
      </c>
    </row>
    <row r="601" spans="1:13" ht="60" x14ac:dyDescent="0.25">
      <c r="A601" s="7" t="s">
        <v>2342</v>
      </c>
      <c r="B601" s="2" t="s">
        <v>2343</v>
      </c>
      <c r="C601" s="4">
        <v>1</v>
      </c>
      <c r="D601" s="5">
        <v>2.33</v>
      </c>
      <c r="E601" s="5">
        <v>7.99</v>
      </c>
      <c r="F601" s="4">
        <v>10005049200</v>
      </c>
      <c r="G601" s="2" t="s">
        <v>527</v>
      </c>
      <c r="H601" s="7" t="s">
        <v>531</v>
      </c>
      <c r="I601" s="2" t="s">
        <v>483</v>
      </c>
      <c r="J601" s="2" t="s">
        <v>536</v>
      </c>
      <c r="K601" s="2" t="s">
        <v>304</v>
      </c>
      <c r="L601" s="2" t="s">
        <v>75</v>
      </c>
      <c r="M601" s="8" t="str">
        <f>HYPERLINK("http://slimages.macys.com/is/image/MCY/11520401 ")</f>
        <v xml:space="preserve">http://slimages.macys.com/is/image/MCY/11520401 </v>
      </c>
    </row>
    <row r="602" spans="1:13" ht="60" x14ac:dyDescent="0.25">
      <c r="A602" s="7" t="s">
        <v>5765</v>
      </c>
      <c r="B602" s="2" t="s">
        <v>2353</v>
      </c>
      <c r="C602" s="4">
        <v>1</v>
      </c>
      <c r="D602" s="5">
        <v>2.31</v>
      </c>
      <c r="E602" s="5">
        <v>7.99</v>
      </c>
      <c r="F602" s="4" t="s">
        <v>2354</v>
      </c>
      <c r="G602" s="2" t="s">
        <v>657</v>
      </c>
      <c r="H602" s="7" t="s">
        <v>514</v>
      </c>
      <c r="I602" s="2" t="s">
        <v>483</v>
      </c>
      <c r="J602" s="2" t="s">
        <v>536</v>
      </c>
      <c r="K602" s="2" t="s">
        <v>304</v>
      </c>
      <c r="L602" s="2" t="s">
        <v>119</v>
      </c>
      <c r="M602" s="8" t="str">
        <f>HYPERLINK("http://slimages.macys.com/is/image/MCY/13987628 ")</f>
        <v xml:space="preserve">http://slimages.macys.com/is/image/MCY/13987628 </v>
      </c>
    </row>
    <row r="603" spans="1:13" ht="60" x14ac:dyDescent="0.25">
      <c r="A603" s="7" t="s">
        <v>2349</v>
      </c>
      <c r="B603" s="2" t="s">
        <v>2350</v>
      </c>
      <c r="C603" s="4">
        <v>1</v>
      </c>
      <c r="D603" s="5">
        <v>2.31</v>
      </c>
      <c r="E603" s="5">
        <v>7.99</v>
      </c>
      <c r="F603" s="4" t="s">
        <v>2351</v>
      </c>
      <c r="G603" s="2" t="s">
        <v>657</v>
      </c>
      <c r="H603" s="7" t="s">
        <v>1151</v>
      </c>
      <c r="I603" s="2" t="s">
        <v>483</v>
      </c>
      <c r="J603" s="2" t="s">
        <v>536</v>
      </c>
      <c r="K603" s="2" t="s">
        <v>304</v>
      </c>
      <c r="L603" s="2" t="s">
        <v>38</v>
      </c>
      <c r="M603" s="8" t="str">
        <f>HYPERLINK("http://slimages.macys.com/is/image/MCY/13987607 ")</f>
        <v xml:space="preserve">http://slimages.macys.com/is/image/MCY/13987607 </v>
      </c>
    </row>
    <row r="604" spans="1:13" ht="60" x14ac:dyDescent="0.25">
      <c r="A604" s="7" t="s">
        <v>4580</v>
      </c>
      <c r="B604" s="2" t="s">
        <v>2350</v>
      </c>
      <c r="C604" s="4">
        <v>3</v>
      </c>
      <c r="D604" s="5">
        <v>2.31</v>
      </c>
      <c r="E604" s="5">
        <v>7.99</v>
      </c>
      <c r="F604" s="4" t="s">
        <v>2351</v>
      </c>
      <c r="G604" s="2" t="s">
        <v>657</v>
      </c>
      <c r="H604" s="7" t="s">
        <v>514</v>
      </c>
      <c r="I604" s="2" t="s">
        <v>483</v>
      </c>
      <c r="J604" s="2" t="s">
        <v>536</v>
      </c>
      <c r="K604" s="2" t="s">
        <v>304</v>
      </c>
      <c r="L604" s="2" t="s">
        <v>38</v>
      </c>
      <c r="M604" s="8" t="str">
        <f>HYPERLINK("http://slimages.macys.com/is/image/MCY/13987607 ")</f>
        <v xml:space="preserve">http://slimages.macys.com/is/image/MCY/13987607 </v>
      </c>
    </row>
    <row r="605" spans="1:13" ht="60" x14ac:dyDescent="0.25">
      <c r="A605" s="7" t="s">
        <v>5764</v>
      </c>
      <c r="B605" s="2" t="s">
        <v>4579</v>
      </c>
      <c r="C605" s="4">
        <v>3</v>
      </c>
      <c r="D605" s="5">
        <v>2.31</v>
      </c>
      <c r="E605" s="5">
        <v>7.99</v>
      </c>
      <c r="F605" s="4">
        <v>10004192100</v>
      </c>
      <c r="G605" s="2" t="s">
        <v>171</v>
      </c>
      <c r="H605" s="7" t="s">
        <v>531</v>
      </c>
      <c r="I605" s="2" t="s">
        <v>483</v>
      </c>
      <c r="J605" s="2" t="s">
        <v>536</v>
      </c>
      <c r="K605" s="2" t="s">
        <v>304</v>
      </c>
      <c r="L605" s="2" t="s">
        <v>75</v>
      </c>
      <c r="M605" s="8" t="str">
        <f>HYPERLINK("http://slimages.macys.com/is/image/MCY/11519987 ")</f>
        <v xml:space="preserve">http://slimages.macys.com/is/image/MCY/11519987 </v>
      </c>
    </row>
    <row r="606" spans="1:13" ht="60" x14ac:dyDescent="0.25">
      <c r="A606" s="7" t="s">
        <v>2362</v>
      </c>
      <c r="B606" s="2" t="s">
        <v>2359</v>
      </c>
      <c r="C606" s="4">
        <v>3</v>
      </c>
      <c r="D606" s="5">
        <v>2.29</v>
      </c>
      <c r="E606" s="5">
        <v>5.99</v>
      </c>
      <c r="F606" s="4" t="s">
        <v>2360</v>
      </c>
      <c r="G606" s="2" t="s">
        <v>28</v>
      </c>
      <c r="H606" s="7" t="s">
        <v>442</v>
      </c>
      <c r="I606" s="2" t="s">
        <v>483</v>
      </c>
      <c r="J606" s="2" t="s">
        <v>536</v>
      </c>
      <c r="K606" s="2" t="s">
        <v>304</v>
      </c>
      <c r="L606" s="2" t="s">
        <v>119</v>
      </c>
      <c r="M606" s="8" t="str">
        <f>HYPERLINK("http://slimages.macys.com/is/image/MCY/12644507 ")</f>
        <v xml:space="preserve">http://slimages.macys.com/is/image/MCY/12644507 </v>
      </c>
    </row>
    <row r="607" spans="1:13" ht="60" x14ac:dyDescent="0.25">
      <c r="A607" s="7" t="s">
        <v>9242</v>
      </c>
      <c r="B607" s="2" t="s">
        <v>2364</v>
      </c>
      <c r="C607" s="4">
        <v>1</v>
      </c>
      <c r="D607" s="5">
        <v>2.29</v>
      </c>
      <c r="E607" s="5">
        <v>5.99</v>
      </c>
      <c r="F607" s="4" t="s">
        <v>2365</v>
      </c>
      <c r="G607" s="2" t="s">
        <v>657</v>
      </c>
      <c r="H607" s="7" t="s">
        <v>42</v>
      </c>
      <c r="I607" s="2" t="s">
        <v>483</v>
      </c>
      <c r="J607" s="2" t="s">
        <v>536</v>
      </c>
      <c r="K607" s="2" t="s">
        <v>304</v>
      </c>
      <c r="L607" s="2" t="s">
        <v>119</v>
      </c>
      <c r="M607" s="8" t="str">
        <f>HYPERLINK("http://slimages.macys.com/is/image/MCY/12644673 ")</f>
        <v xml:space="preserve">http://slimages.macys.com/is/image/MCY/12644673 </v>
      </c>
    </row>
    <row r="608" spans="1:13" ht="60" x14ac:dyDescent="0.25">
      <c r="A608" s="7" t="s">
        <v>6626</v>
      </c>
      <c r="B608" s="2" t="s">
        <v>2359</v>
      </c>
      <c r="C608" s="4">
        <v>3</v>
      </c>
      <c r="D608" s="5">
        <v>2.29</v>
      </c>
      <c r="E608" s="5">
        <v>5.99</v>
      </c>
      <c r="F608" s="4" t="s">
        <v>2360</v>
      </c>
      <c r="G608" s="2" t="s">
        <v>28</v>
      </c>
      <c r="H608" s="7" t="s">
        <v>91</v>
      </c>
      <c r="I608" s="2" t="s">
        <v>483</v>
      </c>
      <c r="J608" s="2" t="s">
        <v>536</v>
      </c>
      <c r="K608" s="2" t="s">
        <v>304</v>
      </c>
      <c r="L608" s="2" t="s">
        <v>119</v>
      </c>
      <c r="M608" s="8" t="str">
        <f>HYPERLINK("http://slimages.macys.com/is/image/MCY/12644507 ")</f>
        <v xml:space="preserve">http://slimages.macys.com/is/image/MCY/12644507 </v>
      </c>
    </row>
    <row r="609" spans="1:13" ht="60" x14ac:dyDescent="0.25">
      <c r="A609" s="7" t="s">
        <v>1364</v>
      </c>
      <c r="B609" s="2" t="s">
        <v>1365</v>
      </c>
      <c r="C609" s="4">
        <v>1</v>
      </c>
      <c r="D609" s="5">
        <v>2.29</v>
      </c>
      <c r="E609" s="5">
        <v>5.99</v>
      </c>
      <c r="F609" s="4" t="s">
        <v>1366</v>
      </c>
      <c r="G609" s="2" t="s">
        <v>62</v>
      </c>
      <c r="H609" s="7" t="s">
        <v>590</v>
      </c>
      <c r="I609" s="2" t="s">
        <v>483</v>
      </c>
      <c r="J609" s="2" t="s">
        <v>536</v>
      </c>
      <c r="K609" s="2" t="s">
        <v>304</v>
      </c>
      <c r="L609" s="2" t="s">
        <v>206</v>
      </c>
      <c r="M609" s="8" t="str">
        <f>HYPERLINK("http://slimages.macys.com/is/image/MCY/12463166 ")</f>
        <v xml:space="preserve">http://slimages.macys.com/is/image/MCY/12463166 </v>
      </c>
    </row>
    <row r="610" spans="1:13" ht="60" x14ac:dyDescent="0.25">
      <c r="A610" s="7" t="s">
        <v>4585</v>
      </c>
      <c r="B610" s="2" t="s">
        <v>2359</v>
      </c>
      <c r="C610" s="4">
        <v>2</v>
      </c>
      <c r="D610" s="5">
        <v>2.29</v>
      </c>
      <c r="E610" s="5">
        <v>5.99</v>
      </c>
      <c r="F610" s="4" t="s">
        <v>2360</v>
      </c>
      <c r="G610" s="2" t="s">
        <v>28</v>
      </c>
      <c r="H610" s="7" t="s">
        <v>590</v>
      </c>
      <c r="I610" s="2" t="s">
        <v>483</v>
      </c>
      <c r="J610" s="2" t="s">
        <v>536</v>
      </c>
      <c r="K610" s="2" t="s">
        <v>304</v>
      </c>
      <c r="L610" s="2" t="s">
        <v>119</v>
      </c>
      <c r="M610" s="8" t="str">
        <f>HYPERLINK("http://slimages.macys.com/is/image/MCY/12644507 ")</f>
        <v xml:space="preserve">http://slimages.macys.com/is/image/MCY/12644507 </v>
      </c>
    </row>
    <row r="611" spans="1:13" ht="60" x14ac:dyDescent="0.25">
      <c r="A611" s="7" t="s">
        <v>10318</v>
      </c>
      <c r="B611" s="2" t="s">
        <v>5090</v>
      </c>
      <c r="C611" s="4">
        <v>1</v>
      </c>
      <c r="D611" s="5">
        <v>2.29</v>
      </c>
      <c r="E611" s="5">
        <v>5.99</v>
      </c>
      <c r="F611" s="4" t="s">
        <v>5091</v>
      </c>
      <c r="G611" s="2" t="s">
        <v>41</v>
      </c>
      <c r="H611" s="7" t="s">
        <v>42</v>
      </c>
      <c r="I611" s="2" t="s">
        <v>483</v>
      </c>
      <c r="J611" s="2" t="s">
        <v>536</v>
      </c>
      <c r="K611" s="2" t="s">
        <v>304</v>
      </c>
      <c r="L611" s="2" t="s">
        <v>100</v>
      </c>
      <c r="M611" s="8" t="str">
        <f>HYPERLINK("http://slimages.macys.com/is/image/MCY/11855990 ")</f>
        <v xml:space="preserve">http://slimages.macys.com/is/image/MCY/11855990 </v>
      </c>
    </row>
    <row r="612" spans="1:13" ht="60" x14ac:dyDescent="0.25">
      <c r="A612" s="7" t="s">
        <v>8028</v>
      </c>
      <c r="B612" s="2" t="s">
        <v>1368</v>
      </c>
      <c r="C612" s="4">
        <v>1</v>
      </c>
      <c r="D612" s="5">
        <v>2.2799999999999998</v>
      </c>
      <c r="E612" s="5">
        <v>5.99</v>
      </c>
      <c r="F612" s="4" t="s">
        <v>1369</v>
      </c>
      <c r="G612" s="2" t="s">
        <v>41</v>
      </c>
      <c r="H612" s="7" t="s">
        <v>149</v>
      </c>
      <c r="I612" s="2" t="s">
        <v>483</v>
      </c>
      <c r="J612" s="2" t="s">
        <v>536</v>
      </c>
      <c r="K612" s="2" t="s">
        <v>304</v>
      </c>
      <c r="L612" s="2" t="s">
        <v>38</v>
      </c>
      <c r="M612" s="8" t="str">
        <f>HYPERLINK("http://slimages.macys.com/is/image/MCY/13987603 ")</f>
        <v xml:space="preserve">http://slimages.macys.com/is/image/MCY/13987603 </v>
      </c>
    </row>
    <row r="613" spans="1:13" ht="60" x14ac:dyDescent="0.25">
      <c r="A613" s="7" t="s">
        <v>2369</v>
      </c>
      <c r="B613" s="2" t="s">
        <v>2370</v>
      </c>
      <c r="C613" s="4">
        <v>1</v>
      </c>
      <c r="D613" s="5">
        <v>2.27</v>
      </c>
      <c r="E613" s="5">
        <v>5.99</v>
      </c>
      <c r="F613" s="4" t="s">
        <v>2371</v>
      </c>
      <c r="G613" s="2" t="s">
        <v>41</v>
      </c>
      <c r="H613" s="7" t="s">
        <v>590</v>
      </c>
      <c r="I613" s="2" t="s">
        <v>483</v>
      </c>
      <c r="J613" s="2" t="s">
        <v>536</v>
      </c>
      <c r="K613" s="2" t="s">
        <v>304</v>
      </c>
      <c r="L613" s="2" t="s">
        <v>38</v>
      </c>
      <c r="M613" s="8" t="str">
        <f>HYPERLINK("http://slimages.macys.com/is/image/MCY/11857322 ")</f>
        <v xml:space="preserve">http://slimages.macys.com/is/image/MCY/11857322 </v>
      </c>
    </row>
    <row r="614" spans="1:13" ht="60" x14ac:dyDescent="0.25">
      <c r="A614" s="7" t="s">
        <v>10319</v>
      </c>
      <c r="B614" s="2" t="s">
        <v>4594</v>
      </c>
      <c r="C614" s="4">
        <v>1</v>
      </c>
      <c r="D614" s="5">
        <v>2.27</v>
      </c>
      <c r="E614" s="5">
        <v>5.99</v>
      </c>
      <c r="F614" s="4" t="s">
        <v>4595</v>
      </c>
      <c r="G614" s="2" t="s">
        <v>41</v>
      </c>
      <c r="H614" s="7" t="s">
        <v>590</v>
      </c>
      <c r="I614" s="2" t="s">
        <v>483</v>
      </c>
      <c r="J614" s="2" t="s">
        <v>536</v>
      </c>
      <c r="K614" s="2" t="s">
        <v>304</v>
      </c>
      <c r="L614" s="2" t="s">
        <v>87</v>
      </c>
      <c r="M614" s="8" t="str">
        <f>HYPERLINK("http://slimages.macys.com/is/image/MCY/12466281 ")</f>
        <v xml:space="preserve">http://slimages.macys.com/is/image/MCY/12466281 </v>
      </c>
    </row>
    <row r="615" spans="1:13" ht="60" x14ac:dyDescent="0.25">
      <c r="A615" s="7" t="s">
        <v>4593</v>
      </c>
      <c r="B615" s="2" t="s">
        <v>4594</v>
      </c>
      <c r="C615" s="4">
        <v>1</v>
      </c>
      <c r="D615" s="5">
        <v>2.27</v>
      </c>
      <c r="E615" s="5">
        <v>5.99</v>
      </c>
      <c r="F615" s="4" t="s">
        <v>4595</v>
      </c>
      <c r="G615" s="2" t="s">
        <v>41</v>
      </c>
      <c r="H615" s="7" t="s">
        <v>42</v>
      </c>
      <c r="I615" s="2" t="s">
        <v>483</v>
      </c>
      <c r="J615" s="2" t="s">
        <v>536</v>
      </c>
      <c r="K615" s="2" t="s">
        <v>304</v>
      </c>
      <c r="L615" s="2" t="s">
        <v>87</v>
      </c>
      <c r="M615" s="8" t="str">
        <f>HYPERLINK("http://slimages.macys.com/is/image/MCY/12466281 ")</f>
        <v xml:space="preserve">http://slimages.macys.com/is/image/MCY/12466281 </v>
      </c>
    </row>
    <row r="616" spans="1:13" ht="60" x14ac:dyDescent="0.25">
      <c r="A616" s="7" t="s">
        <v>7258</v>
      </c>
      <c r="B616" s="2" t="s">
        <v>7259</v>
      </c>
      <c r="C616" s="4">
        <v>1</v>
      </c>
      <c r="D616" s="5">
        <v>2.2400000000000002</v>
      </c>
      <c r="E616" s="5">
        <v>5.99</v>
      </c>
      <c r="F616" s="4" t="s">
        <v>7260</v>
      </c>
      <c r="G616" s="2" t="s">
        <v>353</v>
      </c>
      <c r="H616" s="7" t="s">
        <v>442</v>
      </c>
      <c r="I616" s="2" t="s">
        <v>483</v>
      </c>
      <c r="J616" s="2" t="s">
        <v>536</v>
      </c>
      <c r="K616" s="2" t="s">
        <v>304</v>
      </c>
      <c r="L616" s="2" t="s">
        <v>206</v>
      </c>
      <c r="M616" s="8" t="str">
        <f>HYPERLINK("http://slimages.macys.com/is/image/MCY/12644528 ")</f>
        <v xml:space="preserve">http://slimages.macys.com/is/image/MCY/12644528 </v>
      </c>
    </row>
    <row r="617" spans="1:13" ht="60" x14ac:dyDescent="0.25">
      <c r="A617" s="7" t="s">
        <v>8044</v>
      </c>
      <c r="B617" s="2" t="s">
        <v>6080</v>
      </c>
      <c r="C617" s="4">
        <v>1</v>
      </c>
      <c r="D617" s="5">
        <v>2.2200000000000002</v>
      </c>
      <c r="E617" s="5">
        <v>5.99</v>
      </c>
      <c r="F617" s="4" t="s">
        <v>6081</v>
      </c>
      <c r="G617" s="2" t="s">
        <v>28</v>
      </c>
      <c r="H617" s="7" t="s">
        <v>149</v>
      </c>
      <c r="I617" s="2" t="s">
        <v>483</v>
      </c>
      <c r="J617" s="2" t="s">
        <v>536</v>
      </c>
      <c r="K617" s="2" t="s">
        <v>304</v>
      </c>
      <c r="L617" s="2" t="s">
        <v>206</v>
      </c>
      <c r="M617" s="8" t="str">
        <f>HYPERLINK("http://slimages.macys.com/is/image/MCY/12644529 ")</f>
        <v xml:space="preserve">http://slimages.macys.com/is/image/MCY/12644529 </v>
      </c>
    </row>
    <row r="618" spans="1:13" ht="60" x14ac:dyDescent="0.25">
      <c r="A618" s="7" t="s">
        <v>9793</v>
      </c>
      <c r="B618" s="2" t="s">
        <v>9794</v>
      </c>
      <c r="C618" s="4">
        <v>1</v>
      </c>
      <c r="D618" s="5">
        <v>2.2200000000000002</v>
      </c>
      <c r="E618" s="5">
        <v>5.99</v>
      </c>
      <c r="F618" s="4" t="s">
        <v>9795</v>
      </c>
      <c r="G618" s="2" t="s">
        <v>262</v>
      </c>
      <c r="H618" s="7" t="s">
        <v>149</v>
      </c>
      <c r="I618" s="2" t="s">
        <v>483</v>
      </c>
      <c r="J618" s="2" t="s">
        <v>536</v>
      </c>
      <c r="K618" s="2" t="s">
        <v>304</v>
      </c>
      <c r="L618" s="2" t="s">
        <v>100</v>
      </c>
      <c r="M618" s="8" t="str">
        <f>HYPERLINK("http://slimages.macys.com/is/image/MCY/11793352 ")</f>
        <v xml:space="preserve">http://slimages.macys.com/is/image/MCY/11793352 </v>
      </c>
    </row>
    <row r="619" spans="1:13" ht="60" x14ac:dyDescent="0.25">
      <c r="A619" s="7" t="s">
        <v>10320</v>
      </c>
      <c r="B619" s="2" t="s">
        <v>2385</v>
      </c>
      <c r="C619" s="4">
        <v>1</v>
      </c>
      <c r="D619" s="5">
        <v>2.2200000000000002</v>
      </c>
      <c r="E619" s="5">
        <v>5.99</v>
      </c>
      <c r="F619" s="4" t="s">
        <v>2386</v>
      </c>
      <c r="G619" s="2" t="s">
        <v>129</v>
      </c>
      <c r="H619" s="7" t="s">
        <v>442</v>
      </c>
      <c r="I619" s="2" t="s">
        <v>483</v>
      </c>
      <c r="J619" s="2" t="s">
        <v>536</v>
      </c>
      <c r="K619" s="2" t="s">
        <v>304</v>
      </c>
      <c r="L619" s="2" t="s">
        <v>206</v>
      </c>
      <c r="M619" s="8" t="str">
        <f>HYPERLINK("http://slimages.macys.com/is/image/MCY/12644557 ")</f>
        <v xml:space="preserve">http://slimages.macys.com/is/image/MCY/12644557 </v>
      </c>
    </row>
    <row r="620" spans="1:13" ht="60" x14ac:dyDescent="0.25">
      <c r="A620" s="7" t="s">
        <v>9253</v>
      </c>
      <c r="B620" s="2" t="s">
        <v>2380</v>
      </c>
      <c r="C620" s="4">
        <v>1</v>
      </c>
      <c r="D620" s="5">
        <v>2.2200000000000002</v>
      </c>
      <c r="E620" s="5">
        <v>5.99</v>
      </c>
      <c r="F620" s="4" t="s">
        <v>2381</v>
      </c>
      <c r="G620" s="2" t="s">
        <v>28</v>
      </c>
      <c r="H620" s="7" t="s">
        <v>91</v>
      </c>
      <c r="I620" s="2" t="s">
        <v>483</v>
      </c>
      <c r="J620" s="2" t="s">
        <v>536</v>
      </c>
      <c r="K620" s="2" t="s">
        <v>304</v>
      </c>
      <c r="L620" s="2" t="s">
        <v>119</v>
      </c>
      <c r="M620" s="8" t="str">
        <f>HYPERLINK("http://slimages.macys.com/is/image/MCY/12462743 ")</f>
        <v xml:space="preserve">http://slimages.macys.com/is/image/MCY/12462743 </v>
      </c>
    </row>
    <row r="621" spans="1:13" ht="60" x14ac:dyDescent="0.25">
      <c r="A621" s="7" t="s">
        <v>9257</v>
      </c>
      <c r="B621" s="2" t="s">
        <v>1388</v>
      </c>
      <c r="C621" s="4">
        <v>1</v>
      </c>
      <c r="D621" s="5">
        <v>2.21</v>
      </c>
      <c r="E621" s="5">
        <v>5.99</v>
      </c>
      <c r="F621" s="4" t="s">
        <v>1389</v>
      </c>
      <c r="G621" s="2" t="s">
        <v>129</v>
      </c>
      <c r="H621" s="7" t="s">
        <v>590</v>
      </c>
      <c r="I621" s="2" t="s">
        <v>483</v>
      </c>
      <c r="J621" s="2" t="s">
        <v>536</v>
      </c>
      <c r="K621" s="2" t="s">
        <v>304</v>
      </c>
      <c r="L621" s="2" t="s">
        <v>38</v>
      </c>
      <c r="M621" s="8" t="str">
        <f>HYPERLINK("http://slimages.macys.com/is/image/MCY/13987618 ")</f>
        <v xml:space="preserve">http://slimages.macys.com/is/image/MCY/13987618 </v>
      </c>
    </row>
    <row r="622" spans="1:13" ht="60" x14ac:dyDescent="0.25">
      <c r="A622" s="7" t="s">
        <v>9798</v>
      </c>
      <c r="B622" s="2" t="s">
        <v>641</v>
      </c>
      <c r="C622" s="4">
        <v>1</v>
      </c>
      <c r="D622" s="5">
        <v>2.21</v>
      </c>
      <c r="E622" s="5">
        <v>5.99</v>
      </c>
      <c r="F622" s="4" t="s">
        <v>642</v>
      </c>
      <c r="G622" s="2" t="s">
        <v>643</v>
      </c>
      <c r="H622" s="7" t="s">
        <v>149</v>
      </c>
      <c r="I622" s="2" t="s">
        <v>483</v>
      </c>
      <c r="J622" s="2" t="s">
        <v>536</v>
      </c>
      <c r="K622" s="2" t="s">
        <v>304</v>
      </c>
      <c r="L622" s="2" t="s">
        <v>38</v>
      </c>
      <c r="M622" s="8" t="str">
        <f>HYPERLINK("http://slimages.macys.com/is/image/MCY/13987601 ")</f>
        <v xml:space="preserve">http://slimages.macys.com/is/image/MCY/13987601 </v>
      </c>
    </row>
    <row r="623" spans="1:13" ht="60" x14ac:dyDescent="0.25">
      <c r="A623" s="7" t="s">
        <v>8059</v>
      </c>
      <c r="B623" s="2" t="s">
        <v>2398</v>
      </c>
      <c r="C623" s="4">
        <v>1</v>
      </c>
      <c r="D623" s="5">
        <v>2.17</v>
      </c>
      <c r="E623" s="5">
        <v>5.99</v>
      </c>
      <c r="F623" s="4" t="s">
        <v>2399</v>
      </c>
      <c r="G623" s="2" t="s">
        <v>41</v>
      </c>
      <c r="H623" s="7" t="s">
        <v>442</v>
      </c>
      <c r="I623" s="2" t="s">
        <v>483</v>
      </c>
      <c r="J623" s="2" t="s">
        <v>536</v>
      </c>
      <c r="K623" s="2" t="s">
        <v>304</v>
      </c>
      <c r="L623" s="2" t="s">
        <v>87</v>
      </c>
      <c r="M623" s="8" t="str">
        <f>HYPERLINK("http://slimages.macys.com/is/image/MCY/12644613 ")</f>
        <v xml:space="preserve">http://slimages.macys.com/is/image/MCY/12644613 </v>
      </c>
    </row>
    <row r="624" spans="1:13" ht="60" x14ac:dyDescent="0.25">
      <c r="A624" s="7" t="s">
        <v>10321</v>
      </c>
      <c r="B624" s="2" t="s">
        <v>5786</v>
      </c>
      <c r="C624" s="4">
        <v>1</v>
      </c>
      <c r="D624" s="5">
        <v>2.16</v>
      </c>
      <c r="E624" s="5">
        <v>5.99</v>
      </c>
      <c r="F624" s="4" t="s">
        <v>5787</v>
      </c>
      <c r="G624" s="2" t="s">
        <v>41</v>
      </c>
      <c r="H624" s="7" t="s">
        <v>149</v>
      </c>
      <c r="I624" s="2" t="s">
        <v>483</v>
      </c>
      <c r="J624" s="2" t="s">
        <v>536</v>
      </c>
      <c r="K624" s="2" t="s">
        <v>304</v>
      </c>
      <c r="L624" s="2" t="s">
        <v>100</v>
      </c>
      <c r="M624" s="8" t="str">
        <f>HYPERLINK("http://slimages.macys.com/is/image/MCY/11856992 ")</f>
        <v xml:space="preserve">http://slimages.macys.com/is/image/MCY/11856992 </v>
      </c>
    </row>
    <row r="625" spans="1:13" ht="60" x14ac:dyDescent="0.25">
      <c r="A625" s="7" t="s">
        <v>10322</v>
      </c>
      <c r="B625" s="2" t="s">
        <v>10323</v>
      </c>
      <c r="C625" s="4">
        <v>1</v>
      </c>
      <c r="D625" s="5">
        <v>2.16</v>
      </c>
      <c r="E625" s="5">
        <v>5.99</v>
      </c>
      <c r="F625" s="4" t="s">
        <v>10324</v>
      </c>
      <c r="G625" s="2" t="s">
        <v>262</v>
      </c>
      <c r="H625" s="7" t="s">
        <v>590</v>
      </c>
      <c r="I625" s="2" t="s">
        <v>483</v>
      </c>
      <c r="J625" s="2" t="s">
        <v>536</v>
      </c>
      <c r="K625" s="2" t="s">
        <v>304</v>
      </c>
      <c r="L625" s="2" t="s">
        <v>100</v>
      </c>
      <c r="M625" s="8" t="str">
        <f>HYPERLINK("http://slimages.macys.com/is/image/MCY/11382952 ")</f>
        <v xml:space="preserve">http://slimages.macys.com/is/image/MCY/11382952 </v>
      </c>
    </row>
    <row r="626" spans="1:13" ht="60" x14ac:dyDescent="0.25">
      <c r="A626" s="7" t="s">
        <v>10325</v>
      </c>
      <c r="B626" s="2" t="s">
        <v>5109</v>
      </c>
      <c r="C626" s="4">
        <v>1</v>
      </c>
      <c r="D626" s="5">
        <v>2.11</v>
      </c>
      <c r="E626" s="5">
        <v>5.99</v>
      </c>
      <c r="F626" s="4" t="s">
        <v>5110</v>
      </c>
      <c r="G626" s="2" t="s">
        <v>793</v>
      </c>
      <c r="H626" s="7" t="s">
        <v>149</v>
      </c>
      <c r="I626" s="2" t="s">
        <v>483</v>
      </c>
      <c r="J626" s="2" t="s">
        <v>536</v>
      </c>
      <c r="K626" s="2" t="s">
        <v>304</v>
      </c>
      <c r="L626" s="2" t="s">
        <v>119</v>
      </c>
      <c r="M626" s="8" t="str">
        <f>HYPERLINK("http://slimages.macys.com/is/image/MCY/13987430 ")</f>
        <v xml:space="preserve">http://slimages.macys.com/is/image/MCY/13987430 </v>
      </c>
    </row>
    <row r="627" spans="1:13" ht="60" x14ac:dyDescent="0.25">
      <c r="A627" s="7" t="s">
        <v>1398</v>
      </c>
      <c r="B627" s="2" t="s">
        <v>1399</v>
      </c>
      <c r="C627" s="4">
        <v>1</v>
      </c>
      <c r="D627" s="5">
        <v>1.97</v>
      </c>
      <c r="E627" s="5">
        <v>5.99</v>
      </c>
      <c r="F627" s="4" t="s">
        <v>1400</v>
      </c>
      <c r="G627" s="2" t="s">
        <v>657</v>
      </c>
      <c r="H627" s="7" t="s">
        <v>590</v>
      </c>
      <c r="I627" s="2" t="s">
        <v>483</v>
      </c>
      <c r="J627" s="2" t="s">
        <v>536</v>
      </c>
      <c r="K627" s="2" t="s">
        <v>304</v>
      </c>
      <c r="L627" s="2" t="s">
        <v>119</v>
      </c>
      <c r="M627" s="8" t="str">
        <f>HYPERLINK("http://slimages.macys.com/is/image/MCY/13987628 ")</f>
        <v xml:space="preserve">http://slimages.macys.com/is/image/MCY/13987628 </v>
      </c>
    </row>
    <row r="628" spans="1:13" ht="60" x14ac:dyDescent="0.25">
      <c r="A628" s="7" t="s">
        <v>6656</v>
      </c>
      <c r="B628" s="2" t="s">
        <v>1399</v>
      </c>
      <c r="C628" s="4">
        <v>1</v>
      </c>
      <c r="D628" s="5">
        <v>1.97</v>
      </c>
      <c r="E628" s="5">
        <v>5.99</v>
      </c>
      <c r="F628" s="4" t="s">
        <v>1400</v>
      </c>
      <c r="G628" s="2" t="s">
        <v>657</v>
      </c>
      <c r="H628" s="7" t="s">
        <v>149</v>
      </c>
      <c r="I628" s="2" t="s">
        <v>483</v>
      </c>
      <c r="J628" s="2" t="s">
        <v>536</v>
      </c>
      <c r="K628" s="2" t="s">
        <v>304</v>
      </c>
      <c r="L628" s="2" t="s">
        <v>119</v>
      </c>
      <c r="M628" s="8" t="str">
        <f>HYPERLINK("http://slimages.macys.com/is/image/MCY/13987628 ")</f>
        <v xml:space="preserve">http://slimages.macys.com/is/image/MCY/13987628 </v>
      </c>
    </row>
    <row r="629" spans="1:13" ht="60" x14ac:dyDescent="0.25">
      <c r="A629" s="7" t="s">
        <v>2409</v>
      </c>
      <c r="B629" s="2" t="s">
        <v>2410</v>
      </c>
      <c r="C629" s="4">
        <v>1</v>
      </c>
      <c r="D629" s="5">
        <v>1.97</v>
      </c>
      <c r="E629" s="5">
        <v>5.99</v>
      </c>
      <c r="F629" s="4" t="s">
        <v>2411</v>
      </c>
      <c r="G629" s="2" t="s">
        <v>41</v>
      </c>
      <c r="H629" s="7" t="s">
        <v>149</v>
      </c>
      <c r="I629" s="2" t="s">
        <v>483</v>
      </c>
      <c r="J629" s="2" t="s">
        <v>536</v>
      </c>
      <c r="K629" s="2" t="s">
        <v>304</v>
      </c>
      <c r="L629" s="2" t="s">
        <v>206</v>
      </c>
      <c r="M629" s="8" t="str">
        <f>HYPERLINK("http://slimages.macys.com/is/image/MCY/12644612 ")</f>
        <v xml:space="preserve">http://slimages.macys.com/is/image/MCY/12644612 </v>
      </c>
    </row>
    <row r="630" spans="1:13" ht="60" x14ac:dyDescent="0.25">
      <c r="A630" s="7" t="s">
        <v>10326</v>
      </c>
      <c r="B630" s="2" t="s">
        <v>10327</v>
      </c>
      <c r="C630" s="4">
        <v>1</v>
      </c>
      <c r="D630" s="5">
        <v>1.97</v>
      </c>
      <c r="E630" s="5">
        <v>5.99</v>
      </c>
      <c r="F630" s="4" t="s">
        <v>10328</v>
      </c>
      <c r="G630" s="2" t="s">
        <v>48</v>
      </c>
      <c r="H630" s="7" t="s">
        <v>91</v>
      </c>
      <c r="I630" s="2" t="s">
        <v>483</v>
      </c>
      <c r="J630" s="2" t="s">
        <v>536</v>
      </c>
      <c r="K630" s="2" t="s">
        <v>304</v>
      </c>
      <c r="L630" s="2" t="s">
        <v>596</v>
      </c>
      <c r="M630" s="8" t="str">
        <f>HYPERLINK("http://slimages.macys.com/is/image/MCY/11436833 ")</f>
        <v xml:space="preserve">http://slimages.macys.com/is/image/MCY/11436833 </v>
      </c>
    </row>
    <row r="631" spans="1:13" ht="60" x14ac:dyDescent="0.25">
      <c r="A631" s="7" t="s">
        <v>7300</v>
      </c>
      <c r="B631" s="2" t="s">
        <v>1399</v>
      </c>
      <c r="C631" s="4">
        <v>1</v>
      </c>
      <c r="D631" s="5">
        <v>1.97</v>
      </c>
      <c r="E631" s="5">
        <v>5.99</v>
      </c>
      <c r="F631" s="4" t="s">
        <v>1400</v>
      </c>
      <c r="G631" s="2" t="s">
        <v>657</v>
      </c>
      <c r="H631" s="7" t="s">
        <v>91</v>
      </c>
      <c r="I631" s="2" t="s">
        <v>483</v>
      </c>
      <c r="J631" s="2" t="s">
        <v>536</v>
      </c>
      <c r="K631" s="2" t="s">
        <v>304</v>
      </c>
      <c r="L631" s="2" t="s">
        <v>119</v>
      </c>
      <c r="M631" s="8" t="str">
        <f>HYPERLINK("http://slimages.macys.com/is/image/MCY/13987628 ")</f>
        <v xml:space="preserve">http://slimages.macys.com/is/image/MCY/13987628 </v>
      </c>
    </row>
    <row r="632" spans="1:13" ht="156" x14ac:dyDescent="0.25">
      <c r="A632" s="7" t="s">
        <v>10329</v>
      </c>
      <c r="B632" s="2" t="s">
        <v>10330</v>
      </c>
      <c r="C632" s="4">
        <v>1</v>
      </c>
      <c r="D632" s="5">
        <v>1.75</v>
      </c>
      <c r="E632" s="5">
        <v>4.99</v>
      </c>
      <c r="F632" s="4" t="s">
        <v>10331</v>
      </c>
      <c r="G632" s="2" t="s">
        <v>41</v>
      </c>
      <c r="H632" s="7" t="s">
        <v>196</v>
      </c>
      <c r="I632" s="2" t="s">
        <v>523</v>
      </c>
      <c r="J632" s="2" t="s">
        <v>921</v>
      </c>
      <c r="K632" s="2" t="s">
        <v>304</v>
      </c>
      <c r="L632" s="2" t="s">
        <v>10332</v>
      </c>
      <c r="M632" s="8" t="str">
        <f>HYPERLINK("http://slimages.macys.com/is/image/MCY/8345554 ")</f>
        <v xml:space="preserve">http://slimages.macys.com/is/image/MCY/8345554 </v>
      </c>
    </row>
    <row r="633" spans="1:13" ht="60" x14ac:dyDescent="0.25">
      <c r="A633" s="7" t="s">
        <v>2418</v>
      </c>
      <c r="B633" s="2" t="s">
        <v>2419</v>
      </c>
      <c r="C633" s="4">
        <v>1</v>
      </c>
      <c r="D633" s="5">
        <v>1.42</v>
      </c>
      <c r="E633" s="5">
        <v>3.99</v>
      </c>
      <c r="F633" s="4" t="s">
        <v>2420</v>
      </c>
      <c r="G633" s="2" t="s">
        <v>134</v>
      </c>
      <c r="H633" s="7" t="s">
        <v>531</v>
      </c>
      <c r="I633" s="2" t="s">
        <v>483</v>
      </c>
      <c r="J633" s="2" t="s">
        <v>536</v>
      </c>
      <c r="K633" s="2" t="s">
        <v>304</v>
      </c>
      <c r="L633" s="2" t="s">
        <v>2421</v>
      </c>
      <c r="M633" s="8" t="str">
        <f>HYPERLINK("http://slimages.macys.com/is/image/MCY/13987505 ")</f>
        <v xml:space="preserve">http://slimages.macys.com/is/image/MCY/13987505 </v>
      </c>
    </row>
  </sheetData>
  <pageMargins left="0.5" right="0.5" top="0.25" bottom="0.25" header="0.3" footer="0.3"/>
  <pageSetup scale="65" orientation="landscape" horizontalDpi="0" verticalDpi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21"/>
  <sheetViews>
    <sheetView workbookViewId="0">
      <selection activeCell="N3" sqref="N3"/>
    </sheetView>
  </sheetViews>
  <sheetFormatPr defaultRowHeight="15" x14ac:dyDescent="0.25"/>
  <cols>
    <col min="1" max="1" width="14.28515625" customWidth="1"/>
    <col min="2" max="2" width="40.5703125" customWidth="1"/>
    <col min="3" max="3" width="15" customWidth="1"/>
    <col min="4" max="4" width="10.85546875" customWidth="1"/>
    <col min="5" max="6" width="15" customWidth="1"/>
    <col min="7" max="7" width="10.28515625" customWidth="1"/>
    <col min="8" max="8" width="13.7109375" customWidth="1"/>
    <col min="9" max="11" width="11.42578125" customWidth="1"/>
    <col min="12" max="12" width="7.42578125" customWidth="1"/>
    <col min="13" max="13" width="10.85546875" customWidth="1"/>
    <col min="14" max="14" width="12.140625" customWidth="1"/>
    <col min="15" max="15" width="36.5703125" bestFit="1" customWidth="1"/>
    <col min="16" max="17" width="20.7109375" customWidth="1"/>
    <col min="18" max="18" width="64.28515625" customWidth="1"/>
  </cols>
  <sheetData>
    <row r="1" spans="1:13" ht="36" x14ac:dyDescent="0.25">
      <c r="A1" s="23" t="s">
        <v>0</v>
      </c>
      <c r="B1" s="23" t="s">
        <v>1</v>
      </c>
      <c r="C1" s="23" t="s">
        <v>2</v>
      </c>
      <c r="D1" s="23" t="s">
        <v>3</v>
      </c>
      <c r="E1" s="23" t="s">
        <v>4</v>
      </c>
      <c r="F1" s="23" t="s">
        <v>5</v>
      </c>
      <c r="G1" s="23" t="s">
        <v>6</v>
      </c>
      <c r="H1" s="23" t="s">
        <v>7</v>
      </c>
      <c r="I1" s="23" t="s">
        <v>8</v>
      </c>
      <c r="J1" s="23" t="s">
        <v>9</v>
      </c>
    </row>
    <row r="2" spans="1:13" ht="36" x14ac:dyDescent="0.25">
      <c r="A2" s="2" t="s">
        <v>654</v>
      </c>
      <c r="B2" s="3">
        <v>12429317</v>
      </c>
      <c r="C2" s="2" t="s">
        <v>11</v>
      </c>
      <c r="D2" s="2" t="s">
        <v>12</v>
      </c>
      <c r="E2" s="4">
        <v>1</v>
      </c>
      <c r="F2" s="4">
        <v>15</v>
      </c>
      <c r="G2" s="2">
        <v>224</v>
      </c>
      <c r="H2" s="5">
        <v>5040.59</v>
      </c>
      <c r="I2" s="5">
        <v>12639.13</v>
      </c>
      <c r="J2" s="2">
        <v>882</v>
      </c>
    </row>
    <row r="4" spans="1:13" s="6" customFormat="1" x14ac:dyDescent="0.25"/>
    <row r="7" spans="1:13" s="6" customFormat="1" x14ac:dyDescent="0.25"/>
    <row r="8" spans="1:13" ht="36" x14ac:dyDescent="0.25">
      <c r="A8" s="23" t="s">
        <v>13</v>
      </c>
      <c r="B8" s="23" t="s">
        <v>14</v>
      </c>
      <c r="C8" s="23" t="s">
        <v>15</v>
      </c>
      <c r="D8" s="23" t="s">
        <v>16</v>
      </c>
      <c r="E8" s="23" t="s">
        <v>17</v>
      </c>
      <c r="F8" s="23" t="s">
        <v>18</v>
      </c>
      <c r="G8" s="23" t="s">
        <v>19</v>
      </c>
      <c r="H8" s="23" t="s">
        <v>20</v>
      </c>
      <c r="I8" s="23" t="s">
        <v>21</v>
      </c>
      <c r="J8" s="23" t="s">
        <v>22</v>
      </c>
      <c r="K8" s="23" t="s">
        <v>2737</v>
      </c>
      <c r="L8" s="23" t="s">
        <v>23</v>
      </c>
      <c r="M8" s="23" t="s">
        <v>24</v>
      </c>
    </row>
    <row r="9" spans="1:13" ht="132" x14ac:dyDescent="0.25">
      <c r="A9" s="7" t="s">
        <v>6687</v>
      </c>
      <c r="B9" s="2" t="s">
        <v>4665</v>
      </c>
      <c r="C9" s="4">
        <v>1</v>
      </c>
      <c r="D9" s="5">
        <v>23</v>
      </c>
      <c r="E9" s="5">
        <v>51.99</v>
      </c>
      <c r="F9" s="4" t="s">
        <v>4666</v>
      </c>
      <c r="G9" s="2" t="s">
        <v>657</v>
      </c>
      <c r="H9" s="7" t="s">
        <v>248</v>
      </c>
      <c r="I9" s="2" t="s">
        <v>3129</v>
      </c>
      <c r="J9" s="2" t="s">
        <v>4667</v>
      </c>
      <c r="K9" s="2" t="s">
        <v>304</v>
      </c>
      <c r="L9" s="2" t="s">
        <v>4668</v>
      </c>
      <c r="M9" s="8" t="str">
        <f>HYPERLINK("http://slimages.macys.com/is/image/MCY/8687592 ")</f>
        <v xml:space="preserve">http://slimages.macys.com/is/image/MCY/8687592 </v>
      </c>
    </row>
    <row r="10" spans="1:13" ht="60" x14ac:dyDescent="0.25">
      <c r="A10" s="7" t="s">
        <v>9285</v>
      </c>
      <c r="B10" s="2" t="s">
        <v>8667</v>
      </c>
      <c r="C10" s="4">
        <v>1</v>
      </c>
      <c r="D10" s="5">
        <v>22.28</v>
      </c>
      <c r="E10" s="5">
        <v>49.5</v>
      </c>
      <c r="F10" s="4">
        <v>323761646001</v>
      </c>
      <c r="G10" s="2" t="s">
        <v>353</v>
      </c>
      <c r="H10" s="7" t="s">
        <v>159</v>
      </c>
      <c r="I10" s="2" t="s">
        <v>204</v>
      </c>
      <c r="J10" s="2" t="s">
        <v>205</v>
      </c>
      <c r="K10" s="2" t="s">
        <v>304</v>
      </c>
      <c r="L10" s="2" t="s">
        <v>38</v>
      </c>
      <c r="M10" s="8" t="str">
        <f>HYPERLINK("http://slimages.macys.com/is/image/MCY/14356614 ")</f>
        <v xml:space="preserve">http://slimages.macys.com/is/image/MCY/14356614 </v>
      </c>
    </row>
    <row r="11" spans="1:13" ht="60" x14ac:dyDescent="0.25">
      <c r="A11" s="7" t="s">
        <v>9286</v>
      </c>
      <c r="B11" s="2" t="s">
        <v>2459</v>
      </c>
      <c r="C11" s="4">
        <v>1</v>
      </c>
      <c r="D11" s="5">
        <v>20.25</v>
      </c>
      <c r="E11" s="5">
        <v>45</v>
      </c>
      <c r="F11" s="4">
        <v>323750092004</v>
      </c>
      <c r="G11" s="2" t="s">
        <v>28</v>
      </c>
      <c r="H11" s="7" t="s">
        <v>159</v>
      </c>
      <c r="I11" s="2" t="s">
        <v>204</v>
      </c>
      <c r="J11" s="2" t="s">
        <v>205</v>
      </c>
      <c r="K11" s="2" t="s">
        <v>304</v>
      </c>
      <c r="L11" s="2" t="s">
        <v>224</v>
      </c>
      <c r="M11" s="8" t="str">
        <f>HYPERLINK("http://slimages.macys.com/is/image/MCY/14413110 ")</f>
        <v xml:space="preserve">http://slimages.macys.com/is/image/MCY/14413110 </v>
      </c>
    </row>
    <row r="12" spans="1:13" ht="60" x14ac:dyDescent="0.25">
      <c r="A12" s="7" t="s">
        <v>9287</v>
      </c>
      <c r="B12" s="2" t="s">
        <v>9288</v>
      </c>
      <c r="C12" s="4">
        <v>1</v>
      </c>
      <c r="D12" s="5">
        <v>20.25</v>
      </c>
      <c r="E12" s="5">
        <v>45</v>
      </c>
      <c r="F12" s="4">
        <v>322738108001</v>
      </c>
      <c r="G12" s="2" t="s">
        <v>310</v>
      </c>
      <c r="H12" s="7" t="s">
        <v>166</v>
      </c>
      <c r="I12" s="2" t="s">
        <v>204</v>
      </c>
      <c r="J12" s="2" t="s">
        <v>205</v>
      </c>
      <c r="K12" s="2" t="s">
        <v>304</v>
      </c>
      <c r="L12" s="2" t="s">
        <v>206</v>
      </c>
      <c r="M12" s="8" t="str">
        <f>HYPERLINK("http://slimages.macys.com/is/image/MCY/12794781 ")</f>
        <v xml:space="preserve">http://slimages.macys.com/is/image/MCY/12794781 </v>
      </c>
    </row>
    <row r="13" spans="1:13" ht="60" x14ac:dyDescent="0.25">
      <c r="A13" s="7" t="s">
        <v>9289</v>
      </c>
      <c r="B13" s="2" t="s">
        <v>2459</v>
      </c>
      <c r="C13" s="4">
        <v>1</v>
      </c>
      <c r="D13" s="5">
        <v>20.25</v>
      </c>
      <c r="E13" s="5">
        <v>45</v>
      </c>
      <c r="F13" s="4">
        <v>323750092004</v>
      </c>
      <c r="G13" s="2" t="s">
        <v>28</v>
      </c>
      <c r="H13" s="7" t="s">
        <v>217</v>
      </c>
      <c r="I13" s="2" t="s">
        <v>204</v>
      </c>
      <c r="J13" s="2" t="s">
        <v>205</v>
      </c>
      <c r="K13" s="2" t="s">
        <v>304</v>
      </c>
      <c r="L13" s="2" t="s">
        <v>224</v>
      </c>
      <c r="M13" s="8" t="str">
        <f>HYPERLINK("http://slimages.macys.com/is/image/MCY/14413110 ")</f>
        <v xml:space="preserve">http://slimages.macys.com/is/image/MCY/14413110 </v>
      </c>
    </row>
    <row r="14" spans="1:13" ht="60" x14ac:dyDescent="0.25">
      <c r="A14" s="7" t="s">
        <v>9290</v>
      </c>
      <c r="B14" s="2" t="s">
        <v>2459</v>
      </c>
      <c r="C14" s="4">
        <v>1</v>
      </c>
      <c r="D14" s="5">
        <v>20.25</v>
      </c>
      <c r="E14" s="5">
        <v>45</v>
      </c>
      <c r="F14" s="4">
        <v>323750092003</v>
      </c>
      <c r="G14" s="2" t="s">
        <v>283</v>
      </c>
      <c r="H14" s="7" t="s">
        <v>284</v>
      </c>
      <c r="I14" s="2" t="s">
        <v>204</v>
      </c>
      <c r="J14" s="2" t="s">
        <v>205</v>
      </c>
      <c r="K14" s="2" t="s">
        <v>304</v>
      </c>
      <c r="L14" s="2" t="s">
        <v>224</v>
      </c>
      <c r="M14" s="8" t="str">
        <f>HYPERLINK("http://slimages.macys.com/is/image/MCY/14413110 ")</f>
        <v xml:space="preserve">http://slimages.macys.com/is/image/MCY/14413110 </v>
      </c>
    </row>
    <row r="15" spans="1:13" ht="60" x14ac:dyDescent="0.25">
      <c r="A15" s="7" t="s">
        <v>9291</v>
      </c>
      <c r="B15" s="2" t="s">
        <v>9292</v>
      </c>
      <c r="C15" s="4">
        <v>1</v>
      </c>
      <c r="D15" s="5">
        <v>20.02</v>
      </c>
      <c r="E15" s="5">
        <v>40.99</v>
      </c>
      <c r="F15" s="4">
        <v>939543</v>
      </c>
      <c r="G15" s="2" t="s">
        <v>165</v>
      </c>
      <c r="H15" s="7" t="s">
        <v>159</v>
      </c>
      <c r="I15" s="2" t="s">
        <v>80</v>
      </c>
      <c r="J15" s="2" t="s">
        <v>160</v>
      </c>
      <c r="K15" s="2" t="s">
        <v>304</v>
      </c>
      <c r="L15" s="2" t="s">
        <v>125</v>
      </c>
      <c r="M15" s="8" t="str">
        <f>HYPERLINK("http://slimages.macys.com/is/image/MCY/9773682 ")</f>
        <v xml:space="preserve">http://slimages.macys.com/is/image/MCY/9773682 </v>
      </c>
    </row>
    <row r="16" spans="1:13" ht="60" x14ac:dyDescent="0.25">
      <c r="A16" s="7" t="s">
        <v>9293</v>
      </c>
      <c r="B16" s="2" t="s">
        <v>9294</v>
      </c>
      <c r="C16" s="4">
        <v>1</v>
      </c>
      <c r="D16" s="5">
        <v>19.8</v>
      </c>
      <c r="E16" s="5">
        <v>49.5</v>
      </c>
      <c r="F16" s="4" t="s">
        <v>9295</v>
      </c>
      <c r="G16" s="2" t="s">
        <v>86</v>
      </c>
      <c r="H16" s="7"/>
      <c r="I16" s="2" t="s">
        <v>57</v>
      </c>
      <c r="J16" s="2" t="s">
        <v>58</v>
      </c>
      <c r="K16" s="2" t="s">
        <v>304</v>
      </c>
      <c r="L16" s="2" t="s">
        <v>38</v>
      </c>
      <c r="M16" s="8" t="str">
        <f>HYPERLINK("http://slimages.macys.com/is/image/MCY/13815669 ")</f>
        <v xml:space="preserve">http://slimages.macys.com/is/image/MCY/13815669 </v>
      </c>
    </row>
    <row r="17" spans="1:13" ht="84" x14ac:dyDescent="0.25">
      <c r="A17" s="7" t="s">
        <v>9296</v>
      </c>
      <c r="B17" s="2" t="s">
        <v>9297</v>
      </c>
      <c r="C17" s="4">
        <v>1</v>
      </c>
      <c r="D17" s="5">
        <v>19</v>
      </c>
      <c r="E17" s="5">
        <v>50</v>
      </c>
      <c r="F17" s="4" t="s">
        <v>9298</v>
      </c>
      <c r="G17" s="2" t="s">
        <v>437</v>
      </c>
      <c r="H17" s="7" t="s">
        <v>179</v>
      </c>
      <c r="I17" s="2" t="s">
        <v>700</v>
      </c>
      <c r="J17" s="2" t="s">
        <v>1721</v>
      </c>
      <c r="K17" s="2" t="s">
        <v>304</v>
      </c>
      <c r="L17" s="2" t="s">
        <v>9299</v>
      </c>
      <c r="M17" s="8" t="str">
        <f>HYPERLINK("http://slimages.macys.com/is/image/MCY/12878774 ")</f>
        <v xml:space="preserve">http://slimages.macys.com/is/image/MCY/12878774 </v>
      </c>
    </row>
    <row r="18" spans="1:13" ht="60" x14ac:dyDescent="0.25">
      <c r="A18" s="7" t="s">
        <v>9300</v>
      </c>
      <c r="B18" s="2" t="s">
        <v>685</v>
      </c>
      <c r="C18" s="4">
        <v>1</v>
      </c>
      <c r="D18" s="5">
        <v>18.899999999999999</v>
      </c>
      <c r="E18" s="5">
        <v>45</v>
      </c>
      <c r="F18" s="4" t="s">
        <v>4701</v>
      </c>
      <c r="G18" s="2" t="s">
        <v>62</v>
      </c>
      <c r="H18" s="7"/>
      <c r="I18" s="2" t="s">
        <v>80</v>
      </c>
      <c r="J18" s="2" t="s">
        <v>74</v>
      </c>
      <c r="K18" s="2" t="s">
        <v>304</v>
      </c>
      <c r="L18" s="2" t="s">
        <v>125</v>
      </c>
      <c r="M18" s="8" t="str">
        <f>HYPERLINK("http://slimages.macys.com/is/image/MCY/14838882 ")</f>
        <v xml:space="preserve">http://slimages.macys.com/is/image/MCY/14838882 </v>
      </c>
    </row>
    <row r="19" spans="1:13" ht="60" x14ac:dyDescent="0.25">
      <c r="A19" s="7" t="s">
        <v>9301</v>
      </c>
      <c r="B19" s="2" t="s">
        <v>6698</v>
      </c>
      <c r="C19" s="4">
        <v>1</v>
      </c>
      <c r="D19" s="5">
        <v>17.8</v>
      </c>
      <c r="E19" s="5">
        <v>44.5</v>
      </c>
      <c r="F19" s="4" t="s">
        <v>6699</v>
      </c>
      <c r="G19" s="2" t="s">
        <v>79</v>
      </c>
      <c r="H19" s="7" t="s">
        <v>123</v>
      </c>
      <c r="I19" s="2" t="s">
        <v>690</v>
      </c>
      <c r="J19" s="2" t="s">
        <v>58</v>
      </c>
      <c r="K19" s="2" t="s">
        <v>304</v>
      </c>
      <c r="L19" s="2" t="s">
        <v>87</v>
      </c>
      <c r="M19" s="8" t="str">
        <f>HYPERLINK("http://slimages.macys.com/is/image/MCY/13049212 ")</f>
        <v xml:space="preserve">http://slimages.macys.com/is/image/MCY/13049212 </v>
      </c>
    </row>
    <row r="20" spans="1:13" ht="60" x14ac:dyDescent="0.25">
      <c r="A20" s="7" t="s">
        <v>9302</v>
      </c>
      <c r="B20" s="2" t="s">
        <v>203</v>
      </c>
      <c r="C20" s="4">
        <v>1</v>
      </c>
      <c r="D20" s="5">
        <v>17.78</v>
      </c>
      <c r="E20" s="5">
        <v>39.5</v>
      </c>
      <c r="F20" s="4">
        <v>323750956001</v>
      </c>
      <c r="G20" s="2" t="s">
        <v>657</v>
      </c>
      <c r="H20" s="7" t="s">
        <v>159</v>
      </c>
      <c r="I20" s="2" t="s">
        <v>204</v>
      </c>
      <c r="J20" s="2" t="s">
        <v>205</v>
      </c>
      <c r="K20" s="2" t="s">
        <v>304</v>
      </c>
      <c r="L20" s="2" t="s">
        <v>87</v>
      </c>
      <c r="M20" s="8" t="str">
        <f>HYPERLINK("http://slimages.macys.com/is/image/MCY/14356519 ")</f>
        <v xml:space="preserve">http://slimages.macys.com/is/image/MCY/14356519 </v>
      </c>
    </row>
    <row r="21" spans="1:13" ht="60" x14ac:dyDescent="0.25">
      <c r="A21" s="7" t="s">
        <v>9303</v>
      </c>
      <c r="B21" s="2" t="s">
        <v>9304</v>
      </c>
      <c r="C21" s="4">
        <v>1</v>
      </c>
      <c r="D21" s="5">
        <v>16.8</v>
      </c>
      <c r="E21" s="5">
        <v>42</v>
      </c>
      <c r="F21" s="4">
        <v>329424</v>
      </c>
      <c r="G21" s="2" t="s">
        <v>41</v>
      </c>
      <c r="H21" s="7" t="s">
        <v>104</v>
      </c>
      <c r="I21" s="2" t="s">
        <v>50</v>
      </c>
      <c r="J21" s="2" t="s">
        <v>787</v>
      </c>
      <c r="K21" s="2" t="s">
        <v>304</v>
      </c>
      <c r="L21" s="2" t="s">
        <v>328</v>
      </c>
      <c r="M21" s="8" t="str">
        <f>HYPERLINK("http://slimages.macys.com/is/image/MCY/10279689 ")</f>
        <v xml:space="preserve">http://slimages.macys.com/is/image/MCY/10279689 </v>
      </c>
    </row>
    <row r="22" spans="1:13" ht="60" x14ac:dyDescent="0.25">
      <c r="A22" s="7" t="s">
        <v>9305</v>
      </c>
      <c r="B22" s="2" t="s">
        <v>102</v>
      </c>
      <c r="C22" s="4">
        <v>1</v>
      </c>
      <c r="D22" s="5">
        <v>16.2</v>
      </c>
      <c r="E22" s="5">
        <v>54</v>
      </c>
      <c r="F22" s="4">
        <v>328374</v>
      </c>
      <c r="G22" s="2" t="s">
        <v>103</v>
      </c>
      <c r="H22" s="7" t="s">
        <v>4804</v>
      </c>
      <c r="I22" s="2" t="s">
        <v>50</v>
      </c>
      <c r="J22" s="2" t="s">
        <v>105</v>
      </c>
      <c r="K22" s="2" t="s">
        <v>304</v>
      </c>
      <c r="L22" s="2"/>
      <c r="M22" s="8" t="str">
        <f>HYPERLINK("http://slimages.macys.com/is/image/MCY/10476758 ")</f>
        <v xml:space="preserve">http://slimages.macys.com/is/image/MCY/10476758 </v>
      </c>
    </row>
    <row r="23" spans="1:13" ht="96" x14ac:dyDescent="0.25">
      <c r="A23" s="7" t="s">
        <v>9306</v>
      </c>
      <c r="B23" s="2" t="s">
        <v>1462</v>
      </c>
      <c r="C23" s="4">
        <v>1</v>
      </c>
      <c r="D23" s="5">
        <v>16</v>
      </c>
      <c r="E23" s="5">
        <v>45</v>
      </c>
      <c r="F23" s="4">
        <v>361004</v>
      </c>
      <c r="G23" s="2" t="s">
        <v>62</v>
      </c>
      <c r="H23" s="7" t="s">
        <v>708</v>
      </c>
      <c r="I23" s="2" t="s">
        <v>50</v>
      </c>
      <c r="J23" s="2" t="s">
        <v>51</v>
      </c>
      <c r="K23" s="2" t="s">
        <v>304</v>
      </c>
      <c r="L23" s="2" t="s">
        <v>1464</v>
      </c>
      <c r="M23" s="8" t="str">
        <f t="shared" ref="M23:M31" si="0">HYPERLINK("http://slimages.macys.com/is/image/MCY/12462916 ")</f>
        <v xml:space="preserve">http://slimages.macys.com/is/image/MCY/12462916 </v>
      </c>
    </row>
    <row r="24" spans="1:13" ht="96" x14ac:dyDescent="0.25">
      <c r="A24" s="7" t="s">
        <v>9307</v>
      </c>
      <c r="B24" s="2" t="s">
        <v>1462</v>
      </c>
      <c r="C24" s="4">
        <v>2</v>
      </c>
      <c r="D24" s="5">
        <v>16</v>
      </c>
      <c r="E24" s="5">
        <v>45</v>
      </c>
      <c r="F24" s="4">
        <v>361004</v>
      </c>
      <c r="G24" s="2" t="s">
        <v>62</v>
      </c>
      <c r="H24" s="7" t="s">
        <v>917</v>
      </c>
      <c r="I24" s="2" t="s">
        <v>50</v>
      </c>
      <c r="J24" s="2" t="s">
        <v>51</v>
      </c>
      <c r="K24" s="2" t="s">
        <v>304</v>
      </c>
      <c r="L24" s="2" t="s">
        <v>1464</v>
      </c>
      <c r="M24" s="8" t="str">
        <f t="shared" si="0"/>
        <v xml:space="preserve">http://slimages.macys.com/is/image/MCY/12462916 </v>
      </c>
    </row>
    <row r="25" spans="1:13" ht="96" x14ac:dyDescent="0.25">
      <c r="A25" s="7" t="s">
        <v>9308</v>
      </c>
      <c r="B25" s="2" t="s">
        <v>1462</v>
      </c>
      <c r="C25" s="4">
        <v>1</v>
      </c>
      <c r="D25" s="5">
        <v>16</v>
      </c>
      <c r="E25" s="5">
        <v>45</v>
      </c>
      <c r="F25" s="4">
        <v>361004</v>
      </c>
      <c r="G25" s="2" t="s">
        <v>62</v>
      </c>
      <c r="H25" s="7" t="s">
        <v>104</v>
      </c>
      <c r="I25" s="2" t="s">
        <v>50</v>
      </c>
      <c r="J25" s="2" t="s">
        <v>51</v>
      </c>
      <c r="K25" s="2" t="s">
        <v>304</v>
      </c>
      <c r="L25" s="2" t="s">
        <v>1464</v>
      </c>
      <c r="M25" s="8" t="str">
        <f t="shared" si="0"/>
        <v xml:space="preserve">http://slimages.macys.com/is/image/MCY/12462916 </v>
      </c>
    </row>
    <row r="26" spans="1:13" ht="96" x14ac:dyDescent="0.25">
      <c r="A26" s="7" t="s">
        <v>9309</v>
      </c>
      <c r="B26" s="2" t="s">
        <v>1462</v>
      </c>
      <c r="C26" s="4">
        <v>1</v>
      </c>
      <c r="D26" s="5">
        <v>16</v>
      </c>
      <c r="E26" s="5">
        <v>45</v>
      </c>
      <c r="F26" s="4">
        <v>361014</v>
      </c>
      <c r="G26" s="2" t="s">
        <v>1463</v>
      </c>
      <c r="H26" s="7" t="s">
        <v>4804</v>
      </c>
      <c r="I26" s="2" t="s">
        <v>50</v>
      </c>
      <c r="J26" s="2" t="s">
        <v>51</v>
      </c>
      <c r="K26" s="2" t="s">
        <v>304</v>
      </c>
      <c r="L26" s="2" t="s">
        <v>1464</v>
      </c>
      <c r="M26" s="8" t="str">
        <f t="shared" si="0"/>
        <v xml:space="preserve">http://slimages.macys.com/is/image/MCY/12462916 </v>
      </c>
    </row>
    <row r="27" spans="1:13" ht="96" x14ac:dyDescent="0.25">
      <c r="A27" s="7" t="s">
        <v>4739</v>
      </c>
      <c r="B27" s="2" t="s">
        <v>1462</v>
      </c>
      <c r="C27" s="4">
        <v>1</v>
      </c>
      <c r="D27" s="5">
        <v>16</v>
      </c>
      <c r="E27" s="5">
        <v>45</v>
      </c>
      <c r="F27" s="4">
        <v>361004</v>
      </c>
      <c r="G27" s="2" t="s">
        <v>62</v>
      </c>
      <c r="H27" s="7" t="s">
        <v>786</v>
      </c>
      <c r="I27" s="2" t="s">
        <v>50</v>
      </c>
      <c r="J27" s="2" t="s">
        <v>51</v>
      </c>
      <c r="K27" s="2" t="s">
        <v>304</v>
      </c>
      <c r="L27" s="2" t="s">
        <v>1464</v>
      </c>
      <c r="M27" s="8" t="str">
        <f t="shared" si="0"/>
        <v xml:space="preserve">http://slimages.macys.com/is/image/MCY/12462916 </v>
      </c>
    </row>
    <row r="28" spans="1:13" ht="96" x14ac:dyDescent="0.25">
      <c r="A28" s="7" t="s">
        <v>1465</v>
      </c>
      <c r="B28" s="2" t="s">
        <v>1462</v>
      </c>
      <c r="C28" s="4">
        <v>1</v>
      </c>
      <c r="D28" s="5">
        <v>16</v>
      </c>
      <c r="E28" s="5">
        <v>45</v>
      </c>
      <c r="F28" s="4">
        <v>361014</v>
      </c>
      <c r="G28" s="2" t="s">
        <v>1463</v>
      </c>
      <c r="H28" s="7" t="s">
        <v>708</v>
      </c>
      <c r="I28" s="2" t="s">
        <v>50</v>
      </c>
      <c r="J28" s="2" t="s">
        <v>51</v>
      </c>
      <c r="K28" s="2" t="s">
        <v>304</v>
      </c>
      <c r="L28" s="2" t="s">
        <v>1464</v>
      </c>
      <c r="M28" s="8" t="str">
        <f t="shared" si="0"/>
        <v xml:space="preserve">http://slimages.macys.com/is/image/MCY/12462916 </v>
      </c>
    </row>
    <row r="29" spans="1:13" ht="96" x14ac:dyDescent="0.25">
      <c r="A29" s="7" t="s">
        <v>7327</v>
      </c>
      <c r="B29" s="2" t="s">
        <v>1462</v>
      </c>
      <c r="C29" s="4">
        <v>1</v>
      </c>
      <c r="D29" s="5">
        <v>16</v>
      </c>
      <c r="E29" s="5">
        <v>45</v>
      </c>
      <c r="F29" s="4">
        <v>361014</v>
      </c>
      <c r="G29" s="2" t="s">
        <v>1463</v>
      </c>
      <c r="H29" s="7" t="s">
        <v>786</v>
      </c>
      <c r="I29" s="2" t="s">
        <v>50</v>
      </c>
      <c r="J29" s="2" t="s">
        <v>51</v>
      </c>
      <c r="K29" s="2" t="s">
        <v>304</v>
      </c>
      <c r="L29" s="2" t="s">
        <v>1464</v>
      </c>
      <c r="M29" s="8" t="str">
        <f t="shared" si="0"/>
        <v xml:space="preserve">http://slimages.macys.com/is/image/MCY/12462916 </v>
      </c>
    </row>
    <row r="30" spans="1:13" ht="96" x14ac:dyDescent="0.25">
      <c r="A30" s="7" t="s">
        <v>1461</v>
      </c>
      <c r="B30" s="2" t="s">
        <v>1462</v>
      </c>
      <c r="C30" s="4">
        <v>2</v>
      </c>
      <c r="D30" s="5">
        <v>16</v>
      </c>
      <c r="E30" s="5">
        <v>45</v>
      </c>
      <c r="F30" s="4">
        <v>361014</v>
      </c>
      <c r="G30" s="2" t="s">
        <v>1463</v>
      </c>
      <c r="H30" s="7" t="s">
        <v>917</v>
      </c>
      <c r="I30" s="2" t="s">
        <v>50</v>
      </c>
      <c r="J30" s="2" t="s">
        <v>51</v>
      </c>
      <c r="K30" s="2" t="s">
        <v>304</v>
      </c>
      <c r="L30" s="2" t="s">
        <v>1464</v>
      </c>
      <c r="M30" s="8" t="str">
        <f t="shared" si="0"/>
        <v xml:space="preserve">http://slimages.macys.com/is/image/MCY/12462916 </v>
      </c>
    </row>
    <row r="31" spans="1:13" ht="96" x14ac:dyDescent="0.25">
      <c r="A31" s="7" t="s">
        <v>9310</v>
      </c>
      <c r="B31" s="2" t="s">
        <v>1462</v>
      </c>
      <c r="C31" s="4">
        <v>1</v>
      </c>
      <c r="D31" s="5">
        <v>16</v>
      </c>
      <c r="E31" s="5">
        <v>45</v>
      </c>
      <c r="F31" s="4">
        <v>361014</v>
      </c>
      <c r="G31" s="2" t="s">
        <v>1463</v>
      </c>
      <c r="H31" s="7" t="s">
        <v>850</v>
      </c>
      <c r="I31" s="2" t="s">
        <v>50</v>
      </c>
      <c r="J31" s="2" t="s">
        <v>51</v>
      </c>
      <c r="K31" s="2" t="s">
        <v>304</v>
      </c>
      <c r="L31" s="2" t="s">
        <v>1464</v>
      </c>
      <c r="M31" s="8" t="str">
        <f t="shared" si="0"/>
        <v xml:space="preserve">http://slimages.macys.com/is/image/MCY/12462916 </v>
      </c>
    </row>
    <row r="32" spans="1:13" ht="60" x14ac:dyDescent="0.25">
      <c r="A32" s="7" t="s">
        <v>9311</v>
      </c>
      <c r="B32" s="2" t="s">
        <v>9312</v>
      </c>
      <c r="C32" s="4">
        <v>1</v>
      </c>
      <c r="D32" s="5">
        <v>15.73</v>
      </c>
      <c r="E32" s="5">
        <v>42.5</v>
      </c>
      <c r="F32" s="4" t="s">
        <v>9313</v>
      </c>
      <c r="G32" s="2" t="s">
        <v>41</v>
      </c>
      <c r="H32" s="7" t="s">
        <v>172</v>
      </c>
      <c r="I32" s="2" t="s">
        <v>880</v>
      </c>
      <c r="J32" s="2" t="s">
        <v>881</v>
      </c>
      <c r="K32" s="2" t="s">
        <v>304</v>
      </c>
      <c r="L32" s="2" t="s">
        <v>100</v>
      </c>
      <c r="M32" s="8" t="str">
        <f>HYPERLINK("http://slimages.macys.com/is/image/MCY/12049365 ")</f>
        <v xml:space="preserve">http://slimages.macys.com/is/image/MCY/12049365 </v>
      </c>
    </row>
    <row r="33" spans="1:13" ht="60" x14ac:dyDescent="0.25">
      <c r="A33" s="7" t="s">
        <v>9314</v>
      </c>
      <c r="B33" s="2" t="s">
        <v>2475</v>
      </c>
      <c r="C33" s="4">
        <v>1</v>
      </c>
      <c r="D33" s="5">
        <v>15.57</v>
      </c>
      <c r="E33" s="5">
        <v>31.99</v>
      </c>
      <c r="F33" s="4" t="s">
        <v>2476</v>
      </c>
      <c r="G33" s="2" t="s">
        <v>165</v>
      </c>
      <c r="H33" s="7" t="s">
        <v>217</v>
      </c>
      <c r="I33" s="2" t="s">
        <v>80</v>
      </c>
      <c r="J33" s="2" t="s">
        <v>160</v>
      </c>
      <c r="K33" s="2" t="s">
        <v>304</v>
      </c>
      <c r="L33" s="2" t="s">
        <v>125</v>
      </c>
      <c r="M33" s="8" t="str">
        <f>HYPERLINK("http://slimages.macys.com/is/image/MCY/12460668 ")</f>
        <v xml:space="preserve">http://slimages.macys.com/is/image/MCY/12460668 </v>
      </c>
    </row>
    <row r="34" spans="1:13" ht="60" x14ac:dyDescent="0.25">
      <c r="A34" s="7" t="s">
        <v>9315</v>
      </c>
      <c r="B34" s="2" t="s">
        <v>2977</v>
      </c>
      <c r="C34" s="4">
        <v>2</v>
      </c>
      <c r="D34" s="5">
        <v>15.4</v>
      </c>
      <c r="E34" s="5">
        <v>35</v>
      </c>
      <c r="F34" s="4">
        <v>1329029</v>
      </c>
      <c r="G34" s="2" t="s">
        <v>643</v>
      </c>
      <c r="H34" s="7" t="s">
        <v>228</v>
      </c>
      <c r="I34" s="2" t="s">
        <v>80</v>
      </c>
      <c r="J34" s="2" t="s">
        <v>280</v>
      </c>
      <c r="K34" s="2" t="s">
        <v>304</v>
      </c>
      <c r="L34" s="2" t="s">
        <v>125</v>
      </c>
      <c r="M34" s="8" t="str">
        <f>HYPERLINK("http://slimages.macys.com/is/image/MCY/11951087 ")</f>
        <v xml:space="preserve">http://slimages.macys.com/is/image/MCY/11951087 </v>
      </c>
    </row>
    <row r="35" spans="1:13" ht="60" x14ac:dyDescent="0.25">
      <c r="A35" s="7" t="s">
        <v>9316</v>
      </c>
      <c r="B35" s="2" t="s">
        <v>1477</v>
      </c>
      <c r="C35" s="4">
        <v>1</v>
      </c>
      <c r="D35" s="5">
        <v>15</v>
      </c>
      <c r="E35" s="5">
        <v>39.99</v>
      </c>
      <c r="F35" s="4" t="s">
        <v>1478</v>
      </c>
      <c r="G35" s="2" t="s">
        <v>36</v>
      </c>
      <c r="H35" s="7" t="s">
        <v>42</v>
      </c>
      <c r="I35" s="2" t="s">
        <v>92</v>
      </c>
      <c r="J35" s="2" t="s">
        <v>187</v>
      </c>
      <c r="K35" s="2" t="s">
        <v>304</v>
      </c>
      <c r="L35" s="2" t="s">
        <v>1479</v>
      </c>
      <c r="M35" s="8" t="str">
        <f>HYPERLINK("http://slimages.macys.com/is/image/MCY/13310887 ")</f>
        <v xml:space="preserve">http://slimages.macys.com/is/image/MCY/13310887 </v>
      </c>
    </row>
    <row r="36" spans="1:13" ht="96" x14ac:dyDescent="0.25">
      <c r="A36" s="7" t="s">
        <v>9317</v>
      </c>
      <c r="B36" s="2" t="s">
        <v>9318</v>
      </c>
      <c r="C36" s="4">
        <v>1</v>
      </c>
      <c r="D36" s="5">
        <v>14.5</v>
      </c>
      <c r="E36" s="5">
        <v>44.99</v>
      </c>
      <c r="F36" s="4" t="s">
        <v>9319</v>
      </c>
      <c r="G36" s="2" t="s">
        <v>28</v>
      </c>
      <c r="H36" s="7" t="s">
        <v>166</v>
      </c>
      <c r="I36" s="2" t="s">
        <v>668</v>
      </c>
      <c r="J36" s="2" t="s">
        <v>1427</v>
      </c>
      <c r="K36" s="2" t="s">
        <v>304</v>
      </c>
      <c r="L36" s="2" t="s">
        <v>1516</v>
      </c>
      <c r="M36" s="8" t="str">
        <f>HYPERLINK("http://slimages.macys.com/is/image/MCY/12712234 ")</f>
        <v xml:space="preserve">http://slimages.macys.com/is/image/MCY/12712234 </v>
      </c>
    </row>
    <row r="37" spans="1:13" ht="60" x14ac:dyDescent="0.25">
      <c r="A37" s="7" t="s">
        <v>9320</v>
      </c>
      <c r="B37" s="2" t="s">
        <v>9321</v>
      </c>
      <c r="C37" s="4">
        <v>2</v>
      </c>
      <c r="D37" s="5">
        <v>14.5</v>
      </c>
      <c r="E37" s="5">
        <v>39.99</v>
      </c>
      <c r="F37" s="4" t="s">
        <v>9322</v>
      </c>
      <c r="G37" s="2" t="s">
        <v>36</v>
      </c>
      <c r="H37" s="7" t="s">
        <v>149</v>
      </c>
      <c r="I37" s="2" t="s">
        <v>92</v>
      </c>
      <c r="J37" s="2" t="s">
        <v>65</v>
      </c>
      <c r="K37" s="2" t="s">
        <v>304</v>
      </c>
      <c r="L37" s="2" t="s">
        <v>9323</v>
      </c>
      <c r="M37" s="8" t="str">
        <f>HYPERLINK("http://slimages.macys.com/is/image/MCY/11455718 ")</f>
        <v xml:space="preserve">http://slimages.macys.com/is/image/MCY/11455718 </v>
      </c>
    </row>
    <row r="38" spans="1:13" ht="60" x14ac:dyDescent="0.25">
      <c r="A38" s="7" t="s">
        <v>9324</v>
      </c>
      <c r="B38" s="2" t="s">
        <v>750</v>
      </c>
      <c r="C38" s="4">
        <v>1</v>
      </c>
      <c r="D38" s="5">
        <v>14</v>
      </c>
      <c r="E38" s="5">
        <v>32.99</v>
      </c>
      <c r="F38" s="4" t="s">
        <v>751</v>
      </c>
      <c r="G38" s="2" t="s">
        <v>752</v>
      </c>
      <c r="H38" s="7" t="s">
        <v>311</v>
      </c>
      <c r="I38" s="2" t="s">
        <v>80</v>
      </c>
      <c r="J38" s="2" t="s">
        <v>145</v>
      </c>
      <c r="K38" s="2" t="s">
        <v>304</v>
      </c>
      <c r="L38" s="2" t="s">
        <v>125</v>
      </c>
      <c r="M38" s="8" t="str">
        <f>HYPERLINK("http://slimages.macys.com/is/image/MCY/13356716 ")</f>
        <v xml:space="preserve">http://slimages.macys.com/is/image/MCY/13356716 </v>
      </c>
    </row>
    <row r="39" spans="1:13" ht="60" x14ac:dyDescent="0.25">
      <c r="A39" s="7" t="s">
        <v>9325</v>
      </c>
      <c r="B39" s="2" t="s">
        <v>9326</v>
      </c>
      <c r="C39" s="4">
        <v>1</v>
      </c>
      <c r="D39" s="5">
        <v>14</v>
      </c>
      <c r="E39" s="5">
        <v>34.99</v>
      </c>
      <c r="F39" s="4" t="s">
        <v>9327</v>
      </c>
      <c r="G39" s="2" t="s">
        <v>48</v>
      </c>
      <c r="H39" s="7" t="s">
        <v>123</v>
      </c>
      <c r="I39" s="2" t="s">
        <v>80</v>
      </c>
      <c r="J39" s="2" t="s">
        <v>647</v>
      </c>
      <c r="K39" s="2" t="s">
        <v>304</v>
      </c>
      <c r="L39" s="2" t="s">
        <v>125</v>
      </c>
      <c r="M39" s="8" t="str">
        <f>HYPERLINK("http://slimages.macys.com/is/image/MCY/13700119 ")</f>
        <v xml:space="preserve">http://slimages.macys.com/is/image/MCY/13700119 </v>
      </c>
    </row>
    <row r="40" spans="1:13" ht="60" x14ac:dyDescent="0.25">
      <c r="A40" s="7" t="s">
        <v>4773</v>
      </c>
      <c r="B40" s="2" t="s">
        <v>4774</v>
      </c>
      <c r="C40" s="4">
        <v>1</v>
      </c>
      <c r="D40" s="5">
        <v>14</v>
      </c>
      <c r="E40" s="5">
        <v>31.99</v>
      </c>
      <c r="F40" s="4" t="s">
        <v>4775</v>
      </c>
      <c r="G40" s="2" t="s">
        <v>262</v>
      </c>
      <c r="H40" s="7" t="s">
        <v>166</v>
      </c>
      <c r="I40" s="2" t="s">
        <v>80</v>
      </c>
      <c r="J40" s="2" t="s">
        <v>167</v>
      </c>
      <c r="K40" s="2" t="s">
        <v>304</v>
      </c>
      <c r="L40" s="2" t="s">
        <v>125</v>
      </c>
      <c r="M40" s="8" t="str">
        <f>HYPERLINK("http://slimages.macys.com/is/image/MCY/13117110 ")</f>
        <v xml:space="preserve">http://slimages.macys.com/is/image/MCY/13117110 </v>
      </c>
    </row>
    <row r="41" spans="1:13" ht="60" x14ac:dyDescent="0.25">
      <c r="A41" s="7" t="s">
        <v>9328</v>
      </c>
      <c r="B41" s="2" t="s">
        <v>9329</v>
      </c>
      <c r="C41" s="4">
        <v>1</v>
      </c>
      <c r="D41" s="5">
        <v>14</v>
      </c>
      <c r="E41" s="5">
        <v>45</v>
      </c>
      <c r="F41" s="4" t="s">
        <v>9330</v>
      </c>
      <c r="G41" s="2" t="s">
        <v>2913</v>
      </c>
      <c r="H41" s="7" t="s">
        <v>4804</v>
      </c>
      <c r="I41" s="2" t="s">
        <v>50</v>
      </c>
      <c r="J41" s="2" t="s">
        <v>901</v>
      </c>
      <c r="K41" s="2" t="s">
        <v>304</v>
      </c>
      <c r="L41" s="2" t="s">
        <v>328</v>
      </c>
      <c r="M41" s="8" t="str">
        <f>HYPERLINK("http://slimages.macys.com/is/image/MCY/10382931 ")</f>
        <v xml:space="preserve">http://slimages.macys.com/is/image/MCY/10382931 </v>
      </c>
    </row>
    <row r="42" spans="1:13" ht="60" x14ac:dyDescent="0.25">
      <c r="A42" s="7" t="s">
        <v>9331</v>
      </c>
      <c r="B42" s="2" t="s">
        <v>9332</v>
      </c>
      <c r="C42" s="4">
        <v>1</v>
      </c>
      <c r="D42" s="5">
        <v>13.72</v>
      </c>
      <c r="E42" s="5">
        <v>49</v>
      </c>
      <c r="F42" s="4">
        <v>329044</v>
      </c>
      <c r="G42" s="2" t="s">
        <v>62</v>
      </c>
      <c r="H42" s="7" t="s">
        <v>49</v>
      </c>
      <c r="I42" s="2" t="s">
        <v>50</v>
      </c>
      <c r="J42" s="2" t="s">
        <v>51</v>
      </c>
      <c r="K42" s="2" t="s">
        <v>304</v>
      </c>
      <c r="L42" s="2" t="s">
        <v>328</v>
      </c>
      <c r="M42" s="8" t="str">
        <f>HYPERLINK("http://slimages.macys.com/is/image/MCY/10277020 ")</f>
        <v xml:space="preserve">http://slimages.macys.com/is/image/MCY/10277020 </v>
      </c>
    </row>
    <row r="43" spans="1:13" ht="60" x14ac:dyDescent="0.25">
      <c r="A43" s="7" t="s">
        <v>9333</v>
      </c>
      <c r="B43" s="2" t="s">
        <v>9334</v>
      </c>
      <c r="C43" s="4">
        <v>1</v>
      </c>
      <c r="D43" s="5">
        <v>13.5</v>
      </c>
      <c r="E43" s="5">
        <v>30</v>
      </c>
      <c r="F43" s="4">
        <v>1341125</v>
      </c>
      <c r="G43" s="2" t="s">
        <v>62</v>
      </c>
      <c r="H43" s="7" t="s">
        <v>228</v>
      </c>
      <c r="I43" s="2" t="s">
        <v>73</v>
      </c>
      <c r="J43" s="2" t="s">
        <v>280</v>
      </c>
      <c r="K43" s="2" t="s">
        <v>304</v>
      </c>
      <c r="L43" s="2" t="s">
        <v>125</v>
      </c>
      <c r="M43" s="8" t="str">
        <f>HYPERLINK("http://slimages.macys.com/is/image/MCY/11949814 ")</f>
        <v xml:space="preserve">http://slimages.macys.com/is/image/MCY/11949814 </v>
      </c>
    </row>
    <row r="44" spans="1:13" ht="60" x14ac:dyDescent="0.25">
      <c r="A44" s="7" t="s">
        <v>9335</v>
      </c>
      <c r="B44" s="2" t="s">
        <v>203</v>
      </c>
      <c r="C44" s="4">
        <v>1</v>
      </c>
      <c r="D44" s="5">
        <v>13.28</v>
      </c>
      <c r="E44" s="5">
        <v>29.5</v>
      </c>
      <c r="F44" s="4">
        <v>323750963001</v>
      </c>
      <c r="G44" s="2" t="s">
        <v>28</v>
      </c>
      <c r="H44" s="7" t="s">
        <v>159</v>
      </c>
      <c r="I44" s="2" t="s">
        <v>204</v>
      </c>
      <c r="J44" s="2" t="s">
        <v>205</v>
      </c>
      <c r="K44" s="2" t="s">
        <v>304</v>
      </c>
      <c r="L44" s="2" t="s">
        <v>206</v>
      </c>
      <c r="M44" s="8" t="str">
        <f>HYPERLINK("http://slimages.macys.com/is/image/MCY/13743456 ")</f>
        <v xml:space="preserve">http://slimages.macys.com/is/image/MCY/13743456 </v>
      </c>
    </row>
    <row r="45" spans="1:13" ht="84" x14ac:dyDescent="0.25">
      <c r="A45" s="7" t="s">
        <v>9336</v>
      </c>
      <c r="B45" s="2" t="s">
        <v>9337</v>
      </c>
      <c r="C45" s="4">
        <v>1</v>
      </c>
      <c r="D45" s="5">
        <v>12.75</v>
      </c>
      <c r="E45" s="5">
        <v>28</v>
      </c>
      <c r="F45" s="4">
        <v>7152</v>
      </c>
      <c r="G45" s="2" t="s">
        <v>41</v>
      </c>
      <c r="H45" s="7" t="s">
        <v>531</v>
      </c>
      <c r="I45" s="2" t="s">
        <v>43</v>
      </c>
      <c r="J45" s="2" t="s">
        <v>44</v>
      </c>
      <c r="K45" s="2" t="s">
        <v>304</v>
      </c>
      <c r="L45" s="2" t="s">
        <v>9338</v>
      </c>
      <c r="M45" s="8" t="str">
        <f>HYPERLINK("http://slimages.macys.com/is/image/MCY/694345 ")</f>
        <v xml:space="preserve">http://slimages.macys.com/is/image/MCY/694345 </v>
      </c>
    </row>
    <row r="46" spans="1:13" ht="180" x14ac:dyDescent="0.25">
      <c r="A46" s="7" t="s">
        <v>9339</v>
      </c>
      <c r="B46" s="2" t="s">
        <v>9340</v>
      </c>
      <c r="C46" s="4">
        <v>1</v>
      </c>
      <c r="D46" s="5">
        <v>12.5</v>
      </c>
      <c r="E46" s="5">
        <v>32.99</v>
      </c>
      <c r="F46" s="4" t="s">
        <v>9341</v>
      </c>
      <c r="G46" s="2" t="s">
        <v>353</v>
      </c>
      <c r="H46" s="7" t="s">
        <v>149</v>
      </c>
      <c r="I46" s="2" t="s">
        <v>92</v>
      </c>
      <c r="J46" s="2" t="s">
        <v>65</v>
      </c>
      <c r="K46" s="2" t="s">
        <v>304</v>
      </c>
      <c r="L46" s="2" t="s">
        <v>9342</v>
      </c>
      <c r="M46" s="8" t="str">
        <f>HYPERLINK("http://slimages.macys.com/is/image/MCY/13782960 ")</f>
        <v xml:space="preserve">http://slimages.macys.com/is/image/MCY/13782960 </v>
      </c>
    </row>
    <row r="47" spans="1:13" ht="60" x14ac:dyDescent="0.25">
      <c r="A47" s="7" t="s">
        <v>9343</v>
      </c>
      <c r="B47" s="2" t="s">
        <v>9344</v>
      </c>
      <c r="C47" s="4">
        <v>1</v>
      </c>
      <c r="D47" s="5">
        <v>12.5</v>
      </c>
      <c r="E47" s="5">
        <v>36</v>
      </c>
      <c r="F47" s="4" t="s">
        <v>9345</v>
      </c>
      <c r="G47" s="2" t="s">
        <v>698</v>
      </c>
      <c r="H47" s="7" t="s">
        <v>311</v>
      </c>
      <c r="I47" s="2" t="s">
        <v>80</v>
      </c>
      <c r="J47" s="2" t="s">
        <v>647</v>
      </c>
      <c r="K47" s="2" t="s">
        <v>304</v>
      </c>
      <c r="L47" s="2" t="s">
        <v>125</v>
      </c>
      <c r="M47" s="8" t="str">
        <f>HYPERLINK("http://slimages.macys.com/is/image/MCY/12283768 ")</f>
        <v xml:space="preserve">http://slimages.macys.com/is/image/MCY/12283768 </v>
      </c>
    </row>
    <row r="48" spans="1:13" ht="180" x14ac:dyDescent="0.25">
      <c r="A48" s="7" t="s">
        <v>9346</v>
      </c>
      <c r="B48" s="2" t="s">
        <v>9340</v>
      </c>
      <c r="C48" s="4">
        <v>1</v>
      </c>
      <c r="D48" s="5">
        <v>12.5</v>
      </c>
      <c r="E48" s="5">
        <v>32.99</v>
      </c>
      <c r="F48" s="4" t="s">
        <v>9341</v>
      </c>
      <c r="G48" s="2" t="s">
        <v>353</v>
      </c>
      <c r="H48" s="7" t="s">
        <v>442</v>
      </c>
      <c r="I48" s="2" t="s">
        <v>92</v>
      </c>
      <c r="J48" s="2" t="s">
        <v>65</v>
      </c>
      <c r="K48" s="2" t="s">
        <v>304</v>
      </c>
      <c r="L48" s="2" t="s">
        <v>9342</v>
      </c>
      <c r="M48" s="8" t="str">
        <f>HYPERLINK("http://slimages.macys.com/is/image/MCY/13782960 ")</f>
        <v xml:space="preserve">http://slimages.macys.com/is/image/MCY/13782960 </v>
      </c>
    </row>
    <row r="49" spans="1:13" ht="132" x14ac:dyDescent="0.25">
      <c r="A49" s="7" t="s">
        <v>9347</v>
      </c>
      <c r="B49" s="2" t="s">
        <v>8687</v>
      </c>
      <c r="C49" s="4">
        <v>1</v>
      </c>
      <c r="D49" s="5">
        <v>12.5</v>
      </c>
      <c r="E49" s="5">
        <v>29.99</v>
      </c>
      <c r="F49" s="4" t="s">
        <v>8688</v>
      </c>
      <c r="G49" s="2" t="s">
        <v>86</v>
      </c>
      <c r="H49" s="7" t="s">
        <v>675</v>
      </c>
      <c r="I49" s="2" t="s">
        <v>135</v>
      </c>
      <c r="J49" s="2" t="s">
        <v>258</v>
      </c>
      <c r="K49" s="2" t="s">
        <v>304</v>
      </c>
      <c r="L49" s="2" t="s">
        <v>8689</v>
      </c>
      <c r="M49" s="8" t="str">
        <f>HYPERLINK("http://slimages.macys.com/is/image/MCY/11859047 ")</f>
        <v xml:space="preserve">http://slimages.macys.com/is/image/MCY/11859047 </v>
      </c>
    </row>
    <row r="50" spans="1:13" ht="120" x14ac:dyDescent="0.25">
      <c r="A50" s="7" t="s">
        <v>1565</v>
      </c>
      <c r="B50" s="2" t="s">
        <v>1562</v>
      </c>
      <c r="C50" s="4">
        <v>1</v>
      </c>
      <c r="D50" s="5">
        <v>12.46</v>
      </c>
      <c r="E50" s="5">
        <v>24.99</v>
      </c>
      <c r="F50" s="4" t="s">
        <v>1563</v>
      </c>
      <c r="G50" s="2" t="s">
        <v>48</v>
      </c>
      <c r="H50" s="7" t="s">
        <v>228</v>
      </c>
      <c r="I50" s="2" t="s">
        <v>73</v>
      </c>
      <c r="J50" s="2" t="s">
        <v>160</v>
      </c>
      <c r="K50" s="2" t="s">
        <v>304</v>
      </c>
      <c r="L50" s="2" t="s">
        <v>1564</v>
      </c>
      <c r="M50" s="8" t="str">
        <f>HYPERLINK("http://slimages.macys.com/is/image/MCY/11973367 ")</f>
        <v xml:space="preserve">http://slimages.macys.com/is/image/MCY/11973367 </v>
      </c>
    </row>
    <row r="51" spans="1:13" ht="60" x14ac:dyDescent="0.25">
      <c r="A51" s="7" t="s">
        <v>9348</v>
      </c>
      <c r="B51" s="2" t="s">
        <v>1567</v>
      </c>
      <c r="C51" s="4">
        <v>1</v>
      </c>
      <c r="D51" s="5">
        <v>12.32</v>
      </c>
      <c r="E51" s="5">
        <v>30.99</v>
      </c>
      <c r="F51" s="4" t="s">
        <v>1568</v>
      </c>
      <c r="G51" s="2" t="s">
        <v>388</v>
      </c>
      <c r="H51" s="7" t="s">
        <v>159</v>
      </c>
      <c r="I51" s="2" t="s">
        <v>389</v>
      </c>
      <c r="J51" s="2" t="s">
        <v>354</v>
      </c>
      <c r="K51" s="2" t="s">
        <v>304</v>
      </c>
      <c r="L51" s="2" t="s">
        <v>1569</v>
      </c>
      <c r="M51" s="8" t="str">
        <f>HYPERLINK("http://slimages.macys.com/is/image/MCY/13079500 ")</f>
        <v xml:space="preserve">http://slimages.macys.com/is/image/MCY/13079500 </v>
      </c>
    </row>
    <row r="52" spans="1:13" ht="60" x14ac:dyDescent="0.25">
      <c r="A52" s="7" t="s">
        <v>9349</v>
      </c>
      <c r="B52" s="2" t="s">
        <v>9350</v>
      </c>
      <c r="C52" s="4">
        <v>1</v>
      </c>
      <c r="D52" s="5">
        <v>12.25</v>
      </c>
      <c r="E52" s="5">
        <v>27.22</v>
      </c>
      <c r="F52" s="4" t="s">
        <v>9351</v>
      </c>
      <c r="G52" s="2" t="s">
        <v>62</v>
      </c>
      <c r="H52" s="7" t="s">
        <v>217</v>
      </c>
      <c r="I52" s="2" t="s">
        <v>700</v>
      </c>
      <c r="J52" s="2" t="s">
        <v>2123</v>
      </c>
      <c r="K52" s="2" t="s">
        <v>304</v>
      </c>
      <c r="L52" s="2" t="s">
        <v>119</v>
      </c>
      <c r="M52" s="8" t="str">
        <f>HYPERLINK("http://slimages.macys.com/is/image/MCY/12465334 ")</f>
        <v xml:space="preserve">http://slimages.macys.com/is/image/MCY/12465334 </v>
      </c>
    </row>
    <row r="53" spans="1:13" ht="60" x14ac:dyDescent="0.25">
      <c r="A53" s="7" t="s">
        <v>9352</v>
      </c>
      <c r="B53" s="2" t="s">
        <v>3784</v>
      </c>
      <c r="C53" s="4">
        <v>1</v>
      </c>
      <c r="D53" s="5">
        <v>12.25</v>
      </c>
      <c r="E53" s="5">
        <v>27.22</v>
      </c>
      <c r="F53" s="4" t="s">
        <v>3785</v>
      </c>
      <c r="G53" s="2" t="s">
        <v>62</v>
      </c>
      <c r="H53" s="7" t="s">
        <v>228</v>
      </c>
      <c r="I53" s="2" t="s">
        <v>700</v>
      </c>
      <c r="J53" s="2" t="s">
        <v>2123</v>
      </c>
      <c r="K53" s="2" t="s">
        <v>304</v>
      </c>
      <c r="L53" s="2" t="s">
        <v>75</v>
      </c>
      <c r="M53" s="8" t="str">
        <f>HYPERLINK("http://slimages.macys.com/is/image/MCY/12465343 ")</f>
        <v xml:space="preserve">http://slimages.macys.com/is/image/MCY/12465343 </v>
      </c>
    </row>
    <row r="54" spans="1:13" ht="60" x14ac:dyDescent="0.25">
      <c r="A54" s="7" t="s">
        <v>9353</v>
      </c>
      <c r="B54" s="2" t="s">
        <v>9354</v>
      </c>
      <c r="C54" s="4">
        <v>1</v>
      </c>
      <c r="D54" s="5">
        <v>12.05</v>
      </c>
      <c r="E54" s="5">
        <v>24.1</v>
      </c>
      <c r="F54" s="4">
        <v>34062015</v>
      </c>
      <c r="G54" s="2"/>
      <c r="H54" s="7" t="s">
        <v>166</v>
      </c>
      <c r="I54" s="2" t="s">
        <v>487</v>
      </c>
      <c r="J54" s="2" t="s">
        <v>2424</v>
      </c>
      <c r="K54" s="2" t="s">
        <v>304</v>
      </c>
      <c r="L54" s="2" t="s">
        <v>38</v>
      </c>
      <c r="M54" s="8" t="str">
        <f>HYPERLINK("http://slimages.macys.com/is/image/MCY/10408746 ")</f>
        <v xml:space="preserve">http://slimages.macys.com/is/image/MCY/10408746 </v>
      </c>
    </row>
    <row r="55" spans="1:13" ht="144" x14ac:dyDescent="0.25">
      <c r="A55" s="7" t="s">
        <v>9355</v>
      </c>
      <c r="B55" s="2" t="s">
        <v>3797</v>
      </c>
      <c r="C55" s="4">
        <v>2</v>
      </c>
      <c r="D55" s="5">
        <v>12</v>
      </c>
      <c r="E55" s="5">
        <v>32.99</v>
      </c>
      <c r="F55" s="4" t="s">
        <v>3798</v>
      </c>
      <c r="G55" s="2" t="s">
        <v>28</v>
      </c>
      <c r="H55" s="7" t="s">
        <v>149</v>
      </c>
      <c r="I55" s="2" t="s">
        <v>92</v>
      </c>
      <c r="J55" s="2" t="s">
        <v>65</v>
      </c>
      <c r="K55" s="2" t="s">
        <v>304</v>
      </c>
      <c r="L55" s="2" t="s">
        <v>3799</v>
      </c>
      <c r="M55" s="8" t="str">
        <f>HYPERLINK("http://slimages.macys.com/is/image/MCY/13782953 ")</f>
        <v xml:space="preserve">http://slimages.macys.com/is/image/MCY/13782953 </v>
      </c>
    </row>
    <row r="56" spans="1:13" ht="96" x14ac:dyDescent="0.25">
      <c r="A56" s="7" t="s">
        <v>9356</v>
      </c>
      <c r="B56" s="2" t="s">
        <v>9357</v>
      </c>
      <c r="C56" s="4">
        <v>1</v>
      </c>
      <c r="D56" s="5">
        <v>12</v>
      </c>
      <c r="E56" s="5">
        <v>35.99</v>
      </c>
      <c r="F56" s="4" t="s">
        <v>9358</v>
      </c>
      <c r="G56" s="2" t="s">
        <v>36</v>
      </c>
      <c r="H56" s="7" t="s">
        <v>196</v>
      </c>
      <c r="I56" s="2" t="s">
        <v>342</v>
      </c>
      <c r="J56" s="2" t="s">
        <v>1589</v>
      </c>
      <c r="K56" s="2" t="s">
        <v>304</v>
      </c>
      <c r="L56" s="2" t="s">
        <v>3746</v>
      </c>
      <c r="M56" s="8" t="str">
        <f>HYPERLINK("http://slimages.macys.com/is/image/MCY/11636558 ")</f>
        <v xml:space="preserve">http://slimages.macys.com/is/image/MCY/11636558 </v>
      </c>
    </row>
    <row r="57" spans="1:13" ht="60" x14ac:dyDescent="0.25">
      <c r="A57" s="7" t="s">
        <v>9359</v>
      </c>
      <c r="B57" s="2" t="s">
        <v>9360</v>
      </c>
      <c r="C57" s="4">
        <v>1</v>
      </c>
      <c r="D57" s="5">
        <v>12</v>
      </c>
      <c r="E57" s="5">
        <v>24.99</v>
      </c>
      <c r="F57" s="4" t="s">
        <v>9361</v>
      </c>
      <c r="G57" s="2" t="s">
        <v>28</v>
      </c>
      <c r="H57" s="7" t="s">
        <v>442</v>
      </c>
      <c r="I57" s="2" t="s">
        <v>135</v>
      </c>
      <c r="J57" s="2" t="s">
        <v>9362</v>
      </c>
      <c r="K57" s="2" t="s">
        <v>304</v>
      </c>
      <c r="L57" s="2" t="s">
        <v>9363</v>
      </c>
      <c r="M57" s="8" t="str">
        <f>HYPERLINK("http://slimages.macys.com/is/image/MCY/12674155 ")</f>
        <v xml:space="preserve">http://slimages.macys.com/is/image/MCY/12674155 </v>
      </c>
    </row>
    <row r="58" spans="1:13" ht="60" x14ac:dyDescent="0.25">
      <c r="A58" s="7" t="s">
        <v>9364</v>
      </c>
      <c r="B58" s="2" t="s">
        <v>9365</v>
      </c>
      <c r="C58" s="4">
        <v>1</v>
      </c>
      <c r="D58" s="5">
        <v>11.75</v>
      </c>
      <c r="E58" s="5">
        <v>28.99</v>
      </c>
      <c r="F58" s="4" t="s">
        <v>9366</v>
      </c>
      <c r="G58" s="2" t="s">
        <v>28</v>
      </c>
      <c r="H58" s="7" t="s">
        <v>228</v>
      </c>
      <c r="I58" s="2" t="s">
        <v>321</v>
      </c>
      <c r="J58" s="2" t="s">
        <v>3099</v>
      </c>
      <c r="K58" s="2" t="s">
        <v>304</v>
      </c>
      <c r="L58" s="2" t="s">
        <v>125</v>
      </c>
      <c r="M58" s="8" t="str">
        <f>HYPERLINK("http://slimages.macys.com/is/image/MCY/11641226 ")</f>
        <v xml:space="preserve">http://slimages.macys.com/is/image/MCY/11641226 </v>
      </c>
    </row>
    <row r="59" spans="1:13" ht="60" x14ac:dyDescent="0.25">
      <c r="A59" s="7" t="s">
        <v>9367</v>
      </c>
      <c r="B59" s="2" t="s">
        <v>8707</v>
      </c>
      <c r="C59" s="4">
        <v>1</v>
      </c>
      <c r="D59" s="5">
        <v>11.12</v>
      </c>
      <c r="E59" s="5">
        <v>22.99</v>
      </c>
      <c r="F59" s="4" t="s">
        <v>1584</v>
      </c>
      <c r="G59" s="2" t="s">
        <v>297</v>
      </c>
      <c r="H59" s="7" t="s">
        <v>196</v>
      </c>
      <c r="I59" s="2" t="s">
        <v>73</v>
      </c>
      <c r="J59" s="2" t="s">
        <v>160</v>
      </c>
      <c r="K59" s="2" t="s">
        <v>304</v>
      </c>
      <c r="L59" s="2" t="s">
        <v>125</v>
      </c>
      <c r="M59" s="8" t="str">
        <f>HYPERLINK("http://slimages.macys.com/is/image/MCY/12874624 ")</f>
        <v xml:space="preserve">http://slimages.macys.com/is/image/MCY/12874624 </v>
      </c>
    </row>
    <row r="60" spans="1:13" ht="60" x14ac:dyDescent="0.25">
      <c r="A60" s="7" t="s">
        <v>9368</v>
      </c>
      <c r="B60" s="2" t="s">
        <v>1580</v>
      </c>
      <c r="C60" s="4">
        <v>1</v>
      </c>
      <c r="D60" s="5">
        <v>11.12</v>
      </c>
      <c r="E60" s="5">
        <v>22.99</v>
      </c>
      <c r="F60" s="4" t="s">
        <v>1581</v>
      </c>
      <c r="G60" s="2" t="s">
        <v>195</v>
      </c>
      <c r="H60" s="7" t="s">
        <v>284</v>
      </c>
      <c r="I60" s="2" t="s">
        <v>73</v>
      </c>
      <c r="J60" s="2" t="s">
        <v>160</v>
      </c>
      <c r="K60" s="2" t="s">
        <v>304</v>
      </c>
      <c r="L60" s="2" t="s">
        <v>206</v>
      </c>
      <c r="M60" s="8" t="str">
        <f>HYPERLINK("http://slimages.macys.com/is/image/MCY/12337182 ")</f>
        <v xml:space="preserve">http://slimages.macys.com/is/image/MCY/12337182 </v>
      </c>
    </row>
    <row r="61" spans="1:13" ht="60" x14ac:dyDescent="0.25">
      <c r="A61" s="7" t="s">
        <v>9369</v>
      </c>
      <c r="B61" s="2" t="s">
        <v>1583</v>
      </c>
      <c r="C61" s="4">
        <v>1</v>
      </c>
      <c r="D61" s="5">
        <v>11.12</v>
      </c>
      <c r="E61" s="5">
        <v>22.99</v>
      </c>
      <c r="F61" s="4" t="s">
        <v>1584</v>
      </c>
      <c r="G61" s="2" t="s">
        <v>643</v>
      </c>
      <c r="H61" s="7" t="s">
        <v>159</v>
      </c>
      <c r="I61" s="2" t="s">
        <v>73</v>
      </c>
      <c r="J61" s="2" t="s">
        <v>160</v>
      </c>
      <c r="K61" s="2" t="s">
        <v>304</v>
      </c>
      <c r="L61" s="2" t="s">
        <v>125</v>
      </c>
      <c r="M61" s="8" t="str">
        <f>HYPERLINK("http://slimages.macys.com/is/image/MCY/12874624 ")</f>
        <v xml:space="preserve">http://slimages.macys.com/is/image/MCY/12874624 </v>
      </c>
    </row>
    <row r="62" spans="1:13" ht="60" x14ac:dyDescent="0.25">
      <c r="A62" s="7" t="s">
        <v>9370</v>
      </c>
      <c r="B62" s="2" t="s">
        <v>9371</v>
      </c>
      <c r="C62" s="4">
        <v>1</v>
      </c>
      <c r="D62" s="5">
        <v>11</v>
      </c>
      <c r="E62" s="5">
        <v>24.99</v>
      </c>
      <c r="F62" s="4" t="s">
        <v>9372</v>
      </c>
      <c r="G62" s="2" t="s">
        <v>171</v>
      </c>
      <c r="H62" s="7" t="s">
        <v>91</v>
      </c>
      <c r="I62" s="2" t="s">
        <v>135</v>
      </c>
      <c r="J62" s="2" t="s">
        <v>258</v>
      </c>
      <c r="K62" s="2" t="s">
        <v>304</v>
      </c>
      <c r="L62" s="2" t="s">
        <v>263</v>
      </c>
      <c r="M62" s="8" t="str">
        <f>HYPERLINK("http://slimages.macys.com/is/image/MCY/12373698 ")</f>
        <v xml:space="preserve">http://slimages.macys.com/is/image/MCY/12373698 </v>
      </c>
    </row>
    <row r="63" spans="1:13" ht="108" x14ac:dyDescent="0.25">
      <c r="A63" s="7" t="s">
        <v>9373</v>
      </c>
      <c r="B63" s="2" t="s">
        <v>9374</v>
      </c>
      <c r="C63" s="4">
        <v>1</v>
      </c>
      <c r="D63" s="5">
        <v>11</v>
      </c>
      <c r="E63" s="5">
        <v>28.99</v>
      </c>
      <c r="F63" s="4" t="s">
        <v>9375</v>
      </c>
      <c r="G63" s="2" t="s">
        <v>310</v>
      </c>
      <c r="H63" s="7" t="s">
        <v>209</v>
      </c>
      <c r="I63" s="2" t="s">
        <v>966</v>
      </c>
      <c r="J63" s="2" t="s">
        <v>5315</v>
      </c>
      <c r="K63" s="2" t="s">
        <v>304</v>
      </c>
      <c r="L63" s="2" t="s">
        <v>9376</v>
      </c>
      <c r="M63" s="8" t="str">
        <f>HYPERLINK("http://slimages.macys.com/is/image/MCY/13611733 ")</f>
        <v xml:space="preserve">http://slimages.macys.com/is/image/MCY/13611733 </v>
      </c>
    </row>
    <row r="64" spans="1:13" ht="60" x14ac:dyDescent="0.25">
      <c r="A64" s="7" t="s">
        <v>9377</v>
      </c>
      <c r="B64" s="2" t="s">
        <v>3760</v>
      </c>
      <c r="C64" s="4">
        <v>1</v>
      </c>
      <c r="D64" s="5">
        <v>10.79</v>
      </c>
      <c r="E64" s="5">
        <v>27.99</v>
      </c>
      <c r="F64" s="4" t="s">
        <v>7382</v>
      </c>
      <c r="G64" s="2" t="s">
        <v>353</v>
      </c>
      <c r="H64" s="7" t="s">
        <v>284</v>
      </c>
      <c r="I64" s="2" t="s">
        <v>515</v>
      </c>
      <c r="J64" s="2" t="s">
        <v>1971</v>
      </c>
      <c r="K64" s="2" t="s">
        <v>304</v>
      </c>
      <c r="L64" s="2" t="s">
        <v>125</v>
      </c>
      <c r="M64" s="8" t="str">
        <f>HYPERLINK("http://slimages.macys.com/is/image/MCY/12687227 ")</f>
        <v xml:space="preserve">http://slimages.macys.com/is/image/MCY/12687227 </v>
      </c>
    </row>
    <row r="65" spans="1:13" ht="60" x14ac:dyDescent="0.25">
      <c r="A65" s="7" t="s">
        <v>9378</v>
      </c>
      <c r="B65" s="2" t="s">
        <v>9379</v>
      </c>
      <c r="C65" s="4">
        <v>1</v>
      </c>
      <c r="D65" s="5">
        <v>10.73</v>
      </c>
      <c r="E65" s="5">
        <v>27.99</v>
      </c>
      <c r="F65" s="4" t="s">
        <v>9380</v>
      </c>
      <c r="G65" s="2" t="s">
        <v>62</v>
      </c>
      <c r="H65" s="7" t="s">
        <v>228</v>
      </c>
      <c r="I65" s="2" t="s">
        <v>515</v>
      </c>
      <c r="J65" s="2" t="s">
        <v>1971</v>
      </c>
      <c r="K65" s="2" t="s">
        <v>304</v>
      </c>
      <c r="L65" s="2" t="s">
        <v>493</v>
      </c>
      <c r="M65" s="8" t="str">
        <f>HYPERLINK("http://slimages.macys.com/is/image/MCY/11860764 ")</f>
        <v xml:space="preserve">http://slimages.macys.com/is/image/MCY/11860764 </v>
      </c>
    </row>
    <row r="66" spans="1:13" ht="60" x14ac:dyDescent="0.25">
      <c r="A66" s="7" t="s">
        <v>1602</v>
      </c>
      <c r="B66" s="2" t="s">
        <v>1600</v>
      </c>
      <c r="C66" s="4">
        <v>1</v>
      </c>
      <c r="D66" s="5">
        <v>10.55</v>
      </c>
      <c r="E66" s="5">
        <v>25.99</v>
      </c>
      <c r="F66" s="4">
        <v>103408</v>
      </c>
      <c r="G66" s="2" t="s">
        <v>41</v>
      </c>
      <c r="H66" s="7" t="s">
        <v>320</v>
      </c>
      <c r="I66" s="2" t="s">
        <v>321</v>
      </c>
      <c r="J66" s="2" t="s">
        <v>322</v>
      </c>
      <c r="K66" s="2" t="s">
        <v>304</v>
      </c>
      <c r="L66" s="2" t="s">
        <v>125</v>
      </c>
      <c r="M66" s="8" t="str">
        <f>HYPERLINK("http://slimages.macys.com/is/image/MCY/11178847 ")</f>
        <v xml:space="preserve">http://slimages.macys.com/is/image/MCY/11178847 </v>
      </c>
    </row>
    <row r="67" spans="1:13" ht="60" x14ac:dyDescent="0.25">
      <c r="A67" s="7" t="s">
        <v>7389</v>
      </c>
      <c r="B67" s="2" t="s">
        <v>255</v>
      </c>
      <c r="C67" s="4">
        <v>1</v>
      </c>
      <c r="D67" s="5">
        <v>10.5</v>
      </c>
      <c r="E67" s="5">
        <v>24.99</v>
      </c>
      <c r="F67" s="4" t="s">
        <v>256</v>
      </c>
      <c r="G67" s="2" t="s">
        <v>262</v>
      </c>
      <c r="H67" s="7" t="s">
        <v>2740</v>
      </c>
      <c r="I67" s="2" t="s">
        <v>257</v>
      </c>
      <c r="J67" s="2" t="s">
        <v>258</v>
      </c>
      <c r="K67" s="2" t="s">
        <v>304</v>
      </c>
      <c r="L67" s="2" t="s">
        <v>206</v>
      </c>
      <c r="M67" s="8" t="str">
        <f>HYPERLINK("http://slimages.macys.com/is/image/MCY/11722982 ")</f>
        <v xml:space="preserve">http://slimages.macys.com/is/image/MCY/11722982 </v>
      </c>
    </row>
    <row r="68" spans="1:13" ht="60" x14ac:dyDescent="0.25">
      <c r="A68" s="7" t="s">
        <v>9381</v>
      </c>
      <c r="B68" s="2" t="s">
        <v>9382</v>
      </c>
      <c r="C68" s="4">
        <v>1</v>
      </c>
      <c r="D68" s="5">
        <v>10.5</v>
      </c>
      <c r="E68" s="5">
        <v>24.42</v>
      </c>
      <c r="F68" s="4" t="s">
        <v>9383</v>
      </c>
      <c r="G68" s="2" t="s">
        <v>129</v>
      </c>
      <c r="H68" s="7" t="s">
        <v>42</v>
      </c>
      <c r="I68" s="2" t="s">
        <v>153</v>
      </c>
      <c r="J68" s="2" t="s">
        <v>154</v>
      </c>
      <c r="K68" s="2" t="s">
        <v>304</v>
      </c>
      <c r="L68" s="2" t="s">
        <v>38</v>
      </c>
      <c r="M68" s="8" t="str">
        <f>HYPERLINK("http://slimages.macys.com/is/image/MCY/10433531 ")</f>
        <v xml:space="preserve">http://slimages.macys.com/is/image/MCY/10433531 </v>
      </c>
    </row>
    <row r="69" spans="1:13" ht="60" x14ac:dyDescent="0.25">
      <c r="A69" s="7" t="s">
        <v>9384</v>
      </c>
      <c r="B69" s="2" t="s">
        <v>9385</v>
      </c>
      <c r="C69" s="4">
        <v>1</v>
      </c>
      <c r="D69" s="5">
        <v>10.5</v>
      </c>
      <c r="E69" s="5">
        <v>25.99</v>
      </c>
      <c r="F69" s="4" t="s">
        <v>9386</v>
      </c>
      <c r="G69" s="2" t="s">
        <v>476</v>
      </c>
      <c r="H69" s="7" t="s">
        <v>68</v>
      </c>
      <c r="I69" s="2" t="s">
        <v>312</v>
      </c>
      <c r="J69" s="2" t="s">
        <v>9387</v>
      </c>
      <c r="K69" s="2" t="s">
        <v>304</v>
      </c>
      <c r="L69" s="2" t="s">
        <v>38</v>
      </c>
      <c r="M69" s="8" t="str">
        <f>HYPERLINK("http://slimages.macys.com/is/image/MCY/11641775 ")</f>
        <v xml:space="preserve">http://slimages.macys.com/is/image/MCY/11641775 </v>
      </c>
    </row>
    <row r="70" spans="1:13" ht="60" x14ac:dyDescent="0.25">
      <c r="A70" s="7" t="s">
        <v>821</v>
      </c>
      <c r="B70" s="2" t="s">
        <v>255</v>
      </c>
      <c r="C70" s="4">
        <v>2</v>
      </c>
      <c r="D70" s="5">
        <v>10.5</v>
      </c>
      <c r="E70" s="5">
        <v>24.99</v>
      </c>
      <c r="F70" s="4" t="s">
        <v>256</v>
      </c>
      <c r="G70" s="2" t="s">
        <v>262</v>
      </c>
      <c r="H70" s="7" t="s">
        <v>177</v>
      </c>
      <c r="I70" s="2" t="s">
        <v>257</v>
      </c>
      <c r="J70" s="2" t="s">
        <v>258</v>
      </c>
      <c r="K70" s="2" t="s">
        <v>304</v>
      </c>
      <c r="L70" s="2" t="s">
        <v>206</v>
      </c>
      <c r="M70" s="8" t="str">
        <f>HYPERLINK("http://slimages.macys.com/is/image/MCY/11722982 ")</f>
        <v xml:space="preserve">http://slimages.macys.com/is/image/MCY/11722982 </v>
      </c>
    </row>
    <row r="71" spans="1:13" ht="60" x14ac:dyDescent="0.25">
      <c r="A71" s="7" t="s">
        <v>819</v>
      </c>
      <c r="B71" s="2" t="s">
        <v>255</v>
      </c>
      <c r="C71" s="4">
        <v>1</v>
      </c>
      <c r="D71" s="5">
        <v>10.5</v>
      </c>
      <c r="E71" s="5">
        <v>24.99</v>
      </c>
      <c r="F71" s="4" t="s">
        <v>256</v>
      </c>
      <c r="G71" s="2" t="s">
        <v>262</v>
      </c>
      <c r="H71" s="7" t="s">
        <v>172</v>
      </c>
      <c r="I71" s="2" t="s">
        <v>257</v>
      </c>
      <c r="J71" s="2" t="s">
        <v>258</v>
      </c>
      <c r="K71" s="2" t="s">
        <v>304</v>
      </c>
      <c r="L71" s="2" t="s">
        <v>206</v>
      </c>
      <c r="M71" s="8" t="str">
        <f>HYPERLINK("http://slimages.macys.com/is/image/MCY/11722982 ")</f>
        <v xml:space="preserve">http://slimages.macys.com/is/image/MCY/11722982 </v>
      </c>
    </row>
    <row r="72" spans="1:13" ht="60" x14ac:dyDescent="0.25">
      <c r="A72" s="7" t="s">
        <v>820</v>
      </c>
      <c r="B72" s="2" t="s">
        <v>255</v>
      </c>
      <c r="C72" s="4">
        <v>1</v>
      </c>
      <c r="D72" s="5">
        <v>10.5</v>
      </c>
      <c r="E72" s="5">
        <v>24.99</v>
      </c>
      <c r="F72" s="4" t="s">
        <v>256</v>
      </c>
      <c r="G72" s="2" t="s">
        <v>262</v>
      </c>
      <c r="H72" s="7" t="s">
        <v>97</v>
      </c>
      <c r="I72" s="2" t="s">
        <v>257</v>
      </c>
      <c r="J72" s="2" t="s">
        <v>258</v>
      </c>
      <c r="K72" s="2" t="s">
        <v>304</v>
      </c>
      <c r="L72" s="2" t="s">
        <v>206</v>
      </c>
      <c r="M72" s="8" t="str">
        <f>HYPERLINK("http://slimages.macys.com/is/image/MCY/11722982 ")</f>
        <v xml:space="preserve">http://slimages.macys.com/is/image/MCY/11722982 </v>
      </c>
    </row>
    <row r="73" spans="1:13" ht="60" x14ac:dyDescent="0.25">
      <c r="A73" s="7" t="s">
        <v>9388</v>
      </c>
      <c r="B73" s="2" t="s">
        <v>2519</v>
      </c>
      <c r="C73" s="4">
        <v>1</v>
      </c>
      <c r="D73" s="5">
        <v>10.5</v>
      </c>
      <c r="E73" s="5">
        <v>24.99</v>
      </c>
      <c r="F73" s="4" t="s">
        <v>2520</v>
      </c>
      <c r="G73" s="2" t="s">
        <v>262</v>
      </c>
      <c r="H73" s="7" t="s">
        <v>97</v>
      </c>
      <c r="I73" s="2" t="s">
        <v>257</v>
      </c>
      <c r="J73" s="2" t="s">
        <v>258</v>
      </c>
      <c r="K73" s="2" t="s">
        <v>304</v>
      </c>
      <c r="L73" s="2" t="s">
        <v>75</v>
      </c>
      <c r="M73" s="8" t="str">
        <f>HYPERLINK("http://slimages.macys.com/is/image/MCY/11722525 ")</f>
        <v xml:space="preserve">http://slimages.macys.com/is/image/MCY/11722525 </v>
      </c>
    </row>
    <row r="74" spans="1:13" ht="60" x14ac:dyDescent="0.25">
      <c r="A74" s="7" t="s">
        <v>4843</v>
      </c>
      <c r="B74" s="2" t="s">
        <v>4844</v>
      </c>
      <c r="C74" s="4">
        <v>1</v>
      </c>
      <c r="D74" s="5">
        <v>10.45</v>
      </c>
      <c r="E74" s="5">
        <v>25.99</v>
      </c>
      <c r="F74" s="4" t="s">
        <v>4845</v>
      </c>
      <c r="G74" s="2" t="s">
        <v>62</v>
      </c>
      <c r="H74" s="7" t="s">
        <v>1411</v>
      </c>
      <c r="I74" s="2" t="s">
        <v>292</v>
      </c>
      <c r="J74" s="2" t="s">
        <v>293</v>
      </c>
      <c r="K74" s="2" t="s">
        <v>304</v>
      </c>
      <c r="L74" s="2" t="s">
        <v>596</v>
      </c>
      <c r="M74" s="8" t="str">
        <f>HYPERLINK("http://slimages.macys.com/is/image/MCY/15197668 ")</f>
        <v xml:space="preserve">http://slimages.macys.com/is/image/MCY/15197668 </v>
      </c>
    </row>
    <row r="75" spans="1:13" ht="60" x14ac:dyDescent="0.25">
      <c r="A75" s="7" t="s">
        <v>1609</v>
      </c>
      <c r="B75" s="2" t="s">
        <v>1605</v>
      </c>
      <c r="C75" s="4">
        <v>1</v>
      </c>
      <c r="D75" s="5">
        <v>10.35</v>
      </c>
      <c r="E75" s="5">
        <v>24.99</v>
      </c>
      <c r="F75" s="4" t="s">
        <v>1606</v>
      </c>
      <c r="G75" s="2" t="s">
        <v>582</v>
      </c>
      <c r="H75" s="7" t="s">
        <v>196</v>
      </c>
      <c r="I75" s="2" t="s">
        <v>389</v>
      </c>
      <c r="J75" s="2" t="s">
        <v>354</v>
      </c>
      <c r="K75" s="2" t="s">
        <v>304</v>
      </c>
      <c r="L75" s="2" t="s">
        <v>1607</v>
      </c>
      <c r="M75" s="8" t="str">
        <f>HYPERLINK("http://slimages.macys.com/is/image/MCY/12000846 ")</f>
        <v xml:space="preserve">http://slimages.macys.com/is/image/MCY/12000846 </v>
      </c>
    </row>
    <row r="76" spans="1:13" ht="60" x14ac:dyDescent="0.25">
      <c r="A76" s="7" t="s">
        <v>9389</v>
      </c>
      <c r="B76" s="2" t="s">
        <v>3579</v>
      </c>
      <c r="C76" s="4">
        <v>1</v>
      </c>
      <c r="D76" s="5">
        <v>10.3</v>
      </c>
      <c r="E76" s="5">
        <v>25.05</v>
      </c>
      <c r="F76" s="4">
        <v>17986410</v>
      </c>
      <c r="G76" s="2"/>
      <c r="H76" s="7" t="s">
        <v>675</v>
      </c>
      <c r="I76" s="2" t="s">
        <v>153</v>
      </c>
      <c r="J76" s="2" t="s">
        <v>3580</v>
      </c>
      <c r="K76" s="2" t="s">
        <v>304</v>
      </c>
      <c r="L76" s="2" t="s">
        <v>206</v>
      </c>
      <c r="M76" s="8" t="str">
        <f>HYPERLINK("http://slimages.macys.com/is/image/MCY/13852929 ")</f>
        <v xml:space="preserve">http://slimages.macys.com/is/image/MCY/13852929 </v>
      </c>
    </row>
    <row r="77" spans="1:13" ht="204" x14ac:dyDescent="0.25">
      <c r="A77" s="7" t="s">
        <v>9390</v>
      </c>
      <c r="B77" s="2" t="s">
        <v>8739</v>
      </c>
      <c r="C77" s="4">
        <v>1</v>
      </c>
      <c r="D77" s="5">
        <v>10.16</v>
      </c>
      <c r="E77" s="5">
        <v>27</v>
      </c>
      <c r="F77" s="4" t="s">
        <v>8740</v>
      </c>
      <c r="G77" s="2" t="s">
        <v>41</v>
      </c>
      <c r="H77" s="7" t="s">
        <v>442</v>
      </c>
      <c r="I77" s="2" t="s">
        <v>483</v>
      </c>
      <c r="J77" s="2" t="s">
        <v>536</v>
      </c>
      <c r="K77" s="2" t="s">
        <v>304</v>
      </c>
      <c r="L77" s="2" t="s">
        <v>8741</v>
      </c>
      <c r="M77" s="8" t="str">
        <f>HYPERLINK("http://slimages.macys.com/is/image/MCY/12644530 ")</f>
        <v xml:space="preserve">http://slimages.macys.com/is/image/MCY/12644530 </v>
      </c>
    </row>
    <row r="78" spans="1:13" ht="132" x14ac:dyDescent="0.25">
      <c r="A78" s="7" t="s">
        <v>9391</v>
      </c>
      <c r="B78" s="2" t="s">
        <v>830</v>
      </c>
      <c r="C78" s="4">
        <v>1</v>
      </c>
      <c r="D78" s="5">
        <v>9.9</v>
      </c>
      <c r="E78" s="5">
        <v>22.52</v>
      </c>
      <c r="F78" s="4">
        <v>18505910</v>
      </c>
      <c r="G78" s="2" t="s">
        <v>36</v>
      </c>
      <c r="H78" s="7" t="s">
        <v>438</v>
      </c>
      <c r="I78" s="2" t="s">
        <v>153</v>
      </c>
      <c r="J78" s="2" t="s">
        <v>154</v>
      </c>
      <c r="K78" s="2" t="s">
        <v>304</v>
      </c>
      <c r="L78" s="2" t="s">
        <v>831</v>
      </c>
      <c r="M78" s="8" t="str">
        <f>HYPERLINK("http://slimages.macys.com/is/image/MCY/13382390 ")</f>
        <v xml:space="preserve">http://slimages.macys.com/is/image/MCY/13382390 </v>
      </c>
    </row>
    <row r="79" spans="1:13" ht="96" x14ac:dyDescent="0.25">
      <c r="A79" s="7" t="s">
        <v>6188</v>
      </c>
      <c r="B79" s="2" t="s">
        <v>6189</v>
      </c>
      <c r="C79" s="4">
        <v>1</v>
      </c>
      <c r="D79" s="5">
        <v>9.76</v>
      </c>
      <c r="E79" s="5">
        <v>21.99</v>
      </c>
      <c r="F79" s="4" t="s">
        <v>6190</v>
      </c>
      <c r="G79" s="2" t="s">
        <v>36</v>
      </c>
      <c r="H79" s="7" t="s">
        <v>228</v>
      </c>
      <c r="I79" s="2" t="s">
        <v>515</v>
      </c>
      <c r="J79" s="2" t="s">
        <v>827</v>
      </c>
      <c r="K79" s="2" t="s">
        <v>304</v>
      </c>
      <c r="L79" s="2" t="s">
        <v>6191</v>
      </c>
      <c r="M79" s="8" t="str">
        <f>HYPERLINK("http://slimages.macys.com/is/image/MCY/12508250 ")</f>
        <v xml:space="preserve">http://slimages.macys.com/is/image/MCY/12508250 </v>
      </c>
    </row>
    <row r="80" spans="1:13" ht="96" x14ac:dyDescent="0.25">
      <c r="A80" s="7" t="s">
        <v>9392</v>
      </c>
      <c r="B80" s="2" t="s">
        <v>6189</v>
      </c>
      <c r="C80" s="4">
        <v>1</v>
      </c>
      <c r="D80" s="5">
        <v>9.76</v>
      </c>
      <c r="E80" s="5">
        <v>21.99</v>
      </c>
      <c r="F80" s="4" t="s">
        <v>6190</v>
      </c>
      <c r="G80" s="2" t="s">
        <v>36</v>
      </c>
      <c r="H80" s="7" t="s">
        <v>196</v>
      </c>
      <c r="I80" s="2" t="s">
        <v>515</v>
      </c>
      <c r="J80" s="2" t="s">
        <v>827</v>
      </c>
      <c r="K80" s="2" t="s">
        <v>304</v>
      </c>
      <c r="L80" s="2" t="s">
        <v>6191</v>
      </c>
      <c r="M80" s="8" t="str">
        <f>HYPERLINK("http://slimages.macys.com/is/image/MCY/12508250 ")</f>
        <v xml:space="preserve">http://slimages.macys.com/is/image/MCY/12508250 </v>
      </c>
    </row>
    <row r="81" spans="1:13" ht="84" x14ac:dyDescent="0.25">
      <c r="A81" s="7" t="s">
        <v>9393</v>
      </c>
      <c r="B81" s="2" t="s">
        <v>9394</v>
      </c>
      <c r="C81" s="4">
        <v>1</v>
      </c>
      <c r="D81" s="5">
        <v>9.75</v>
      </c>
      <c r="E81" s="5">
        <v>24.99</v>
      </c>
      <c r="F81" s="4" t="s">
        <v>9395</v>
      </c>
      <c r="G81" s="2" t="s">
        <v>667</v>
      </c>
      <c r="H81" s="7" t="s">
        <v>172</v>
      </c>
      <c r="I81" s="2" t="s">
        <v>321</v>
      </c>
      <c r="J81" s="2" t="s">
        <v>8764</v>
      </c>
      <c r="K81" s="2" t="s">
        <v>304</v>
      </c>
      <c r="L81" s="2" t="s">
        <v>1117</v>
      </c>
      <c r="M81" s="8" t="str">
        <f>HYPERLINK("http://slimages.macys.com/is/image/MCY/11724596 ")</f>
        <v xml:space="preserve">http://slimages.macys.com/is/image/MCY/11724596 </v>
      </c>
    </row>
    <row r="82" spans="1:13" ht="60" x14ac:dyDescent="0.25">
      <c r="A82" s="7" t="s">
        <v>9396</v>
      </c>
      <c r="B82" s="2" t="s">
        <v>9397</v>
      </c>
      <c r="C82" s="4">
        <v>3</v>
      </c>
      <c r="D82" s="5">
        <v>9.75</v>
      </c>
      <c r="E82" s="5">
        <v>19.5</v>
      </c>
      <c r="F82" s="4">
        <v>36418711</v>
      </c>
      <c r="G82" s="2"/>
      <c r="H82" s="7" t="s">
        <v>123</v>
      </c>
      <c r="I82" s="2" t="s">
        <v>487</v>
      </c>
      <c r="J82" s="2" t="s">
        <v>2424</v>
      </c>
      <c r="K82" s="2" t="s">
        <v>304</v>
      </c>
      <c r="L82" s="2" t="s">
        <v>125</v>
      </c>
      <c r="M82" s="8" t="str">
        <f>HYPERLINK("http://slimages.macys.com/is/image/MCY/11631708 ")</f>
        <v xml:space="preserve">http://slimages.macys.com/is/image/MCY/11631708 </v>
      </c>
    </row>
    <row r="83" spans="1:13" ht="60" x14ac:dyDescent="0.25">
      <c r="A83" s="7" t="s">
        <v>7398</v>
      </c>
      <c r="B83" s="2" t="s">
        <v>7399</v>
      </c>
      <c r="C83" s="4">
        <v>2</v>
      </c>
      <c r="D83" s="5">
        <v>9.75</v>
      </c>
      <c r="E83" s="5">
        <v>22.41</v>
      </c>
      <c r="F83" s="4">
        <v>16484311</v>
      </c>
      <c r="G83" s="2"/>
      <c r="H83" s="7" t="s">
        <v>675</v>
      </c>
      <c r="I83" s="2" t="s">
        <v>153</v>
      </c>
      <c r="J83" s="2" t="s">
        <v>3580</v>
      </c>
      <c r="K83" s="2" t="s">
        <v>304</v>
      </c>
      <c r="L83" s="2" t="s">
        <v>38</v>
      </c>
      <c r="M83" s="8" t="str">
        <f>HYPERLINK("http://slimages.macys.com/is/image/MCY/11386967 ")</f>
        <v xml:space="preserve">http://slimages.macys.com/is/image/MCY/11386967 </v>
      </c>
    </row>
    <row r="84" spans="1:13" ht="60" x14ac:dyDescent="0.25">
      <c r="A84" s="7" t="s">
        <v>9398</v>
      </c>
      <c r="B84" s="2" t="s">
        <v>9399</v>
      </c>
      <c r="C84" s="4">
        <v>1</v>
      </c>
      <c r="D84" s="5">
        <v>9.75</v>
      </c>
      <c r="E84" s="5">
        <v>22.99</v>
      </c>
      <c r="F84" s="4">
        <v>14063012</v>
      </c>
      <c r="G84" s="2"/>
      <c r="H84" s="7" t="s">
        <v>42</v>
      </c>
      <c r="I84" s="2" t="s">
        <v>153</v>
      </c>
      <c r="J84" s="2" t="s">
        <v>3580</v>
      </c>
      <c r="K84" s="2" t="s">
        <v>304</v>
      </c>
      <c r="L84" s="2" t="s">
        <v>206</v>
      </c>
      <c r="M84" s="8" t="str">
        <f>HYPERLINK("http://slimages.macys.com/is/image/MCY/10227454 ")</f>
        <v xml:space="preserve">http://slimages.macys.com/is/image/MCY/10227454 </v>
      </c>
    </row>
    <row r="85" spans="1:13" ht="132" x14ac:dyDescent="0.25">
      <c r="A85" s="7" t="s">
        <v>9400</v>
      </c>
      <c r="B85" s="2" t="s">
        <v>8196</v>
      </c>
      <c r="C85" s="4">
        <v>1</v>
      </c>
      <c r="D85" s="5">
        <v>9.65</v>
      </c>
      <c r="E85" s="5">
        <v>19.3</v>
      </c>
      <c r="F85" s="4" t="s">
        <v>8197</v>
      </c>
      <c r="G85" s="2" t="s">
        <v>653</v>
      </c>
      <c r="H85" s="7" t="s">
        <v>166</v>
      </c>
      <c r="I85" s="2" t="s">
        <v>487</v>
      </c>
      <c r="J85" s="2" t="s">
        <v>488</v>
      </c>
      <c r="K85" s="2" t="s">
        <v>304</v>
      </c>
      <c r="L85" s="2" t="s">
        <v>8198</v>
      </c>
      <c r="M85" s="8" t="str">
        <f>HYPERLINK("http://slimages.macys.com/is/image/MCY/11867737 ")</f>
        <v xml:space="preserve">http://slimages.macys.com/is/image/MCY/11867737 </v>
      </c>
    </row>
    <row r="86" spans="1:13" ht="60" x14ac:dyDescent="0.25">
      <c r="A86" s="7" t="s">
        <v>9401</v>
      </c>
      <c r="B86" s="2" t="s">
        <v>9402</v>
      </c>
      <c r="C86" s="4">
        <v>1</v>
      </c>
      <c r="D86" s="5">
        <v>9.58</v>
      </c>
      <c r="E86" s="5">
        <v>26.99</v>
      </c>
      <c r="F86" s="4" t="s">
        <v>9403</v>
      </c>
      <c r="G86" s="2" t="s">
        <v>86</v>
      </c>
      <c r="H86" s="7" t="s">
        <v>284</v>
      </c>
      <c r="I86" s="2" t="s">
        <v>389</v>
      </c>
      <c r="J86" s="2" t="s">
        <v>354</v>
      </c>
      <c r="K86" s="2" t="s">
        <v>304</v>
      </c>
      <c r="L86" s="2" t="s">
        <v>119</v>
      </c>
      <c r="M86" s="8" t="str">
        <f>HYPERLINK("http://slimages.macys.com/is/image/MCY/12654942 ")</f>
        <v xml:space="preserve">http://slimages.macys.com/is/image/MCY/12654942 </v>
      </c>
    </row>
    <row r="87" spans="1:13" ht="60" x14ac:dyDescent="0.25">
      <c r="A87" s="7" t="s">
        <v>6793</v>
      </c>
      <c r="B87" s="2" t="s">
        <v>1633</v>
      </c>
      <c r="C87" s="4">
        <v>1</v>
      </c>
      <c r="D87" s="5">
        <v>9.5299999999999994</v>
      </c>
      <c r="E87" s="5">
        <v>22.99</v>
      </c>
      <c r="F87" s="4" t="s">
        <v>1634</v>
      </c>
      <c r="G87" s="2" t="s">
        <v>28</v>
      </c>
      <c r="H87" s="7" t="s">
        <v>228</v>
      </c>
      <c r="I87" s="2" t="s">
        <v>292</v>
      </c>
      <c r="J87" s="2" t="s">
        <v>293</v>
      </c>
      <c r="K87" s="2" t="s">
        <v>304</v>
      </c>
      <c r="L87" s="2" t="s">
        <v>206</v>
      </c>
      <c r="M87" s="8" t="str">
        <f>HYPERLINK("http://slimages.macys.com/is/image/MCY/11776336 ")</f>
        <v xml:space="preserve">http://slimages.macys.com/is/image/MCY/11776336 </v>
      </c>
    </row>
    <row r="88" spans="1:13" ht="120" x14ac:dyDescent="0.25">
      <c r="A88" s="7" t="s">
        <v>9404</v>
      </c>
      <c r="B88" s="2" t="s">
        <v>7416</v>
      </c>
      <c r="C88" s="4">
        <v>1</v>
      </c>
      <c r="D88" s="5">
        <v>9.5</v>
      </c>
      <c r="E88" s="5">
        <v>27.99</v>
      </c>
      <c r="F88" s="4" t="s">
        <v>7417</v>
      </c>
      <c r="G88" s="2" t="s">
        <v>1747</v>
      </c>
      <c r="H88" s="7" t="s">
        <v>311</v>
      </c>
      <c r="I88" s="2" t="s">
        <v>380</v>
      </c>
      <c r="J88" s="2" t="s">
        <v>381</v>
      </c>
      <c r="K88" s="2" t="s">
        <v>304</v>
      </c>
      <c r="L88" s="2" t="s">
        <v>4877</v>
      </c>
      <c r="M88" s="8" t="str">
        <f>HYPERLINK("http://slimages.macys.com/is/image/MCY/11644279 ")</f>
        <v xml:space="preserve">http://slimages.macys.com/is/image/MCY/11644279 </v>
      </c>
    </row>
    <row r="89" spans="1:13" ht="60" x14ac:dyDescent="0.25">
      <c r="A89" s="7" t="s">
        <v>9405</v>
      </c>
      <c r="B89" s="2" t="s">
        <v>7419</v>
      </c>
      <c r="C89" s="4">
        <v>1</v>
      </c>
      <c r="D89" s="5">
        <v>9.31</v>
      </c>
      <c r="E89" s="5">
        <v>22.99</v>
      </c>
      <c r="F89" s="4" t="s">
        <v>7420</v>
      </c>
      <c r="G89" s="2" t="s">
        <v>62</v>
      </c>
      <c r="H89" s="7" t="s">
        <v>228</v>
      </c>
      <c r="I89" s="2" t="s">
        <v>292</v>
      </c>
      <c r="J89" s="2" t="s">
        <v>293</v>
      </c>
      <c r="K89" s="2" t="s">
        <v>304</v>
      </c>
      <c r="L89" s="2" t="s">
        <v>100</v>
      </c>
      <c r="M89" s="8" t="str">
        <f>HYPERLINK("http://slimages.macys.com/is/image/MCY/13080791 ")</f>
        <v xml:space="preserve">http://slimages.macys.com/is/image/MCY/13080791 </v>
      </c>
    </row>
    <row r="90" spans="1:13" ht="60" x14ac:dyDescent="0.25">
      <c r="A90" s="7" t="s">
        <v>9406</v>
      </c>
      <c r="B90" s="2" t="s">
        <v>7419</v>
      </c>
      <c r="C90" s="4">
        <v>1</v>
      </c>
      <c r="D90" s="5">
        <v>9.31</v>
      </c>
      <c r="E90" s="5">
        <v>22.99</v>
      </c>
      <c r="F90" s="4" t="s">
        <v>7420</v>
      </c>
      <c r="G90" s="2" t="s">
        <v>62</v>
      </c>
      <c r="H90" s="7" t="s">
        <v>217</v>
      </c>
      <c r="I90" s="2" t="s">
        <v>292</v>
      </c>
      <c r="J90" s="2" t="s">
        <v>293</v>
      </c>
      <c r="K90" s="2" t="s">
        <v>304</v>
      </c>
      <c r="L90" s="2" t="s">
        <v>100</v>
      </c>
      <c r="M90" s="8" t="str">
        <f>HYPERLINK("http://slimages.macys.com/is/image/MCY/13080791 ")</f>
        <v xml:space="preserve">http://slimages.macys.com/is/image/MCY/13080791 </v>
      </c>
    </row>
    <row r="91" spans="1:13" ht="180" x14ac:dyDescent="0.25">
      <c r="A91" s="7" t="s">
        <v>9407</v>
      </c>
      <c r="B91" s="2" t="s">
        <v>7426</v>
      </c>
      <c r="C91" s="4">
        <v>1</v>
      </c>
      <c r="D91" s="5">
        <v>9.3000000000000007</v>
      </c>
      <c r="E91" s="5">
        <v>21.99</v>
      </c>
      <c r="F91" s="4" t="s">
        <v>7427</v>
      </c>
      <c r="G91" s="2" t="s">
        <v>28</v>
      </c>
      <c r="H91" s="7" t="s">
        <v>438</v>
      </c>
      <c r="I91" s="2" t="s">
        <v>153</v>
      </c>
      <c r="J91" s="2" t="s">
        <v>154</v>
      </c>
      <c r="K91" s="2" t="s">
        <v>304</v>
      </c>
      <c r="L91" s="2" t="s">
        <v>7428</v>
      </c>
      <c r="M91" s="8" t="str">
        <f>HYPERLINK("http://slimages.macys.com/is/image/MCY/9859043 ")</f>
        <v xml:space="preserve">http://slimages.macys.com/is/image/MCY/9859043 </v>
      </c>
    </row>
    <row r="92" spans="1:13" ht="60" x14ac:dyDescent="0.25">
      <c r="A92" s="7" t="s">
        <v>9408</v>
      </c>
      <c r="B92" s="2" t="s">
        <v>9409</v>
      </c>
      <c r="C92" s="4">
        <v>1</v>
      </c>
      <c r="D92" s="5">
        <v>9.3000000000000007</v>
      </c>
      <c r="E92" s="5">
        <v>15.99</v>
      </c>
      <c r="F92" s="4" t="s">
        <v>9410</v>
      </c>
      <c r="G92" s="2"/>
      <c r="H92" s="7" t="s">
        <v>42</v>
      </c>
      <c r="I92" s="2" t="s">
        <v>153</v>
      </c>
      <c r="J92" s="2" t="s">
        <v>154</v>
      </c>
      <c r="K92" s="2" t="s">
        <v>304</v>
      </c>
      <c r="L92" s="2" t="s">
        <v>206</v>
      </c>
      <c r="M92" s="8" t="str">
        <f>HYPERLINK("http://slimages.macys.com/is/image/MCY/9644584 ")</f>
        <v xml:space="preserve">http://slimages.macys.com/is/image/MCY/9644584 </v>
      </c>
    </row>
    <row r="93" spans="1:13" ht="84" x14ac:dyDescent="0.25">
      <c r="A93" s="7" t="s">
        <v>9411</v>
      </c>
      <c r="B93" s="2" t="s">
        <v>9412</v>
      </c>
      <c r="C93" s="4">
        <v>1</v>
      </c>
      <c r="D93" s="5">
        <v>9.25</v>
      </c>
      <c r="E93" s="5">
        <v>24.99</v>
      </c>
      <c r="F93" s="4" t="s">
        <v>9413</v>
      </c>
      <c r="G93" s="2" t="s">
        <v>310</v>
      </c>
      <c r="H93" s="7" t="s">
        <v>442</v>
      </c>
      <c r="I93" s="2" t="s">
        <v>135</v>
      </c>
      <c r="J93" s="2" t="s">
        <v>99</v>
      </c>
      <c r="K93" s="2" t="s">
        <v>304</v>
      </c>
      <c r="L93" s="2" t="s">
        <v>9414</v>
      </c>
      <c r="M93" s="8" t="str">
        <f>HYPERLINK("http://slimages.macys.com/is/image/MCY/12326455 ")</f>
        <v xml:space="preserve">http://slimages.macys.com/is/image/MCY/12326455 </v>
      </c>
    </row>
    <row r="94" spans="1:13" ht="84" x14ac:dyDescent="0.25">
      <c r="A94" s="7" t="s">
        <v>9415</v>
      </c>
      <c r="B94" s="2" t="s">
        <v>9416</v>
      </c>
      <c r="C94" s="4">
        <v>2</v>
      </c>
      <c r="D94" s="5">
        <v>9.25</v>
      </c>
      <c r="E94" s="5">
        <v>23.99</v>
      </c>
      <c r="F94" s="4" t="s">
        <v>9417</v>
      </c>
      <c r="G94" s="2" t="s">
        <v>262</v>
      </c>
      <c r="H94" s="7" t="s">
        <v>284</v>
      </c>
      <c r="I94" s="2" t="s">
        <v>342</v>
      </c>
      <c r="J94" s="2" t="s">
        <v>1789</v>
      </c>
      <c r="K94" s="2" t="s">
        <v>304</v>
      </c>
      <c r="L94" s="2" t="s">
        <v>1117</v>
      </c>
      <c r="M94" s="8" t="str">
        <f>HYPERLINK("http://slimages.macys.com/is/image/MCY/12236988 ")</f>
        <v xml:space="preserve">http://slimages.macys.com/is/image/MCY/12236988 </v>
      </c>
    </row>
    <row r="95" spans="1:13" ht="84" x14ac:dyDescent="0.25">
      <c r="A95" s="7" t="s">
        <v>9418</v>
      </c>
      <c r="B95" s="2" t="s">
        <v>9412</v>
      </c>
      <c r="C95" s="4">
        <v>1</v>
      </c>
      <c r="D95" s="5">
        <v>9.25</v>
      </c>
      <c r="E95" s="5">
        <v>24.99</v>
      </c>
      <c r="F95" s="4" t="s">
        <v>9413</v>
      </c>
      <c r="G95" s="2" t="s">
        <v>310</v>
      </c>
      <c r="H95" s="7" t="s">
        <v>91</v>
      </c>
      <c r="I95" s="2" t="s">
        <v>135</v>
      </c>
      <c r="J95" s="2" t="s">
        <v>99</v>
      </c>
      <c r="K95" s="2" t="s">
        <v>304</v>
      </c>
      <c r="L95" s="2" t="s">
        <v>9414</v>
      </c>
      <c r="M95" s="8" t="str">
        <f>HYPERLINK("http://slimages.macys.com/is/image/MCY/12326455 ")</f>
        <v xml:space="preserve">http://slimages.macys.com/is/image/MCY/12326455 </v>
      </c>
    </row>
    <row r="96" spans="1:13" ht="84" x14ac:dyDescent="0.25">
      <c r="A96" s="7" t="s">
        <v>9419</v>
      </c>
      <c r="B96" s="2" t="s">
        <v>9412</v>
      </c>
      <c r="C96" s="4">
        <v>1</v>
      </c>
      <c r="D96" s="5">
        <v>9.25</v>
      </c>
      <c r="E96" s="5">
        <v>24.99</v>
      </c>
      <c r="F96" s="4" t="s">
        <v>9413</v>
      </c>
      <c r="G96" s="2" t="s">
        <v>310</v>
      </c>
      <c r="H96" s="7" t="s">
        <v>42</v>
      </c>
      <c r="I96" s="2" t="s">
        <v>135</v>
      </c>
      <c r="J96" s="2" t="s">
        <v>99</v>
      </c>
      <c r="K96" s="2" t="s">
        <v>304</v>
      </c>
      <c r="L96" s="2" t="s">
        <v>9414</v>
      </c>
      <c r="M96" s="8" t="str">
        <f>HYPERLINK("http://slimages.macys.com/is/image/MCY/12326455 ")</f>
        <v xml:space="preserve">http://slimages.macys.com/is/image/MCY/12326455 </v>
      </c>
    </row>
    <row r="97" spans="1:13" ht="84" x14ac:dyDescent="0.25">
      <c r="A97" s="7" t="s">
        <v>9420</v>
      </c>
      <c r="B97" s="2" t="s">
        <v>9416</v>
      </c>
      <c r="C97" s="4">
        <v>2</v>
      </c>
      <c r="D97" s="5">
        <v>9.25</v>
      </c>
      <c r="E97" s="5">
        <v>23.99</v>
      </c>
      <c r="F97" s="4" t="s">
        <v>9417</v>
      </c>
      <c r="G97" s="2" t="s">
        <v>262</v>
      </c>
      <c r="H97" s="7" t="s">
        <v>228</v>
      </c>
      <c r="I97" s="2" t="s">
        <v>342</v>
      </c>
      <c r="J97" s="2" t="s">
        <v>1789</v>
      </c>
      <c r="K97" s="2" t="s">
        <v>304</v>
      </c>
      <c r="L97" s="2" t="s">
        <v>1117</v>
      </c>
      <c r="M97" s="8" t="str">
        <f>HYPERLINK("http://slimages.macys.com/is/image/MCY/12236988 ")</f>
        <v xml:space="preserve">http://slimages.macys.com/is/image/MCY/12236988 </v>
      </c>
    </row>
    <row r="98" spans="1:13" ht="84" x14ac:dyDescent="0.25">
      <c r="A98" s="7" t="s">
        <v>9421</v>
      </c>
      <c r="B98" s="2" t="s">
        <v>9416</v>
      </c>
      <c r="C98" s="4">
        <v>1</v>
      </c>
      <c r="D98" s="5">
        <v>9.25</v>
      </c>
      <c r="E98" s="5">
        <v>23.99</v>
      </c>
      <c r="F98" s="4" t="s">
        <v>9417</v>
      </c>
      <c r="G98" s="2" t="s">
        <v>262</v>
      </c>
      <c r="H98" s="7" t="s">
        <v>196</v>
      </c>
      <c r="I98" s="2" t="s">
        <v>342</v>
      </c>
      <c r="J98" s="2" t="s">
        <v>1789</v>
      </c>
      <c r="K98" s="2" t="s">
        <v>304</v>
      </c>
      <c r="L98" s="2" t="s">
        <v>1117</v>
      </c>
      <c r="M98" s="8" t="str">
        <f>HYPERLINK("http://slimages.macys.com/is/image/MCY/12236988 ")</f>
        <v xml:space="preserve">http://slimages.macys.com/is/image/MCY/12236988 </v>
      </c>
    </row>
    <row r="99" spans="1:13" ht="84" x14ac:dyDescent="0.25">
      <c r="A99" s="7" t="s">
        <v>9422</v>
      </c>
      <c r="B99" s="2" t="s">
        <v>9416</v>
      </c>
      <c r="C99" s="4">
        <v>2</v>
      </c>
      <c r="D99" s="5">
        <v>9.25</v>
      </c>
      <c r="E99" s="5">
        <v>23.99</v>
      </c>
      <c r="F99" s="4" t="s">
        <v>9417</v>
      </c>
      <c r="G99" s="2" t="s">
        <v>262</v>
      </c>
      <c r="H99" s="7" t="s">
        <v>159</v>
      </c>
      <c r="I99" s="2" t="s">
        <v>342</v>
      </c>
      <c r="J99" s="2" t="s">
        <v>1789</v>
      </c>
      <c r="K99" s="2" t="s">
        <v>304</v>
      </c>
      <c r="L99" s="2" t="s">
        <v>1117</v>
      </c>
      <c r="M99" s="8" t="str">
        <f>HYPERLINK("http://slimages.macys.com/is/image/MCY/12236988 ")</f>
        <v xml:space="preserve">http://slimages.macys.com/is/image/MCY/12236988 </v>
      </c>
    </row>
    <row r="100" spans="1:13" ht="60" x14ac:dyDescent="0.25">
      <c r="A100" s="7" t="s">
        <v>9423</v>
      </c>
      <c r="B100" s="2" t="s">
        <v>9424</v>
      </c>
      <c r="C100" s="4">
        <v>1</v>
      </c>
      <c r="D100" s="5">
        <v>9.1999999999999993</v>
      </c>
      <c r="E100" s="5">
        <v>21.99</v>
      </c>
      <c r="F100" s="4">
        <v>16487310</v>
      </c>
      <c r="G100" s="2"/>
      <c r="H100" s="7" t="s">
        <v>442</v>
      </c>
      <c r="I100" s="2" t="s">
        <v>153</v>
      </c>
      <c r="J100" s="2" t="s">
        <v>154</v>
      </c>
      <c r="K100" s="2" t="s">
        <v>304</v>
      </c>
      <c r="L100" s="2" t="s">
        <v>206</v>
      </c>
      <c r="M100" s="8" t="str">
        <f>HYPERLINK("http://slimages.macys.com/is/image/MCY/11867455 ")</f>
        <v xml:space="preserve">http://slimages.macys.com/is/image/MCY/11867455 </v>
      </c>
    </row>
    <row r="101" spans="1:13" ht="132" x14ac:dyDescent="0.25">
      <c r="A101" s="7" t="s">
        <v>9425</v>
      </c>
      <c r="B101" s="2" t="s">
        <v>9426</v>
      </c>
      <c r="C101" s="4">
        <v>1</v>
      </c>
      <c r="D101" s="5">
        <v>9.1999999999999993</v>
      </c>
      <c r="E101" s="5">
        <v>21.99</v>
      </c>
      <c r="F101" s="4">
        <v>16521910</v>
      </c>
      <c r="G101" s="2" t="s">
        <v>48</v>
      </c>
      <c r="H101" s="7" t="s">
        <v>482</v>
      </c>
      <c r="I101" s="2" t="s">
        <v>153</v>
      </c>
      <c r="J101" s="2" t="s">
        <v>154</v>
      </c>
      <c r="K101" s="2" t="s">
        <v>304</v>
      </c>
      <c r="L101" s="2" t="s">
        <v>9427</v>
      </c>
      <c r="M101" s="8" t="str">
        <f>HYPERLINK("http://slimages.macys.com/is/image/MCY/11186638 ")</f>
        <v xml:space="preserve">http://slimages.macys.com/is/image/MCY/11186638 </v>
      </c>
    </row>
    <row r="102" spans="1:13" ht="132" x14ac:dyDescent="0.25">
      <c r="A102" s="7" t="s">
        <v>9428</v>
      </c>
      <c r="B102" s="2" t="s">
        <v>9426</v>
      </c>
      <c r="C102" s="4">
        <v>1</v>
      </c>
      <c r="D102" s="5">
        <v>9.1999999999999993</v>
      </c>
      <c r="E102" s="5">
        <v>21.99</v>
      </c>
      <c r="F102" s="4">
        <v>16521910</v>
      </c>
      <c r="G102" s="2" t="s">
        <v>48</v>
      </c>
      <c r="H102" s="7" t="s">
        <v>442</v>
      </c>
      <c r="I102" s="2" t="s">
        <v>153</v>
      </c>
      <c r="J102" s="2" t="s">
        <v>154</v>
      </c>
      <c r="K102" s="2" t="s">
        <v>304</v>
      </c>
      <c r="L102" s="2" t="s">
        <v>9427</v>
      </c>
      <c r="M102" s="8" t="str">
        <f>HYPERLINK("http://slimages.macys.com/is/image/MCY/11186638 ")</f>
        <v xml:space="preserve">http://slimages.macys.com/is/image/MCY/11186638 </v>
      </c>
    </row>
    <row r="103" spans="1:13" ht="60" x14ac:dyDescent="0.25">
      <c r="A103" s="7" t="s">
        <v>9429</v>
      </c>
      <c r="B103" s="2" t="s">
        <v>9430</v>
      </c>
      <c r="C103" s="4">
        <v>1</v>
      </c>
      <c r="D103" s="5">
        <v>9.1999999999999993</v>
      </c>
      <c r="E103" s="5">
        <v>24.99</v>
      </c>
      <c r="F103" s="4" t="s">
        <v>9431</v>
      </c>
      <c r="G103" s="2" t="s">
        <v>62</v>
      </c>
      <c r="H103" s="7" t="s">
        <v>123</v>
      </c>
      <c r="I103" s="2" t="s">
        <v>515</v>
      </c>
      <c r="J103" s="2" t="s">
        <v>516</v>
      </c>
      <c r="K103" s="2" t="s">
        <v>304</v>
      </c>
      <c r="L103" s="2" t="s">
        <v>125</v>
      </c>
      <c r="M103" s="8" t="str">
        <f>HYPERLINK("http://slimages.macys.com/is/image/MCY/11856521 ")</f>
        <v xml:space="preserve">http://slimages.macys.com/is/image/MCY/11856521 </v>
      </c>
    </row>
    <row r="104" spans="1:13" ht="60" x14ac:dyDescent="0.25">
      <c r="A104" s="7" t="s">
        <v>6204</v>
      </c>
      <c r="B104" s="2" t="s">
        <v>6205</v>
      </c>
      <c r="C104" s="4">
        <v>1</v>
      </c>
      <c r="D104" s="5">
        <v>9.09</v>
      </c>
      <c r="E104" s="5">
        <v>26.99</v>
      </c>
      <c r="F104" s="4" t="s">
        <v>6206</v>
      </c>
      <c r="G104" s="2" t="s">
        <v>86</v>
      </c>
      <c r="H104" s="7" t="s">
        <v>284</v>
      </c>
      <c r="I104" s="2" t="s">
        <v>389</v>
      </c>
      <c r="J104" s="2" t="s">
        <v>354</v>
      </c>
      <c r="K104" s="2" t="s">
        <v>304</v>
      </c>
      <c r="L104" s="2" t="s">
        <v>6207</v>
      </c>
      <c r="M104" s="8" t="str">
        <f>HYPERLINK("http://slimages.macys.com/is/image/MCY/13079495 ")</f>
        <v xml:space="preserve">http://slimages.macys.com/is/image/MCY/13079495 </v>
      </c>
    </row>
    <row r="105" spans="1:13" ht="60" x14ac:dyDescent="0.25">
      <c r="A105" s="7" t="s">
        <v>7446</v>
      </c>
      <c r="B105" s="2" t="s">
        <v>6205</v>
      </c>
      <c r="C105" s="4">
        <v>2</v>
      </c>
      <c r="D105" s="5">
        <v>9.09</v>
      </c>
      <c r="E105" s="5">
        <v>26.99</v>
      </c>
      <c r="F105" s="4" t="s">
        <v>6206</v>
      </c>
      <c r="G105" s="2" t="s">
        <v>86</v>
      </c>
      <c r="H105" s="7" t="s">
        <v>159</v>
      </c>
      <c r="I105" s="2" t="s">
        <v>389</v>
      </c>
      <c r="J105" s="2" t="s">
        <v>354</v>
      </c>
      <c r="K105" s="2" t="s">
        <v>304</v>
      </c>
      <c r="L105" s="2" t="s">
        <v>6207</v>
      </c>
      <c r="M105" s="8" t="str">
        <f>HYPERLINK("http://slimages.macys.com/is/image/MCY/13079495 ")</f>
        <v xml:space="preserve">http://slimages.macys.com/is/image/MCY/13079495 </v>
      </c>
    </row>
    <row r="106" spans="1:13" ht="60" x14ac:dyDescent="0.25">
      <c r="A106" s="7" t="s">
        <v>7444</v>
      </c>
      <c r="B106" s="2" t="s">
        <v>6205</v>
      </c>
      <c r="C106" s="4">
        <v>1</v>
      </c>
      <c r="D106" s="5">
        <v>9.09</v>
      </c>
      <c r="E106" s="5">
        <v>26.99</v>
      </c>
      <c r="F106" s="4" t="s">
        <v>6206</v>
      </c>
      <c r="G106" s="2" t="s">
        <v>86</v>
      </c>
      <c r="H106" s="7" t="s">
        <v>196</v>
      </c>
      <c r="I106" s="2" t="s">
        <v>389</v>
      </c>
      <c r="J106" s="2" t="s">
        <v>354</v>
      </c>
      <c r="K106" s="2" t="s">
        <v>304</v>
      </c>
      <c r="L106" s="2" t="s">
        <v>6207</v>
      </c>
      <c r="M106" s="8" t="str">
        <f>HYPERLINK("http://slimages.macys.com/is/image/MCY/13079495 ")</f>
        <v xml:space="preserve">http://slimages.macys.com/is/image/MCY/13079495 </v>
      </c>
    </row>
    <row r="107" spans="1:13" ht="108" x14ac:dyDescent="0.25">
      <c r="A107" s="7" t="s">
        <v>6208</v>
      </c>
      <c r="B107" s="2" t="s">
        <v>6209</v>
      </c>
      <c r="C107" s="4">
        <v>1</v>
      </c>
      <c r="D107" s="5">
        <v>9</v>
      </c>
      <c r="E107" s="5">
        <v>21.99</v>
      </c>
      <c r="F107" s="4" t="s">
        <v>6210</v>
      </c>
      <c r="G107" s="2" t="s">
        <v>41</v>
      </c>
      <c r="H107" s="7" t="s">
        <v>317</v>
      </c>
      <c r="I107" s="2" t="s">
        <v>342</v>
      </c>
      <c r="J107" s="2" t="s">
        <v>343</v>
      </c>
      <c r="K107" s="2" t="s">
        <v>304</v>
      </c>
      <c r="L107" s="2" t="s">
        <v>6211</v>
      </c>
      <c r="M107" s="8" t="str">
        <f>HYPERLINK("http://slimages.macys.com/is/image/MCY/12237641 ")</f>
        <v xml:space="preserve">http://slimages.macys.com/is/image/MCY/12237641 </v>
      </c>
    </row>
    <row r="108" spans="1:13" ht="84" x14ac:dyDescent="0.25">
      <c r="A108" s="7" t="s">
        <v>9432</v>
      </c>
      <c r="B108" s="2" t="s">
        <v>9433</v>
      </c>
      <c r="C108" s="4">
        <v>1</v>
      </c>
      <c r="D108" s="5">
        <v>8.9499999999999993</v>
      </c>
      <c r="E108" s="5">
        <v>22.99</v>
      </c>
      <c r="F108" s="4">
        <v>103592</v>
      </c>
      <c r="G108" s="2" t="s">
        <v>79</v>
      </c>
      <c r="H108" s="7"/>
      <c r="I108" s="2" t="s">
        <v>321</v>
      </c>
      <c r="J108" s="2" t="s">
        <v>322</v>
      </c>
      <c r="K108" s="2" t="s">
        <v>304</v>
      </c>
      <c r="L108" s="2" t="s">
        <v>1460</v>
      </c>
      <c r="M108" s="8" t="str">
        <f>HYPERLINK("http://slimages.macys.com/is/image/MCY/12037977 ")</f>
        <v xml:space="preserve">http://slimages.macys.com/is/image/MCY/12037977 </v>
      </c>
    </row>
    <row r="109" spans="1:13" ht="60" x14ac:dyDescent="0.25">
      <c r="A109" s="7" t="s">
        <v>869</v>
      </c>
      <c r="B109" s="2" t="s">
        <v>867</v>
      </c>
      <c r="C109" s="4">
        <v>3</v>
      </c>
      <c r="D109" s="5">
        <v>8.75</v>
      </c>
      <c r="E109" s="5">
        <v>19.989999999999998</v>
      </c>
      <c r="F109" s="4" t="s">
        <v>868</v>
      </c>
      <c r="G109" s="2" t="s">
        <v>165</v>
      </c>
      <c r="H109" s="7"/>
      <c r="I109" s="2" t="s">
        <v>815</v>
      </c>
      <c r="J109" s="2" t="s">
        <v>778</v>
      </c>
      <c r="K109" s="2" t="s">
        <v>304</v>
      </c>
      <c r="L109" s="2" t="s">
        <v>125</v>
      </c>
      <c r="M109" s="8" t="str">
        <f>HYPERLINK("http://slimages.macys.com/is/image/MCY/9953202 ")</f>
        <v xml:space="preserve">http://slimages.macys.com/is/image/MCY/9953202 </v>
      </c>
    </row>
    <row r="110" spans="1:13" ht="60" x14ac:dyDescent="0.25">
      <c r="A110" s="7" t="s">
        <v>870</v>
      </c>
      <c r="B110" s="2" t="s">
        <v>853</v>
      </c>
      <c r="C110" s="4">
        <v>4</v>
      </c>
      <c r="D110" s="5">
        <v>8.75</v>
      </c>
      <c r="E110" s="5">
        <v>19.989999999999998</v>
      </c>
      <c r="F110" s="4" t="s">
        <v>854</v>
      </c>
      <c r="G110" s="2" t="s">
        <v>858</v>
      </c>
      <c r="H110" s="7"/>
      <c r="I110" s="2" t="s">
        <v>815</v>
      </c>
      <c r="J110" s="2" t="s">
        <v>778</v>
      </c>
      <c r="K110" s="2" t="s">
        <v>304</v>
      </c>
      <c r="L110" s="2" t="s">
        <v>125</v>
      </c>
      <c r="M110" s="8" t="str">
        <f>HYPERLINK("http://slimages.macys.com/is/image/MCY/11724609 ")</f>
        <v xml:space="preserve">http://slimages.macys.com/is/image/MCY/11724609 </v>
      </c>
    </row>
    <row r="111" spans="1:13" ht="60" x14ac:dyDescent="0.25">
      <c r="A111" s="7" t="s">
        <v>9434</v>
      </c>
      <c r="B111" s="2" t="s">
        <v>9435</v>
      </c>
      <c r="C111" s="4">
        <v>6</v>
      </c>
      <c r="D111" s="5">
        <v>8.75</v>
      </c>
      <c r="E111" s="5">
        <v>19.989999999999998</v>
      </c>
      <c r="F111" s="4" t="s">
        <v>9436</v>
      </c>
      <c r="G111" s="2" t="s">
        <v>858</v>
      </c>
      <c r="H111" s="7"/>
      <c r="I111" s="2" t="s">
        <v>815</v>
      </c>
      <c r="J111" s="2" t="s">
        <v>778</v>
      </c>
      <c r="K111" s="2" t="s">
        <v>304</v>
      </c>
      <c r="L111" s="2" t="s">
        <v>125</v>
      </c>
      <c r="M111" s="8" t="str">
        <f>HYPERLINK("http://slimages.macys.com/is/image/MCY/12671528 ")</f>
        <v xml:space="preserve">http://slimages.macys.com/is/image/MCY/12671528 </v>
      </c>
    </row>
    <row r="112" spans="1:13" ht="60" x14ac:dyDescent="0.25">
      <c r="A112" s="7" t="s">
        <v>852</v>
      </c>
      <c r="B112" s="2" t="s">
        <v>853</v>
      </c>
      <c r="C112" s="4">
        <v>2</v>
      </c>
      <c r="D112" s="5">
        <v>8.75</v>
      </c>
      <c r="E112" s="5">
        <v>19.989999999999998</v>
      </c>
      <c r="F112" s="4" t="s">
        <v>854</v>
      </c>
      <c r="G112" s="2" t="s">
        <v>165</v>
      </c>
      <c r="H112" s="7"/>
      <c r="I112" s="2" t="s">
        <v>815</v>
      </c>
      <c r="J112" s="2" t="s">
        <v>778</v>
      </c>
      <c r="K112" s="2" t="s">
        <v>304</v>
      </c>
      <c r="L112" s="2" t="s">
        <v>125</v>
      </c>
      <c r="M112" s="8" t="str">
        <f>HYPERLINK("http://slimages.macys.com/is/image/MCY/11724609 ")</f>
        <v xml:space="preserve">http://slimages.macys.com/is/image/MCY/11724609 </v>
      </c>
    </row>
    <row r="113" spans="1:13" ht="96" x14ac:dyDescent="0.25">
      <c r="A113" s="7" t="s">
        <v>9437</v>
      </c>
      <c r="B113" s="2" t="s">
        <v>9438</v>
      </c>
      <c r="C113" s="4">
        <v>1</v>
      </c>
      <c r="D113" s="5">
        <v>8.75</v>
      </c>
      <c r="E113" s="5">
        <v>20</v>
      </c>
      <c r="F113" s="4" t="s">
        <v>861</v>
      </c>
      <c r="G113" s="2" t="s">
        <v>858</v>
      </c>
      <c r="H113" s="7"/>
      <c r="I113" s="2" t="s">
        <v>815</v>
      </c>
      <c r="J113" s="2" t="s">
        <v>778</v>
      </c>
      <c r="K113" s="2" t="s">
        <v>304</v>
      </c>
      <c r="L113" s="2" t="s">
        <v>816</v>
      </c>
      <c r="M113" s="8" t="str">
        <f>HYPERLINK("http://slimages.macys.com/is/image/MCY/11234452 ")</f>
        <v xml:space="preserve">http://slimages.macys.com/is/image/MCY/11234452 </v>
      </c>
    </row>
    <row r="114" spans="1:13" ht="60" x14ac:dyDescent="0.25">
      <c r="A114" s="7" t="s">
        <v>9439</v>
      </c>
      <c r="B114" s="2" t="s">
        <v>9440</v>
      </c>
      <c r="C114" s="4">
        <v>2</v>
      </c>
      <c r="D114" s="5">
        <v>8.65</v>
      </c>
      <c r="E114" s="5">
        <v>19.989999999999998</v>
      </c>
      <c r="F114" s="4" t="s">
        <v>9441</v>
      </c>
      <c r="G114" s="2" t="s">
        <v>582</v>
      </c>
      <c r="H114" s="7" t="s">
        <v>311</v>
      </c>
      <c r="I114" s="2" t="s">
        <v>1689</v>
      </c>
      <c r="J114" s="2" t="s">
        <v>354</v>
      </c>
      <c r="K114" s="2" t="s">
        <v>304</v>
      </c>
      <c r="L114" s="2" t="s">
        <v>493</v>
      </c>
      <c r="M114" s="8" t="str">
        <f>HYPERLINK("http://slimages.macys.com/is/image/MCY/12506950 ")</f>
        <v xml:space="preserve">http://slimages.macys.com/is/image/MCY/12506950 </v>
      </c>
    </row>
    <row r="115" spans="1:13" ht="60" x14ac:dyDescent="0.25">
      <c r="A115" s="7" t="s">
        <v>9442</v>
      </c>
      <c r="B115" s="2" t="s">
        <v>5352</v>
      </c>
      <c r="C115" s="4">
        <v>1</v>
      </c>
      <c r="D115" s="5">
        <v>8.65</v>
      </c>
      <c r="E115" s="5">
        <v>22.99</v>
      </c>
      <c r="F115" s="4">
        <v>103389</v>
      </c>
      <c r="G115" s="2"/>
      <c r="H115" s="7" t="s">
        <v>97</v>
      </c>
      <c r="I115" s="2" t="s">
        <v>321</v>
      </c>
      <c r="J115" s="2" t="s">
        <v>322</v>
      </c>
      <c r="K115" s="2" t="s">
        <v>304</v>
      </c>
      <c r="L115" s="2" t="s">
        <v>323</v>
      </c>
      <c r="M115" s="8" t="str">
        <f>HYPERLINK("http://slimages.macys.com/is/image/MCY/10628314 ")</f>
        <v xml:space="preserve">http://slimages.macys.com/is/image/MCY/10628314 </v>
      </c>
    </row>
    <row r="116" spans="1:13" ht="60" x14ac:dyDescent="0.25">
      <c r="A116" s="7" t="s">
        <v>9443</v>
      </c>
      <c r="B116" s="2" t="s">
        <v>9440</v>
      </c>
      <c r="C116" s="4">
        <v>2</v>
      </c>
      <c r="D116" s="5">
        <v>8.65</v>
      </c>
      <c r="E116" s="5">
        <v>19.989999999999998</v>
      </c>
      <c r="F116" s="4" t="s">
        <v>9441</v>
      </c>
      <c r="G116" s="2" t="s">
        <v>582</v>
      </c>
      <c r="H116" s="7" t="s">
        <v>123</v>
      </c>
      <c r="I116" s="2" t="s">
        <v>1689</v>
      </c>
      <c r="J116" s="2" t="s">
        <v>354</v>
      </c>
      <c r="K116" s="2" t="s">
        <v>304</v>
      </c>
      <c r="L116" s="2" t="s">
        <v>493</v>
      </c>
      <c r="M116" s="8" t="str">
        <f>HYPERLINK("http://slimages.macys.com/is/image/MCY/12506950 ")</f>
        <v xml:space="preserve">http://slimages.macys.com/is/image/MCY/12506950 </v>
      </c>
    </row>
    <row r="117" spans="1:13" ht="60" x14ac:dyDescent="0.25">
      <c r="A117" s="7" t="s">
        <v>9444</v>
      </c>
      <c r="B117" s="2" t="s">
        <v>9440</v>
      </c>
      <c r="C117" s="4">
        <v>1</v>
      </c>
      <c r="D117" s="5">
        <v>8.65</v>
      </c>
      <c r="E117" s="5">
        <v>19.989999999999998</v>
      </c>
      <c r="F117" s="4" t="s">
        <v>9441</v>
      </c>
      <c r="G117" s="2" t="s">
        <v>582</v>
      </c>
      <c r="H117" s="7" t="s">
        <v>63</v>
      </c>
      <c r="I117" s="2" t="s">
        <v>1689</v>
      </c>
      <c r="J117" s="2" t="s">
        <v>354</v>
      </c>
      <c r="K117" s="2" t="s">
        <v>304</v>
      </c>
      <c r="L117" s="2" t="s">
        <v>493</v>
      </c>
      <c r="M117" s="8" t="str">
        <f>HYPERLINK("http://slimages.macys.com/is/image/MCY/12506950 ")</f>
        <v xml:space="preserve">http://slimages.macys.com/is/image/MCY/12506950 </v>
      </c>
    </row>
    <row r="118" spans="1:13" ht="84" x14ac:dyDescent="0.25">
      <c r="A118" s="7" t="s">
        <v>9445</v>
      </c>
      <c r="B118" s="2" t="s">
        <v>8795</v>
      </c>
      <c r="C118" s="4">
        <v>1</v>
      </c>
      <c r="D118" s="5">
        <v>8.65</v>
      </c>
      <c r="E118" s="5">
        <v>22.99</v>
      </c>
      <c r="F118" s="4">
        <v>103405</v>
      </c>
      <c r="G118" s="2" t="s">
        <v>79</v>
      </c>
      <c r="H118" s="7" t="s">
        <v>97</v>
      </c>
      <c r="I118" s="2" t="s">
        <v>321</v>
      </c>
      <c r="J118" s="2" t="s">
        <v>322</v>
      </c>
      <c r="K118" s="2" t="s">
        <v>304</v>
      </c>
      <c r="L118" s="2" t="s">
        <v>1460</v>
      </c>
      <c r="M118" s="8" t="str">
        <f>HYPERLINK("http://slimages.macys.com/is/image/MCY/12045181 ")</f>
        <v xml:space="preserve">http://slimages.macys.com/is/image/MCY/12045181 </v>
      </c>
    </row>
    <row r="119" spans="1:13" ht="60" x14ac:dyDescent="0.25">
      <c r="A119" s="7" t="s">
        <v>9446</v>
      </c>
      <c r="B119" s="2" t="s">
        <v>9447</v>
      </c>
      <c r="C119" s="4">
        <v>1</v>
      </c>
      <c r="D119" s="5">
        <v>8.65</v>
      </c>
      <c r="E119" s="5">
        <v>17.3</v>
      </c>
      <c r="F119" s="4" t="s">
        <v>9448</v>
      </c>
      <c r="G119" s="2"/>
      <c r="H119" s="7" t="s">
        <v>209</v>
      </c>
      <c r="I119" s="2" t="s">
        <v>487</v>
      </c>
      <c r="J119" s="2" t="s">
        <v>488</v>
      </c>
      <c r="K119" s="2" t="s">
        <v>304</v>
      </c>
      <c r="L119" s="2" t="s">
        <v>9449</v>
      </c>
      <c r="M119" s="8" t="str">
        <f>HYPERLINK("http://slimages.macys.com/is/image/MCY/11229491 ")</f>
        <v xml:space="preserve">http://slimages.macys.com/is/image/MCY/11229491 </v>
      </c>
    </row>
    <row r="120" spans="1:13" ht="60" x14ac:dyDescent="0.25">
      <c r="A120" s="7" t="s">
        <v>2559</v>
      </c>
      <c r="B120" s="2" t="s">
        <v>2560</v>
      </c>
      <c r="C120" s="4">
        <v>1</v>
      </c>
      <c r="D120" s="5">
        <v>8.49</v>
      </c>
      <c r="E120" s="5">
        <v>21.99</v>
      </c>
      <c r="F120" s="4" t="s">
        <v>2561</v>
      </c>
      <c r="G120" s="2" t="s">
        <v>86</v>
      </c>
      <c r="H120" s="7" t="s">
        <v>196</v>
      </c>
      <c r="I120" s="2" t="s">
        <v>389</v>
      </c>
      <c r="J120" s="2" t="s">
        <v>354</v>
      </c>
      <c r="K120" s="2" t="s">
        <v>304</v>
      </c>
      <c r="L120" s="2" t="s">
        <v>2562</v>
      </c>
      <c r="M120" s="8" t="str">
        <f>HYPERLINK("http://slimages.macys.com/is/image/MCY/12121700 ")</f>
        <v xml:space="preserve">http://slimages.macys.com/is/image/MCY/12121700 </v>
      </c>
    </row>
    <row r="121" spans="1:13" ht="60" x14ac:dyDescent="0.25">
      <c r="A121" s="7" t="s">
        <v>1672</v>
      </c>
      <c r="B121" s="2" t="s">
        <v>1673</v>
      </c>
      <c r="C121" s="4">
        <v>1</v>
      </c>
      <c r="D121" s="5">
        <v>8.4499999999999993</v>
      </c>
      <c r="E121" s="5">
        <v>16.989999999999998</v>
      </c>
      <c r="F121" s="4" t="s">
        <v>1674</v>
      </c>
      <c r="G121" s="2" t="s">
        <v>62</v>
      </c>
      <c r="H121" s="7" t="s">
        <v>196</v>
      </c>
      <c r="I121" s="2" t="s">
        <v>515</v>
      </c>
      <c r="J121" s="2" t="s">
        <v>827</v>
      </c>
      <c r="K121" s="2" t="s">
        <v>304</v>
      </c>
      <c r="L121" s="2" t="s">
        <v>358</v>
      </c>
      <c r="M121" s="8" t="str">
        <f>HYPERLINK("http://slimages.macys.com/is/image/MCY/12688126 ")</f>
        <v xml:space="preserve">http://slimages.macys.com/is/image/MCY/12688126 </v>
      </c>
    </row>
    <row r="122" spans="1:13" ht="60" x14ac:dyDescent="0.25">
      <c r="A122" s="7" t="s">
        <v>1676</v>
      </c>
      <c r="B122" s="2" t="s">
        <v>1673</v>
      </c>
      <c r="C122" s="4">
        <v>2</v>
      </c>
      <c r="D122" s="5">
        <v>8.4499999999999993</v>
      </c>
      <c r="E122" s="5">
        <v>16.989999999999998</v>
      </c>
      <c r="F122" s="4" t="s">
        <v>1674</v>
      </c>
      <c r="G122" s="2" t="s">
        <v>62</v>
      </c>
      <c r="H122" s="7" t="s">
        <v>159</v>
      </c>
      <c r="I122" s="2" t="s">
        <v>515</v>
      </c>
      <c r="J122" s="2" t="s">
        <v>827</v>
      </c>
      <c r="K122" s="2" t="s">
        <v>304</v>
      </c>
      <c r="L122" s="2" t="s">
        <v>358</v>
      </c>
      <c r="M122" s="8" t="str">
        <f>HYPERLINK("http://slimages.macys.com/is/image/MCY/12688126 ")</f>
        <v xml:space="preserve">http://slimages.macys.com/is/image/MCY/12688126 </v>
      </c>
    </row>
    <row r="123" spans="1:13" ht="60" x14ac:dyDescent="0.25">
      <c r="A123" s="7" t="s">
        <v>1677</v>
      </c>
      <c r="B123" s="2" t="s">
        <v>1673</v>
      </c>
      <c r="C123" s="4">
        <v>2</v>
      </c>
      <c r="D123" s="5">
        <v>8.4499999999999993</v>
      </c>
      <c r="E123" s="5">
        <v>16.989999999999998</v>
      </c>
      <c r="F123" s="4" t="s">
        <v>1674</v>
      </c>
      <c r="G123" s="2" t="s">
        <v>48</v>
      </c>
      <c r="H123" s="7" t="s">
        <v>159</v>
      </c>
      <c r="I123" s="2" t="s">
        <v>515</v>
      </c>
      <c r="J123" s="2" t="s">
        <v>827</v>
      </c>
      <c r="K123" s="2" t="s">
        <v>304</v>
      </c>
      <c r="L123" s="2" t="s">
        <v>358</v>
      </c>
      <c r="M123" s="8" t="str">
        <f>HYPERLINK("http://slimages.macys.com/is/image/MCY/12688126 ")</f>
        <v xml:space="preserve">http://slimages.macys.com/is/image/MCY/12688126 </v>
      </c>
    </row>
    <row r="124" spans="1:13" ht="60" x14ac:dyDescent="0.25">
      <c r="A124" s="7" t="s">
        <v>6222</v>
      </c>
      <c r="B124" s="2" t="s">
        <v>1673</v>
      </c>
      <c r="C124" s="4">
        <v>1</v>
      </c>
      <c r="D124" s="5">
        <v>8.4499999999999993</v>
      </c>
      <c r="E124" s="5">
        <v>16.989999999999998</v>
      </c>
      <c r="F124" s="4" t="s">
        <v>1674</v>
      </c>
      <c r="G124" s="2" t="s">
        <v>48</v>
      </c>
      <c r="H124" s="7" t="s">
        <v>228</v>
      </c>
      <c r="I124" s="2" t="s">
        <v>515</v>
      </c>
      <c r="J124" s="2" t="s">
        <v>827</v>
      </c>
      <c r="K124" s="2" t="s">
        <v>304</v>
      </c>
      <c r="L124" s="2" t="s">
        <v>358</v>
      </c>
      <c r="M124" s="8" t="str">
        <f>HYPERLINK("http://slimages.macys.com/is/image/MCY/12688126 ")</f>
        <v xml:space="preserve">http://slimages.macys.com/is/image/MCY/12688126 </v>
      </c>
    </row>
    <row r="125" spans="1:13" ht="60" x14ac:dyDescent="0.25">
      <c r="A125" s="7" t="s">
        <v>1679</v>
      </c>
      <c r="B125" s="2" t="s">
        <v>1673</v>
      </c>
      <c r="C125" s="4">
        <v>2</v>
      </c>
      <c r="D125" s="5">
        <v>8.4499999999999993</v>
      </c>
      <c r="E125" s="5">
        <v>16.989999999999998</v>
      </c>
      <c r="F125" s="4" t="s">
        <v>1674</v>
      </c>
      <c r="G125" s="2" t="s">
        <v>62</v>
      </c>
      <c r="H125" s="7" t="s">
        <v>284</v>
      </c>
      <c r="I125" s="2" t="s">
        <v>515</v>
      </c>
      <c r="J125" s="2" t="s">
        <v>827</v>
      </c>
      <c r="K125" s="2" t="s">
        <v>304</v>
      </c>
      <c r="L125" s="2" t="s">
        <v>358</v>
      </c>
      <c r="M125" s="8" t="str">
        <f>HYPERLINK("http://slimages.macys.com/is/image/MCY/12688126 ")</f>
        <v xml:space="preserve">http://slimages.macys.com/is/image/MCY/12688126 </v>
      </c>
    </row>
    <row r="126" spans="1:13" ht="60" x14ac:dyDescent="0.25">
      <c r="A126" s="7" t="s">
        <v>9450</v>
      </c>
      <c r="B126" s="2" t="s">
        <v>1681</v>
      </c>
      <c r="C126" s="4">
        <v>1</v>
      </c>
      <c r="D126" s="5">
        <v>8.43</v>
      </c>
      <c r="E126" s="5">
        <v>21.99</v>
      </c>
      <c r="F126" s="4" t="s">
        <v>1682</v>
      </c>
      <c r="G126" s="2" t="s">
        <v>297</v>
      </c>
      <c r="H126" s="7" t="s">
        <v>514</v>
      </c>
      <c r="I126" s="2" t="s">
        <v>515</v>
      </c>
      <c r="J126" s="2" t="s">
        <v>875</v>
      </c>
      <c r="K126" s="2" t="s">
        <v>304</v>
      </c>
      <c r="L126" s="2" t="s">
        <v>119</v>
      </c>
      <c r="M126" s="8" t="str">
        <f>HYPERLINK("http://slimages.macys.com/is/image/MCY/12953215 ")</f>
        <v xml:space="preserve">http://slimages.macys.com/is/image/MCY/12953215 </v>
      </c>
    </row>
    <row r="127" spans="1:13" ht="60" x14ac:dyDescent="0.25">
      <c r="A127" s="7" t="s">
        <v>9451</v>
      </c>
      <c r="B127" s="2" t="s">
        <v>7472</v>
      </c>
      <c r="C127" s="4">
        <v>1</v>
      </c>
      <c r="D127" s="5">
        <v>8.3800000000000008</v>
      </c>
      <c r="E127" s="5">
        <v>24.99</v>
      </c>
      <c r="F127" s="4" t="s">
        <v>7473</v>
      </c>
      <c r="G127" s="2" t="s">
        <v>785</v>
      </c>
      <c r="H127" s="7" t="s">
        <v>514</v>
      </c>
      <c r="I127" s="2" t="s">
        <v>1689</v>
      </c>
      <c r="J127" s="2" t="s">
        <v>354</v>
      </c>
      <c r="K127" s="2" t="s">
        <v>304</v>
      </c>
      <c r="L127" s="2" t="s">
        <v>119</v>
      </c>
      <c r="M127" s="8" t="str">
        <f>HYPERLINK("http://slimages.macys.com/is/image/MCY/13824201 ")</f>
        <v xml:space="preserve">http://slimages.macys.com/is/image/MCY/13824201 </v>
      </c>
    </row>
    <row r="128" spans="1:13" ht="60" x14ac:dyDescent="0.25">
      <c r="A128" s="7" t="s">
        <v>3931</v>
      </c>
      <c r="B128" s="2" t="s">
        <v>1687</v>
      </c>
      <c r="C128" s="4">
        <v>1</v>
      </c>
      <c r="D128" s="5">
        <v>8.3800000000000008</v>
      </c>
      <c r="E128" s="5">
        <v>24.99</v>
      </c>
      <c r="F128" s="4" t="s">
        <v>1688</v>
      </c>
      <c r="G128" s="2" t="s">
        <v>28</v>
      </c>
      <c r="H128" s="7" t="s">
        <v>311</v>
      </c>
      <c r="I128" s="2" t="s">
        <v>1689</v>
      </c>
      <c r="J128" s="2" t="s">
        <v>354</v>
      </c>
      <c r="K128" s="2" t="s">
        <v>304</v>
      </c>
      <c r="L128" s="2" t="s">
        <v>390</v>
      </c>
      <c r="M128" s="8" t="str">
        <f>HYPERLINK("http://slimages.macys.com/is/image/MCY/13076988 ")</f>
        <v xml:space="preserve">http://slimages.macys.com/is/image/MCY/13076988 </v>
      </c>
    </row>
    <row r="129" spans="1:13" ht="60" x14ac:dyDescent="0.25">
      <c r="A129" s="7" t="s">
        <v>9452</v>
      </c>
      <c r="B129" s="2" t="s">
        <v>8812</v>
      </c>
      <c r="C129" s="4">
        <v>3</v>
      </c>
      <c r="D129" s="5">
        <v>8.3800000000000008</v>
      </c>
      <c r="E129" s="5">
        <v>19.989999999999998</v>
      </c>
      <c r="F129" s="4" t="s">
        <v>8813</v>
      </c>
      <c r="G129" s="2" t="s">
        <v>582</v>
      </c>
      <c r="H129" s="7" t="s">
        <v>123</v>
      </c>
      <c r="I129" s="2" t="s">
        <v>1689</v>
      </c>
      <c r="J129" s="2" t="s">
        <v>354</v>
      </c>
      <c r="K129" s="2" t="s">
        <v>304</v>
      </c>
      <c r="L129" s="2" t="s">
        <v>38</v>
      </c>
      <c r="M129" s="8" t="str">
        <f>HYPERLINK("http://slimages.macys.com/is/image/MCY/12507127 ")</f>
        <v xml:space="preserve">http://slimages.macys.com/is/image/MCY/12507127 </v>
      </c>
    </row>
    <row r="130" spans="1:13" ht="60" x14ac:dyDescent="0.25">
      <c r="A130" s="7" t="s">
        <v>8811</v>
      </c>
      <c r="B130" s="2" t="s">
        <v>8812</v>
      </c>
      <c r="C130" s="4">
        <v>2</v>
      </c>
      <c r="D130" s="5">
        <v>8.3800000000000008</v>
      </c>
      <c r="E130" s="5">
        <v>19.989999999999998</v>
      </c>
      <c r="F130" s="4" t="s">
        <v>8813</v>
      </c>
      <c r="G130" s="2" t="s">
        <v>582</v>
      </c>
      <c r="H130" s="7" t="s">
        <v>311</v>
      </c>
      <c r="I130" s="2" t="s">
        <v>1689</v>
      </c>
      <c r="J130" s="2" t="s">
        <v>354</v>
      </c>
      <c r="K130" s="2" t="s">
        <v>304</v>
      </c>
      <c r="L130" s="2" t="s">
        <v>38</v>
      </c>
      <c r="M130" s="8" t="str">
        <f>HYPERLINK("http://slimages.macys.com/is/image/MCY/12507127 ")</f>
        <v xml:space="preserve">http://slimages.macys.com/is/image/MCY/12507127 </v>
      </c>
    </row>
    <row r="131" spans="1:13" ht="60" x14ac:dyDescent="0.25">
      <c r="A131" s="7" t="s">
        <v>9453</v>
      </c>
      <c r="B131" s="2" t="s">
        <v>8812</v>
      </c>
      <c r="C131" s="4">
        <v>4</v>
      </c>
      <c r="D131" s="5">
        <v>8.3800000000000008</v>
      </c>
      <c r="E131" s="5">
        <v>19.989999999999998</v>
      </c>
      <c r="F131" s="4" t="s">
        <v>8813</v>
      </c>
      <c r="G131" s="2" t="s">
        <v>582</v>
      </c>
      <c r="H131" s="7" t="s">
        <v>63</v>
      </c>
      <c r="I131" s="2" t="s">
        <v>1689</v>
      </c>
      <c r="J131" s="2" t="s">
        <v>354</v>
      </c>
      <c r="K131" s="2" t="s">
        <v>304</v>
      </c>
      <c r="L131" s="2" t="s">
        <v>38</v>
      </c>
      <c r="M131" s="8" t="str">
        <f>HYPERLINK("http://slimages.macys.com/is/image/MCY/12507127 ")</f>
        <v xml:space="preserve">http://slimages.macys.com/is/image/MCY/12507127 </v>
      </c>
    </row>
    <row r="132" spans="1:13" ht="60" x14ac:dyDescent="0.25">
      <c r="A132" s="7" t="s">
        <v>9454</v>
      </c>
      <c r="B132" s="2" t="s">
        <v>8812</v>
      </c>
      <c r="C132" s="4">
        <v>1</v>
      </c>
      <c r="D132" s="5">
        <v>8.3800000000000008</v>
      </c>
      <c r="E132" s="5">
        <v>19.989999999999998</v>
      </c>
      <c r="F132" s="4" t="s">
        <v>8813</v>
      </c>
      <c r="G132" s="2" t="s">
        <v>582</v>
      </c>
      <c r="H132" s="7" t="s">
        <v>514</v>
      </c>
      <c r="I132" s="2" t="s">
        <v>1689</v>
      </c>
      <c r="J132" s="2" t="s">
        <v>354</v>
      </c>
      <c r="K132" s="2" t="s">
        <v>304</v>
      </c>
      <c r="L132" s="2" t="s">
        <v>87</v>
      </c>
      <c r="M132" s="8" t="str">
        <f>HYPERLINK("http://slimages.macys.com/is/image/MCY/12507127 ")</f>
        <v xml:space="preserve">http://slimages.macys.com/is/image/MCY/12507127 </v>
      </c>
    </row>
    <row r="133" spans="1:13" ht="60" x14ac:dyDescent="0.25">
      <c r="A133" s="7" t="s">
        <v>9455</v>
      </c>
      <c r="B133" s="2" t="s">
        <v>9456</v>
      </c>
      <c r="C133" s="4">
        <v>1</v>
      </c>
      <c r="D133" s="5">
        <v>8.3800000000000008</v>
      </c>
      <c r="E133" s="5">
        <v>24.99</v>
      </c>
      <c r="F133" s="4" t="s">
        <v>9457</v>
      </c>
      <c r="G133" s="2" t="s">
        <v>752</v>
      </c>
      <c r="H133" s="7" t="s">
        <v>514</v>
      </c>
      <c r="I133" s="2" t="s">
        <v>1689</v>
      </c>
      <c r="J133" s="2" t="s">
        <v>354</v>
      </c>
      <c r="K133" s="2" t="s">
        <v>304</v>
      </c>
      <c r="L133" s="2" t="s">
        <v>119</v>
      </c>
      <c r="M133" s="8" t="str">
        <f>HYPERLINK("http://slimages.macys.com/is/image/MCY/12507412 ")</f>
        <v xml:space="preserve">http://slimages.macys.com/is/image/MCY/12507412 </v>
      </c>
    </row>
    <row r="134" spans="1:13" ht="60" x14ac:dyDescent="0.25">
      <c r="A134" s="7" t="s">
        <v>9458</v>
      </c>
      <c r="B134" s="2" t="s">
        <v>1687</v>
      </c>
      <c r="C134" s="4">
        <v>2</v>
      </c>
      <c r="D134" s="5">
        <v>8.3800000000000008</v>
      </c>
      <c r="E134" s="5">
        <v>24.99</v>
      </c>
      <c r="F134" s="4" t="s">
        <v>1688</v>
      </c>
      <c r="G134" s="2" t="s">
        <v>28</v>
      </c>
      <c r="H134" s="7" t="s">
        <v>1151</v>
      </c>
      <c r="I134" s="2" t="s">
        <v>1689</v>
      </c>
      <c r="J134" s="2" t="s">
        <v>354</v>
      </c>
      <c r="K134" s="2" t="s">
        <v>304</v>
      </c>
      <c r="L134" s="2" t="s">
        <v>1569</v>
      </c>
      <c r="M134" s="8" t="str">
        <f>HYPERLINK("http://slimages.macys.com/is/image/MCY/13076988 ")</f>
        <v xml:space="preserve">http://slimages.macys.com/is/image/MCY/13076988 </v>
      </c>
    </row>
    <row r="135" spans="1:13" ht="60" x14ac:dyDescent="0.25">
      <c r="A135" s="7" t="s">
        <v>9459</v>
      </c>
      <c r="B135" s="2" t="s">
        <v>9456</v>
      </c>
      <c r="C135" s="4">
        <v>1</v>
      </c>
      <c r="D135" s="5">
        <v>8.3800000000000008</v>
      </c>
      <c r="E135" s="5">
        <v>24.99</v>
      </c>
      <c r="F135" s="4" t="s">
        <v>9457</v>
      </c>
      <c r="G135" s="2" t="s">
        <v>752</v>
      </c>
      <c r="H135" s="7" t="s">
        <v>123</v>
      </c>
      <c r="I135" s="2" t="s">
        <v>1689</v>
      </c>
      <c r="J135" s="2" t="s">
        <v>354</v>
      </c>
      <c r="K135" s="2" t="s">
        <v>304</v>
      </c>
      <c r="L135" s="2" t="s">
        <v>119</v>
      </c>
      <c r="M135" s="8" t="str">
        <f>HYPERLINK("http://slimages.macys.com/is/image/MCY/12507412 ")</f>
        <v xml:space="preserve">http://slimages.macys.com/is/image/MCY/12507412 </v>
      </c>
    </row>
    <row r="136" spans="1:13" ht="60" x14ac:dyDescent="0.25">
      <c r="A136" s="7" t="s">
        <v>9460</v>
      </c>
      <c r="B136" s="2" t="s">
        <v>1687</v>
      </c>
      <c r="C136" s="4">
        <v>1</v>
      </c>
      <c r="D136" s="5">
        <v>8.3800000000000008</v>
      </c>
      <c r="E136" s="5">
        <v>24.99</v>
      </c>
      <c r="F136" s="4" t="s">
        <v>1688</v>
      </c>
      <c r="G136" s="2" t="s">
        <v>28</v>
      </c>
      <c r="H136" s="7" t="s">
        <v>123</v>
      </c>
      <c r="I136" s="2" t="s">
        <v>1689</v>
      </c>
      <c r="J136" s="2" t="s">
        <v>354</v>
      </c>
      <c r="K136" s="2" t="s">
        <v>304</v>
      </c>
      <c r="L136" s="2" t="s">
        <v>390</v>
      </c>
      <c r="M136" s="8" t="str">
        <f>HYPERLINK("http://slimages.macys.com/is/image/MCY/13076988 ")</f>
        <v xml:space="preserve">http://slimages.macys.com/is/image/MCY/13076988 </v>
      </c>
    </row>
    <row r="137" spans="1:13" ht="60" x14ac:dyDescent="0.25">
      <c r="A137" s="7" t="s">
        <v>9461</v>
      </c>
      <c r="B137" s="2" t="s">
        <v>3933</v>
      </c>
      <c r="C137" s="4">
        <v>1</v>
      </c>
      <c r="D137" s="5">
        <v>8.35</v>
      </c>
      <c r="E137" s="5">
        <v>24.99</v>
      </c>
      <c r="F137" s="4" t="s">
        <v>3934</v>
      </c>
      <c r="G137" s="2" t="s">
        <v>310</v>
      </c>
      <c r="H137" s="7" t="s">
        <v>590</v>
      </c>
      <c r="I137" s="2" t="s">
        <v>92</v>
      </c>
      <c r="J137" s="2" t="s">
        <v>58</v>
      </c>
      <c r="K137" s="2" t="s">
        <v>304</v>
      </c>
      <c r="L137" s="2" t="s">
        <v>3935</v>
      </c>
      <c r="M137" s="8" t="str">
        <f>HYPERLINK("http://slimages.macys.com/is/image/MCY/12674149 ")</f>
        <v xml:space="preserve">http://slimages.macys.com/is/image/MCY/12674149 </v>
      </c>
    </row>
    <row r="138" spans="1:13" ht="60" x14ac:dyDescent="0.25">
      <c r="A138" s="7" t="s">
        <v>9462</v>
      </c>
      <c r="B138" s="2" t="s">
        <v>8818</v>
      </c>
      <c r="C138" s="4">
        <v>1</v>
      </c>
      <c r="D138" s="5">
        <v>8.2100000000000009</v>
      </c>
      <c r="E138" s="5">
        <v>19.989999999999998</v>
      </c>
      <c r="F138" s="4" t="s">
        <v>8819</v>
      </c>
      <c r="G138" s="2" t="s">
        <v>86</v>
      </c>
      <c r="H138" s="7" t="s">
        <v>311</v>
      </c>
      <c r="I138" s="2" t="s">
        <v>1689</v>
      </c>
      <c r="J138" s="2" t="s">
        <v>354</v>
      </c>
      <c r="K138" s="2" t="s">
        <v>304</v>
      </c>
      <c r="L138" s="2" t="s">
        <v>390</v>
      </c>
      <c r="M138" s="8" t="str">
        <f>HYPERLINK("http://slimages.macys.com/is/image/MCY/12101713 ")</f>
        <v xml:space="preserve">http://slimages.macys.com/is/image/MCY/12101713 </v>
      </c>
    </row>
    <row r="139" spans="1:13" ht="60" x14ac:dyDescent="0.25">
      <c r="A139" s="7" t="s">
        <v>9463</v>
      </c>
      <c r="B139" s="2" t="s">
        <v>9464</v>
      </c>
      <c r="C139" s="4">
        <v>2</v>
      </c>
      <c r="D139" s="5">
        <v>8.18</v>
      </c>
      <c r="E139" s="5">
        <v>17.989999999999998</v>
      </c>
      <c r="F139" s="4" t="s">
        <v>9465</v>
      </c>
      <c r="G139" s="2" t="s">
        <v>1265</v>
      </c>
      <c r="H139" s="7" t="s">
        <v>159</v>
      </c>
      <c r="I139" s="2" t="s">
        <v>515</v>
      </c>
      <c r="J139" s="2" t="s">
        <v>827</v>
      </c>
      <c r="K139" s="2" t="s">
        <v>304</v>
      </c>
      <c r="L139" s="2" t="s">
        <v>358</v>
      </c>
      <c r="M139" s="8" t="str">
        <f>HYPERLINK("http://slimages.macys.com/is/image/MCY/10410457 ")</f>
        <v xml:space="preserve">http://slimages.macys.com/is/image/MCY/10410457 </v>
      </c>
    </row>
    <row r="140" spans="1:13" ht="60" x14ac:dyDescent="0.25">
      <c r="A140" s="7" t="s">
        <v>9466</v>
      </c>
      <c r="B140" s="2" t="s">
        <v>9464</v>
      </c>
      <c r="C140" s="4">
        <v>2</v>
      </c>
      <c r="D140" s="5">
        <v>8.18</v>
      </c>
      <c r="E140" s="5">
        <v>17.989999999999998</v>
      </c>
      <c r="F140" s="4" t="s">
        <v>9465</v>
      </c>
      <c r="G140" s="2" t="s">
        <v>1265</v>
      </c>
      <c r="H140" s="7" t="s">
        <v>196</v>
      </c>
      <c r="I140" s="2" t="s">
        <v>515</v>
      </c>
      <c r="J140" s="2" t="s">
        <v>827</v>
      </c>
      <c r="K140" s="2" t="s">
        <v>304</v>
      </c>
      <c r="L140" s="2" t="s">
        <v>358</v>
      </c>
      <c r="M140" s="8" t="str">
        <f>HYPERLINK("http://slimages.macys.com/is/image/MCY/10410457 ")</f>
        <v xml:space="preserve">http://slimages.macys.com/is/image/MCY/10410457 </v>
      </c>
    </row>
    <row r="141" spans="1:13" ht="60" x14ac:dyDescent="0.25">
      <c r="A141" s="7" t="s">
        <v>9467</v>
      </c>
      <c r="B141" s="2" t="s">
        <v>9464</v>
      </c>
      <c r="C141" s="4">
        <v>1</v>
      </c>
      <c r="D141" s="5">
        <v>8.18</v>
      </c>
      <c r="E141" s="5">
        <v>17.989999999999998</v>
      </c>
      <c r="F141" s="4" t="s">
        <v>9465</v>
      </c>
      <c r="G141" s="2" t="s">
        <v>1265</v>
      </c>
      <c r="H141" s="7" t="s">
        <v>284</v>
      </c>
      <c r="I141" s="2" t="s">
        <v>515</v>
      </c>
      <c r="J141" s="2" t="s">
        <v>827</v>
      </c>
      <c r="K141" s="2" t="s">
        <v>304</v>
      </c>
      <c r="L141" s="2" t="s">
        <v>358</v>
      </c>
      <c r="M141" s="8" t="str">
        <f>HYPERLINK("http://slimages.macys.com/is/image/MCY/10410457 ")</f>
        <v xml:space="preserve">http://slimages.macys.com/is/image/MCY/10410457 </v>
      </c>
    </row>
    <row r="142" spans="1:13" ht="60" x14ac:dyDescent="0.25">
      <c r="A142" s="7" t="s">
        <v>9468</v>
      </c>
      <c r="B142" s="2" t="s">
        <v>9464</v>
      </c>
      <c r="C142" s="4">
        <v>1</v>
      </c>
      <c r="D142" s="5">
        <v>8.18</v>
      </c>
      <c r="E142" s="5">
        <v>17.989999999999998</v>
      </c>
      <c r="F142" s="4" t="s">
        <v>9465</v>
      </c>
      <c r="G142" s="2" t="s">
        <v>1265</v>
      </c>
      <c r="H142" s="7" t="s">
        <v>228</v>
      </c>
      <c r="I142" s="2" t="s">
        <v>515</v>
      </c>
      <c r="J142" s="2" t="s">
        <v>827</v>
      </c>
      <c r="K142" s="2" t="s">
        <v>304</v>
      </c>
      <c r="L142" s="2" t="s">
        <v>358</v>
      </c>
      <c r="M142" s="8" t="str">
        <f>HYPERLINK("http://slimages.macys.com/is/image/MCY/10410457 ")</f>
        <v xml:space="preserve">http://slimages.macys.com/is/image/MCY/10410457 </v>
      </c>
    </row>
    <row r="143" spans="1:13" ht="60" x14ac:dyDescent="0.25">
      <c r="A143" s="7" t="s">
        <v>8213</v>
      </c>
      <c r="B143" s="2" t="s">
        <v>6232</v>
      </c>
      <c r="C143" s="4">
        <v>2</v>
      </c>
      <c r="D143" s="5">
        <v>8.16</v>
      </c>
      <c r="E143" s="5">
        <v>16.989999999999998</v>
      </c>
      <c r="F143" s="4" t="s">
        <v>6233</v>
      </c>
      <c r="G143" s="2" t="s">
        <v>62</v>
      </c>
      <c r="H143" s="7" t="s">
        <v>228</v>
      </c>
      <c r="I143" s="2" t="s">
        <v>515</v>
      </c>
      <c r="J143" s="2" t="s">
        <v>827</v>
      </c>
      <c r="K143" s="2" t="s">
        <v>304</v>
      </c>
      <c r="L143" s="2" t="s">
        <v>358</v>
      </c>
      <c r="M143" s="8" t="str">
        <f>HYPERLINK("http://slimages.macys.com/is/image/MCY/12507579 ")</f>
        <v xml:space="preserve">http://slimages.macys.com/is/image/MCY/12507579 </v>
      </c>
    </row>
    <row r="144" spans="1:13" ht="60" x14ac:dyDescent="0.25">
      <c r="A144" s="7" t="s">
        <v>9469</v>
      </c>
      <c r="B144" s="2" t="s">
        <v>6232</v>
      </c>
      <c r="C144" s="4">
        <v>1</v>
      </c>
      <c r="D144" s="5">
        <v>8.16</v>
      </c>
      <c r="E144" s="5">
        <v>16.989999999999998</v>
      </c>
      <c r="F144" s="4" t="s">
        <v>6233</v>
      </c>
      <c r="G144" s="2" t="s">
        <v>48</v>
      </c>
      <c r="H144" s="7" t="s">
        <v>228</v>
      </c>
      <c r="I144" s="2" t="s">
        <v>515</v>
      </c>
      <c r="J144" s="2" t="s">
        <v>827</v>
      </c>
      <c r="K144" s="2" t="s">
        <v>304</v>
      </c>
      <c r="L144" s="2" t="s">
        <v>358</v>
      </c>
      <c r="M144" s="8" t="str">
        <f>HYPERLINK("http://slimages.macys.com/is/image/MCY/12507579 ")</f>
        <v xml:space="preserve">http://slimages.macys.com/is/image/MCY/12507579 </v>
      </c>
    </row>
    <row r="145" spans="1:13" ht="60" x14ac:dyDescent="0.25">
      <c r="A145" s="7" t="s">
        <v>9470</v>
      </c>
      <c r="B145" s="2" t="s">
        <v>6232</v>
      </c>
      <c r="C145" s="4">
        <v>1</v>
      </c>
      <c r="D145" s="5">
        <v>8.16</v>
      </c>
      <c r="E145" s="5">
        <v>16.989999999999998</v>
      </c>
      <c r="F145" s="4" t="s">
        <v>6233</v>
      </c>
      <c r="G145" s="2" t="s">
        <v>48</v>
      </c>
      <c r="H145" s="7" t="s">
        <v>196</v>
      </c>
      <c r="I145" s="2" t="s">
        <v>515</v>
      </c>
      <c r="J145" s="2" t="s">
        <v>827</v>
      </c>
      <c r="K145" s="2" t="s">
        <v>304</v>
      </c>
      <c r="L145" s="2" t="s">
        <v>358</v>
      </c>
      <c r="M145" s="8" t="str">
        <f>HYPERLINK("http://slimages.macys.com/is/image/MCY/12507579 ")</f>
        <v xml:space="preserve">http://slimages.macys.com/is/image/MCY/12507579 </v>
      </c>
    </row>
    <row r="146" spans="1:13" ht="60" x14ac:dyDescent="0.25">
      <c r="A146" s="7" t="s">
        <v>8214</v>
      </c>
      <c r="B146" s="2" t="s">
        <v>6232</v>
      </c>
      <c r="C146" s="4">
        <v>3</v>
      </c>
      <c r="D146" s="5">
        <v>8.16</v>
      </c>
      <c r="E146" s="5">
        <v>16.989999999999998</v>
      </c>
      <c r="F146" s="4" t="s">
        <v>6233</v>
      </c>
      <c r="G146" s="2" t="s">
        <v>62</v>
      </c>
      <c r="H146" s="7" t="s">
        <v>159</v>
      </c>
      <c r="I146" s="2" t="s">
        <v>515</v>
      </c>
      <c r="J146" s="2" t="s">
        <v>827</v>
      </c>
      <c r="K146" s="2" t="s">
        <v>304</v>
      </c>
      <c r="L146" s="2" t="s">
        <v>358</v>
      </c>
      <c r="M146" s="8" t="str">
        <f>HYPERLINK("http://slimages.macys.com/is/image/MCY/12507579 ")</f>
        <v xml:space="preserve">http://slimages.macys.com/is/image/MCY/12507579 </v>
      </c>
    </row>
    <row r="147" spans="1:13" ht="60" x14ac:dyDescent="0.25">
      <c r="A147" s="7" t="s">
        <v>9471</v>
      </c>
      <c r="B147" s="2" t="s">
        <v>9472</v>
      </c>
      <c r="C147" s="4">
        <v>1</v>
      </c>
      <c r="D147" s="5">
        <v>8.1</v>
      </c>
      <c r="E147" s="5">
        <v>16.2</v>
      </c>
      <c r="F147" s="4" t="s">
        <v>9473</v>
      </c>
      <c r="G147" s="2" t="s">
        <v>79</v>
      </c>
      <c r="H147" s="7" t="s">
        <v>68</v>
      </c>
      <c r="I147" s="2" t="s">
        <v>487</v>
      </c>
      <c r="J147" s="2" t="s">
        <v>488</v>
      </c>
      <c r="K147" s="2" t="s">
        <v>304</v>
      </c>
      <c r="L147" s="2" t="s">
        <v>206</v>
      </c>
      <c r="M147" s="8" t="str">
        <f>HYPERLINK("http://slimages.macys.com/is/image/MCY/12236257 ")</f>
        <v xml:space="preserve">http://slimages.macys.com/is/image/MCY/12236257 </v>
      </c>
    </row>
    <row r="148" spans="1:13" ht="60" x14ac:dyDescent="0.25">
      <c r="A148" s="7" t="s">
        <v>6239</v>
      </c>
      <c r="B148" s="2" t="s">
        <v>1694</v>
      </c>
      <c r="C148" s="4">
        <v>1</v>
      </c>
      <c r="D148" s="5">
        <v>8.02</v>
      </c>
      <c r="E148" s="5">
        <v>21.99</v>
      </c>
      <c r="F148" s="4" t="s">
        <v>1695</v>
      </c>
      <c r="G148" s="2" t="s">
        <v>62</v>
      </c>
      <c r="H148" s="7" t="s">
        <v>159</v>
      </c>
      <c r="I148" s="2" t="s">
        <v>515</v>
      </c>
      <c r="J148" s="2" t="s">
        <v>827</v>
      </c>
      <c r="K148" s="2" t="s">
        <v>304</v>
      </c>
      <c r="L148" s="2" t="s">
        <v>125</v>
      </c>
      <c r="M148" s="8" t="str">
        <f>HYPERLINK("http://slimages.macys.com/is/image/MCY/12052339 ")</f>
        <v xml:space="preserve">http://slimages.macys.com/is/image/MCY/12052339 </v>
      </c>
    </row>
    <row r="149" spans="1:13" ht="60" x14ac:dyDescent="0.25">
      <c r="A149" s="7" t="s">
        <v>9474</v>
      </c>
      <c r="B149" s="2" t="s">
        <v>4899</v>
      </c>
      <c r="C149" s="4">
        <v>1</v>
      </c>
      <c r="D149" s="5">
        <v>8</v>
      </c>
      <c r="E149" s="5">
        <v>20</v>
      </c>
      <c r="F149" s="4">
        <v>1331677</v>
      </c>
      <c r="G149" s="2"/>
      <c r="H149" s="7" t="s">
        <v>228</v>
      </c>
      <c r="I149" s="2" t="s">
        <v>73</v>
      </c>
      <c r="J149" s="2" t="s">
        <v>280</v>
      </c>
      <c r="K149" s="2" t="s">
        <v>304</v>
      </c>
      <c r="L149" s="2" t="s">
        <v>125</v>
      </c>
      <c r="M149" s="8" t="str">
        <f>HYPERLINK("http://slimages.macys.com/is/image/MCY/10126834 ")</f>
        <v xml:space="preserve">http://slimages.macys.com/is/image/MCY/10126834 </v>
      </c>
    </row>
    <row r="150" spans="1:13" ht="60" x14ac:dyDescent="0.25">
      <c r="A150" s="7" t="s">
        <v>9475</v>
      </c>
      <c r="B150" s="2" t="s">
        <v>9476</v>
      </c>
      <c r="C150" s="4">
        <v>1</v>
      </c>
      <c r="D150" s="5">
        <v>8</v>
      </c>
      <c r="E150" s="5">
        <v>17.989999999999998</v>
      </c>
      <c r="F150" s="4" t="s">
        <v>9477</v>
      </c>
      <c r="G150" s="2" t="s">
        <v>62</v>
      </c>
      <c r="H150" s="7" t="s">
        <v>63</v>
      </c>
      <c r="I150" s="2" t="s">
        <v>73</v>
      </c>
      <c r="J150" s="2" t="s">
        <v>464</v>
      </c>
      <c r="K150" s="2" t="s">
        <v>304</v>
      </c>
      <c r="L150" s="2" t="s">
        <v>224</v>
      </c>
      <c r="M150" s="8" t="str">
        <f>HYPERLINK("http://slimages.macys.com/is/image/MCY/11647434 ")</f>
        <v xml:space="preserve">http://slimages.macys.com/is/image/MCY/11647434 </v>
      </c>
    </row>
    <row r="151" spans="1:13" ht="60" x14ac:dyDescent="0.25">
      <c r="A151" s="7" t="s">
        <v>9478</v>
      </c>
      <c r="B151" s="2" t="s">
        <v>9479</v>
      </c>
      <c r="C151" s="4">
        <v>1</v>
      </c>
      <c r="D151" s="5">
        <v>8</v>
      </c>
      <c r="E151" s="5">
        <v>19.989999999999998</v>
      </c>
      <c r="F151" s="4" t="s">
        <v>9480</v>
      </c>
      <c r="G151" s="2" t="s">
        <v>62</v>
      </c>
      <c r="H151" s="7" t="s">
        <v>217</v>
      </c>
      <c r="I151" s="2" t="s">
        <v>218</v>
      </c>
      <c r="J151" s="2" t="s">
        <v>219</v>
      </c>
      <c r="K151" s="2" t="s">
        <v>304</v>
      </c>
      <c r="L151" s="2" t="s">
        <v>119</v>
      </c>
      <c r="M151" s="8" t="str">
        <f>HYPERLINK("http://slimages.macys.com/is/image/MCY/9511702 ")</f>
        <v xml:space="preserve">http://slimages.macys.com/is/image/MCY/9511702 </v>
      </c>
    </row>
    <row r="152" spans="1:13" ht="60" x14ac:dyDescent="0.25">
      <c r="A152" s="7" t="s">
        <v>9481</v>
      </c>
      <c r="B152" s="2" t="s">
        <v>8227</v>
      </c>
      <c r="C152" s="4">
        <v>1</v>
      </c>
      <c r="D152" s="5">
        <v>7.94</v>
      </c>
      <c r="E152" s="5">
        <v>21.99</v>
      </c>
      <c r="F152" s="4" t="s">
        <v>8228</v>
      </c>
      <c r="G152" s="2" t="s">
        <v>303</v>
      </c>
      <c r="H152" s="7" t="s">
        <v>196</v>
      </c>
      <c r="I152" s="2" t="s">
        <v>389</v>
      </c>
      <c r="J152" s="2" t="s">
        <v>354</v>
      </c>
      <c r="K152" s="2" t="s">
        <v>304</v>
      </c>
      <c r="L152" s="2" t="s">
        <v>390</v>
      </c>
      <c r="M152" s="8" t="str">
        <f>HYPERLINK("http://slimages.macys.com/is/image/MCY/12121575 ")</f>
        <v xml:space="preserve">http://slimages.macys.com/is/image/MCY/12121575 </v>
      </c>
    </row>
    <row r="153" spans="1:13" ht="60" x14ac:dyDescent="0.25">
      <c r="A153" s="7" t="s">
        <v>9482</v>
      </c>
      <c r="B153" s="2" t="s">
        <v>9483</v>
      </c>
      <c r="C153" s="4">
        <v>1</v>
      </c>
      <c r="D153" s="5">
        <v>7.9</v>
      </c>
      <c r="E153" s="5">
        <v>14.18</v>
      </c>
      <c r="F153" s="4">
        <v>17576810</v>
      </c>
      <c r="G153" s="2" t="s">
        <v>262</v>
      </c>
      <c r="H153" s="7" t="s">
        <v>233</v>
      </c>
      <c r="I153" s="2" t="s">
        <v>153</v>
      </c>
      <c r="J153" s="2" t="s">
        <v>154</v>
      </c>
      <c r="K153" s="2" t="s">
        <v>304</v>
      </c>
      <c r="L153" s="2" t="s">
        <v>87</v>
      </c>
      <c r="M153" s="8" t="str">
        <f>HYPERLINK("http://slimages.macys.com/is/image/MCY/13383980 ")</f>
        <v xml:space="preserve">http://slimages.macys.com/is/image/MCY/13383980 </v>
      </c>
    </row>
    <row r="154" spans="1:13" ht="60" x14ac:dyDescent="0.25">
      <c r="A154" s="7" t="s">
        <v>9484</v>
      </c>
      <c r="B154" s="2" t="s">
        <v>9485</v>
      </c>
      <c r="C154" s="4">
        <v>1</v>
      </c>
      <c r="D154" s="5">
        <v>7.79</v>
      </c>
      <c r="E154" s="5">
        <v>18.989999999999998</v>
      </c>
      <c r="F154" s="4" t="s">
        <v>9486</v>
      </c>
      <c r="G154" s="2" t="s">
        <v>303</v>
      </c>
      <c r="H154" s="7"/>
      <c r="I154" s="2" t="s">
        <v>515</v>
      </c>
      <c r="J154" s="2" t="s">
        <v>827</v>
      </c>
      <c r="K154" s="2" t="s">
        <v>304</v>
      </c>
      <c r="L154" s="2" t="s">
        <v>358</v>
      </c>
      <c r="M154" s="8" t="str">
        <f>HYPERLINK("http://slimages.macys.com/is/image/MCY/11860828 ")</f>
        <v xml:space="preserve">http://slimages.macys.com/is/image/MCY/11860828 </v>
      </c>
    </row>
    <row r="155" spans="1:13" ht="60" x14ac:dyDescent="0.25">
      <c r="A155" s="7" t="s">
        <v>908</v>
      </c>
      <c r="B155" s="2" t="s">
        <v>904</v>
      </c>
      <c r="C155" s="4">
        <v>2</v>
      </c>
      <c r="D155" s="5">
        <v>7.75</v>
      </c>
      <c r="E155" s="5">
        <v>20</v>
      </c>
      <c r="F155" s="4" t="s">
        <v>905</v>
      </c>
      <c r="G155" s="2" t="s">
        <v>36</v>
      </c>
      <c r="H155" s="7" t="s">
        <v>786</v>
      </c>
      <c r="I155" s="2" t="s">
        <v>50</v>
      </c>
      <c r="J155" s="2" t="s">
        <v>901</v>
      </c>
      <c r="K155" s="2" t="s">
        <v>304</v>
      </c>
      <c r="L155" s="2" t="s">
        <v>906</v>
      </c>
      <c r="M155" s="8" t="str">
        <f>HYPERLINK("http://slimages.macys.com/is/image/MCY/11722128 ")</f>
        <v xml:space="preserve">http://slimages.macys.com/is/image/MCY/11722128 </v>
      </c>
    </row>
    <row r="156" spans="1:13" ht="60" x14ac:dyDescent="0.25">
      <c r="A156" s="7" t="s">
        <v>9487</v>
      </c>
      <c r="B156" s="2" t="s">
        <v>8234</v>
      </c>
      <c r="C156" s="4">
        <v>1</v>
      </c>
      <c r="D156" s="5">
        <v>7.71</v>
      </c>
      <c r="E156" s="5">
        <v>16.989999999999998</v>
      </c>
      <c r="F156" s="4" t="s">
        <v>8235</v>
      </c>
      <c r="G156" s="2" t="s">
        <v>62</v>
      </c>
      <c r="H156" s="7" t="s">
        <v>284</v>
      </c>
      <c r="I156" s="2" t="s">
        <v>515</v>
      </c>
      <c r="J156" s="2" t="s">
        <v>827</v>
      </c>
      <c r="K156" s="2" t="s">
        <v>304</v>
      </c>
      <c r="L156" s="2" t="s">
        <v>358</v>
      </c>
      <c r="M156" s="8" t="str">
        <f>HYPERLINK("http://slimages.macys.com/is/image/MCY/10410441 ")</f>
        <v xml:space="preserve">http://slimages.macys.com/is/image/MCY/10410441 </v>
      </c>
    </row>
    <row r="157" spans="1:13" ht="60" x14ac:dyDescent="0.25">
      <c r="A157" s="7" t="s">
        <v>9488</v>
      </c>
      <c r="B157" s="2" t="s">
        <v>996</v>
      </c>
      <c r="C157" s="4">
        <v>1</v>
      </c>
      <c r="D157" s="5">
        <v>7.63</v>
      </c>
      <c r="E157" s="5">
        <v>16.989999999999998</v>
      </c>
      <c r="F157" s="4" t="s">
        <v>9489</v>
      </c>
      <c r="G157" s="2" t="s">
        <v>36</v>
      </c>
      <c r="H157" s="7" t="s">
        <v>159</v>
      </c>
      <c r="I157" s="2" t="s">
        <v>515</v>
      </c>
      <c r="J157" s="2" t="s">
        <v>827</v>
      </c>
      <c r="K157" s="2" t="s">
        <v>304</v>
      </c>
      <c r="L157" s="2" t="s">
        <v>358</v>
      </c>
      <c r="M157" s="8" t="str">
        <f>HYPERLINK("http://slimages.macys.com/is/image/MCY/12687335 ")</f>
        <v xml:space="preserve">http://slimages.macys.com/is/image/MCY/12687335 </v>
      </c>
    </row>
    <row r="158" spans="1:13" ht="96" x14ac:dyDescent="0.25">
      <c r="A158" s="7" t="s">
        <v>9490</v>
      </c>
      <c r="B158" s="2" t="s">
        <v>9491</v>
      </c>
      <c r="C158" s="4">
        <v>1</v>
      </c>
      <c r="D158" s="5">
        <v>7.6</v>
      </c>
      <c r="E158" s="5">
        <v>17.28</v>
      </c>
      <c r="F158" s="4">
        <v>18373810</v>
      </c>
      <c r="G158" s="2"/>
      <c r="H158" s="7" t="s">
        <v>675</v>
      </c>
      <c r="I158" s="2" t="s">
        <v>153</v>
      </c>
      <c r="J158" s="2" t="s">
        <v>154</v>
      </c>
      <c r="K158" s="2" t="s">
        <v>304</v>
      </c>
      <c r="L158" s="2" t="s">
        <v>439</v>
      </c>
      <c r="M158" s="8" t="str">
        <f>HYPERLINK("http://slimages.macys.com/is/image/MCY/14608293 ")</f>
        <v xml:space="preserve">http://slimages.macys.com/is/image/MCY/14608293 </v>
      </c>
    </row>
    <row r="159" spans="1:13" ht="60" x14ac:dyDescent="0.25">
      <c r="A159" s="7" t="s">
        <v>9492</v>
      </c>
      <c r="B159" s="2" t="s">
        <v>1724</v>
      </c>
      <c r="C159" s="4">
        <v>2</v>
      </c>
      <c r="D159" s="5">
        <v>7.6</v>
      </c>
      <c r="E159" s="5">
        <v>17.28</v>
      </c>
      <c r="F159" s="4">
        <v>18385510</v>
      </c>
      <c r="G159" s="2" t="s">
        <v>28</v>
      </c>
      <c r="H159" s="7" t="s">
        <v>233</v>
      </c>
      <c r="I159" s="2" t="s">
        <v>153</v>
      </c>
      <c r="J159" s="2" t="s">
        <v>154</v>
      </c>
      <c r="K159" s="2" t="s">
        <v>304</v>
      </c>
      <c r="L159" s="2" t="s">
        <v>38</v>
      </c>
      <c r="M159" s="8" t="str">
        <f>HYPERLINK("http://slimages.macys.com/is/image/MCY/14608274 ")</f>
        <v xml:space="preserve">http://slimages.macys.com/is/image/MCY/14608274 </v>
      </c>
    </row>
    <row r="160" spans="1:13" ht="60" x14ac:dyDescent="0.25">
      <c r="A160" s="7" t="s">
        <v>8240</v>
      </c>
      <c r="B160" s="2" t="s">
        <v>1724</v>
      </c>
      <c r="C160" s="4">
        <v>1</v>
      </c>
      <c r="D160" s="5">
        <v>7.6</v>
      </c>
      <c r="E160" s="5">
        <v>17.28</v>
      </c>
      <c r="F160" s="4">
        <v>18385510</v>
      </c>
      <c r="G160" s="2" t="s">
        <v>28</v>
      </c>
      <c r="H160" s="7" t="s">
        <v>42</v>
      </c>
      <c r="I160" s="2" t="s">
        <v>153</v>
      </c>
      <c r="J160" s="2" t="s">
        <v>154</v>
      </c>
      <c r="K160" s="2" t="s">
        <v>304</v>
      </c>
      <c r="L160" s="2" t="s">
        <v>38</v>
      </c>
      <c r="M160" s="8" t="str">
        <f>HYPERLINK("http://slimages.macys.com/is/image/MCY/14608274 ")</f>
        <v xml:space="preserve">http://slimages.macys.com/is/image/MCY/14608274 </v>
      </c>
    </row>
    <row r="161" spans="1:13" ht="96" x14ac:dyDescent="0.25">
      <c r="A161" s="7" t="s">
        <v>9493</v>
      </c>
      <c r="B161" s="2" t="s">
        <v>3306</v>
      </c>
      <c r="C161" s="4">
        <v>1</v>
      </c>
      <c r="D161" s="5">
        <v>7.6</v>
      </c>
      <c r="E161" s="5">
        <v>17.28</v>
      </c>
      <c r="F161" s="4">
        <v>18015210</v>
      </c>
      <c r="G161" s="2"/>
      <c r="H161" s="7" t="s">
        <v>233</v>
      </c>
      <c r="I161" s="2" t="s">
        <v>153</v>
      </c>
      <c r="J161" s="2" t="s">
        <v>154</v>
      </c>
      <c r="K161" s="2" t="s">
        <v>304</v>
      </c>
      <c r="L161" s="2" t="s">
        <v>439</v>
      </c>
      <c r="M161" s="8" t="str">
        <f>HYPERLINK("http://slimages.macys.com/is/image/MCY/13382570 ")</f>
        <v xml:space="preserve">http://slimages.macys.com/is/image/MCY/13382570 </v>
      </c>
    </row>
    <row r="162" spans="1:13" ht="96" x14ac:dyDescent="0.25">
      <c r="A162" s="7" t="s">
        <v>9494</v>
      </c>
      <c r="B162" s="2" t="s">
        <v>9491</v>
      </c>
      <c r="C162" s="4">
        <v>2</v>
      </c>
      <c r="D162" s="5">
        <v>7.6</v>
      </c>
      <c r="E162" s="5">
        <v>17.28</v>
      </c>
      <c r="F162" s="4">
        <v>18373810</v>
      </c>
      <c r="G162" s="2"/>
      <c r="H162" s="7" t="s">
        <v>91</v>
      </c>
      <c r="I162" s="2" t="s">
        <v>153</v>
      </c>
      <c r="J162" s="2" t="s">
        <v>154</v>
      </c>
      <c r="K162" s="2" t="s">
        <v>304</v>
      </c>
      <c r="L162" s="2" t="s">
        <v>439</v>
      </c>
      <c r="M162" s="8" t="str">
        <f>HYPERLINK("http://slimages.macys.com/is/image/MCY/14608293 ")</f>
        <v xml:space="preserve">http://slimages.macys.com/is/image/MCY/14608293 </v>
      </c>
    </row>
    <row r="163" spans="1:13" ht="96" x14ac:dyDescent="0.25">
      <c r="A163" s="7" t="s">
        <v>3307</v>
      </c>
      <c r="B163" s="2" t="s">
        <v>436</v>
      </c>
      <c r="C163" s="4">
        <v>1</v>
      </c>
      <c r="D163" s="5">
        <v>7.6</v>
      </c>
      <c r="E163" s="5">
        <v>17.28</v>
      </c>
      <c r="F163" s="4">
        <v>18372810</v>
      </c>
      <c r="G163" s="2" t="s">
        <v>437</v>
      </c>
      <c r="H163" s="7" t="s">
        <v>42</v>
      </c>
      <c r="I163" s="2" t="s">
        <v>153</v>
      </c>
      <c r="J163" s="2" t="s">
        <v>154</v>
      </c>
      <c r="K163" s="2" t="s">
        <v>304</v>
      </c>
      <c r="L163" s="2" t="s">
        <v>439</v>
      </c>
      <c r="M163" s="8" t="str">
        <f>HYPERLINK("http://slimages.macys.com/is/image/MCY/14608281 ")</f>
        <v xml:space="preserve">http://slimages.macys.com/is/image/MCY/14608281 </v>
      </c>
    </row>
    <row r="164" spans="1:13" ht="96" x14ac:dyDescent="0.25">
      <c r="A164" s="7" t="s">
        <v>9495</v>
      </c>
      <c r="B164" s="2" t="s">
        <v>2569</v>
      </c>
      <c r="C164" s="4">
        <v>1</v>
      </c>
      <c r="D164" s="5">
        <v>7.6</v>
      </c>
      <c r="E164" s="5">
        <v>17.28</v>
      </c>
      <c r="F164" s="4">
        <v>18373610</v>
      </c>
      <c r="G164" s="2" t="s">
        <v>476</v>
      </c>
      <c r="H164" s="7" t="s">
        <v>442</v>
      </c>
      <c r="I164" s="2" t="s">
        <v>153</v>
      </c>
      <c r="J164" s="2" t="s">
        <v>154</v>
      </c>
      <c r="K164" s="2" t="s">
        <v>304</v>
      </c>
      <c r="L164" s="2" t="s">
        <v>439</v>
      </c>
      <c r="M164" s="8" t="str">
        <f>HYPERLINK("http://slimages.macys.com/is/image/MCY/14608259 ")</f>
        <v xml:space="preserve">http://slimages.macys.com/is/image/MCY/14608259 </v>
      </c>
    </row>
    <row r="165" spans="1:13" ht="60" x14ac:dyDescent="0.25">
      <c r="A165" s="7" t="s">
        <v>6839</v>
      </c>
      <c r="B165" s="2" t="s">
        <v>3986</v>
      </c>
      <c r="C165" s="4">
        <v>1</v>
      </c>
      <c r="D165" s="5">
        <v>7.6</v>
      </c>
      <c r="E165" s="5">
        <v>17.28</v>
      </c>
      <c r="F165" s="4">
        <v>18389710</v>
      </c>
      <c r="G165" s="2" t="s">
        <v>48</v>
      </c>
      <c r="H165" s="7" t="s">
        <v>42</v>
      </c>
      <c r="I165" s="2" t="s">
        <v>153</v>
      </c>
      <c r="J165" s="2" t="s">
        <v>154</v>
      </c>
      <c r="K165" s="2" t="s">
        <v>304</v>
      </c>
      <c r="L165" s="2" t="s">
        <v>38</v>
      </c>
      <c r="M165" s="8" t="str">
        <f>HYPERLINK("http://slimages.macys.com/is/image/MCY/14608342 ")</f>
        <v xml:space="preserve">http://slimages.macys.com/is/image/MCY/14608342 </v>
      </c>
    </row>
    <row r="166" spans="1:13" ht="60" x14ac:dyDescent="0.25">
      <c r="A166" s="7" t="s">
        <v>8239</v>
      </c>
      <c r="B166" s="2" t="s">
        <v>3986</v>
      </c>
      <c r="C166" s="4">
        <v>1</v>
      </c>
      <c r="D166" s="5">
        <v>7.6</v>
      </c>
      <c r="E166" s="5">
        <v>17.28</v>
      </c>
      <c r="F166" s="4">
        <v>18389710</v>
      </c>
      <c r="G166" s="2" t="s">
        <v>48</v>
      </c>
      <c r="H166" s="7" t="s">
        <v>91</v>
      </c>
      <c r="I166" s="2" t="s">
        <v>153</v>
      </c>
      <c r="J166" s="2" t="s">
        <v>154</v>
      </c>
      <c r="K166" s="2" t="s">
        <v>304</v>
      </c>
      <c r="L166" s="2" t="s">
        <v>38</v>
      </c>
      <c r="M166" s="8" t="str">
        <f>HYPERLINK("http://slimages.macys.com/is/image/MCY/14608342 ")</f>
        <v xml:space="preserve">http://slimages.macys.com/is/image/MCY/14608342 </v>
      </c>
    </row>
    <row r="167" spans="1:13" ht="60" x14ac:dyDescent="0.25">
      <c r="A167" s="7" t="s">
        <v>5383</v>
      </c>
      <c r="B167" s="2" t="s">
        <v>1724</v>
      </c>
      <c r="C167" s="4">
        <v>2</v>
      </c>
      <c r="D167" s="5">
        <v>7.6</v>
      </c>
      <c r="E167" s="5">
        <v>17.28</v>
      </c>
      <c r="F167" s="4">
        <v>18385510</v>
      </c>
      <c r="G167" s="2" t="s">
        <v>28</v>
      </c>
      <c r="H167" s="7" t="s">
        <v>442</v>
      </c>
      <c r="I167" s="2" t="s">
        <v>153</v>
      </c>
      <c r="J167" s="2" t="s">
        <v>154</v>
      </c>
      <c r="K167" s="2" t="s">
        <v>304</v>
      </c>
      <c r="L167" s="2" t="s">
        <v>38</v>
      </c>
      <c r="M167" s="8" t="str">
        <f>HYPERLINK("http://slimages.macys.com/is/image/MCY/14608274 ")</f>
        <v xml:space="preserve">http://slimages.macys.com/is/image/MCY/14608274 </v>
      </c>
    </row>
    <row r="168" spans="1:13" ht="96" x14ac:dyDescent="0.25">
      <c r="A168" s="7" t="s">
        <v>9496</v>
      </c>
      <c r="B168" s="2" t="s">
        <v>9491</v>
      </c>
      <c r="C168" s="4">
        <v>3</v>
      </c>
      <c r="D168" s="5">
        <v>7.6</v>
      </c>
      <c r="E168" s="5">
        <v>17.28</v>
      </c>
      <c r="F168" s="4">
        <v>18373810</v>
      </c>
      <c r="G168" s="2"/>
      <c r="H168" s="7" t="s">
        <v>42</v>
      </c>
      <c r="I168" s="2" t="s">
        <v>153</v>
      </c>
      <c r="J168" s="2" t="s">
        <v>154</v>
      </c>
      <c r="K168" s="2" t="s">
        <v>304</v>
      </c>
      <c r="L168" s="2" t="s">
        <v>439</v>
      </c>
      <c r="M168" s="8" t="str">
        <f>HYPERLINK("http://slimages.macys.com/is/image/MCY/14608293 ")</f>
        <v xml:space="preserve">http://slimages.macys.com/is/image/MCY/14608293 </v>
      </c>
    </row>
    <row r="169" spans="1:13" ht="60" x14ac:dyDescent="0.25">
      <c r="A169" s="7" t="s">
        <v>9497</v>
      </c>
      <c r="B169" s="2" t="s">
        <v>1724</v>
      </c>
      <c r="C169" s="4">
        <v>2</v>
      </c>
      <c r="D169" s="5">
        <v>7.6</v>
      </c>
      <c r="E169" s="5">
        <v>17.28</v>
      </c>
      <c r="F169" s="4">
        <v>18385510</v>
      </c>
      <c r="G169" s="2" t="s">
        <v>28</v>
      </c>
      <c r="H169" s="7" t="s">
        <v>91</v>
      </c>
      <c r="I169" s="2" t="s">
        <v>153</v>
      </c>
      <c r="J169" s="2" t="s">
        <v>154</v>
      </c>
      <c r="K169" s="2" t="s">
        <v>304</v>
      </c>
      <c r="L169" s="2" t="s">
        <v>38</v>
      </c>
      <c r="M169" s="8" t="str">
        <f>HYPERLINK("http://slimages.macys.com/is/image/MCY/14608274 ")</f>
        <v xml:space="preserve">http://slimages.macys.com/is/image/MCY/14608274 </v>
      </c>
    </row>
    <row r="170" spans="1:13" ht="108" x14ac:dyDescent="0.25">
      <c r="A170" s="7" t="s">
        <v>9498</v>
      </c>
      <c r="B170" s="2" t="s">
        <v>1727</v>
      </c>
      <c r="C170" s="4">
        <v>1</v>
      </c>
      <c r="D170" s="5">
        <v>7.57</v>
      </c>
      <c r="E170" s="5">
        <v>16.989999999999998</v>
      </c>
      <c r="F170" s="4" t="s">
        <v>1728</v>
      </c>
      <c r="G170" s="2" t="s">
        <v>595</v>
      </c>
      <c r="H170" s="7" t="s">
        <v>159</v>
      </c>
      <c r="I170" s="2" t="s">
        <v>515</v>
      </c>
      <c r="J170" s="2" t="s">
        <v>827</v>
      </c>
      <c r="K170" s="2" t="s">
        <v>304</v>
      </c>
      <c r="L170" s="2" t="s">
        <v>1729</v>
      </c>
      <c r="M170" s="8" t="str">
        <f>HYPERLINK("http://slimages.macys.com/is/image/MCY/12670249 ")</f>
        <v xml:space="preserve">http://slimages.macys.com/is/image/MCY/12670249 </v>
      </c>
    </row>
    <row r="171" spans="1:13" ht="108" x14ac:dyDescent="0.25">
      <c r="A171" s="7" t="s">
        <v>9499</v>
      </c>
      <c r="B171" s="2" t="s">
        <v>1727</v>
      </c>
      <c r="C171" s="4">
        <v>3</v>
      </c>
      <c r="D171" s="5">
        <v>7.57</v>
      </c>
      <c r="E171" s="5">
        <v>16.989999999999998</v>
      </c>
      <c r="F171" s="4" t="s">
        <v>1728</v>
      </c>
      <c r="G171" s="2" t="s">
        <v>595</v>
      </c>
      <c r="H171" s="7" t="s">
        <v>228</v>
      </c>
      <c r="I171" s="2" t="s">
        <v>515</v>
      </c>
      <c r="J171" s="2" t="s">
        <v>827</v>
      </c>
      <c r="K171" s="2" t="s">
        <v>304</v>
      </c>
      <c r="L171" s="2" t="s">
        <v>1729</v>
      </c>
      <c r="M171" s="8" t="str">
        <f>HYPERLINK("http://slimages.macys.com/is/image/MCY/12670249 ")</f>
        <v xml:space="preserve">http://slimages.macys.com/is/image/MCY/12670249 </v>
      </c>
    </row>
    <row r="172" spans="1:13" ht="60" x14ac:dyDescent="0.25">
      <c r="A172" s="7" t="s">
        <v>9500</v>
      </c>
      <c r="B172" s="2" t="s">
        <v>9501</v>
      </c>
      <c r="C172" s="4">
        <v>1</v>
      </c>
      <c r="D172" s="5">
        <v>7.55</v>
      </c>
      <c r="E172" s="5">
        <v>15.1</v>
      </c>
      <c r="F172" s="4" t="s">
        <v>9502</v>
      </c>
      <c r="G172" s="2"/>
      <c r="H172" s="7" t="s">
        <v>68</v>
      </c>
      <c r="I172" s="2" t="s">
        <v>487</v>
      </c>
      <c r="J172" s="2" t="s">
        <v>488</v>
      </c>
      <c r="K172" s="2" t="s">
        <v>304</v>
      </c>
      <c r="L172" s="2" t="s">
        <v>75</v>
      </c>
      <c r="M172" s="8" t="str">
        <f>HYPERLINK("http://slimages.macys.com/is/image/MCY/12338703 ")</f>
        <v xml:space="preserve">http://slimages.macys.com/is/image/MCY/12338703 </v>
      </c>
    </row>
    <row r="173" spans="1:13" ht="60" x14ac:dyDescent="0.25">
      <c r="A173" s="7" t="s">
        <v>9503</v>
      </c>
      <c r="B173" s="2" t="s">
        <v>1654</v>
      </c>
      <c r="C173" s="4">
        <v>1</v>
      </c>
      <c r="D173" s="5">
        <v>7.55</v>
      </c>
      <c r="E173" s="5">
        <v>12.99</v>
      </c>
      <c r="F173" s="4" t="s">
        <v>4000</v>
      </c>
      <c r="G173" s="2" t="s">
        <v>48</v>
      </c>
      <c r="H173" s="7" t="s">
        <v>442</v>
      </c>
      <c r="I173" s="2" t="s">
        <v>153</v>
      </c>
      <c r="J173" s="2" t="s">
        <v>154</v>
      </c>
      <c r="K173" s="2" t="s">
        <v>304</v>
      </c>
      <c r="L173" s="2" t="s">
        <v>206</v>
      </c>
      <c r="M173" s="8" t="str">
        <f>HYPERLINK("http://slimages.macys.com/is/image/MCY/9644680 ")</f>
        <v xml:space="preserve">http://slimages.macys.com/is/image/MCY/9644680 </v>
      </c>
    </row>
    <row r="174" spans="1:13" ht="60" x14ac:dyDescent="0.25">
      <c r="A174" s="7" t="s">
        <v>9504</v>
      </c>
      <c r="B174" s="2" t="s">
        <v>4005</v>
      </c>
      <c r="C174" s="4">
        <v>1</v>
      </c>
      <c r="D174" s="5">
        <v>7.55</v>
      </c>
      <c r="E174" s="5">
        <v>12.99</v>
      </c>
      <c r="F174" s="4" t="s">
        <v>9505</v>
      </c>
      <c r="G174" s="2" t="s">
        <v>62</v>
      </c>
      <c r="H174" s="7" t="s">
        <v>482</v>
      </c>
      <c r="I174" s="2" t="s">
        <v>153</v>
      </c>
      <c r="J174" s="2" t="s">
        <v>154</v>
      </c>
      <c r="K174" s="2" t="s">
        <v>304</v>
      </c>
      <c r="L174" s="2" t="s">
        <v>206</v>
      </c>
      <c r="M174" s="8" t="str">
        <f>HYPERLINK("http://slimages.macys.com/is/image/MCY/9644658 ")</f>
        <v xml:space="preserve">http://slimages.macys.com/is/image/MCY/9644658 </v>
      </c>
    </row>
    <row r="175" spans="1:13" ht="60" x14ac:dyDescent="0.25">
      <c r="A175" s="7" t="s">
        <v>9506</v>
      </c>
      <c r="B175" s="2" t="s">
        <v>4002</v>
      </c>
      <c r="C175" s="4">
        <v>1</v>
      </c>
      <c r="D175" s="5">
        <v>7.55</v>
      </c>
      <c r="E175" s="5">
        <v>12.99</v>
      </c>
      <c r="F175" s="4" t="s">
        <v>9507</v>
      </c>
      <c r="G175" s="2" t="s">
        <v>262</v>
      </c>
      <c r="H175" s="7" t="s">
        <v>4040</v>
      </c>
      <c r="I175" s="2" t="s">
        <v>153</v>
      </c>
      <c r="J175" s="2" t="s">
        <v>154</v>
      </c>
      <c r="K175" s="2" t="s">
        <v>304</v>
      </c>
      <c r="L175" s="2" t="s">
        <v>206</v>
      </c>
      <c r="M175" s="8" t="str">
        <f>HYPERLINK("http://slimages.macys.com/is/image/MCY/9644616 ")</f>
        <v xml:space="preserve">http://slimages.macys.com/is/image/MCY/9644616 </v>
      </c>
    </row>
    <row r="176" spans="1:13" ht="60" x14ac:dyDescent="0.25">
      <c r="A176" s="7" t="s">
        <v>9508</v>
      </c>
      <c r="B176" s="2" t="s">
        <v>9509</v>
      </c>
      <c r="C176" s="4">
        <v>1</v>
      </c>
      <c r="D176" s="5">
        <v>7.5</v>
      </c>
      <c r="E176" s="5">
        <v>16.989999999999998</v>
      </c>
      <c r="F176" s="4">
        <v>15959410</v>
      </c>
      <c r="G176" s="2" t="s">
        <v>36</v>
      </c>
      <c r="H176" s="7" t="s">
        <v>233</v>
      </c>
      <c r="I176" s="2" t="s">
        <v>153</v>
      </c>
      <c r="J176" s="2" t="s">
        <v>154</v>
      </c>
      <c r="K176" s="2" t="s">
        <v>304</v>
      </c>
      <c r="L176" s="2" t="s">
        <v>206</v>
      </c>
      <c r="M176" s="8" t="str">
        <f>HYPERLINK("http://slimages.macys.com/is/image/MCY/11632209 ")</f>
        <v xml:space="preserve">http://slimages.macys.com/is/image/MCY/11632209 </v>
      </c>
    </row>
    <row r="177" spans="1:13" ht="60" x14ac:dyDescent="0.25">
      <c r="A177" s="7" t="s">
        <v>4014</v>
      </c>
      <c r="B177" s="2" t="s">
        <v>1694</v>
      </c>
      <c r="C177" s="4">
        <v>1</v>
      </c>
      <c r="D177" s="5">
        <v>7.35</v>
      </c>
      <c r="E177" s="5">
        <v>21.99</v>
      </c>
      <c r="F177" s="4" t="s">
        <v>4015</v>
      </c>
      <c r="G177" s="2" t="s">
        <v>62</v>
      </c>
      <c r="H177" s="7" t="s">
        <v>63</v>
      </c>
      <c r="I177" s="2" t="s">
        <v>515</v>
      </c>
      <c r="J177" s="2" t="s">
        <v>516</v>
      </c>
      <c r="K177" s="2" t="s">
        <v>304</v>
      </c>
      <c r="L177" s="2" t="s">
        <v>125</v>
      </c>
      <c r="M177" s="8" t="str">
        <f>HYPERLINK("http://slimages.macys.com/is/image/MCY/11860783 ")</f>
        <v xml:space="preserve">http://slimages.macys.com/is/image/MCY/11860783 </v>
      </c>
    </row>
    <row r="178" spans="1:13" ht="60" x14ac:dyDescent="0.25">
      <c r="A178" s="7" t="s">
        <v>9510</v>
      </c>
      <c r="B178" s="2" t="s">
        <v>1694</v>
      </c>
      <c r="C178" s="4">
        <v>1</v>
      </c>
      <c r="D178" s="5">
        <v>7.35</v>
      </c>
      <c r="E178" s="5">
        <v>21.99</v>
      </c>
      <c r="F178" s="4" t="s">
        <v>4015</v>
      </c>
      <c r="G178" s="2" t="s">
        <v>62</v>
      </c>
      <c r="H178" s="7" t="s">
        <v>123</v>
      </c>
      <c r="I178" s="2" t="s">
        <v>515</v>
      </c>
      <c r="J178" s="2" t="s">
        <v>516</v>
      </c>
      <c r="K178" s="2" t="s">
        <v>304</v>
      </c>
      <c r="L178" s="2" t="s">
        <v>125</v>
      </c>
      <c r="M178" s="8" t="str">
        <f>HYPERLINK("http://slimages.macys.com/is/image/MCY/11860783 ")</f>
        <v xml:space="preserve">http://slimages.macys.com/is/image/MCY/11860783 </v>
      </c>
    </row>
    <row r="179" spans="1:13" ht="60" x14ac:dyDescent="0.25">
      <c r="A179" s="7" t="s">
        <v>9511</v>
      </c>
      <c r="B179" s="2" t="s">
        <v>9512</v>
      </c>
      <c r="C179" s="4">
        <v>1</v>
      </c>
      <c r="D179" s="5">
        <v>7.25</v>
      </c>
      <c r="E179" s="5">
        <v>21.99</v>
      </c>
      <c r="F179" s="4" t="s">
        <v>9513</v>
      </c>
      <c r="G179" s="2" t="s">
        <v>582</v>
      </c>
      <c r="H179" s="7" t="s">
        <v>284</v>
      </c>
      <c r="I179" s="2" t="s">
        <v>342</v>
      </c>
      <c r="J179" s="2" t="s">
        <v>1789</v>
      </c>
      <c r="K179" s="2" t="s">
        <v>304</v>
      </c>
      <c r="L179" s="2" t="s">
        <v>9514</v>
      </c>
      <c r="M179" s="8" t="str">
        <f>HYPERLINK("http://slimages.macys.com/is/image/MCY/12342315 ")</f>
        <v xml:space="preserve">http://slimages.macys.com/is/image/MCY/12342315 </v>
      </c>
    </row>
    <row r="180" spans="1:13" ht="60" x14ac:dyDescent="0.25">
      <c r="A180" s="7" t="s">
        <v>9515</v>
      </c>
      <c r="B180" s="2" t="s">
        <v>4025</v>
      </c>
      <c r="C180" s="4">
        <v>1</v>
      </c>
      <c r="D180" s="5">
        <v>7.25</v>
      </c>
      <c r="E180" s="5">
        <v>20</v>
      </c>
      <c r="F180" s="4" t="s">
        <v>4026</v>
      </c>
      <c r="G180" s="2" t="s">
        <v>28</v>
      </c>
      <c r="H180" s="7" t="s">
        <v>917</v>
      </c>
      <c r="I180" s="2" t="s">
        <v>50</v>
      </c>
      <c r="J180" s="2" t="s">
        <v>901</v>
      </c>
      <c r="K180" s="2" t="s">
        <v>304</v>
      </c>
      <c r="L180" s="2" t="s">
        <v>4027</v>
      </c>
      <c r="M180" s="8" t="str">
        <f>HYPERLINK("http://slimages.macys.com/is/image/MCY/11721992 ")</f>
        <v xml:space="preserve">http://slimages.macys.com/is/image/MCY/11721992 </v>
      </c>
    </row>
    <row r="181" spans="1:13" ht="72" x14ac:dyDescent="0.25">
      <c r="A181" s="7" t="s">
        <v>9516</v>
      </c>
      <c r="B181" s="2" t="s">
        <v>8261</v>
      </c>
      <c r="C181" s="4">
        <v>1</v>
      </c>
      <c r="D181" s="5">
        <v>7.25</v>
      </c>
      <c r="E181" s="5">
        <v>20</v>
      </c>
      <c r="F181" s="4" t="s">
        <v>6266</v>
      </c>
      <c r="G181" s="2" t="s">
        <v>36</v>
      </c>
      <c r="H181" s="7" t="s">
        <v>850</v>
      </c>
      <c r="I181" s="2" t="s">
        <v>50</v>
      </c>
      <c r="J181" s="2" t="s">
        <v>901</v>
      </c>
      <c r="K181" s="2" t="s">
        <v>304</v>
      </c>
      <c r="L181" s="2" t="s">
        <v>5455</v>
      </c>
      <c r="M181" s="8" t="str">
        <f>HYPERLINK("http://slimages.macys.com/is/image/MCY/11722010 ")</f>
        <v xml:space="preserve">http://slimages.macys.com/is/image/MCY/11722010 </v>
      </c>
    </row>
    <row r="182" spans="1:13" ht="60" x14ac:dyDescent="0.25">
      <c r="A182" s="7" t="s">
        <v>5388</v>
      </c>
      <c r="B182" s="2" t="s">
        <v>5389</v>
      </c>
      <c r="C182" s="4">
        <v>2</v>
      </c>
      <c r="D182" s="5">
        <v>7.12</v>
      </c>
      <c r="E182" s="5">
        <v>19.989999999999998</v>
      </c>
      <c r="F182" s="4" t="s">
        <v>5390</v>
      </c>
      <c r="G182" s="2" t="s">
        <v>103</v>
      </c>
      <c r="H182" s="7" t="s">
        <v>159</v>
      </c>
      <c r="I182" s="2" t="s">
        <v>389</v>
      </c>
      <c r="J182" s="2" t="s">
        <v>354</v>
      </c>
      <c r="K182" s="2" t="s">
        <v>304</v>
      </c>
      <c r="L182" s="2" t="s">
        <v>596</v>
      </c>
      <c r="M182" s="8" t="str">
        <f>HYPERLINK("http://slimages.macys.com/is/image/MCY/12670165 ")</f>
        <v xml:space="preserve">http://slimages.macys.com/is/image/MCY/12670165 </v>
      </c>
    </row>
    <row r="183" spans="1:13" ht="60" x14ac:dyDescent="0.25">
      <c r="A183" s="7" t="s">
        <v>9517</v>
      </c>
      <c r="B183" s="2" t="s">
        <v>9518</v>
      </c>
      <c r="C183" s="4">
        <v>1</v>
      </c>
      <c r="D183" s="5">
        <v>7.05</v>
      </c>
      <c r="E183" s="5">
        <v>12.99</v>
      </c>
      <c r="F183" s="4" t="s">
        <v>9519</v>
      </c>
      <c r="G183" s="2" t="s">
        <v>48</v>
      </c>
      <c r="H183" s="7" t="s">
        <v>438</v>
      </c>
      <c r="I183" s="2" t="s">
        <v>153</v>
      </c>
      <c r="J183" s="2" t="s">
        <v>154</v>
      </c>
      <c r="K183" s="2" t="s">
        <v>304</v>
      </c>
      <c r="L183" s="2" t="s">
        <v>206</v>
      </c>
      <c r="M183" s="8" t="str">
        <f>HYPERLINK("http://slimages.macys.com/is/image/MCY/10090604 ")</f>
        <v xml:space="preserve">http://slimages.macys.com/is/image/MCY/10090604 </v>
      </c>
    </row>
    <row r="184" spans="1:13" ht="60" x14ac:dyDescent="0.25">
      <c r="A184" s="7" t="s">
        <v>8880</v>
      </c>
      <c r="B184" s="2" t="s">
        <v>1742</v>
      </c>
      <c r="C184" s="4">
        <v>1</v>
      </c>
      <c r="D184" s="5">
        <v>7.05</v>
      </c>
      <c r="E184" s="5">
        <v>16.989999999999998</v>
      </c>
      <c r="F184" s="4" t="s">
        <v>1743</v>
      </c>
      <c r="G184" s="2" t="s">
        <v>103</v>
      </c>
      <c r="H184" s="7" t="s">
        <v>228</v>
      </c>
      <c r="I184" s="2" t="s">
        <v>515</v>
      </c>
      <c r="J184" s="2" t="s">
        <v>827</v>
      </c>
      <c r="K184" s="2" t="s">
        <v>304</v>
      </c>
      <c r="L184" s="2" t="s">
        <v>358</v>
      </c>
      <c r="M184" s="8" t="str">
        <f>HYPERLINK("http://slimages.macys.com/is/image/MCY/12507572 ")</f>
        <v xml:space="preserve">http://slimages.macys.com/is/image/MCY/12507572 </v>
      </c>
    </row>
    <row r="185" spans="1:13" ht="60" x14ac:dyDescent="0.25">
      <c r="A185" s="7" t="s">
        <v>8881</v>
      </c>
      <c r="B185" s="2" t="s">
        <v>1742</v>
      </c>
      <c r="C185" s="4">
        <v>1</v>
      </c>
      <c r="D185" s="5">
        <v>7.05</v>
      </c>
      <c r="E185" s="5">
        <v>16.989999999999998</v>
      </c>
      <c r="F185" s="4" t="s">
        <v>1743</v>
      </c>
      <c r="G185" s="2" t="s">
        <v>103</v>
      </c>
      <c r="H185" s="7" t="s">
        <v>284</v>
      </c>
      <c r="I185" s="2" t="s">
        <v>515</v>
      </c>
      <c r="J185" s="2" t="s">
        <v>827</v>
      </c>
      <c r="K185" s="2" t="s">
        <v>304</v>
      </c>
      <c r="L185" s="2" t="s">
        <v>358</v>
      </c>
      <c r="M185" s="8" t="str">
        <f>HYPERLINK("http://slimages.macys.com/is/image/MCY/12507572 ")</f>
        <v xml:space="preserve">http://slimages.macys.com/is/image/MCY/12507572 </v>
      </c>
    </row>
    <row r="186" spans="1:13" ht="60" x14ac:dyDescent="0.25">
      <c r="A186" s="7" t="s">
        <v>3320</v>
      </c>
      <c r="B186" s="2" t="s">
        <v>968</v>
      </c>
      <c r="C186" s="4">
        <v>2</v>
      </c>
      <c r="D186" s="5">
        <v>7</v>
      </c>
      <c r="E186" s="5">
        <v>14.99</v>
      </c>
      <c r="F186" s="4">
        <v>7135</v>
      </c>
      <c r="G186" s="2" t="s">
        <v>36</v>
      </c>
      <c r="H186" s="7" t="s">
        <v>196</v>
      </c>
      <c r="I186" s="2" t="s">
        <v>523</v>
      </c>
      <c r="J186" s="2" t="s">
        <v>969</v>
      </c>
      <c r="K186" s="2" t="s">
        <v>304</v>
      </c>
      <c r="L186" s="2" t="s">
        <v>970</v>
      </c>
      <c r="M186" s="8" t="str">
        <f>HYPERLINK("http://slimages.macys.com/is/image/MCY/13040275 ")</f>
        <v xml:space="preserve">http://slimages.macys.com/is/image/MCY/13040275 </v>
      </c>
    </row>
    <row r="187" spans="1:13" ht="144" x14ac:dyDescent="0.25">
      <c r="A187" s="7" t="s">
        <v>9520</v>
      </c>
      <c r="B187" s="2" t="s">
        <v>9521</v>
      </c>
      <c r="C187" s="4">
        <v>1</v>
      </c>
      <c r="D187" s="5">
        <v>7</v>
      </c>
      <c r="E187" s="5">
        <v>19.989999999999998</v>
      </c>
      <c r="F187" s="4" t="s">
        <v>9522</v>
      </c>
      <c r="G187" s="2" t="s">
        <v>41</v>
      </c>
      <c r="H187" s="7" t="s">
        <v>196</v>
      </c>
      <c r="I187" s="2" t="s">
        <v>342</v>
      </c>
      <c r="J187" s="2" t="s">
        <v>1589</v>
      </c>
      <c r="K187" s="2" t="s">
        <v>304</v>
      </c>
      <c r="L187" s="2" t="s">
        <v>9523</v>
      </c>
      <c r="M187" s="8" t="str">
        <f>HYPERLINK("http://slimages.macys.com/is/image/MCY/13294162 ")</f>
        <v xml:space="preserve">http://slimages.macys.com/is/image/MCY/13294162 </v>
      </c>
    </row>
    <row r="188" spans="1:13" ht="60" x14ac:dyDescent="0.25">
      <c r="A188" s="7" t="s">
        <v>9524</v>
      </c>
      <c r="B188" s="2" t="s">
        <v>9525</v>
      </c>
      <c r="C188" s="4">
        <v>1</v>
      </c>
      <c r="D188" s="5">
        <v>7</v>
      </c>
      <c r="E188" s="5">
        <v>19.989999999999998</v>
      </c>
      <c r="F188" s="4" t="s">
        <v>9526</v>
      </c>
      <c r="G188" s="2" t="s">
        <v>41</v>
      </c>
      <c r="H188" s="7" t="s">
        <v>228</v>
      </c>
      <c r="I188" s="2" t="s">
        <v>342</v>
      </c>
      <c r="J188" s="2" t="s">
        <v>1589</v>
      </c>
      <c r="K188" s="2" t="s">
        <v>304</v>
      </c>
      <c r="L188" s="2" t="s">
        <v>9527</v>
      </c>
      <c r="M188" s="8" t="str">
        <f>HYPERLINK("http://slimages.macys.com/is/image/MCY/13294306 ")</f>
        <v xml:space="preserve">http://slimages.macys.com/is/image/MCY/13294306 </v>
      </c>
    </row>
    <row r="189" spans="1:13" ht="144" x14ac:dyDescent="0.25">
      <c r="A189" s="7" t="s">
        <v>9528</v>
      </c>
      <c r="B189" s="2" t="s">
        <v>9521</v>
      </c>
      <c r="C189" s="4">
        <v>1</v>
      </c>
      <c r="D189" s="5">
        <v>7</v>
      </c>
      <c r="E189" s="5">
        <v>19.989999999999998</v>
      </c>
      <c r="F189" s="4" t="s">
        <v>9522</v>
      </c>
      <c r="G189" s="2" t="s">
        <v>41</v>
      </c>
      <c r="H189" s="7" t="s">
        <v>284</v>
      </c>
      <c r="I189" s="2" t="s">
        <v>342</v>
      </c>
      <c r="J189" s="2" t="s">
        <v>1589</v>
      </c>
      <c r="K189" s="2" t="s">
        <v>304</v>
      </c>
      <c r="L189" s="2" t="s">
        <v>9523</v>
      </c>
      <c r="M189" s="8" t="str">
        <f>HYPERLINK("http://slimages.macys.com/is/image/MCY/13294162 ")</f>
        <v xml:space="preserve">http://slimages.macys.com/is/image/MCY/13294162 </v>
      </c>
    </row>
    <row r="190" spans="1:13" ht="60" x14ac:dyDescent="0.25">
      <c r="A190" s="7" t="s">
        <v>9529</v>
      </c>
      <c r="B190" s="2" t="s">
        <v>6283</v>
      </c>
      <c r="C190" s="4">
        <v>1</v>
      </c>
      <c r="D190" s="5">
        <v>6.98</v>
      </c>
      <c r="E190" s="5">
        <v>16.989999999999998</v>
      </c>
      <c r="F190" s="4" t="s">
        <v>6284</v>
      </c>
      <c r="G190" s="2" t="s">
        <v>62</v>
      </c>
      <c r="H190" s="7" t="s">
        <v>228</v>
      </c>
      <c r="I190" s="2" t="s">
        <v>515</v>
      </c>
      <c r="J190" s="2" t="s">
        <v>827</v>
      </c>
      <c r="K190" s="2" t="s">
        <v>304</v>
      </c>
      <c r="L190" s="2" t="s">
        <v>358</v>
      </c>
      <c r="M190" s="8" t="str">
        <f>HYPERLINK("http://slimages.macys.com/is/image/MCY/12687347 ")</f>
        <v xml:space="preserve">http://slimages.macys.com/is/image/MCY/12687347 </v>
      </c>
    </row>
    <row r="191" spans="1:13" ht="60" x14ac:dyDescent="0.25">
      <c r="A191" s="7" t="s">
        <v>9530</v>
      </c>
      <c r="B191" s="2" t="s">
        <v>1750</v>
      </c>
      <c r="C191" s="4">
        <v>2</v>
      </c>
      <c r="D191" s="5">
        <v>6.93</v>
      </c>
      <c r="E191" s="5">
        <v>16.989999999999998</v>
      </c>
      <c r="F191" s="4" t="s">
        <v>1751</v>
      </c>
      <c r="G191" s="2" t="s">
        <v>297</v>
      </c>
      <c r="H191" s="7" t="s">
        <v>159</v>
      </c>
      <c r="I191" s="2" t="s">
        <v>515</v>
      </c>
      <c r="J191" s="2" t="s">
        <v>827</v>
      </c>
      <c r="K191" s="2" t="s">
        <v>304</v>
      </c>
      <c r="L191" s="2" t="s">
        <v>125</v>
      </c>
      <c r="M191" s="8" t="str">
        <f>HYPERLINK("http://slimages.macys.com/is/image/MCY/13119364 ")</f>
        <v xml:space="preserve">http://slimages.macys.com/is/image/MCY/13119364 </v>
      </c>
    </row>
    <row r="192" spans="1:13" ht="60" x14ac:dyDescent="0.25">
      <c r="A192" s="7" t="s">
        <v>9531</v>
      </c>
      <c r="B192" s="2" t="s">
        <v>1750</v>
      </c>
      <c r="C192" s="4">
        <v>1</v>
      </c>
      <c r="D192" s="5">
        <v>6.93</v>
      </c>
      <c r="E192" s="5">
        <v>16.989999999999998</v>
      </c>
      <c r="F192" s="4" t="s">
        <v>1751</v>
      </c>
      <c r="G192" s="2" t="s">
        <v>297</v>
      </c>
      <c r="H192" s="7" t="s">
        <v>228</v>
      </c>
      <c r="I192" s="2" t="s">
        <v>515</v>
      </c>
      <c r="J192" s="2" t="s">
        <v>827</v>
      </c>
      <c r="K192" s="2" t="s">
        <v>304</v>
      </c>
      <c r="L192" s="2" t="s">
        <v>125</v>
      </c>
      <c r="M192" s="8" t="str">
        <f>HYPERLINK("http://slimages.macys.com/is/image/MCY/13119364 ")</f>
        <v xml:space="preserve">http://slimages.macys.com/is/image/MCY/13119364 </v>
      </c>
    </row>
    <row r="193" spans="1:13" ht="60" x14ac:dyDescent="0.25">
      <c r="A193" s="7" t="s">
        <v>2581</v>
      </c>
      <c r="B193" s="2" t="s">
        <v>2582</v>
      </c>
      <c r="C193" s="4">
        <v>1</v>
      </c>
      <c r="D193" s="5">
        <v>6.93</v>
      </c>
      <c r="E193" s="5">
        <v>19.5</v>
      </c>
      <c r="F193" s="4" t="s">
        <v>2583</v>
      </c>
      <c r="G193" s="2" t="s">
        <v>86</v>
      </c>
      <c r="H193" s="7"/>
      <c r="I193" s="2" t="s">
        <v>57</v>
      </c>
      <c r="J193" s="2" t="s">
        <v>58</v>
      </c>
      <c r="K193" s="2" t="s">
        <v>304</v>
      </c>
      <c r="L193" s="2" t="s">
        <v>87</v>
      </c>
      <c r="M193" s="8" t="str">
        <f>HYPERLINK("http://slimages.macys.com/is/image/MCY/8619272 ")</f>
        <v xml:space="preserve">http://slimages.macys.com/is/image/MCY/8619272 </v>
      </c>
    </row>
    <row r="194" spans="1:13" ht="60" x14ac:dyDescent="0.25">
      <c r="A194" s="7" t="s">
        <v>9532</v>
      </c>
      <c r="B194" s="2" t="s">
        <v>9533</v>
      </c>
      <c r="C194" s="4">
        <v>1</v>
      </c>
      <c r="D194" s="5">
        <v>6.88</v>
      </c>
      <c r="E194" s="5">
        <v>19.989999999999998</v>
      </c>
      <c r="F194" s="4" t="s">
        <v>9534</v>
      </c>
      <c r="G194" s="2" t="s">
        <v>793</v>
      </c>
      <c r="H194" s="7" t="s">
        <v>42</v>
      </c>
      <c r="I194" s="2" t="s">
        <v>483</v>
      </c>
      <c r="J194" s="2" t="s">
        <v>536</v>
      </c>
      <c r="K194" s="2" t="s">
        <v>304</v>
      </c>
      <c r="L194" s="2" t="s">
        <v>119</v>
      </c>
      <c r="M194" s="8" t="str">
        <f>HYPERLINK("http://slimages.macys.com/is/image/MCY/11107552 ")</f>
        <v xml:space="preserve">http://slimages.macys.com/is/image/MCY/11107552 </v>
      </c>
    </row>
    <row r="195" spans="1:13" ht="96" x14ac:dyDescent="0.25">
      <c r="A195" s="7" t="s">
        <v>8910</v>
      </c>
      <c r="B195" s="2" t="s">
        <v>1753</v>
      </c>
      <c r="C195" s="4">
        <v>1</v>
      </c>
      <c r="D195" s="5">
        <v>6.87</v>
      </c>
      <c r="E195" s="5">
        <v>16.989999999999998</v>
      </c>
      <c r="F195" s="4" t="s">
        <v>1754</v>
      </c>
      <c r="G195" s="2" t="s">
        <v>595</v>
      </c>
      <c r="H195" s="7" t="s">
        <v>159</v>
      </c>
      <c r="I195" s="2" t="s">
        <v>515</v>
      </c>
      <c r="J195" s="2" t="s">
        <v>827</v>
      </c>
      <c r="K195" s="2" t="s">
        <v>304</v>
      </c>
      <c r="L195" s="2" t="s">
        <v>1755</v>
      </c>
      <c r="M195" s="8" t="str">
        <f>HYPERLINK("http://slimages.macys.com/is/image/MCY/11860874 ")</f>
        <v xml:space="preserve">http://slimages.macys.com/is/image/MCY/11860874 </v>
      </c>
    </row>
    <row r="196" spans="1:13" ht="96" x14ac:dyDescent="0.25">
      <c r="A196" s="7" t="s">
        <v>1756</v>
      </c>
      <c r="B196" s="2" t="s">
        <v>1753</v>
      </c>
      <c r="C196" s="4">
        <v>2</v>
      </c>
      <c r="D196" s="5">
        <v>6.87</v>
      </c>
      <c r="E196" s="5">
        <v>16.989999999999998</v>
      </c>
      <c r="F196" s="4" t="s">
        <v>1754</v>
      </c>
      <c r="G196" s="2" t="s">
        <v>595</v>
      </c>
      <c r="H196" s="7" t="s">
        <v>284</v>
      </c>
      <c r="I196" s="2" t="s">
        <v>515</v>
      </c>
      <c r="J196" s="2" t="s">
        <v>827</v>
      </c>
      <c r="K196" s="2" t="s">
        <v>304</v>
      </c>
      <c r="L196" s="2" t="s">
        <v>1755</v>
      </c>
      <c r="M196" s="8" t="str">
        <f>HYPERLINK("http://slimages.macys.com/is/image/MCY/11860874 ")</f>
        <v xml:space="preserve">http://slimages.macys.com/is/image/MCY/11860874 </v>
      </c>
    </row>
    <row r="197" spans="1:13" ht="96" x14ac:dyDescent="0.25">
      <c r="A197" s="7" t="s">
        <v>1752</v>
      </c>
      <c r="B197" s="2" t="s">
        <v>1753</v>
      </c>
      <c r="C197" s="4">
        <v>1</v>
      </c>
      <c r="D197" s="5">
        <v>6.87</v>
      </c>
      <c r="E197" s="5">
        <v>16.989999999999998</v>
      </c>
      <c r="F197" s="4" t="s">
        <v>1754</v>
      </c>
      <c r="G197" s="2" t="s">
        <v>595</v>
      </c>
      <c r="H197" s="7" t="s">
        <v>228</v>
      </c>
      <c r="I197" s="2" t="s">
        <v>515</v>
      </c>
      <c r="J197" s="2" t="s">
        <v>827</v>
      </c>
      <c r="K197" s="2" t="s">
        <v>304</v>
      </c>
      <c r="L197" s="2" t="s">
        <v>1755</v>
      </c>
      <c r="M197" s="8" t="str">
        <f>HYPERLINK("http://slimages.macys.com/is/image/MCY/11860874 ")</f>
        <v xml:space="preserve">http://slimages.macys.com/is/image/MCY/11860874 </v>
      </c>
    </row>
    <row r="198" spans="1:13" ht="60" x14ac:dyDescent="0.25">
      <c r="A198" s="7" t="s">
        <v>9535</v>
      </c>
      <c r="B198" s="2" t="s">
        <v>987</v>
      </c>
      <c r="C198" s="4">
        <v>1</v>
      </c>
      <c r="D198" s="5">
        <v>6.85</v>
      </c>
      <c r="E198" s="5">
        <v>13.99</v>
      </c>
      <c r="F198" s="4" t="s">
        <v>988</v>
      </c>
      <c r="G198" s="2" t="s">
        <v>303</v>
      </c>
      <c r="H198" s="7" t="s">
        <v>196</v>
      </c>
      <c r="I198" s="2" t="s">
        <v>523</v>
      </c>
      <c r="J198" s="2" t="s">
        <v>969</v>
      </c>
      <c r="K198" s="2" t="s">
        <v>304</v>
      </c>
      <c r="L198" s="2" t="s">
        <v>970</v>
      </c>
      <c r="M198" s="8" t="str">
        <f>HYPERLINK("http://slimages.macys.com/is/image/MCY/11646814 ")</f>
        <v xml:space="preserve">http://slimages.macys.com/is/image/MCY/11646814 </v>
      </c>
    </row>
    <row r="199" spans="1:13" ht="60" x14ac:dyDescent="0.25">
      <c r="A199" s="7" t="s">
        <v>9536</v>
      </c>
      <c r="B199" s="2" t="s">
        <v>9537</v>
      </c>
      <c r="C199" s="4">
        <v>1</v>
      </c>
      <c r="D199" s="5">
        <v>6.85</v>
      </c>
      <c r="E199" s="5">
        <v>18</v>
      </c>
      <c r="F199" s="4" t="s">
        <v>9538</v>
      </c>
      <c r="G199" s="2" t="s">
        <v>134</v>
      </c>
      <c r="H199" s="7" t="s">
        <v>179</v>
      </c>
      <c r="I199" s="2" t="s">
        <v>468</v>
      </c>
      <c r="J199" s="2" t="s">
        <v>469</v>
      </c>
      <c r="K199" s="2" t="s">
        <v>304</v>
      </c>
      <c r="L199" s="2" t="s">
        <v>38</v>
      </c>
      <c r="M199" s="8" t="str">
        <f>HYPERLINK("http://slimages.macys.com/is/image/MCY/12036953 ")</f>
        <v xml:space="preserve">http://slimages.macys.com/is/image/MCY/12036953 </v>
      </c>
    </row>
    <row r="200" spans="1:13" ht="60" x14ac:dyDescent="0.25">
      <c r="A200" s="7" t="s">
        <v>1759</v>
      </c>
      <c r="B200" s="2" t="s">
        <v>993</v>
      </c>
      <c r="C200" s="4">
        <v>1</v>
      </c>
      <c r="D200" s="5">
        <v>6.85</v>
      </c>
      <c r="E200" s="5">
        <v>18</v>
      </c>
      <c r="F200" s="4" t="s">
        <v>994</v>
      </c>
      <c r="G200" s="2" t="s">
        <v>657</v>
      </c>
      <c r="H200" s="7" t="s">
        <v>284</v>
      </c>
      <c r="I200" s="2" t="s">
        <v>468</v>
      </c>
      <c r="J200" s="2" t="s">
        <v>469</v>
      </c>
      <c r="K200" s="2" t="s">
        <v>304</v>
      </c>
      <c r="L200" s="2" t="s">
        <v>537</v>
      </c>
      <c r="M200" s="8" t="str">
        <f>HYPERLINK("http://slimages.macys.com/is/image/MCY/13468835 ")</f>
        <v xml:space="preserve">http://slimages.macys.com/is/image/MCY/13468835 </v>
      </c>
    </row>
    <row r="201" spans="1:13" ht="60" x14ac:dyDescent="0.25">
      <c r="A201" s="7" t="s">
        <v>5413</v>
      </c>
      <c r="B201" s="2" t="s">
        <v>993</v>
      </c>
      <c r="C201" s="4">
        <v>1</v>
      </c>
      <c r="D201" s="5">
        <v>6.85</v>
      </c>
      <c r="E201" s="5">
        <v>18</v>
      </c>
      <c r="F201" s="4" t="s">
        <v>994</v>
      </c>
      <c r="G201" s="2" t="s">
        <v>657</v>
      </c>
      <c r="H201" s="7" t="s">
        <v>217</v>
      </c>
      <c r="I201" s="2" t="s">
        <v>468</v>
      </c>
      <c r="J201" s="2" t="s">
        <v>469</v>
      </c>
      <c r="K201" s="2" t="s">
        <v>304</v>
      </c>
      <c r="L201" s="2" t="s">
        <v>537</v>
      </c>
      <c r="M201" s="8" t="str">
        <f>HYPERLINK("http://slimages.macys.com/is/image/MCY/13468835 ")</f>
        <v xml:space="preserve">http://slimages.macys.com/is/image/MCY/13468835 </v>
      </c>
    </row>
    <row r="202" spans="1:13" ht="60" x14ac:dyDescent="0.25">
      <c r="A202" s="7" t="s">
        <v>465</v>
      </c>
      <c r="B202" s="2" t="s">
        <v>466</v>
      </c>
      <c r="C202" s="4">
        <v>1</v>
      </c>
      <c r="D202" s="5">
        <v>6.85</v>
      </c>
      <c r="E202" s="5">
        <v>18</v>
      </c>
      <c r="F202" s="4" t="s">
        <v>467</v>
      </c>
      <c r="G202" s="2" t="s">
        <v>62</v>
      </c>
      <c r="H202" s="7" t="s">
        <v>172</v>
      </c>
      <c r="I202" s="2" t="s">
        <v>468</v>
      </c>
      <c r="J202" s="2" t="s">
        <v>469</v>
      </c>
      <c r="K202" s="2" t="s">
        <v>304</v>
      </c>
      <c r="L202" s="2" t="s">
        <v>206</v>
      </c>
      <c r="M202" s="8" t="str">
        <f>HYPERLINK("http://slimages.macys.com/is/image/MCY/11640093 ")</f>
        <v xml:space="preserve">http://slimages.macys.com/is/image/MCY/11640093 </v>
      </c>
    </row>
    <row r="203" spans="1:13" ht="60" x14ac:dyDescent="0.25">
      <c r="A203" s="7" t="s">
        <v>2584</v>
      </c>
      <c r="B203" s="2" t="s">
        <v>466</v>
      </c>
      <c r="C203" s="4">
        <v>1</v>
      </c>
      <c r="D203" s="5">
        <v>6.85</v>
      </c>
      <c r="E203" s="5">
        <v>18</v>
      </c>
      <c r="F203" s="4" t="s">
        <v>467</v>
      </c>
      <c r="G203" s="2" t="s">
        <v>62</v>
      </c>
      <c r="H203" s="7" t="s">
        <v>179</v>
      </c>
      <c r="I203" s="2" t="s">
        <v>468</v>
      </c>
      <c r="J203" s="2" t="s">
        <v>469</v>
      </c>
      <c r="K203" s="2" t="s">
        <v>304</v>
      </c>
      <c r="L203" s="2" t="s">
        <v>206</v>
      </c>
      <c r="M203" s="8" t="str">
        <f>HYPERLINK("http://slimages.macys.com/is/image/MCY/11640093 ")</f>
        <v xml:space="preserve">http://slimages.macys.com/is/image/MCY/11640093 </v>
      </c>
    </row>
    <row r="204" spans="1:13" ht="60" x14ac:dyDescent="0.25">
      <c r="A204" s="7" t="s">
        <v>1767</v>
      </c>
      <c r="B204" s="2" t="s">
        <v>1768</v>
      </c>
      <c r="C204" s="4">
        <v>1</v>
      </c>
      <c r="D204" s="5">
        <v>6.85</v>
      </c>
      <c r="E204" s="5">
        <v>18</v>
      </c>
      <c r="F204" s="4" t="s">
        <v>1769</v>
      </c>
      <c r="G204" s="2" t="s">
        <v>48</v>
      </c>
      <c r="H204" s="7" t="s">
        <v>217</v>
      </c>
      <c r="I204" s="2" t="s">
        <v>468</v>
      </c>
      <c r="J204" s="2" t="s">
        <v>469</v>
      </c>
      <c r="K204" s="2" t="s">
        <v>304</v>
      </c>
      <c r="L204" s="2" t="s">
        <v>100</v>
      </c>
      <c r="M204" s="8" t="str">
        <f>HYPERLINK("http://slimages.macys.com/is/image/MCY/12809150 ")</f>
        <v xml:space="preserve">http://slimages.macys.com/is/image/MCY/12809150 </v>
      </c>
    </row>
    <row r="205" spans="1:13" ht="60" x14ac:dyDescent="0.25">
      <c r="A205" s="7" t="s">
        <v>1770</v>
      </c>
      <c r="B205" s="2" t="s">
        <v>1768</v>
      </c>
      <c r="C205" s="4">
        <v>1</v>
      </c>
      <c r="D205" s="5">
        <v>6.85</v>
      </c>
      <c r="E205" s="5">
        <v>18</v>
      </c>
      <c r="F205" s="4" t="s">
        <v>1769</v>
      </c>
      <c r="G205" s="2" t="s">
        <v>48</v>
      </c>
      <c r="H205" s="7" t="s">
        <v>228</v>
      </c>
      <c r="I205" s="2" t="s">
        <v>468</v>
      </c>
      <c r="J205" s="2" t="s">
        <v>469</v>
      </c>
      <c r="K205" s="2" t="s">
        <v>304</v>
      </c>
      <c r="L205" s="2" t="s">
        <v>100</v>
      </c>
      <c r="M205" s="8" t="str">
        <f>HYPERLINK("http://slimages.macys.com/is/image/MCY/12809150 ")</f>
        <v xml:space="preserve">http://slimages.macys.com/is/image/MCY/12809150 </v>
      </c>
    </row>
    <row r="206" spans="1:13" ht="60" x14ac:dyDescent="0.25">
      <c r="A206" s="7" t="s">
        <v>992</v>
      </c>
      <c r="B206" s="2" t="s">
        <v>993</v>
      </c>
      <c r="C206" s="4">
        <v>1</v>
      </c>
      <c r="D206" s="5">
        <v>6.85</v>
      </c>
      <c r="E206" s="5">
        <v>18</v>
      </c>
      <c r="F206" s="4" t="s">
        <v>994</v>
      </c>
      <c r="G206" s="2" t="s">
        <v>657</v>
      </c>
      <c r="H206" s="7" t="s">
        <v>159</v>
      </c>
      <c r="I206" s="2" t="s">
        <v>468</v>
      </c>
      <c r="J206" s="2" t="s">
        <v>469</v>
      </c>
      <c r="K206" s="2" t="s">
        <v>304</v>
      </c>
      <c r="L206" s="2" t="s">
        <v>537</v>
      </c>
      <c r="M206" s="8" t="str">
        <f>HYPERLINK("http://slimages.macys.com/is/image/MCY/13468835 ")</f>
        <v xml:space="preserve">http://slimages.macys.com/is/image/MCY/13468835 </v>
      </c>
    </row>
    <row r="207" spans="1:13" ht="60" x14ac:dyDescent="0.25">
      <c r="A207" s="7" t="s">
        <v>9539</v>
      </c>
      <c r="B207" s="2" t="s">
        <v>9537</v>
      </c>
      <c r="C207" s="4">
        <v>1</v>
      </c>
      <c r="D207" s="5">
        <v>6.85</v>
      </c>
      <c r="E207" s="5">
        <v>18</v>
      </c>
      <c r="F207" s="4" t="s">
        <v>9538</v>
      </c>
      <c r="G207" s="2" t="s">
        <v>134</v>
      </c>
      <c r="H207" s="7" t="s">
        <v>1411</v>
      </c>
      <c r="I207" s="2" t="s">
        <v>468</v>
      </c>
      <c r="J207" s="2" t="s">
        <v>469</v>
      </c>
      <c r="K207" s="2" t="s">
        <v>304</v>
      </c>
      <c r="L207" s="2" t="s">
        <v>38</v>
      </c>
      <c r="M207" s="8" t="str">
        <f>HYPERLINK("http://slimages.macys.com/is/image/MCY/12036953 ")</f>
        <v xml:space="preserve">http://slimages.macys.com/is/image/MCY/12036953 </v>
      </c>
    </row>
    <row r="208" spans="1:13" ht="60" x14ac:dyDescent="0.25">
      <c r="A208" s="7" t="s">
        <v>9540</v>
      </c>
      <c r="B208" s="2" t="s">
        <v>5416</v>
      </c>
      <c r="C208" s="4">
        <v>1</v>
      </c>
      <c r="D208" s="5">
        <v>6.84</v>
      </c>
      <c r="E208" s="5">
        <v>14.99</v>
      </c>
      <c r="F208" s="4" t="s">
        <v>5417</v>
      </c>
      <c r="G208" s="2" t="s">
        <v>28</v>
      </c>
      <c r="H208" s="7" t="s">
        <v>379</v>
      </c>
      <c r="I208" s="2" t="s">
        <v>292</v>
      </c>
      <c r="J208" s="2" t="s">
        <v>354</v>
      </c>
      <c r="K208" s="2" t="s">
        <v>304</v>
      </c>
      <c r="L208" s="2" t="s">
        <v>100</v>
      </c>
      <c r="M208" s="8" t="str">
        <f>HYPERLINK("http://slimages.macys.com/is/image/MCY/13893127 ")</f>
        <v xml:space="preserve">http://slimages.macys.com/is/image/MCY/13893127 </v>
      </c>
    </row>
    <row r="209" spans="1:13" ht="60" x14ac:dyDescent="0.25">
      <c r="A209" s="7" t="s">
        <v>1775</v>
      </c>
      <c r="B209" s="2" t="s">
        <v>1776</v>
      </c>
      <c r="C209" s="4">
        <v>2</v>
      </c>
      <c r="D209" s="5">
        <v>6.84</v>
      </c>
      <c r="E209" s="5">
        <v>19.989999999999998</v>
      </c>
      <c r="F209" s="4" t="s">
        <v>1777</v>
      </c>
      <c r="G209" s="2" t="s">
        <v>388</v>
      </c>
      <c r="H209" s="7" t="s">
        <v>514</v>
      </c>
      <c r="I209" s="2" t="s">
        <v>1689</v>
      </c>
      <c r="J209" s="2" t="s">
        <v>354</v>
      </c>
      <c r="K209" s="2" t="s">
        <v>304</v>
      </c>
      <c r="L209" s="2" t="s">
        <v>390</v>
      </c>
      <c r="M209" s="8" t="str">
        <f>HYPERLINK("http://slimages.macys.com/is/image/MCY/12890114 ")</f>
        <v xml:space="preserve">http://slimages.macys.com/is/image/MCY/12890114 </v>
      </c>
    </row>
    <row r="210" spans="1:13" ht="60" x14ac:dyDescent="0.25">
      <c r="A210" s="7" t="s">
        <v>1778</v>
      </c>
      <c r="B210" s="2" t="s">
        <v>1776</v>
      </c>
      <c r="C210" s="4">
        <v>1</v>
      </c>
      <c r="D210" s="5">
        <v>6.84</v>
      </c>
      <c r="E210" s="5">
        <v>19.989999999999998</v>
      </c>
      <c r="F210" s="4" t="s">
        <v>1777</v>
      </c>
      <c r="G210" s="2" t="s">
        <v>388</v>
      </c>
      <c r="H210" s="7" t="s">
        <v>1151</v>
      </c>
      <c r="I210" s="2" t="s">
        <v>1689</v>
      </c>
      <c r="J210" s="2" t="s">
        <v>354</v>
      </c>
      <c r="K210" s="2" t="s">
        <v>304</v>
      </c>
      <c r="L210" s="2" t="s">
        <v>390</v>
      </c>
      <c r="M210" s="8" t="str">
        <f>HYPERLINK("http://slimages.macys.com/is/image/MCY/12890114 ")</f>
        <v xml:space="preserve">http://slimages.macys.com/is/image/MCY/12890114 </v>
      </c>
    </row>
    <row r="211" spans="1:13" ht="132" x14ac:dyDescent="0.25">
      <c r="A211" s="7" t="s">
        <v>9541</v>
      </c>
      <c r="B211" s="2" t="s">
        <v>1782</v>
      </c>
      <c r="C211" s="4">
        <v>1</v>
      </c>
      <c r="D211" s="5">
        <v>6.8</v>
      </c>
      <c r="E211" s="5">
        <v>14.99</v>
      </c>
      <c r="F211" s="4" t="s">
        <v>1783</v>
      </c>
      <c r="G211" s="2" t="s">
        <v>62</v>
      </c>
      <c r="H211" s="7" t="s">
        <v>284</v>
      </c>
      <c r="I211" s="2" t="s">
        <v>515</v>
      </c>
      <c r="J211" s="2" t="s">
        <v>827</v>
      </c>
      <c r="K211" s="2" t="s">
        <v>304</v>
      </c>
      <c r="L211" s="2" t="s">
        <v>1784</v>
      </c>
      <c r="M211" s="8" t="str">
        <f>HYPERLINK("http://slimages.macys.com/is/image/MCY/13119046 ")</f>
        <v xml:space="preserve">http://slimages.macys.com/is/image/MCY/13119046 </v>
      </c>
    </row>
    <row r="212" spans="1:13" ht="132" x14ac:dyDescent="0.25">
      <c r="A212" s="7" t="s">
        <v>9542</v>
      </c>
      <c r="B212" s="2" t="s">
        <v>1782</v>
      </c>
      <c r="C212" s="4">
        <v>1</v>
      </c>
      <c r="D212" s="5">
        <v>6.8</v>
      </c>
      <c r="E212" s="5">
        <v>14.99</v>
      </c>
      <c r="F212" s="4" t="s">
        <v>1783</v>
      </c>
      <c r="G212" s="2" t="s">
        <v>62</v>
      </c>
      <c r="H212" s="7" t="s">
        <v>196</v>
      </c>
      <c r="I212" s="2" t="s">
        <v>515</v>
      </c>
      <c r="J212" s="2" t="s">
        <v>827</v>
      </c>
      <c r="K212" s="2" t="s">
        <v>304</v>
      </c>
      <c r="L212" s="2" t="s">
        <v>1784</v>
      </c>
      <c r="M212" s="8" t="str">
        <f>HYPERLINK("http://slimages.macys.com/is/image/MCY/13119046 ")</f>
        <v xml:space="preserve">http://slimages.macys.com/is/image/MCY/13119046 </v>
      </c>
    </row>
    <row r="213" spans="1:13" ht="132" x14ac:dyDescent="0.25">
      <c r="A213" s="7" t="s">
        <v>9543</v>
      </c>
      <c r="B213" s="2" t="s">
        <v>1782</v>
      </c>
      <c r="C213" s="4">
        <v>2</v>
      </c>
      <c r="D213" s="5">
        <v>6.8</v>
      </c>
      <c r="E213" s="5">
        <v>14.99</v>
      </c>
      <c r="F213" s="4" t="s">
        <v>1783</v>
      </c>
      <c r="G213" s="2" t="s">
        <v>62</v>
      </c>
      <c r="H213" s="7" t="s">
        <v>284</v>
      </c>
      <c r="I213" s="2" t="s">
        <v>515</v>
      </c>
      <c r="J213" s="2" t="s">
        <v>827</v>
      </c>
      <c r="K213" s="2" t="s">
        <v>304</v>
      </c>
      <c r="L213" s="2" t="s">
        <v>1784</v>
      </c>
      <c r="M213" s="8" t="str">
        <f>HYPERLINK("http://slimages.macys.com/is/image/MCY/13119046 ")</f>
        <v xml:space="preserve">http://slimages.macys.com/is/image/MCY/13119046 </v>
      </c>
    </row>
    <row r="214" spans="1:13" ht="132" x14ac:dyDescent="0.25">
      <c r="A214" s="7" t="s">
        <v>1781</v>
      </c>
      <c r="B214" s="2" t="s">
        <v>1782</v>
      </c>
      <c r="C214" s="4">
        <v>3</v>
      </c>
      <c r="D214" s="5">
        <v>6.8</v>
      </c>
      <c r="E214" s="5">
        <v>14.99</v>
      </c>
      <c r="F214" s="4" t="s">
        <v>1783</v>
      </c>
      <c r="G214" s="2" t="s">
        <v>62</v>
      </c>
      <c r="H214" s="7" t="s">
        <v>159</v>
      </c>
      <c r="I214" s="2" t="s">
        <v>515</v>
      </c>
      <c r="J214" s="2" t="s">
        <v>827</v>
      </c>
      <c r="K214" s="2" t="s">
        <v>304</v>
      </c>
      <c r="L214" s="2" t="s">
        <v>1784</v>
      </c>
      <c r="M214" s="8" t="str">
        <f>HYPERLINK("http://slimages.macys.com/is/image/MCY/13119046 ")</f>
        <v xml:space="preserve">http://slimages.macys.com/is/image/MCY/13119046 </v>
      </c>
    </row>
    <row r="215" spans="1:13" ht="132" x14ac:dyDescent="0.25">
      <c r="A215" s="7" t="s">
        <v>1941</v>
      </c>
      <c r="B215" s="2" t="s">
        <v>1782</v>
      </c>
      <c r="C215" s="4">
        <v>1</v>
      </c>
      <c r="D215" s="5">
        <v>6.8</v>
      </c>
      <c r="E215" s="5">
        <v>14.99</v>
      </c>
      <c r="F215" s="4" t="s">
        <v>1783</v>
      </c>
      <c r="G215" s="2" t="s">
        <v>353</v>
      </c>
      <c r="H215" s="7" t="s">
        <v>159</v>
      </c>
      <c r="I215" s="2" t="s">
        <v>515</v>
      </c>
      <c r="J215" s="2" t="s">
        <v>827</v>
      </c>
      <c r="K215" s="2" t="s">
        <v>304</v>
      </c>
      <c r="L215" s="2" t="s">
        <v>1784</v>
      </c>
      <c r="M215" s="8" t="str">
        <f>HYPERLINK("http://slimages.macys.com/is/image/MCY/13119046 ")</f>
        <v xml:space="preserve">http://slimages.macys.com/is/image/MCY/13119046 </v>
      </c>
    </row>
    <row r="216" spans="1:13" ht="60" x14ac:dyDescent="0.25">
      <c r="A216" s="7" t="s">
        <v>1785</v>
      </c>
      <c r="B216" s="2" t="s">
        <v>996</v>
      </c>
      <c r="C216" s="4">
        <v>1</v>
      </c>
      <c r="D216" s="5">
        <v>6.78</v>
      </c>
      <c r="E216" s="5">
        <v>14.99</v>
      </c>
      <c r="F216" s="4" t="s">
        <v>997</v>
      </c>
      <c r="G216" s="2" t="s">
        <v>48</v>
      </c>
      <c r="H216" s="7" t="s">
        <v>63</v>
      </c>
      <c r="I216" s="2" t="s">
        <v>515</v>
      </c>
      <c r="J216" s="2" t="s">
        <v>516</v>
      </c>
      <c r="K216" s="2" t="s">
        <v>304</v>
      </c>
      <c r="L216" s="2" t="s">
        <v>358</v>
      </c>
      <c r="M216" s="8" t="str">
        <f>HYPERLINK("http://slimages.macys.com/is/image/MCY/12953242 ")</f>
        <v xml:space="preserve">http://slimages.macys.com/is/image/MCY/12953242 </v>
      </c>
    </row>
    <row r="217" spans="1:13" ht="60" x14ac:dyDescent="0.25">
      <c r="A217" s="7" t="s">
        <v>9544</v>
      </c>
      <c r="B217" s="2" t="s">
        <v>996</v>
      </c>
      <c r="C217" s="4">
        <v>1</v>
      </c>
      <c r="D217" s="5">
        <v>6.78</v>
      </c>
      <c r="E217" s="5">
        <v>14.99</v>
      </c>
      <c r="F217" s="4" t="s">
        <v>997</v>
      </c>
      <c r="G217" s="2" t="s">
        <v>48</v>
      </c>
      <c r="H217" s="7" t="s">
        <v>123</v>
      </c>
      <c r="I217" s="2" t="s">
        <v>515</v>
      </c>
      <c r="J217" s="2" t="s">
        <v>516</v>
      </c>
      <c r="K217" s="2" t="s">
        <v>304</v>
      </c>
      <c r="L217" s="2" t="s">
        <v>358</v>
      </c>
      <c r="M217" s="8" t="str">
        <f>HYPERLINK("http://slimages.macys.com/is/image/MCY/12953242 ")</f>
        <v xml:space="preserve">http://slimages.macys.com/is/image/MCY/12953242 </v>
      </c>
    </row>
    <row r="218" spans="1:13" ht="60" x14ac:dyDescent="0.25">
      <c r="A218" s="7" t="s">
        <v>995</v>
      </c>
      <c r="B218" s="2" t="s">
        <v>996</v>
      </c>
      <c r="C218" s="4">
        <v>2</v>
      </c>
      <c r="D218" s="5">
        <v>6.78</v>
      </c>
      <c r="E218" s="5">
        <v>14.99</v>
      </c>
      <c r="F218" s="4" t="s">
        <v>997</v>
      </c>
      <c r="G218" s="2" t="s">
        <v>48</v>
      </c>
      <c r="H218" s="7" t="s">
        <v>311</v>
      </c>
      <c r="I218" s="2" t="s">
        <v>515</v>
      </c>
      <c r="J218" s="2" t="s">
        <v>516</v>
      </c>
      <c r="K218" s="2" t="s">
        <v>304</v>
      </c>
      <c r="L218" s="2" t="s">
        <v>358</v>
      </c>
      <c r="M218" s="8" t="str">
        <f>HYPERLINK("http://slimages.macys.com/is/image/MCY/12953242 ")</f>
        <v xml:space="preserve">http://slimages.macys.com/is/image/MCY/12953242 </v>
      </c>
    </row>
    <row r="219" spans="1:13" ht="60" x14ac:dyDescent="0.25">
      <c r="A219" s="7" t="s">
        <v>4073</v>
      </c>
      <c r="B219" s="2" t="s">
        <v>996</v>
      </c>
      <c r="C219" s="4">
        <v>1</v>
      </c>
      <c r="D219" s="5">
        <v>6.78</v>
      </c>
      <c r="E219" s="5">
        <v>14.99</v>
      </c>
      <c r="F219" s="4" t="s">
        <v>997</v>
      </c>
      <c r="G219" s="2" t="s">
        <v>48</v>
      </c>
      <c r="H219" s="7" t="s">
        <v>1151</v>
      </c>
      <c r="I219" s="2" t="s">
        <v>515</v>
      </c>
      <c r="J219" s="2" t="s">
        <v>516</v>
      </c>
      <c r="K219" s="2" t="s">
        <v>304</v>
      </c>
      <c r="L219" s="2" t="s">
        <v>358</v>
      </c>
      <c r="M219" s="8" t="str">
        <f>HYPERLINK("http://slimages.macys.com/is/image/MCY/12953242 ")</f>
        <v xml:space="preserve">http://slimages.macys.com/is/image/MCY/12953242 </v>
      </c>
    </row>
    <row r="220" spans="1:13" ht="84" x14ac:dyDescent="0.25">
      <c r="A220" s="7" t="s">
        <v>6876</v>
      </c>
      <c r="B220" s="2" t="s">
        <v>474</v>
      </c>
      <c r="C220" s="4">
        <v>1</v>
      </c>
      <c r="D220" s="5">
        <v>6.75</v>
      </c>
      <c r="E220" s="5">
        <v>16.989999999999998</v>
      </c>
      <c r="F220" s="4" t="s">
        <v>1798</v>
      </c>
      <c r="G220" s="2" t="s">
        <v>476</v>
      </c>
      <c r="H220" s="7"/>
      <c r="I220" s="2" t="s">
        <v>321</v>
      </c>
      <c r="J220" s="2" t="s">
        <v>477</v>
      </c>
      <c r="K220" s="2" t="s">
        <v>304</v>
      </c>
      <c r="L220" s="2" t="s">
        <v>1117</v>
      </c>
      <c r="M220" s="8" t="str">
        <f t="shared" ref="M220:M225" si="1">HYPERLINK("http://slimages.macys.com/is/image/MCY/13860353 ")</f>
        <v xml:space="preserve">http://slimages.macys.com/is/image/MCY/13860353 </v>
      </c>
    </row>
    <row r="221" spans="1:13" ht="84" x14ac:dyDescent="0.25">
      <c r="A221" s="7" t="s">
        <v>473</v>
      </c>
      <c r="B221" s="2" t="s">
        <v>474</v>
      </c>
      <c r="C221" s="4">
        <v>2</v>
      </c>
      <c r="D221" s="5">
        <v>6.75</v>
      </c>
      <c r="E221" s="5">
        <v>16.989999999999998</v>
      </c>
      <c r="F221" s="4" t="s">
        <v>475</v>
      </c>
      <c r="G221" s="2" t="s">
        <v>476</v>
      </c>
      <c r="H221" s="7" t="s">
        <v>209</v>
      </c>
      <c r="I221" s="2" t="s">
        <v>321</v>
      </c>
      <c r="J221" s="2" t="s">
        <v>477</v>
      </c>
      <c r="K221" s="2" t="s">
        <v>304</v>
      </c>
      <c r="L221" s="2" t="s">
        <v>478</v>
      </c>
      <c r="M221" s="8" t="str">
        <f t="shared" si="1"/>
        <v xml:space="preserve">http://slimages.macys.com/is/image/MCY/13860353 </v>
      </c>
    </row>
    <row r="222" spans="1:13" ht="84" x14ac:dyDescent="0.25">
      <c r="A222" s="7" t="s">
        <v>2594</v>
      </c>
      <c r="B222" s="2" t="s">
        <v>474</v>
      </c>
      <c r="C222" s="4">
        <v>3</v>
      </c>
      <c r="D222" s="5">
        <v>6.75</v>
      </c>
      <c r="E222" s="5">
        <v>16.989999999999998</v>
      </c>
      <c r="F222" s="4" t="s">
        <v>475</v>
      </c>
      <c r="G222" s="2" t="s">
        <v>476</v>
      </c>
      <c r="H222" s="7" t="s">
        <v>68</v>
      </c>
      <c r="I222" s="2" t="s">
        <v>321</v>
      </c>
      <c r="J222" s="2" t="s">
        <v>477</v>
      </c>
      <c r="K222" s="2" t="s">
        <v>304</v>
      </c>
      <c r="L222" s="2" t="s">
        <v>478</v>
      </c>
      <c r="M222" s="8" t="str">
        <f t="shared" si="1"/>
        <v xml:space="preserve">http://slimages.macys.com/is/image/MCY/13860353 </v>
      </c>
    </row>
    <row r="223" spans="1:13" ht="84" x14ac:dyDescent="0.25">
      <c r="A223" s="7" t="s">
        <v>6881</v>
      </c>
      <c r="B223" s="2" t="s">
        <v>474</v>
      </c>
      <c r="C223" s="4">
        <v>2</v>
      </c>
      <c r="D223" s="5">
        <v>6.75</v>
      </c>
      <c r="E223" s="5">
        <v>16.989999999999998</v>
      </c>
      <c r="F223" s="4" t="s">
        <v>475</v>
      </c>
      <c r="G223" s="2" t="s">
        <v>476</v>
      </c>
      <c r="H223" s="7" t="s">
        <v>144</v>
      </c>
      <c r="I223" s="2" t="s">
        <v>321</v>
      </c>
      <c r="J223" s="2" t="s">
        <v>477</v>
      </c>
      <c r="K223" s="2" t="s">
        <v>304</v>
      </c>
      <c r="L223" s="2" t="s">
        <v>478</v>
      </c>
      <c r="M223" s="8" t="str">
        <f t="shared" si="1"/>
        <v xml:space="preserve">http://slimages.macys.com/is/image/MCY/13860353 </v>
      </c>
    </row>
    <row r="224" spans="1:13" ht="84" x14ac:dyDescent="0.25">
      <c r="A224" s="7" t="s">
        <v>6875</v>
      </c>
      <c r="B224" s="2" t="s">
        <v>474</v>
      </c>
      <c r="C224" s="4">
        <v>1</v>
      </c>
      <c r="D224" s="5">
        <v>6.75</v>
      </c>
      <c r="E224" s="5">
        <v>16.989999999999998</v>
      </c>
      <c r="F224" s="4" t="s">
        <v>1798</v>
      </c>
      <c r="G224" s="2" t="s">
        <v>476</v>
      </c>
      <c r="H224" s="7"/>
      <c r="I224" s="2" t="s">
        <v>321</v>
      </c>
      <c r="J224" s="2" t="s">
        <v>477</v>
      </c>
      <c r="K224" s="2" t="s">
        <v>304</v>
      </c>
      <c r="L224" s="2" t="s">
        <v>1117</v>
      </c>
      <c r="M224" s="8" t="str">
        <f t="shared" si="1"/>
        <v xml:space="preserve">http://slimages.macys.com/is/image/MCY/13860353 </v>
      </c>
    </row>
    <row r="225" spans="1:13" ht="84" x14ac:dyDescent="0.25">
      <c r="A225" s="7" t="s">
        <v>7570</v>
      </c>
      <c r="B225" s="2" t="s">
        <v>474</v>
      </c>
      <c r="C225" s="4">
        <v>1</v>
      </c>
      <c r="D225" s="5">
        <v>6.75</v>
      </c>
      <c r="E225" s="5">
        <v>16.989999999999998</v>
      </c>
      <c r="F225" s="4" t="s">
        <v>1798</v>
      </c>
      <c r="G225" s="2" t="s">
        <v>476</v>
      </c>
      <c r="H225" s="7"/>
      <c r="I225" s="2" t="s">
        <v>321</v>
      </c>
      <c r="J225" s="2" t="s">
        <v>477</v>
      </c>
      <c r="K225" s="2" t="s">
        <v>304</v>
      </c>
      <c r="L225" s="2" t="s">
        <v>1117</v>
      </c>
      <c r="M225" s="8" t="str">
        <f t="shared" si="1"/>
        <v xml:space="preserve">http://slimages.macys.com/is/image/MCY/13860353 </v>
      </c>
    </row>
    <row r="226" spans="1:13" ht="96" x14ac:dyDescent="0.25">
      <c r="A226" s="7" t="s">
        <v>7572</v>
      </c>
      <c r="B226" s="2" t="s">
        <v>4088</v>
      </c>
      <c r="C226" s="4">
        <v>1</v>
      </c>
      <c r="D226" s="5">
        <v>6.75</v>
      </c>
      <c r="E226" s="5">
        <v>16.989999999999998</v>
      </c>
      <c r="F226" s="4" t="s">
        <v>4089</v>
      </c>
      <c r="G226" s="2" t="s">
        <v>892</v>
      </c>
      <c r="H226" s="7"/>
      <c r="I226" s="2" t="s">
        <v>321</v>
      </c>
      <c r="J226" s="2" t="s">
        <v>477</v>
      </c>
      <c r="K226" s="2" t="s">
        <v>304</v>
      </c>
      <c r="L226" s="2" t="s">
        <v>1516</v>
      </c>
      <c r="M226" s="8" t="str">
        <f>HYPERLINK("http://slimages.macys.com/is/image/MCY/13860413 ")</f>
        <v xml:space="preserve">http://slimages.macys.com/is/image/MCY/13860413 </v>
      </c>
    </row>
    <row r="227" spans="1:13" ht="60" x14ac:dyDescent="0.25">
      <c r="A227" s="7" t="s">
        <v>7576</v>
      </c>
      <c r="B227" s="2" t="s">
        <v>4097</v>
      </c>
      <c r="C227" s="4">
        <v>2</v>
      </c>
      <c r="D227" s="5">
        <v>6.75</v>
      </c>
      <c r="E227" s="5">
        <v>16.989999999999998</v>
      </c>
      <c r="F227" s="4" t="s">
        <v>7553</v>
      </c>
      <c r="G227" s="2" t="s">
        <v>892</v>
      </c>
      <c r="H227" s="7" t="s">
        <v>209</v>
      </c>
      <c r="I227" s="2" t="s">
        <v>321</v>
      </c>
      <c r="J227" s="2" t="s">
        <v>477</v>
      </c>
      <c r="K227" s="2" t="s">
        <v>304</v>
      </c>
      <c r="L227" s="2" t="s">
        <v>125</v>
      </c>
      <c r="M227" s="8" t="str">
        <f>HYPERLINK("http://slimages.macys.com/is/image/MCY/13860370 ")</f>
        <v xml:space="preserve">http://slimages.macys.com/is/image/MCY/13860370 </v>
      </c>
    </row>
    <row r="228" spans="1:13" ht="60" x14ac:dyDescent="0.25">
      <c r="A228" s="7" t="s">
        <v>7554</v>
      </c>
      <c r="B228" s="2" t="s">
        <v>2596</v>
      </c>
      <c r="C228" s="4">
        <v>2</v>
      </c>
      <c r="D228" s="5">
        <v>6.75</v>
      </c>
      <c r="E228" s="5">
        <v>16.989999999999998</v>
      </c>
      <c r="F228" s="4" t="s">
        <v>7555</v>
      </c>
      <c r="G228" s="2" t="s">
        <v>41</v>
      </c>
      <c r="H228" s="7" t="s">
        <v>68</v>
      </c>
      <c r="I228" s="2" t="s">
        <v>321</v>
      </c>
      <c r="J228" s="2" t="s">
        <v>477</v>
      </c>
      <c r="K228" s="2" t="s">
        <v>304</v>
      </c>
      <c r="L228" s="2" t="s">
        <v>125</v>
      </c>
      <c r="M228" s="8" t="str">
        <f>HYPERLINK("http://slimages.macys.com/is/image/MCY/13860422 ")</f>
        <v xml:space="preserve">http://slimages.macys.com/is/image/MCY/13860422 </v>
      </c>
    </row>
    <row r="229" spans="1:13" ht="60" x14ac:dyDescent="0.25">
      <c r="A229" s="7" t="s">
        <v>7566</v>
      </c>
      <c r="B229" s="2" t="s">
        <v>2596</v>
      </c>
      <c r="C229" s="4">
        <v>2</v>
      </c>
      <c r="D229" s="5">
        <v>6.75</v>
      </c>
      <c r="E229" s="5">
        <v>16.989999999999998</v>
      </c>
      <c r="F229" s="4" t="s">
        <v>7555</v>
      </c>
      <c r="G229" s="2" t="s">
        <v>41</v>
      </c>
      <c r="H229" s="7" t="s">
        <v>144</v>
      </c>
      <c r="I229" s="2" t="s">
        <v>321</v>
      </c>
      <c r="J229" s="2" t="s">
        <v>477</v>
      </c>
      <c r="K229" s="2" t="s">
        <v>304</v>
      </c>
      <c r="L229" s="2" t="s">
        <v>125</v>
      </c>
      <c r="M229" s="8" t="str">
        <f>HYPERLINK("http://slimages.macys.com/is/image/MCY/13860422 ")</f>
        <v xml:space="preserve">http://slimages.macys.com/is/image/MCY/13860422 </v>
      </c>
    </row>
    <row r="230" spans="1:13" ht="60" x14ac:dyDescent="0.25">
      <c r="A230" s="7" t="s">
        <v>7552</v>
      </c>
      <c r="B230" s="2" t="s">
        <v>4097</v>
      </c>
      <c r="C230" s="4">
        <v>3</v>
      </c>
      <c r="D230" s="5">
        <v>6.75</v>
      </c>
      <c r="E230" s="5">
        <v>16.989999999999998</v>
      </c>
      <c r="F230" s="4" t="s">
        <v>7553</v>
      </c>
      <c r="G230" s="2" t="s">
        <v>892</v>
      </c>
      <c r="H230" s="7" t="s">
        <v>144</v>
      </c>
      <c r="I230" s="2" t="s">
        <v>321</v>
      </c>
      <c r="J230" s="2" t="s">
        <v>477</v>
      </c>
      <c r="K230" s="2" t="s">
        <v>304</v>
      </c>
      <c r="L230" s="2" t="s">
        <v>125</v>
      </c>
      <c r="M230" s="8" t="str">
        <f>HYPERLINK("http://slimages.macys.com/is/image/MCY/13860370 ")</f>
        <v xml:space="preserve">http://slimages.macys.com/is/image/MCY/13860370 </v>
      </c>
    </row>
    <row r="231" spans="1:13" ht="60" x14ac:dyDescent="0.25">
      <c r="A231" s="7" t="s">
        <v>7577</v>
      </c>
      <c r="B231" s="2" t="s">
        <v>4097</v>
      </c>
      <c r="C231" s="4">
        <v>3</v>
      </c>
      <c r="D231" s="5">
        <v>6.75</v>
      </c>
      <c r="E231" s="5">
        <v>16.989999999999998</v>
      </c>
      <c r="F231" s="4" t="s">
        <v>7553</v>
      </c>
      <c r="G231" s="2" t="s">
        <v>892</v>
      </c>
      <c r="H231" s="7" t="s">
        <v>68</v>
      </c>
      <c r="I231" s="2" t="s">
        <v>321</v>
      </c>
      <c r="J231" s="2" t="s">
        <v>477</v>
      </c>
      <c r="K231" s="2" t="s">
        <v>304</v>
      </c>
      <c r="L231" s="2" t="s">
        <v>125</v>
      </c>
      <c r="M231" s="8" t="str">
        <f>HYPERLINK("http://slimages.macys.com/is/image/MCY/13860370 ")</f>
        <v xml:space="preserve">http://slimages.macys.com/is/image/MCY/13860370 </v>
      </c>
    </row>
    <row r="232" spans="1:13" ht="60" x14ac:dyDescent="0.25">
      <c r="A232" s="7" t="s">
        <v>7574</v>
      </c>
      <c r="B232" s="2" t="s">
        <v>4097</v>
      </c>
      <c r="C232" s="4">
        <v>1</v>
      </c>
      <c r="D232" s="5">
        <v>6.75</v>
      </c>
      <c r="E232" s="5">
        <v>16.989999999999998</v>
      </c>
      <c r="F232" s="4" t="s">
        <v>4098</v>
      </c>
      <c r="G232" s="2" t="s">
        <v>892</v>
      </c>
      <c r="H232" s="7"/>
      <c r="I232" s="2" t="s">
        <v>321</v>
      </c>
      <c r="J232" s="2" t="s">
        <v>477</v>
      </c>
      <c r="K232" s="2" t="s">
        <v>304</v>
      </c>
      <c r="L232" s="2" t="s">
        <v>125</v>
      </c>
      <c r="M232" s="8" t="str">
        <f>HYPERLINK("http://slimages.macys.com/is/image/MCY/13860370 ")</f>
        <v xml:space="preserve">http://slimages.macys.com/is/image/MCY/13860370 </v>
      </c>
    </row>
    <row r="233" spans="1:13" ht="60" x14ac:dyDescent="0.25">
      <c r="A233" s="7" t="s">
        <v>9545</v>
      </c>
      <c r="B233" s="2" t="s">
        <v>9546</v>
      </c>
      <c r="C233" s="4">
        <v>1</v>
      </c>
      <c r="D233" s="5">
        <v>6.75</v>
      </c>
      <c r="E233" s="5">
        <v>14.99</v>
      </c>
      <c r="F233" s="4" t="s">
        <v>9547</v>
      </c>
      <c r="G233" s="2" t="s">
        <v>437</v>
      </c>
      <c r="H233" s="7" t="s">
        <v>217</v>
      </c>
      <c r="I233" s="2" t="s">
        <v>257</v>
      </c>
      <c r="J233" s="2" t="s">
        <v>4094</v>
      </c>
      <c r="K233" s="2" t="s">
        <v>304</v>
      </c>
      <c r="L233" s="2" t="s">
        <v>460</v>
      </c>
      <c r="M233" s="8" t="str">
        <f>HYPERLINK("http://slimages.macys.com/is/image/MCY/12080292 ")</f>
        <v xml:space="preserve">http://slimages.macys.com/is/image/MCY/12080292 </v>
      </c>
    </row>
    <row r="234" spans="1:13" ht="60" x14ac:dyDescent="0.25">
      <c r="A234" s="7" t="s">
        <v>9548</v>
      </c>
      <c r="B234" s="2" t="s">
        <v>7564</v>
      </c>
      <c r="C234" s="4">
        <v>4</v>
      </c>
      <c r="D234" s="5">
        <v>6.75</v>
      </c>
      <c r="E234" s="5">
        <v>21.99</v>
      </c>
      <c r="F234" s="4" t="s">
        <v>7565</v>
      </c>
      <c r="G234" s="2" t="s">
        <v>310</v>
      </c>
      <c r="H234" s="7" t="s">
        <v>209</v>
      </c>
      <c r="I234" s="2" t="s">
        <v>342</v>
      </c>
      <c r="J234" s="2" t="s">
        <v>362</v>
      </c>
      <c r="K234" s="2" t="s">
        <v>304</v>
      </c>
      <c r="L234" s="2" t="s">
        <v>3935</v>
      </c>
      <c r="M234" s="8" t="str">
        <f>HYPERLINK("http://slimages.macys.com/is/image/MCY/12227599 ")</f>
        <v xml:space="preserve">http://slimages.macys.com/is/image/MCY/12227599 </v>
      </c>
    </row>
    <row r="235" spans="1:13" ht="96" x14ac:dyDescent="0.25">
      <c r="A235" s="7" t="s">
        <v>9549</v>
      </c>
      <c r="B235" s="2" t="s">
        <v>9550</v>
      </c>
      <c r="C235" s="4">
        <v>1</v>
      </c>
      <c r="D235" s="5">
        <v>6.75</v>
      </c>
      <c r="E235" s="5">
        <v>21.99</v>
      </c>
      <c r="F235" s="4" t="s">
        <v>9551</v>
      </c>
      <c r="G235" s="2" t="s">
        <v>310</v>
      </c>
      <c r="H235" s="7" t="s">
        <v>311</v>
      </c>
      <c r="I235" s="2" t="s">
        <v>342</v>
      </c>
      <c r="J235" s="2" t="s">
        <v>362</v>
      </c>
      <c r="K235" s="2" t="s">
        <v>304</v>
      </c>
      <c r="L235" s="2" t="s">
        <v>9552</v>
      </c>
      <c r="M235" s="8" t="str">
        <f>HYPERLINK("http://slimages.macys.com/is/image/MCY/12227657 ")</f>
        <v xml:space="preserve">http://slimages.macys.com/is/image/MCY/12227657 </v>
      </c>
    </row>
    <row r="236" spans="1:13" ht="60" x14ac:dyDescent="0.25">
      <c r="A236" s="7" t="s">
        <v>9553</v>
      </c>
      <c r="B236" s="2" t="s">
        <v>9554</v>
      </c>
      <c r="C236" s="4">
        <v>1</v>
      </c>
      <c r="D236" s="5">
        <v>6.75</v>
      </c>
      <c r="E236" s="5">
        <v>21.99</v>
      </c>
      <c r="F236" s="4" t="s">
        <v>9555</v>
      </c>
      <c r="G236" s="2" t="s">
        <v>310</v>
      </c>
      <c r="H236" s="7" t="s">
        <v>311</v>
      </c>
      <c r="I236" s="2" t="s">
        <v>342</v>
      </c>
      <c r="J236" s="2" t="s">
        <v>362</v>
      </c>
      <c r="K236" s="2" t="s">
        <v>304</v>
      </c>
      <c r="L236" s="2" t="s">
        <v>3935</v>
      </c>
      <c r="M236" s="8" t="str">
        <f>HYPERLINK("http://slimages.macys.com/is/image/MCY/12227641 ")</f>
        <v xml:space="preserve">http://slimages.macys.com/is/image/MCY/12227641 </v>
      </c>
    </row>
    <row r="237" spans="1:13" ht="96" x14ac:dyDescent="0.25">
      <c r="A237" s="7" t="s">
        <v>5430</v>
      </c>
      <c r="B237" s="2" t="s">
        <v>4088</v>
      </c>
      <c r="C237" s="4">
        <v>4</v>
      </c>
      <c r="D237" s="5">
        <v>6.75</v>
      </c>
      <c r="E237" s="5">
        <v>16.989999999999998</v>
      </c>
      <c r="F237" s="4" t="s">
        <v>5431</v>
      </c>
      <c r="G237" s="2" t="s">
        <v>892</v>
      </c>
      <c r="H237" s="7" t="s">
        <v>144</v>
      </c>
      <c r="I237" s="2" t="s">
        <v>321</v>
      </c>
      <c r="J237" s="2" t="s">
        <v>477</v>
      </c>
      <c r="K237" s="2" t="s">
        <v>304</v>
      </c>
      <c r="L237" s="2" t="s">
        <v>1516</v>
      </c>
      <c r="M237" s="8" t="str">
        <f>HYPERLINK("http://slimages.macys.com/is/image/MCY/13860413 ")</f>
        <v xml:space="preserve">http://slimages.macys.com/is/image/MCY/13860413 </v>
      </c>
    </row>
    <row r="238" spans="1:13" ht="96" x14ac:dyDescent="0.25">
      <c r="A238" s="7" t="s">
        <v>7571</v>
      </c>
      <c r="B238" s="2" t="s">
        <v>4088</v>
      </c>
      <c r="C238" s="4">
        <v>3</v>
      </c>
      <c r="D238" s="5">
        <v>6.75</v>
      </c>
      <c r="E238" s="5">
        <v>16.989999999999998</v>
      </c>
      <c r="F238" s="4" t="s">
        <v>5431</v>
      </c>
      <c r="G238" s="2" t="s">
        <v>892</v>
      </c>
      <c r="H238" s="7" t="s">
        <v>68</v>
      </c>
      <c r="I238" s="2" t="s">
        <v>321</v>
      </c>
      <c r="J238" s="2" t="s">
        <v>477</v>
      </c>
      <c r="K238" s="2" t="s">
        <v>304</v>
      </c>
      <c r="L238" s="2" t="s">
        <v>1516</v>
      </c>
      <c r="M238" s="8" t="str">
        <f>HYPERLINK("http://slimages.macys.com/is/image/MCY/13860413 ")</f>
        <v xml:space="preserve">http://slimages.macys.com/is/image/MCY/13860413 </v>
      </c>
    </row>
    <row r="239" spans="1:13" ht="84" x14ac:dyDescent="0.25">
      <c r="A239" s="7" t="s">
        <v>1797</v>
      </c>
      <c r="B239" s="2" t="s">
        <v>474</v>
      </c>
      <c r="C239" s="4">
        <v>4</v>
      </c>
      <c r="D239" s="5">
        <v>6.75</v>
      </c>
      <c r="E239" s="5">
        <v>16.989999999999998</v>
      </c>
      <c r="F239" s="4" t="s">
        <v>1798</v>
      </c>
      <c r="G239" s="2" t="s">
        <v>476</v>
      </c>
      <c r="H239" s="7"/>
      <c r="I239" s="2" t="s">
        <v>321</v>
      </c>
      <c r="J239" s="2" t="s">
        <v>477</v>
      </c>
      <c r="K239" s="2" t="s">
        <v>304</v>
      </c>
      <c r="L239" s="2" t="s">
        <v>1117</v>
      </c>
      <c r="M239" s="8" t="str">
        <f>HYPERLINK("http://slimages.macys.com/is/image/MCY/13860353 ")</f>
        <v xml:space="preserve">http://slimages.macys.com/is/image/MCY/13860353 </v>
      </c>
    </row>
    <row r="240" spans="1:13" ht="84" x14ac:dyDescent="0.25">
      <c r="A240" s="7" t="s">
        <v>2599</v>
      </c>
      <c r="B240" s="2" t="s">
        <v>2600</v>
      </c>
      <c r="C240" s="4">
        <v>1</v>
      </c>
      <c r="D240" s="5">
        <v>6.72</v>
      </c>
      <c r="E240" s="5">
        <v>17.989999999999998</v>
      </c>
      <c r="F240" s="4" t="s">
        <v>2601</v>
      </c>
      <c r="G240" s="2" t="s">
        <v>171</v>
      </c>
      <c r="H240" s="7" t="s">
        <v>228</v>
      </c>
      <c r="I240" s="2" t="s">
        <v>515</v>
      </c>
      <c r="J240" s="2" t="s">
        <v>827</v>
      </c>
      <c r="K240" s="2" t="s">
        <v>304</v>
      </c>
      <c r="L240" s="2" t="s">
        <v>1117</v>
      </c>
      <c r="M240" s="8" t="str">
        <f>HYPERLINK("http://slimages.macys.com/is/image/MCY/11605968 ")</f>
        <v xml:space="preserve">http://slimages.macys.com/is/image/MCY/11605968 </v>
      </c>
    </row>
    <row r="241" spans="1:13" ht="60" x14ac:dyDescent="0.25">
      <c r="A241" s="7" t="s">
        <v>9556</v>
      </c>
      <c r="B241" s="2" t="s">
        <v>1800</v>
      </c>
      <c r="C241" s="4">
        <v>1</v>
      </c>
      <c r="D241" s="5">
        <v>6.7</v>
      </c>
      <c r="E241" s="5">
        <v>16.989999999999998</v>
      </c>
      <c r="F241" s="4" t="s">
        <v>1801</v>
      </c>
      <c r="G241" s="2" t="s">
        <v>527</v>
      </c>
      <c r="H241" s="7" t="s">
        <v>196</v>
      </c>
      <c r="I241" s="2" t="s">
        <v>515</v>
      </c>
      <c r="J241" s="2" t="s">
        <v>827</v>
      </c>
      <c r="K241" s="2" t="s">
        <v>304</v>
      </c>
      <c r="L241" s="2" t="s">
        <v>358</v>
      </c>
      <c r="M241" s="8" t="str">
        <f>HYPERLINK("http://slimages.macys.com/is/image/MCY/12052318 ")</f>
        <v xml:space="preserve">http://slimages.macys.com/is/image/MCY/12052318 </v>
      </c>
    </row>
    <row r="242" spans="1:13" ht="60" x14ac:dyDescent="0.25">
      <c r="A242" s="7" t="s">
        <v>1799</v>
      </c>
      <c r="B242" s="2" t="s">
        <v>1800</v>
      </c>
      <c r="C242" s="4">
        <v>1</v>
      </c>
      <c r="D242" s="5">
        <v>6.7</v>
      </c>
      <c r="E242" s="5">
        <v>16.989999999999998</v>
      </c>
      <c r="F242" s="4" t="s">
        <v>1801</v>
      </c>
      <c r="G242" s="2" t="s">
        <v>527</v>
      </c>
      <c r="H242" s="7" t="s">
        <v>159</v>
      </c>
      <c r="I242" s="2" t="s">
        <v>515</v>
      </c>
      <c r="J242" s="2" t="s">
        <v>827</v>
      </c>
      <c r="K242" s="2" t="s">
        <v>304</v>
      </c>
      <c r="L242" s="2" t="s">
        <v>358</v>
      </c>
      <c r="M242" s="8" t="str">
        <f>HYPERLINK("http://slimages.macys.com/is/image/MCY/12052318 ")</f>
        <v xml:space="preserve">http://slimages.macys.com/is/image/MCY/12052318 </v>
      </c>
    </row>
    <row r="243" spans="1:13" ht="60" x14ac:dyDescent="0.25">
      <c r="A243" s="7" t="s">
        <v>3346</v>
      </c>
      <c r="B243" s="2" t="s">
        <v>3347</v>
      </c>
      <c r="C243" s="4">
        <v>1</v>
      </c>
      <c r="D243" s="5">
        <v>6.7</v>
      </c>
      <c r="E243" s="5">
        <v>11.99</v>
      </c>
      <c r="F243" s="4" t="s">
        <v>3348</v>
      </c>
      <c r="G243" s="2" t="s">
        <v>48</v>
      </c>
      <c r="H243" s="7" t="s">
        <v>123</v>
      </c>
      <c r="I243" s="2" t="s">
        <v>73</v>
      </c>
      <c r="J243" s="2" t="s">
        <v>1963</v>
      </c>
      <c r="K243" s="2" t="s">
        <v>304</v>
      </c>
      <c r="L243" s="2" t="s">
        <v>100</v>
      </c>
      <c r="M243" s="8" t="str">
        <f>HYPERLINK("http://slimages.macys.com/is/image/MCY/11229110 ")</f>
        <v xml:space="preserve">http://slimages.macys.com/is/image/MCY/11229110 </v>
      </c>
    </row>
    <row r="244" spans="1:13" ht="60" x14ac:dyDescent="0.25">
      <c r="A244" s="7" t="s">
        <v>9557</v>
      </c>
      <c r="B244" s="2" t="s">
        <v>1800</v>
      </c>
      <c r="C244" s="4">
        <v>1</v>
      </c>
      <c r="D244" s="5">
        <v>6.7</v>
      </c>
      <c r="E244" s="5">
        <v>16.989999999999998</v>
      </c>
      <c r="F244" s="4" t="s">
        <v>1801</v>
      </c>
      <c r="G244" s="2" t="s">
        <v>527</v>
      </c>
      <c r="H244" s="7" t="s">
        <v>228</v>
      </c>
      <c r="I244" s="2" t="s">
        <v>515</v>
      </c>
      <c r="J244" s="2" t="s">
        <v>827</v>
      </c>
      <c r="K244" s="2" t="s">
        <v>304</v>
      </c>
      <c r="L244" s="2" t="s">
        <v>358</v>
      </c>
      <c r="M244" s="8" t="str">
        <f>HYPERLINK("http://slimages.macys.com/is/image/MCY/12052318 ")</f>
        <v xml:space="preserve">http://slimages.macys.com/is/image/MCY/12052318 </v>
      </c>
    </row>
    <row r="245" spans="1:13" ht="60" x14ac:dyDescent="0.25">
      <c r="A245" s="7" t="s">
        <v>9558</v>
      </c>
      <c r="B245" s="2" t="s">
        <v>1025</v>
      </c>
      <c r="C245" s="4">
        <v>1</v>
      </c>
      <c r="D245" s="5">
        <v>6.67</v>
      </c>
      <c r="E245" s="5">
        <v>16.989999999999998</v>
      </c>
      <c r="F245" s="4" t="s">
        <v>1804</v>
      </c>
      <c r="G245" s="2" t="s">
        <v>297</v>
      </c>
      <c r="H245" s="7" t="s">
        <v>228</v>
      </c>
      <c r="I245" s="2" t="s">
        <v>515</v>
      </c>
      <c r="J245" s="2" t="s">
        <v>827</v>
      </c>
      <c r="K245" s="2" t="s">
        <v>304</v>
      </c>
      <c r="L245" s="2" t="s">
        <v>358</v>
      </c>
      <c r="M245" s="8" t="str">
        <f t="shared" ref="M245:M251" si="2">HYPERLINK("http://slimages.macys.com/is/image/MCY/12687279 ")</f>
        <v xml:space="preserve">http://slimages.macys.com/is/image/MCY/12687279 </v>
      </c>
    </row>
    <row r="246" spans="1:13" ht="60" x14ac:dyDescent="0.25">
      <c r="A246" s="7" t="s">
        <v>9559</v>
      </c>
      <c r="B246" s="2" t="s">
        <v>1025</v>
      </c>
      <c r="C246" s="4">
        <v>1</v>
      </c>
      <c r="D246" s="5">
        <v>6.67</v>
      </c>
      <c r="E246" s="5">
        <v>16.989999999999998</v>
      </c>
      <c r="F246" s="4" t="s">
        <v>1804</v>
      </c>
      <c r="G246" s="2" t="s">
        <v>62</v>
      </c>
      <c r="H246" s="7" t="s">
        <v>196</v>
      </c>
      <c r="I246" s="2" t="s">
        <v>515</v>
      </c>
      <c r="J246" s="2" t="s">
        <v>827</v>
      </c>
      <c r="K246" s="2" t="s">
        <v>304</v>
      </c>
      <c r="L246" s="2" t="s">
        <v>358</v>
      </c>
      <c r="M246" s="8" t="str">
        <f t="shared" si="2"/>
        <v xml:space="preserve">http://slimages.macys.com/is/image/MCY/12687279 </v>
      </c>
    </row>
    <row r="247" spans="1:13" ht="60" x14ac:dyDescent="0.25">
      <c r="A247" s="7" t="s">
        <v>1805</v>
      </c>
      <c r="B247" s="2" t="s">
        <v>1025</v>
      </c>
      <c r="C247" s="4">
        <v>1</v>
      </c>
      <c r="D247" s="5">
        <v>6.67</v>
      </c>
      <c r="E247" s="5">
        <v>16.989999999999998</v>
      </c>
      <c r="F247" s="4" t="s">
        <v>1804</v>
      </c>
      <c r="G247" s="2" t="s">
        <v>62</v>
      </c>
      <c r="H247" s="7" t="s">
        <v>228</v>
      </c>
      <c r="I247" s="2" t="s">
        <v>515</v>
      </c>
      <c r="J247" s="2" t="s">
        <v>827</v>
      </c>
      <c r="K247" s="2" t="s">
        <v>304</v>
      </c>
      <c r="L247" s="2" t="s">
        <v>358</v>
      </c>
      <c r="M247" s="8" t="str">
        <f t="shared" si="2"/>
        <v xml:space="preserve">http://slimages.macys.com/is/image/MCY/12687279 </v>
      </c>
    </row>
    <row r="248" spans="1:13" ht="60" x14ac:dyDescent="0.25">
      <c r="A248" s="7" t="s">
        <v>9560</v>
      </c>
      <c r="B248" s="2" t="s">
        <v>1025</v>
      </c>
      <c r="C248" s="4">
        <v>1</v>
      </c>
      <c r="D248" s="5">
        <v>6.67</v>
      </c>
      <c r="E248" s="5">
        <v>16.989999999999998</v>
      </c>
      <c r="F248" s="4" t="s">
        <v>1804</v>
      </c>
      <c r="G248" s="2" t="s">
        <v>297</v>
      </c>
      <c r="H248" s="7" t="s">
        <v>196</v>
      </c>
      <c r="I248" s="2" t="s">
        <v>515</v>
      </c>
      <c r="J248" s="2" t="s">
        <v>827</v>
      </c>
      <c r="K248" s="2" t="s">
        <v>304</v>
      </c>
      <c r="L248" s="2" t="s">
        <v>358</v>
      </c>
      <c r="M248" s="8" t="str">
        <f t="shared" si="2"/>
        <v xml:space="preserve">http://slimages.macys.com/is/image/MCY/12687279 </v>
      </c>
    </row>
    <row r="249" spans="1:13" ht="60" x14ac:dyDescent="0.25">
      <c r="A249" s="7" t="s">
        <v>1803</v>
      </c>
      <c r="B249" s="2" t="s">
        <v>1025</v>
      </c>
      <c r="C249" s="4">
        <v>5</v>
      </c>
      <c r="D249" s="5">
        <v>6.67</v>
      </c>
      <c r="E249" s="5">
        <v>16.989999999999998</v>
      </c>
      <c r="F249" s="4" t="s">
        <v>1804</v>
      </c>
      <c r="G249" s="2" t="s">
        <v>62</v>
      </c>
      <c r="H249" s="7" t="s">
        <v>284</v>
      </c>
      <c r="I249" s="2" t="s">
        <v>515</v>
      </c>
      <c r="J249" s="2" t="s">
        <v>827</v>
      </c>
      <c r="K249" s="2" t="s">
        <v>304</v>
      </c>
      <c r="L249" s="2" t="s">
        <v>358</v>
      </c>
      <c r="M249" s="8" t="str">
        <f t="shared" si="2"/>
        <v xml:space="preserve">http://slimages.macys.com/is/image/MCY/12687279 </v>
      </c>
    </row>
    <row r="250" spans="1:13" ht="60" x14ac:dyDescent="0.25">
      <c r="A250" s="7" t="s">
        <v>2602</v>
      </c>
      <c r="B250" s="2" t="s">
        <v>1025</v>
      </c>
      <c r="C250" s="4">
        <v>2</v>
      </c>
      <c r="D250" s="5">
        <v>6.67</v>
      </c>
      <c r="E250" s="5">
        <v>16.989999999999998</v>
      </c>
      <c r="F250" s="4" t="s">
        <v>1804</v>
      </c>
      <c r="G250" s="2" t="s">
        <v>62</v>
      </c>
      <c r="H250" s="7" t="s">
        <v>159</v>
      </c>
      <c r="I250" s="2" t="s">
        <v>515</v>
      </c>
      <c r="J250" s="2" t="s">
        <v>827</v>
      </c>
      <c r="K250" s="2" t="s">
        <v>304</v>
      </c>
      <c r="L250" s="2" t="s">
        <v>358</v>
      </c>
      <c r="M250" s="8" t="str">
        <f t="shared" si="2"/>
        <v xml:space="preserve">http://slimages.macys.com/is/image/MCY/12687279 </v>
      </c>
    </row>
    <row r="251" spans="1:13" ht="60" x14ac:dyDescent="0.25">
      <c r="A251" s="7" t="s">
        <v>9561</v>
      </c>
      <c r="B251" s="2" t="s">
        <v>1025</v>
      </c>
      <c r="C251" s="4">
        <v>4</v>
      </c>
      <c r="D251" s="5">
        <v>6.67</v>
      </c>
      <c r="E251" s="5">
        <v>16.989999999999998</v>
      </c>
      <c r="F251" s="4" t="s">
        <v>1804</v>
      </c>
      <c r="G251" s="2" t="s">
        <v>297</v>
      </c>
      <c r="H251" s="7" t="s">
        <v>159</v>
      </c>
      <c r="I251" s="2" t="s">
        <v>515</v>
      </c>
      <c r="J251" s="2" t="s">
        <v>827</v>
      </c>
      <c r="K251" s="2" t="s">
        <v>304</v>
      </c>
      <c r="L251" s="2" t="s">
        <v>358</v>
      </c>
      <c r="M251" s="8" t="str">
        <f t="shared" si="2"/>
        <v xml:space="preserve">http://slimages.macys.com/is/image/MCY/12687279 </v>
      </c>
    </row>
    <row r="252" spans="1:13" ht="60" x14ac:dyDescent="0.25">
      <c r="A252" s="7" t="s">
        <v>4937</v>
      </c>
      <c r="B252" s="2" t="s">
        <v>4938</v>
      </c>
      <c r="C252" s="4">
        <v>1</v>
      </c>
      <c r="D252" s="5">
        <v>6.65</v>
      </c>
      <c r="E252" s="5">
        <v>13.3</v>
      </c>
      <c r="F252" s="4" t="s">
        <v>4939</v>
      </c>
      <c r="G252" s="2" t="s">
        <v>79</v>
      </c>
      <c r="H252" s="7"/>
      <c r="I252" s="2" t="s">
        <v>487</v>
      </c>
      <c r="J252" s="2" t="s">
        <v>488</v>
      </c>
      <c r="K252" s="2" t="s">
        <v>304</v>
      </c>
      <c r="L252" s="2" t="s">
        <v>38</v>
      </c>
      <c r="M252" s="8" t="str">
        <f>HYPERLINK("http://slimages.macys.com/is/image/MCY/11867536 ")</f>
        <v xml:space="preserve">http://slimages.macys.com/is/image/MCY/11867536 </v>
      </c>
    </row>
    <row r="253" spans="1:13" ht="60" x14ac:dyDescent="0.25">
      <c r="A253" s="7" t="s">
        <v>9562</v>
      </c>
      <c r="B253" s="2" t="s">
        <v>9563</v>
      </c>
      <c r="C253" s="4">
        <v>1</v>
      </c>
      <c r="D253" s="5">
        <v>6.55</v>
      </c>
      <c r="E253" s="5">
        <v>11.99</v>
      </c>
      <c r="F253" s="4" t="s">
        <v>9564</v>
      </c>
      <c r="G253" s="2" t="s">
        <v>28</v>
      </c>
      <c r="H253" s="7" t="s">
        <v>233</v>
      </c>
      <c r="I253" s="2" t="s">
        <v>153</v>
      </c>
      <c r="J253" s="2" t="s">
        <v>154</v>
      </c>
      <c r="K253" s="2" t="s">
        <v>304</v>
      </c>
      <c r="L253" s="2" t="s">
        <v>206</v>
      </c>
      <c r="M253" s="8" t="str">
        <f>HYPERLINK("http://slimages.macys.com/is/image/MCY/9658231 ")</f>
        <v xml:space="preserve">http://slimages.macys.com/is/image/MCY/9658231 </v>
      </c>
    </row>
    <row r="254" spans="1:13" ht="60" x14ac:dyDescent="0.25">
      <c r="A254" s="7" t="s">
        <v>9565</v>
      </c>
      <c r="B254" s="2" t="s">
        <v>9566</v>
      </c>
      <c r="C254" s="4">
        <v>1</v>
      </c>
      <c r="D254" s="5">
        <v>6.5</v>
      </c>
      <c r="E254" s="5">
        <v>15.99</v>
      </c>
      <c r="F254" s="4">
        <v>811911750</v>
      </c>
      <c r="G254" s="2" t="s">
        <v>41</v>
      </c>
      <c r="H254" s="7" t="s">
        <v>284</v>
      </c>
      <c r="I254" s="2" t="s">
        <v>73</v>
      </c>
      <c r="J254" s="2" t="s">
        <v>5955</v>
      </c>
      <c r="K254" s="2" t="s">
        <v>304</v>
      </c>
      <c r="L254" s="2" t="s">
        <v>596</v>
      </c>
      <c r="M254" s="8" t="str">
        <f>HYPERLINK("http://slimages.macys.com/is/image/MCY/12754152 ")</f>
        <v xml:space="preserve">http://slimages.macys.com/is/image/MCY/12754152 </v>
      </c>
    </row>
    <row r="255" spans="1:13" ht="96" x14ac:dyDescent="0.25">
      <c r="A255" s="7" t="s">
        <v>7598</v>
      </c>
      <c r="B255" s="2" t="s">
        <v>1811</v>
      </c>
      <c r="C255" s="4">
        <v>2</v>
      </c>
      <c r="D255" s="5">
        <v>6.45</v>
      </c>
      <c r="E255" s="5">
        <v>16.989999999999998</v>
      </c>
      <c r="F255" s="4" t="s">
        <v>1812</v>
      </c>
      <c r="G255" s="2" t="s">
        <v>62</v>
      </c>
      <c r="H255" s="7" t="s">
        <v>284</v>
      </c>
      <c r="I255" s="2" t="s">
        <v>515</v>
      </c>
      <c r="J255" s="2" t="s">
        <v>827</v>
      </c>
      <c r="K255" s="2" t="s">
        <v>304</v>
      </c>
      <c r="L255" s="2" t="s">
        <v>1813</v>
      </c>
      <c r="M255" s="8" t="str">
        <f>HYPERLINK("http://slimages.macys.com/is/image/MCY/12686957 ")</f>
        <v xml:space="preserve">http://slimages.macys.com/is/image/MCY/12686957 </v>
      </c>
    </row>
    <row r="256" spans="1:13" ht="96" x14ac:dyDescent="0.25">
      <c r="A256" s="7" t="s">
        <v>1810</v>
      </c>
      <c r="B256" s="2" t="s">
        <v>1811</v>
      </c>
      <c r="C256" s="4">
        <v>1</v>
      </c>
      <c r="D256" s="5">
        <v>6.45</v>
      </c>
      <c r="E256" s="5">
        <v>16.989999999999998</v>
      </c>
      <c r="F256" s="4" t="s">
        <v>1812</v>
      </c>
      <c r="G256" s="2" t="s">
        <v>62</v>
      </c>
      <c r="H256" s="7" t="s">
        <v>228</v>
      </c>
      <c r="I256" s="2" t="s">
        <v>515</v>
      </c>
      <c r="J256" s="2" t="s">
        <v>827</v>
      </c>
      <c r="K256" s="2" t="s">
        <v>304</v>
      </c>
      <c r="L256" s="2" t="s">
        <v>1813</v>
      </c>
      <c r="M256" s="8" t="str">
        <f>HYPERLINK("http://slimages.macys.com/is/image/MCY/12686957 ")</f>
        <v xml:space="preserve">http://slimages.macys.com/is/image/MCY/12686957 </v>
      </c>
    </row>
    <row r="257" spans="1:13" ht="60" x14ac:dyDescent="0.25">
      <c r="A257" s="7" t="s">
        <v>1818</v>
      </c>
      <c r="B257" s="2" t="s">
        <v>1815</v>
      </c>
      <c r="C257" s="4">
        <v>1</v>
      </c>
      <c r="D257" s="5">
        <v>6.43</v>
      </c>
      <c r="E257" s="5">
        <v>16.989999999999998</v>
      </c>
      <c r="F257" s="4" t="s">
        <v>1816</v>
      </c>
      <c r="G257" s="2" t="s">
        <v>262</v>
      </c>
      <c r="H257" s="7" t="s">
        <v>284</v>
      </c>
      <c r="I257" s="2" t="s">
        <v>515</v>
      </c>
      <c r="J257" s="2" t="s">
        <v>827</v>
      </c>
      <c r="K257" s="2" t="s">
        <v>304</v>
      </c>
      <c r="L257" s="2" t="s">
        <v>358</v>
      </c>
      <c r="M257" s="8" t="str">
        <f>HYPERLINK("http://slimages.macys.com/is/image/MCY/13118981 ")</f>
        <v xml:space="preserve">http://slimages.macys.com/is/image/MCY/13118981 </v>
      </c>
    </row>
    <row r="258" spans="1:13" ht="60" x14ac:dyDescent="0.25">
      <c r="A258" s="7" t="s">
        <v>1814</v>
      </c>
      <c r="B258" s="2" t="s">
        <v>1815</v>
      </c>
      <c r="C258" s="4">
        <v>1</v>
      </c>
      <c r="D258" s="5">
        <v>6.43</v>
      </c>
      <c r="E258" s="5">
        <v>16.989999999999998</v>
      </c>
      <c r="F258" s="4" t="s">
        <v>1816</v>
      </c>
      <c r="G258" s="2" t="s">
        <v>262</v>
      </c>
      <c r="H258" s="7" t="s">
        <v>159</v>
      </c>
      <c r="I258" s="2" t="s">
        <v>515</v>
      </c>
      <c r="J258" s="2" t="s">
        <v>827</v>
      </c>
      <c r="K258" s="2" t="s">
        <v>304</v>
      </c>
      <c r="L258" s="2" t="s">
        <v>358</v>
      </c>
      <c r="M258" s="8" t="str">
        <f>HYPERLINK("http://slimages.macys.com/is/image/MCY/13118981 ")</f>
        <v xml:space="preserve">http://slimages.macys.com/is/image/MCY/13118981 </v>
      </c>
    </row>
    <row r="259" spans="1:13" ht="60" x14ac:dyDescent="0.25">
      <c r="A259" s="7" t="s">
        <v>7600</v>
      </c>
      <c r="B259" s="2" t="s">
        <v>1820</v>
      </c>
      <c r="C259" s="4">
        <v>1</v>
      </c>
      <c r="D259" s="5">
        <v>6.41</v>
      </c>
      <c r="E259" s="5">
        <v>16.989999999999998</v>
      </c>
      <c r="F259" s="4" t="s">
        <v>1821</v>
      </c>
      <c r="G259" s="2" t="s">
        <v>28</v>
      </c>
      <c r="H259" s="7" t="s">
        <v>228</v>
      </c>
      <c r="I259" s="2" t="s">
        <v>515</v>
      </c>
      <c r="J259" s="2" t="s">
        <v>827</v>
      </c>
      <c r="K259" s="2" t="s">
        <v>304</v>
      </c>
      <c r="L259" s="2" t="s">
        <v>358</v>
      </c>
      <c r="M259" s="8" t="str">
        <f>HYPERLINK("http://slimages.macys.com/is/image/MCY/11531066 ")</f>
        <v xml:space="preserve">http://slimages.macys.com/is/image/MCY/11531066 </v>
      </c>
    </row>
    <row r="260" spans="1:13" ht="132" x14ac:dyDescent="0.25">
      <c r="A260" s="7" t="s">
        <v>9567</v>
      </c>
      <c r="B260" s="2" t="s">
        <v>1782</v>
      </c>
      <c r="C260" s="4">
        <v>1</v>
      </c>
      <c r="D260" s="5">
        <v>6.33</v>
      </c>
      <c r="E260" s="5">
        <v>12.99</v>
      </c>
      <c r="F260" s="4" t="s">
        <v>9568</v>
      </c>
      <c r="G260" s="2" t="s">
        <v>62</v>
      </c>
      <c r="H260" s="7" t="s">
        <v>514</v>
      </c>
      <c r="I260" s="2" t="s">
        <v>515</v>
      </c>
      <c r="J260" s="2" t="s">
        <v>516</v>
      </c>
      <c r="K260" s="2" t="s">
        <v>304</v>
      </c>
      <c r="L260" s="2" t="s">
        <v>1784</v>
      </c>
      <c r="M260" s="8" t="str">
        <f>HYPERLINK("http://slimages.macys.com/is/image/MCY/12387468 ")</f>
        <v xml:space="preserve">http://slimages.macys.com/is/image/MCY/12387468 </v>
      </c>
    </row>
    <row r="261" spans="1:13" ht="132" x14ac:dyDescent="0.25">
      <c r="A261" s="7" t="s">
        <v>9569</v>
      </c>
      <c r="B261" s="2" t="s">
        <v>1782</v>
      </c>
      <c r="C261" s="4">
        <v>3</v>
      </c>
      <c r="D261" s="5">
        <v>6.33</v>
      </c>
      <c r="E261" s="5">
        <v>12.99</v>
      </c>
      <c r="F261" s="4" t="s">
        <v>9568</v>
      </c>
      <c r="G261" s="2" t="s">
        <v>62</v>
      </c>
      <c r="H261" s="7" t="s">
        <v>311</v>
      </c>
      <c r="I261" s="2" t="s">
        <v>515</v>
      </c>
      <c r="J261" s="2" t="s">
        <v>516</v>
      </c>
      <c r="K261" s="2" t="s">
        <v>304</v>
      </c>
      <c r="L261" s="2" t="s">
        <v>1784</v>
      </c>
      <c r="M261" s="8" t="str">
        <f>HYPERLINK("http://slimages.macys.com/is/image/MCY/12387468 ")</f>
        <v xml:space="preserve">http://slimages.macys.com/is/image/MCY/12387468 </v>
      </c>
    </row>
    <row r="262" spans="1:13" ht="60" x14ac:dyDescent="0.25">
      <c r="A262" s="7" t="s">
        <v>5938</v>
      </c>
      <c r="B262" s="2" t="s">
        <v>5939</v>
      </c>
      <c r="C262" s="4">
        <v>1</v>
      </c>
      <c r="D262" s="5">
        <v>6.3</v>
      </c>
      <c r="E262" s="5">
        <v>10.99</v>
      </c>
      <c r="F262" s="4" t="s">
        <v>5940</v>
      </c>
      <c r="G262" s="2" t="s">
        <v>36</v>
      </c>
      <c r="H262" s="7" t="s">
        <v>159</v>
      </c>
      <c r="I262" s="2" t="s">
        <v>73</v>
      </c>
      <c r="J262" s="2" t="s">
        <v>1917</v>
      </c>
      <c r="K262" s="2" t="s">
        <v>304</v>
      </c>
      <c r="L262" s="2" t="s">
        <v>100</v>
      </c>
      <c r="M262" s="8" t="str">
        <f>HYPERLINK("http://slimages.macys.com/is/image/MCY/11228231 ")</f>
        <v xml:space="preserve">http://slimages.macys.com/is/image/MCY/11228231 </v>
      </c>
    </row>
    <row r="263" spans="1:13" ht="60" x14ac:dyDescent="0.25">
      <c r="A263" s="7" t="s">
        <v>9570</v>
      </c>
      <c r="B263" s="2" t="s">
        <v>4954</v>
      </c>
      <c r="C263" s="4">
        <v>1</v>
      </c>
      <c r="D263" s="5">
        <v>6.25</v>
      </c>
      <c r="E263" s="5">
        <v>17.989999999999998</v>
      </c>
      <c r="F263" s="4" t="s">
        <v>4955</v>
      </c>
      <c r="G263" s="2" t="s">
        <v>28</v>
      </c>
      <c r="H263" s="7" t="s">
        <v>196</v>
      </c>
      <c r="I263" s="2" t="s">
        <v>342</v>
      </c>
      <c r="J263" s="2" t="s">
        <v>1834</v>
      </c>
      <c r="K263" s="2" t="s">
        <v>304</v>
      </c>
      <c r="L263" s="2" t="s">
        <v>335</v>
      </c>
      <c r="M263" s="8" t="str">
        <f>HYPERLINK("http://slimages.macys.com/is/image/MCY/12236897 ")</f>
        <v xml:space="preserve">http://slimages.macys.com/is/image/MCY/12236897 </v>
      </c>
    </row>
    <row r="264" spans="1:13" ht="60" x14ac:dyDescent="0.25">
      <c r="A264" s="7" t="s">
        <v>9571</v>
      </c>
      <c r="B264" s="2" t="s">
        <v>1025</v>
      </c>
      <c r="C264" s="4">
        <v>1</v>
      </c>
      <c r="D264" s="5">
        <v>6.25</v>
      </c>
      <c r="E264" s="5">
        <v>12.99</v>
      </c>
      <c r="F264" s="4" t="s">
        <v>1026</v>
      </c>
      <c r="G264" s="2" t="s">
        <v>48</v>
      </c>
      <c r="H264" s="7" t="s">
        <v>311</v>
      </c>
      <c r="I264" s="2" t="s">
        <v>515</v>
      </c>
      <c r="J264" s="2" t="s">
        <v>516</v>
      </c>
      <c r="K264" s="2" t="s">
        <v>304</v>
      </c>
      <c r="L264" s="2" t="s">
        <v>358</v>
      </c>
      <c r="M264" s="8" t="str">
        <f>HYPERLINK("http://slimages.macys.com/is/image/MCY/12953213 ")</f>
        <v xml:space="preserve">http://slimages.macys.com/is/image/MCY/12953213 </v>
      </c>
    </row>
    <row r="265" spans="1:13" ht="60" x14ac:dyDescent="0.25">
      <c r="A265" s="7" t="s">
        <v>9572</v>
      </c>
      <c r="B265" s="2" t="s">
        <v>9573</v>
      </c>
      <c r="C265" s="4">
        <v>1</v>
      </c>
      <c r="D265" s="5">
        <v>6.19</v>
      </c>
      <c r="E265" s="5">
        <v>16.989999999999998</v>
      </c>
      <c r="F265" s="4" t="s">
        <v>9574</v>
      </c>
      <c r="G265" s="2" t="s">
        <v>62</v>
      </c>
      <c r="H265" s="7" t="s">
        <v>284</v>
      </c>
      <c r="I265" s="2" t="s">
        <v>218</v>
      </c>
      <c r="J265" s="2" t="s">
        <v>1740</v>
      </c>
      <c r="K265" s="2" t="s">
        <v>304</v>
      </c>
      <c r="L265" s="2" t="s">
        <v>358</v>
      </c>
      <c r="M265" s="8" t="str">
        <f>HYPERLINK("http://slimages.macys.com/is/image/MCY/11952699 ")</f>
        <v xml:space="preserve">http://slimages.macys.com/is/image/MCY/11952699 </v>
      </c>
    </row>
    <row r="266" spans="1:13" ht="60" x14ac:dyDescent="0.25">
      <c r="A266" s="7" t="s">
        <v>7631</v>
      </c>
      <c r="B266" s="2" t="s">
        <v>1837</v>
      </c>
      <c r="C266" s="4">
        <v>1</v>
      </c>
      <c r="D266" s="5">
        <v>6.18</v>
      </c>
      <c r="E266" s="5">
        <v>16.989999999999998</v>
      </c>
      <c r="F266" s="4" t="s">
        <v>1838</v>
      </c>
      <c r="G266" s="2" t="s">
        <v>171</v>
      </c>
      <c r="H266" s="7" t="s">
        <v>284</v>
      </c>
      <c r="I266" s="2" t="s">
        <v>515</v>
      </c>
      <c r="J266" s="2" t="s">
        <v>827</v>
      </c>
      <c r="K266" s="2" t="s">
        <v>304</v>
      </c>
      <c r="L266" s="2" t="s">
        <v>358</v>
      </c>
      <c r="M266" s="8" t="str">
        <f>HYPERLINK("http://slimages.macys.com/is/image/MCY/11605899 ")</f>
        <v xml:space="preserve">http://slimages.macys.com/is/image/MCY/11605899 </v>
      </c>
    </row>
    <row r="267" spans="1:13" ht="60" x14ac:dyDescent="0.25">
      <c r="A267" s="7" t="s">
        <v>9575</v>
      </c>
      <c r="B267" s="2" t="s">
        <v>9576</v>
      </c>
      <c r="C267" s="4">
        <v>1</v>
      </c>
      <c r="D267" s="5">
        <v>6.15</v>
      </c>
      <c r="E267" s="5">
        <v>16.989999999999998</v>
      </c>
      <c r="F267" s="4" t="s">
        <v>9577</v>
      </c>
      <c r="G267" s="2" t="s">
        <v>28</v>
      </c>
      <c r="H267" s="7" t="s">
        <v>284</v>
      </c>
      <c r="I267" s="2" t="s">
        <v>342</v>
      </c>
      <c r="J267" s="2" t="s">
        <v>1789</v>
      </c>
      <c r="K267" s="2" t="s">
        <v>304</v>
      </c>
      <c r="L267" s="2" t="s">
        <v>358</v>
      </c>
      <c r="M267" s="8" t="str">
        <f>HYPERLINK("http://slimages.macys.com/is/image/MCY/13339409 ")</f>
        <v xml:space="preserve">http://slimages.macys.com/is/image/MCY/13339409 </v>
      </c>
    </row>
    <row r="268" spans="1:13" ht="60" x14ac:dyDescent="0.25">
      <c r="A268" s="7" t="s">
        <v>9578</v>
      </c>
      <c r="B268" s="2" t="s">
        <v>5465</v>
      </c>
      <c r="C268" s="4">
        <v>1</v>
      </c>
      <c r="D268" s="5">
        <v>6.15</v>
      </c>
      <c r="E268" s="5">
        <v>10.99</v>
      </c>
      <c r="F268" s="4" t="s">
        <v>5466</v>
      </c>
      <c r="G268" s="2" t="s">
        <v>36</v>
      </c>
      <c r="H268" s="7" t="s">
        <v>144</v>
      </c>
      <c r="I268" s="2" t="s">
        <v>73</v>
      </c>
      <c r="J268" s="2" t="s">
        <v>1963</v>
      </c>
      <c r="K268" s="2" t="s">
        <v>304</v>
      </c>
      <c r="L268" s="2" t="s">
        <v>125</v>
      </c>
      <c r="M268" s="8" t="str">
        <f>HYPERLINK("http://slimages.macys.com/is/image/MCY/12688490 ")</f>
        <v xml:space="preserve">http://slimages.macys.com/is/image/MCY/12688490 </v>
      </c>
    </row>
    <row r="269" spans="1:13" ht="60" x14ac:dyDescent="0.25">
      <c r="A269" s="7" t="s">
        <v>7637</v>
      </c>
      <c r="B269" s="2" t="s">
        <v>6907</v>
      </c>
      <c r="C269" s="4">
        <v>1</v>
      </c>
      <c r="D269" s="5">
        <v>6.13</v>
      </c>
      <c r="E269" s="5">
        <v>16.989999999999998</v>
      </c>
      <c r="F269" s="4" t="s">
        <v>6908</v>
      </c>
      <c r="G269" s="2" t="s">
        <v>793</v>
      </c>
      <c r="H269" s="7" t="s">
        <v>228</v>
      </c>
      <c r="I269" s="2" t="s">
        <v>389</v>
      </c>
      <c r="J269" s="2" t="s">
        <v>354</v>
      </c>
      <c r="K269" s="2" t="s">
        <v>304</v>
      </c>
      <c r="L269" s="2" t="s">
        <v>119</v>
      </c>
      <c r="M269" s="8" t="str">
        <f>HYPERLINK("http://slimages.macys.com/is/image/MCY/12121666 ")</f>
        <v xml:space="preserve">http://slimages.macys.com/is/image/MCY/12121666 </v>
      </c>
    </row>
    <row r="270" spans="1:13" ht="60" x14ac:dyDescent="0.25">
      <c r="A270" s="7" t="s">
        <v>9579</v>
      </c>
      <c r="B270" s="2" t="s">
        <v>6907</v>
      </c>
      <c r="C270" s="4">
        <v>1</v>
      </c>
      <c r="D270" s="5">
        <v>6.13</v>
      </c>
      <c r="E270" s="5">
        <v>16.989999999999998</v>
      </c>
      <c r="F270" s="4" t="s">
        <v>6908</v>
      </c>
      <c r="G270" s="2" t="s">
        <v>793</v>
      </c>
      <c r="H270" s="7" t="s">
        <v>159</v>
      </c>
      <c r="I270" s="2" t="s">
        <v>389</v>
      </c>
      <c r="J270" s="2" t="s">
        <v>354</v>
      </c>
      <c r="K270" s="2" t="s">
        <v>304</v>
      </c>
      <c r="L270" s="2" t="s">
        <v>119</v>
      </c>
      <c r="M270" s="8" t="str">
        <f>HYPERLINK("http://slimages.macys.com/is/image/MCY/12121666 ")</f>
        <v xml:space="preserve">http://slimages.macys.com/is/image/MCY/12121666 </v>
      </c>
    </row>
    <row r="271" spans="1:13" ht="60" x14ac:dyDescent="0.25">
      <c r="A271" s="7" t="s">
        <v>6906</v>
      </c>
      <c r="B271" s="2" t="s">
        <v>6907</v>
      </c>
      <c r="C271" s="4">
        <v>2</v>
      </c>
      <c r="D271" s="5">
        <v>6.13</v>
      </c>
      <c r="E271" s="5">
        <v>16.989999999999998</v>
      </c>
      <c r="F271" s="4" t="s">
        <v>6908</v>
      </c>
      <c r="G271" s="2" t="s">
        <v>793</v>
      </c>
      <c r="H271" s="7" t="s">
        <v>196</v>
      </c>
      <c r="I271" s="2" t="s">
        <v>389</v>
      </c>
      <c r="J271" s="2" t="s">
        <v>354</v>
      </c>
      <c r="K271" s="2" t="s">
        <v>304</v>
      </c>
      <c r="L271" s="2" t="s">
        <v>119</v>
      </c>
      <c r="M271" s="8" t="str">
        <f>HYPERLINK("http://slimages.macys.com/is/image/MCY/12121666 ")</f>
        <v xml:space="preserve">http://slimages.macys.com/is/image/MCY/12121666 </v>
      </c>
    </row>
    <row r="272" spans="1:13" ht="60" x14ac:dyDescent="0.25">
      <c r="A272" s="7" t="s">
        <v>9580</v>
      </c>
      <c r="B272" s="2" t="s">
        <v>9581</v>
      </c>
      <c r="C272" s="4">
        <v>1</v>
      </c>
      <c r="D272" s="5">
        <v>6.11</v>
      </c>
      <c r="E272" s="5">
        <v>16.989999999999998</v>
      </c>
      <c r="F272" s="4" t="s">
        <v>9582</v>
      </c>
      <c r="G272" s="2" t="s">
        <v>62</v>
      </c>
      <c r="H272" s="7" t="s">
        <v>196</v>
      </c>
      <c r="I272" s="2" t="s">
        <v>515</v>
      </c>
      <c r="J272" s="2" t="s">
        <v>827</v>
      </c>
      <c r="K272" s="2" t="s">
        <v>304</v>
      </c>
      <c r="L272" s="2" t="s">
        <v>358</v>
      </c>
      <c r="M272" s="8" t="str">
        <f>HYPERLINK("http://slimages.macys.com/is/image/MCY/11530909 ")</f>
        <v xml:space="preserve">http://slimages.macys.com/is/image/MCY/11530909 </v>
      </c>
    </row>
    <row r="273" spans="1:13" ht="60" x14ac:dyDescent="0.25">
      <c r="A273" s="7" t="s">
        <v>9583</v>
      </c>
      <c r="B273" s="2" t="s">
        <v>6283</v>
      </c>
      <c r="C273" s="4">
        <v>1</v>
      </c>
      <c r="D273" s="5">
        <v>6.11</v>
      </c>
      <c r="E273" s="5">
        <v>12.99</v>
      </c>
      <c r="F273" s="4" t="s">
        <v>9584</v>
      </c>
      <c r="G273" s="2" t="s">
        <v>36</v>
      </c>
      <c r="H273" s="7" t="s">
        <v>578</v>
      </c>
      <c r="I273" s="2" t="s">
        <v>515</v>
      </c>
      <c r="J273" s="2" t="s">
        <v>516</v>
      </c>
      <c r="K273" s="2" t="s">
        <v>304</v>
      </c>
      <c r="L273" s="2" t="s">
        <v>358</v>
      </c>
      <c r="M273" s="8" t="str">
        <f>HYPERLINK("http://slimages.macys.com/is/image/MCY/12387477 ")</f>
        <v xml:space="preserve">http://slimages.macys.com/is/image/MCY/12387477 </v>
      </c>
    </row>
    <row r="274" spans="1:13" ht="60" x14ac:dyDescent="0.25">
      <c r="A274" s="7" t="s">
        <v>9585</v>
      </c>
      <c r="B274" s="2" t="s">
        <v>6283</v>
      </c>
      <c r="C274" s="4">
        <v>1</v>
      </c>
      <c r="D274" s="5">
        <v>6.11</v>
      </c>
      <c r="E274" s="5">
        <v>12.99</v>
      </c>
      <c r="F274" s="4" t="s">
        <v>9584</v>
      </c>
      <c r="G274" s="2" t="s">
        <v>36</v>
      </c>
      <c r="H274" s="7" t="s">
        <v>311</v>
      </c>
      <c r="I274" s="2" t="s">
        <v>515</v>
      </c>
      <c r="J274" s="2" t="s">
        <v>516</v>
      </c>
      <c r="K274" s="2" t="s">
        <v>304</v>
      </c>
      <c r="L274" s="2" t="s">
        <v>358</v>
      </c>
      <c r="M274" s="8" t="str">
        <f>HYPERLINK("http://slimages.macys.com/is/image/MCY/12387477 ")</f>
        <v xml:space="preserve">http://slimages.macys.com/is/image/MCY/12387477 </v>
      </c>
    </row>
    <row r="275" spans="1:13" ht="60" x14ac:dyDescent="0.25">
      <c r="A275" s="7" t="s">
        <v>9586</v>
      </c>
      <c r="B275" s="2" t="s">
        <v>4117</v>
      </c>
      <c r="C275" s="4">
        <v>1</v>
      </c>
      <c r="D275" s="5">
        <v>6</v>
      </c>
      <c r="E275" s="5">
        <v>11.99</v>
      </c>
      <c r="F275" s="4" t="s">
        <v>4118</v>
      </c>
      <c r="G275" s="2" t="s">
        <v>41</v>
      </c>
      <c r="H275" s="7" t="s">
        <v>123</v>
      </c>
      <c r="I275" s="2" t="s">
        <v>173</v>
      </c>
      <c r="J275" s="2" t="s">
        <v>1967</v>
      </c>
      <c r="K275" s="2" t="s">
        <v>304</v>
      </c>
      <c r="L275" s="2" t="s">
        <v>87</v>
      </c>
      <c r="M275" s="8" t="str">
        <f>HYPERLINK("http://slimages.macys.com/is/image/MCY/12282974 ")</f>
        <v xml:space="preserve">http://slimages.macys.com/is/image/MCY/12282974 </v>
      </c>
    </row>
    <row r="276" spans="1:13" ht="60" x14ac:dyDescent="0.25">
      <c r="A276" s="7" t="s">
        <v>9587</v>
      </c>
      <c r="B276" s="2" t="s">
        <v>4117</v>
      </c>
      <c r="C276" s="4">
        <v>1</v>
      </c>
      <c r="D276" s="5">
        <v>6</v>
      </c>
      <c r="E276" s="5">
        <v>11.99</v>
      </c>
      <c r="F276" s="4" t="s">
        <v>4118</v>
      </c>
      <c r="G276" s="2" t="s">
        <v>41</v>
      </c>
      <c r="H276" s="7" t="s">
        <v>63</v>
      </c>
      <c r="I276" s="2" t="s">
        <v>173</v>
      </c>
      <c r="J276" s="2" t="s">
        <v>1967</v>
      </c>
      <c r="K276" s="2" t="s">
        <v>304</v>
      </c>
      <c r="L276" s="2" t="s">
        <v>87</v>
      </c>
      <c r="M276" s="8" t="str">
        <f>HYPERLINK("http://slimages.macys.com/is/image/MCY/12282974 ")</f>
        <v xml:space="preserve">http://slimages.macys.com/is/image/MCY/12282974 </v>
      </c>
    </row>
    <row r="277" spans="1:13" ht="60" x14ac:dyDescent="0.25">
      <c r="A277" s="7" t="s">
        <v>9588</v>
      </c>
      <c r="B277" s="2" t="s">
        <v>8969</v>
      </c>
      <c r="C277" s="4">
        <v>1</v>
      </c>
      <c r="D277" s="5">
        <v>6</v>
      </c>
      <c r="E277" s="5">
        <v>14.99</v>
      </c>
      <c r="F277" s="4" t="s">
        <v>8970</v>
      </c>
      <c r="G277" s="2" t="s">
        <v>165</v>
      </c>
      <c r="H277" s="7" t="s">
        <v>209</v>
      </c>
      <c r="I277" s="2" t="s">
        <v>80</v>
      </c>
      <c r="J277" s="2" t="s">
        <v>167</v>
      </c>
      <c r="K277" s="2" t="s">
        <v>304</v>
      </c>
      <c r="L277" s="2" t="s">
        <v>125</v>
      </c>
      <c r="M277" s="8" t="str">
        <f>HYPERLINK("http://slimages.macys.com/is/image/MCY/13117047 ")</f>
        <v xml:space="preserve">http://slimages.macys.com/is/image/MCY/13117047 </v>
      </c>
    </row>
    <row r="278" spans="1:13" ht="60" x14ac:dyDescent="0.25">
      <c r="A278" s="7" t="s">
        <v>4119</v>
      </c>
      <c r="B278" s="2" t="s">
        <v>4117</v>
      </c>
      <c r="C278" s="4">
        <v>1</v>
      </c>
      <c r="D278" s="5">
        <v>6</v>
      </c>
      <c r="E278" s="5">
        <v>11.99</v>
      </c>
      <c r="F278" s="4" t="s">
        <v>4118</v>
      </c>
      <c r="G278" s="2" t="s">
        <v>41</v>
      </c>
      <c r="H278" s="7" t="s">
        <v>317</v>
      </c>
      <c r="I278" s="2" t="s">
        <v>173</v>
      </c>
      <c r="J278" s="2" t="s">
        <v>1967</v>
      </c>
      <c r="K278" s="2" t="s">
        <v>304</v>
      </c>
      <c r="L278" s="2" t="s">
        <v>87</v>
      </c>
      <c r="M278" s="8" t="str">
        <f>HYPERLINK("http://slimages.macys.com/is/image/MCY/12282974 ")</f>
        <v xml:space="preserve">http://slimages.macys.com/is/image/MCY/12282974 </v>
      </c>
    </row>
    <row r="279" spans="1:13" ht="60" x14ac:dyDescent="0.25">
      <c r="A279" s="7" t="s">
        <v>9589</v>
      </c>
      <c r="B279" s="2" t="s">
        <v>4117</v>
      </c>
      <c r="C279" s="4">
        <v>1</v>
      </c>
      <c r="D279" s="5">
        <v>6</v>
      </c>
      <c r="E279" s="5">
        <v>11.99</v>
      </c>
      <c r="F279" s="4" t="s">
        <v>4118</v>
      </c>
      <c r="G279" s="2" t="s">
        <v>41</v>
      </c>
      <c r="H279" s="7" t="s">
        <v>311</v>
      </c>
      <c r="I279" s="2" t="s">
        <v>173</v>
      </c>
      <c r="J279" s="2" t="s">
        <v>1967</v>
      </c>
      <c r="K279" s="2" t="s">
        <v>304</v>
      </c>
      <c r="L279" s="2" t="s">
        <v>87</v>
      </c>
      <c r="M279" s="8" t="str">
        <f>HYPERLINK("http://slimages.macys.com/is/image/MCY/12282974 ")</f>
        <v xml:space="preserve">http://slimages.macys.com/is/image/MCY/12282974 </v>
      </c>
    </row>
    <row r="280" spans="1:13" ht="60" x14ac:dyDescent="0.25">
      <c r="A280" s="7" t="s">
        <v>9590</v>
      </c>
      <c r="B280" s="2" t="s">
        <v>6311</v>
      </c>
      <c r="C280" s="4">
        <v>1</v>
      </c>
      <c r="D280" s="5">
        <v>5.97</v>
      </c>
      <c r="E280" s="5">
        <v>12.99</v>
      </c>
      <c r="F280" s="4" t="s">
        <v>6312</v>
      </c>
      <c r="G280" s="2" t="s">
        <v>62</v>
      </c>
      <c r="H280" s="7" t="s">
        <v>123</v>
      </c>
      <c r="I280" s="2" t="s">
        <v>515</v>
      </c>
      <c r="J280" s="2" t="s">
        <v>516</v>
      </c>
      <c r="K280" s="2" t="s">
        <v>304</v>
      </c>
      <c r="L280" s="2" t="s">
        <v>358</v>
      </c>
      <c r="M280" s="8" t="str">
        <f>HYPERLINK("http://slimages.macys.com/is/image/MCY/12387524 ")</f>
        <v xml:space="preserve">http://slimages.macys.com/is/image/MCY/12387524 </v>
      </c>
    </row>
    <row r="281" spans="1:13" ht="60" x14ac:dyDescent="0.25">
      <c r="A281" s="7" t="s">
        <v>9591</v>
      </c>
      <c r="B281" s="2" t="s">
        <v>9592</v>
      </c>
      <c r="C281" s="4">
        <v>1</v>
      </c>
      <c r="D281" s="5">
        <v>5.95</v>
      </c>
      <c r="E281" s="5">
        <v>15.99</v>
      </c>
      <c r="F281" s="4" t="s">
        <v>9593</v>
      </c>
      <c r="G281" s="2" t="s">
        <v>814</v>
      </c>
      <c r="H281" s="7" t="s">
        <v>42</v>
      </c>
      <c r="I281" s="2" t="s">
        <v>483</v>
      </c>
      <c r="J281" s="2" t="s">
        <v>536</v>
      </c>
      <c r="K281" s="2" t="s">
        <v>304</v>
      </c>
      <c r="L281" s="2" t="s">
        <v>119</v>
      </c>
      <c r="M281" s="8" t="str">
        <f>HYPERLINK("http://slimages.macys.com/is/image/MCY/11250919 ")</f>
        <v xml:space="preserve">http://slimages.macys.com/is/image/MCY/11250919 </v>
      </c>
    </row>
    <row r="282" spans="1:13" ht="60" x14ac:dyDescent="0.25">
      <c r="A282" s="7" t="s">
        <v>5002</v>
      </c>
      <c r="B282" s="2" t="s">
        <v>5003</v>
      </c>
      <c r="C282" s="4">
        <v>1</v>
      </c>
      <c r="D282" s="5">
        <v>5.86</v>
      </c>
      <c r="E282" s="5">
        <v>12.99</v>
      </c>
      <c r="F282" s="4" t="s">
        <v>5004</v>
      </c>
      <c r="G282" s="2" t="s">
        <v>28</v>
      </c>
      <c r="H282" s="7" t="s">
        <v>159</v>
      </c>
      <c r="I282" s="2" t="s">
        <v>218</v>
      </c>
      <c r="J282" s="2" t="s">
        <v>1740</v>
      </c>
      <c r="K282" s="2" t="s">
        <v>304</v>
      </c>
      <c r="L282" s="2" t="s">
        <v>358</v>
      </c>
      <c r="M282" s="8" t="str">
        <f>HYPERLINK("http://slimages.macys.com/is/image/MCY/12751326 ")</f>
        <v xml:space="preserve">http://slimages.macys.com/is/image/MCY/12751326 </v>
      </c>
    </row>
    <row r="283" spans="1:13" ht="60" x14ac:dyDescent="0.25">
      <c r="A283" s="7" t="s">
        <v>6927</v>
      </c>
      <c r="B283" s="2" t="s">
        <v>1874</v>
      </c>
      <c r="C283" s="4">
        <v>1</v>
      </c>
      <c r="D283" s="5">
        <v>5.85</v>
      </c>
      <c r="E283" s="5">
        <v>12.99</v>
      </c>
      <c r="F283" s="4" t="s">
        <v>1875</v>
      </c>
      <c r="G283" s="2" t="s">
        <v>41</v>
      </c>
      <c r="H283" s="7" t="s">
        <v>172</v>
      </c>
      <c r="I283" s="2" t="s">
        <v>966</v>
      </c>
      <c r="J283" s="2" t="s">
        <v>348</v>
      </c>
      <c r="K283" s="2" t="s">
        <v>304</v>
      </c>
      <c r="L283" s="2" t="s">
        <v>125</v>
      </c>
      <c r="M283" s="8" t="str">
        <f>HYPERLINK("http://slimages.macys.com/is/image/MCY/13984183 ")</f>
        <v xml:space="preserve">http://slimages.macys.com/is/image/MCY/13984183 </v>
      </c>
    </row>
    <row r="284" spans="1:13" ht="60" x14ac:dyDescent="0.25">
      <c r="A284" s="7" t="s">
        <v>8994</v>
      </c>
      <c r="B284" s="2" t="s">
        <v>1869</v>
      </c>
      <c r="C284" s="4">
        <v>1</v>
      </c>
      <c r="D284" s="5">
        <v>5.85</v>
      </c>
      <c r="E284" s="5">
        <v>15.99</v>
      </c>
      <c r="F284" s="4" t="s">
        <v>1870</v>
      </c>
      <c r="G284" s="2" t="s">
        <v>262</v>
      </c>
      <c r="H284" s="7" t="s">
        <v>8995</v>
      </c>
      <c r="I284" s="2" t="s">
        <v>342</v>
      </c>
      <c r="J284" s="2" t="s">
        <v>1872</v>
      </c>
      <c r="K284" s="2" t="s">
        <v>304</v>
      </c>
      <c r="L284" s="2" t="s">
        <v>390</v>
      </c>
      <c r="M284" s="8" t="str">
        <f>HYPERLINK("http://slimages.macys.com/is/image/MCY/11636026 ")</f>
        <v xml:space="preserve">http://slimages.macys.com/is/image/MCY/11636026 </v>
      </c>
    </row>
    <row r="285" spans="1:13" ht="60" x14ac:dyDescent="0.25">
      <c r="A285" s="7" t="s">
        <v>9594</v>
      </c>
      <c r="B285" s="2" t="s">
        <v>9595</v>
      </c>
      <c r="C285" s="4">
        <v>2</v>
      </c>
      <c r="D285" s="5">
        <v>5.8</v>
      </c>
      <c r="E285" s="5">
        <v>11.6</v>
      </c>
      <c r="F285" s="4" t="s">
        <v>9596</v>
      </c>
      <c r="G285" s="2" t="s">
        <v>129</v>
      </c>
      <c r="H285" s="7" t="s">
        <v>209</v>
      </c>
      <c r="I285" s="2" t="s">
        <v>487</v>
      </c>
      <c r="J285" s="2" t="s">
        <v>488</v>
      </c>
      <c r="K285" s="2" t="s">
        <v>304</v>
      </c>
      <c r="L285" s="2" t="s">
        <v>206</v>
      </c>
      <c r="M285" s="8" t="str">
        <f>HYPERLINK("http://slimages.macys.com/is/image/MCY/12236251 ")</f>
        <v xml:space="preserve">http://slimages.macys.com/is/image/MCY/12236251 </v>
      </c>
    </row>
    <row r="286" spans="1:13" ht="60" x14ac:dyDescent="0.25">
      <c r="A286" s="7" t="s">
        <v>9597</v>
      </c>
      <c r="B286" s="2" t="s">
        <v>9598</v>
      </c>
      <c r="C286" s="4">
        <v>1</v>
      </c>
      <c r="D286" s="5">
        <v>5.8</v>
      </c>
      <c r="E286" s="5">
        <v>11.6</v>
      </c>
      <c r="F286" s="4" t="s">
        <v>9599</v>
      </c>
      <c r="G286" s="2"/>
      <c r="H286" s="7" t="s">
        <v>209</v>
      </c>
      <c r="I286" s="2" t="s">
        <v>487</v>
      </c>
      <c r="J286" s="2" t="s">
        <v>488</v>
      </c>
      <c r="K286" s="2" t="s">
        <v>304</v>
      </c>
      <c r="L286" s="2" t="s">
        <v>206</v>
      </c>
      <c r="M286" s="8" t="str">
        <f>HYPERLINK("http://slimages.macys.com/is/image/MCY/12236281 ")</f>
        <v xml:space="preserve">http://slimages.macys.com/is/image/MCY/12236281 </v>
      </c>
    </row>
    <row r="287" spans="1:13" ht="60" x14ac:dyDescent="0.25">
      <c r="A287" s="7" t="s">
        <v>9600</v>
      </c>
      <c r="B287" s="2" t="s">
        <v>1877</v>
      </c>
      <c r="C287" s="4">
        <v>1</v>
      </c>
      <c r="D287" s="5">
        <v>5.8</v>
      </c>
      <c r="E287" s="5">
        <v>13.19</v>
      </c>
      <c r="F287" s="4">
        <v>18633610</v>
      </c>
      <c r="G287" s="2" t="s">
        <v>48</v>
      </c>
      <c r="H287" s="7" t="s">
        <v>42</v>
      </c>
      <c r="I287" s="2" t="s">
        <v>153</v>
      </c>
      <c r="J287" s="2" t="s">
        <v>154</v>
      </c>
      <c r="K287" s="2" t="s">
        <v>304</v>
      </c>
      <c r="L287" s="2" t="s">
        <v>38</v>
      </c>
      <c r="M287" s="8" t="str">
        <f>HYPERLINK("http://slimages.macys.com/is/image/MCY/13941920 ")</f>
        <v xml:space="preserve">http://slimages.macys.com/is/image/MCY/13941920 </v>
      </c>
    </row>
    <row r="288" spans="1:13" ht="60" x14ac:dyDescent="0.25">
      <c r="A288" s="7" t="s">
        <v>3392</v>
      </c>
      <c r="B288" s="2" t="s">
        <v>3393</v>
      </c>
      <c r="C288" s="4">
        <v>1</v>
      </c>
      <c r="D288" s="5">
        <v>5.8</v>
      </c>
      <c r="E288" s="5">
        <v>13.19</v>
      </c>
      <c r="F288" s="4">
        <v>17892010</v>
      </c>
      <c r="G288" s="2"/>
      <c r="H288" s="7" t="s">
        <v>233</v>
      </c>
      <c r="I288" s="2" t="s">
        <v>153</v>
      </c>
      <c r="J288" s="2" t="s">
        <v>154</v>
      </c>
      <c r="K288" s="2" t="s">
        <v>304</v>
      </c>
      <c r="L288" s="2" t="s">
        <v>38</v>
      </c>
      <c r="M288" s="8" t="str">
        <f>HYPERLINK("http://slimages.macys.com/is/image/MCY/13341121 ")</f>
        <v xml:space="preserve">http://slimages.macys.com/is/image/MCY/13341121 </v>
      </c>
    </row>
    <row r="289" spans="1:13" ht="60" x14ac:dyDescent="0.25">
      <c r="A289" s="7" t="s">
        <v>9601</v>
      </c>
      <c r="B289" s="2" t="s">
        <v>1877</v>
      </c>
      <c r="C289" s="4">
        <v>1</v>
      </c>
      <c r="D289" s="5">
        <v>5.8</v>
      </c>
      <c r="E289" s="5">
        <v>13.19</v>
      </c>
      <c r="F289" s="4">
        <v>18633610</v>
      </c>
      <c r="G289" s="2" t="s">
        <v>48</v>
      </c>
      <c r="H289" s="7" t="s">
        <v>233</v>
      </c>
      <c r="I289" s="2" t="s">
        <v>153</v>
      </c>
      <c r="J289" s="2" t="s">
        <v>154</v>
      </c>
      <c r="K289" s="2" t="s">
        <v>304</v>
      </c>
      <c r="L289" s="2" t="s">
        <v>38</v>
      </c>
      <c r="M289" s="8" t="str">
        <f>HYPERLINK("http://slimages.macys.com/is/image/MCY/13941920 ")</f>
        <v xml:space="preserve">http://slimages.macys.com/is/image/MCY/13941920 </v>
      </c>
    </row>
    <row r="290" spans="1:13" ht="60" x14ac:dyDescent="0.25">
      <c r="A290" s="7" t="s">
        <v>9602</v>
      </c>
      <c r="B290" s="2" t="s">
        <v>9603</v>
      </c>
      <c r="C290" s="4">
        <v>1</v>
      </c>
      <c r="D290" s="5">
        <v>5.78</v>
      </c>
      <c r="E290" s="5">
        <v>14.99</v>
      </c>
      <c r="F290" s="4" t="s">
        <v>9604</v>
      </c>
      <c r="G290" s="2" t="s">
        <v>1265</v>
      </c>
      <c r="H290" s="7" t="s">
        <v>196</v>
      </c>
      <c r="I290" s="2" t="s">
        <v>515</v>
      </c>
      <c r="J290" s="2" t="s">
        <v>827</v>
      </c>
      <c r="K290" s="2" t="s">
        <v>304</v>
      </c>
      <c r="L290" s="2" t="s">
        <v>358</v>
      </c>
      <c r="M290" s="8" t="str">
        <f>HYPERLINK("http://slimages.macys.com/is/image/MCY/10410484 ")</f>
        <v xml:space="preserve">http://slimages.macys.com/is/image/MCY/10410484 </v>
      </c>
    </row>
    <row r="291" spans="1:13" ht="60" x14ac:dyDescent="0.25">
      <c r="A291" s="7" t="s">
        <v>9605</v>
      </c>
      <c r="B291" s="2" t="s">
        <v>9606</v>
      </c>
      <c r="C291" s="4">
        <v>1</v>
      </c>
      <c r="D291" s="5">
        <v>5.75</v>
      </c>
      <c r="E291" s="5">
        <v>17.989999999999998</v>
      </c>
      <c r="F291" s="4" t="s">
        <v>9607</v>
      </c>
      <c r="G291" s="2" t="s">
        <v>171</v>
      </c>
      <c r="H291" s="7" t="s">
        <v>123</v>
      </c>
      <c r="I291" s="2" t="s">
        <v>342</v>
      </c>
      <c r="J291" s="2" t="s">
        <v>1613</v>
      </c>
      <c r="K291" s="2" t="s">
        <v>304</v>
      </c>
      <c r="L291" s="2" t="s">
        <v>119</v>
      </c>
      <c r="M291" s="8" t="str">
        <f>HYPERLINK("http://slimages.macys.com/is/image/MCY/12832286 ")</f>
        <v xml:space="preserve">http://slimages.macys.com/is/image/MCY/12832286 </v>
      </c>
    </row>
    <row r="292" spans="1:13" ht="60" x14ac:dyDescent="0.25">
      <c r="A292" s="7" t="s">
        <v>9608</v>
      </c>
      <c r="B292" s="2" t="s">
        <v>9609</v>
      </c>
      <c r="C292" s="4">
        <v>1</v>
      </c>
      <c r="D292" s="5">
        <v>5.75</v>
      </c>
      <c r="E292" s="5">
        <v>14.99</v>
      </c>
      <c r="F292" s="4" t="s">
        <v>9610</v>
      </c>
      <c r="G292" s="2" t="s">
        <v>892</v>
      </c>
      <c r="H292" s="7" t="s">
        <v>317</v>
      </c>
      <c r="I292" s="2" t="s">
        <v>342</v>
      </c>
      <c r="J292" s="2" t="s">
        <v>1613</v>
      </c>
      <c r="K292" s="2" t="s">
        <v>304</v>
      </c>
      <c r="L292" s="2" t="s">
        <v>119</v>
      </c>
      <c r="M292" s="8" t="str">
        <f>HYPERLINK("http://slimages.macys.com/is/image/MCY/11627047 ")</f>
        <v xml:space="preserve">http://slimages.macys.com/is/image/MCY/11627047 </v>
      </c>
    </row>
    <row r="293" spans="1:13" ht="60" x14ac:dyDescent="0.25">
      <c r="A293" s="7" t="s">
        <v>9611</v>
      </c>
      <c r="B293" s="2" t="s">
        <v>5487</v>
      </c>
      <c r="C293" s="4">
        <v>1</v>
      </c>
      <c r="D293" s="5">
        <v>5.75</v>
      </c>
      <c r="E293" s="5">
        <v>16.989999999999998</v>
      </c>
      <c r="F293" s="4" t="s">
        <v>5488</v>
      </c>
      <c r="G293" s="2" t="s">
        <v>582</v>
      </c>
      <c r="H293" s="7" t="s">
        <v>228</v>
      </c>
      <c r="I293" s="2" t="s">
        <v>389</v>
      </c>
      <c r="J293" s="2" t="s">
        <v>354</v>
      </c>
      <c r="K293" s="2" t="s">
        <v>304</v>
      </c>
      <c r="L293" s="2" t="s">
        <v>596</v>
      </c>
      <c r="M293" s="8" t="str">
        <f>HYPERLINK("http://slimages.macys.com/is/image/MCY/12645395 ")</f>
        <v xml:space="preserve">http://slimages.macys.com/is/image/MCY/12645395 </v>
      </c>
    </row>
    <row r="294" spans="1:13" ht="60" x14ac:dyDescent="0.25">
      <c r="A294" s="7" t="s">
        <v>1898</v>
      </c>
      <c r="B294" s="2" t="s">
        <v>1899</v>
      </c>
      <c r="C294" s="4">
        <v>1</v>
      </c>
      <c r="D294" s="5">
        <v>5.68</v>
      </c>
      <c r="E294" s="5">
        <v>16.989999999999998</v>
      </c>
      <c r="F294" s="4" t="s">
        <v>1900</v>
      </c>
      <c r="G294" s="2" t="s">
        <v>165</v>
      </c>
      <c r="H294" s="7" t="s">
        <v>159</v>
      </c>
      <c r="I294" s="2" t="s">
        <v>515</v>
      </c>
      <c r="J294" s="2" t="s">
        <v>827</v>
      </c>
      <c r="K294" s="2" t="s">
        <v>304</v>
      </c>
      <c r="L294" s="2" t="s">
        <v>358</v>
      </c>
      <c r="M294" s="8" t="str">
        <f>HYPERLINK("http://slimages.macys.com/is/image/MCY/3487948 ")</f>
        <v xml:space="preserve">http://slimages.macys.com/is/image/MCY/3487948 </v>
      </c>
    </row>
    <row r="295" spans="1:13" ht="60" x14ac:dyDescent="0.25">
      <c r="A295" s="7" t="s">
        <v>1066</v>
      </c>
      <c r="B295" s="2" t="s">
        <v>1055</v>
      </c>
      <c r="C295" s="4">
        <v>1</v>
      </c>
      <c r="D295" s="5">
        <v>5.6</v>
      </c>
      <c r="E295" s="5">
        <v>14</v>
      </c>
      <c r="F295" s="4" t="s">
        <v>1067</v>
      </c>
      <c r="G295" s="2" t="s">
        <v>41</v>
      </c>
      <c r="H295" s="7"/>
      <c r="I295" s="2" t="s">
        <v>523</v>
      </c>
      <c r="J295" s="2" t="s">
        <v>937</v>
      </c>
      <c r="K295" s="2" t="s">
        <v>304</v>
      </c>
      <c r="L295" s="2" t="s">
        <v>263</v>
      </c>
      <c r="M295" s="8" t="str">
        <f>HYPERLINK("http://slimages.macys.com/is/image/MCY/12038119 ")</f>
        <v xml:space="preserve">http://slimages.macys.com/is/image/MCY/12038119 </v>
      </c>
    </row>
    <row r="296" spans="1:13" ht="60" x14ac:dyDescent="0.25">
      <c r="A296" s="7" t="s">
        <v>6328</v>
      </c>
      <c r="B296" s="2" t="s">
        <v>6329</v>
      </c>
      <c r="C296" s="4">
        <v>1</v>
      </c>
      <c r="D296" s="5">
        <v>5.58</v>
      </c>
      <c r="E296" s="5">
        <v>12.99</v>
      </c>
      <c r="F296" s="4" t="s">
        <v>6330</v>
      </c>
      <c r="G296" s="2" t="s">
        <v>62</v>
      </c>
      <c r="H296" s="7" t="s">
        <v>284</v>
      </c>
      <c r="I296" s="2" t="s">
        <v>515</v>
      </c>
      <c r="J296" s="2" t="s">
        <v>1971</v>
      </c>
      <c r="K296" s="2" t="s">
        <v>304</v>
      </c>
      <c r="L296" s="2" t="s">
        <v>119</v>
      </c>
      <c r="M296" s="8" t="str">
        <f>HYPERLINK("http://slimages.macys.com/is/image/MCY/11521879 ")</f>
        <v xml:space="preserve">http://slimages.macys.com/is/image/MCY/11521879 </v>
      </c>
    </row>
    <row r="297" spans="1:13" ht="96" x14ac:dyDescent="0.25">
      <c r="A297" s="7" t="s">
        <v>9022</v>
      </c>
      <c r="B297" s="2" t="s">
        <v>1909</v>
      </c>
      <c r="C297" s="4">
        <v>1</v>
      </c>
      <c r="D297" s="5">
        <v>5.57</v>
      </c>
      <c r="E297" s="5">
        <v>16.989999999999998</v>
      </c>
      <c r="F297" s="4" t="s">
        <v>1910</v>
      </c>
      <c r="G297" s="2" t="s">
        <v>171</v>
      </c>
      <c r="H297" s="7" t="s">
        <v>159</v>
      </c>
      <c r="I297" s="2" t="s">
        <v>515</v>
      </c>
      <c r="J297" s="2" t="s">
        <v>827</v>
      </c>
      <c r="K297" s="2" t="s">
        <v>304</v>
      </c>
      <c r="L297" s="2" t="s">
        <v>1911</v>
      </c>
      <c r="M297" s="8" t="str">
        <f>HYPERLINK("http://slimages.macys.com/is/image/MCY/11606037 ")</f>
        <v xml:space="preserve">http://slimages.macys.com/is/image/MCY/11606037 </v>
      </c>
    </row>
    <row r="298" spans="1:13" ht="60" x14ac:dyDescent="0.25">
      <c r="A298" s="7" t="s">
        <v>520</v>
      </c>
      <c r="B298" s="2" t="s">
        <v>521</v>
      </c>
      <c r="C298" s="4">
        <v>1</v>
      </c>
      <c r="D298" s="5">
        <v>5.5</v>
      </c>
      <c r="E298" s="5">
        <v>14</v>
      </c>
      <c r="F298" s="4" t="s">
        <v>522</v>
      </c>
      <c r="G298" s="2" t="s">
        <v>62</v>
      </c>
      <c r="H298" s="7"/>
      <c r="I298" s="2" t="s">
        <v>523</v>
      </c>
      <c r="J298" s="2" t="s">
        <v>524</v>
      </c>
      <c r="K298" s="2" t="s">
        <v>304</v>
      </c>
      <c r="L298" s="2" t="s">
        <v>224</v>
      </c>
      <c r="M298" s="8" t="str">
        <f>HYPERLINK("http://slimages.macys.com/is/image/MCY/11797079 ")</f>
        <v xml:space="preserve">http://slimages.macys.com/is/image/MCY/11797079 </v>
      </c>
    </row>
    <row r="299" spans="1:13" ht="84" x14ac:dyDescent="0.25">
      <c r="A299" s="7" t="s">
        <v>9612</v>
      </c>
      <c r="B299" s="2" t="s">
        <v>9613</v>
      </c>
      <c r="C299" s="4">
        <v>1</v>
      </c>
      <c r="D299" s="5">
        <v>5.48</v>
      </c>
      <c r="E299" s="5">
        <v>14.99</v>
      </c>
      <c r="F299" s="4" t="s">
        <v>9614</v>
      </c>
      <c r="G299" s="2" t="s">
        <v>657</v>
      </c>
      <c r="H299" s="7" t="s">
        <v>123</v>
      </c>
      <c r="I299" s="2" t="s">
        <v>1689</v>
      </c>
      <c r="J299" s="2" t="s">
        <v>354</v>
      </c>
      <c r="K299" s="2" t="s">
        <v>304</v>
      </c>
      <c r="L299" s="2" t="s">
        <v>6805</v>
      </c>
      <c r="M299" s="8" t="str">
        <f>HYPERLINK("http://slimages.macys.com/is/image/MCY/12507175 ")</f>
        <v xml:space="preserve">http://slimages.macys.com/is/image/MCY/12507175 </v>
      </c>
    </row>
    <row r="300" spans="1:13" ht="84" x14ac:dyDescent="0.25">
      <c r="A300" s="7" t="s">
        <v>9615</v>
      </c>
      <c r="B300" s="2" t="s">
        <v>9613</v>
      </c>
      <c r="C300" s="4">
        <v>1</v>
      </c>
      <c r="D300" s="5">
        <v>5.48</v>
      </c>
      <c r="E300" s="5">
        <v>14.99</v>
      </c>
      <c r="F300" s="4" t="s">
        <v>9614</v>
      </c>
      <c r="G300" s="2" t="s">
        <v>657</v>
      </c>
      <c r="H300" s="7" t="s">
        <v>311</v>
      </c>
      <c r="I300" s="2" t="s">
        <v>1689</v>
      </c>
      <c r="J300" s="2" t="s">
        <v>354</v>
      </c>
      <c r="K300" s="2" t="s">
        <v>304</v>
      </c>
      <c r="L300" s="2" t="s">
        <v>6805</v>
      </c>
      <c r="M300" s="8" t="str">
        <f>HYPERLINK("http://slimages.macys.com/is/image/MCY/12507175 ")</f>
        <v xml:space="preserve">http://slimages.macys.com/is/image/MCY/12507175 </v>
      </c>
    </row>
    <row r="301" spans="1:13" ht="84" x14ac:dyDescent="0.25">
      <c r="A301" s="7" t="s">
        <v>9616</v>
      </c>
      <c r="B301" s="2" t="s">
        <v>9613</v>
      </c>
      <c r="C301" s="4">
        <v>1</v>
      </c>
      <c r="D301" s="5">
        <v>5.48</v>
      </c>
      <c r="E301" s="5">
        <v>14.99</v>
      </c>
      <c r="F301" s="4" t="s">
        <v>9614</v>
      </c>
      <c r="G301" s="2" t="s">
        <v>657</v>
      </c>
      <c r="H301" s="7" t="s">
        <v>63</v>
      </c>
      <c r="I301" s="2" t="s">
        <v>1689</v>
      </c>
      <c r="J301" s="2" t="s">
        <v>354</v>
      </c>
      <c r="K301" s="2" t="s">
        <v>304</v>
      </c>
      <c r="L301" s="2" t="s">
        <v>6805</v>
      </c>
      <c r="M301" s="8" t="str">
        <f>HYPERLINK("http://slimages.macys.com/is/image/MCY/12507175 ")</f>
        <v xml:space="preserve">http://slimages.macys.com/is/image/MCY/12507175 </v>
      </c>
    </row>
    <row r="302" spans="1:13" ht="60" x14ac:dyDescent="0.25">
      <c r="A302" s="7" t="s">
        <v>9617</v>
      </c>
      <c r="B302" s="2" t="s">
        <v>9618</v>
      </c>
      <c r="C302" s="4">
        <v>1</v>
      </c>
      <c r="D302" s="5">
        <v>5.46</v>
      </c>
      <c r="E302" s="5">
        <v>12.99</v>
      </c>
      <c r="F302" s="4" t="s">
        <v>9619</v>
      </c>
      <c r="G302" s="2" t="s">
        <v>62</v>
      </c>
      <c r="H302" s="7" t="s">
        <v>123</v>
      </c>
      <c r="I302" s="2" t="s">
        <v>515</v>
      </c>
      <c r="J302" s="2" t="s">
        <v>516</v>
      </c>
      <c r="K302" s="2" t="s">
        <v>304</v>
      </c>
      <c r="L302" s="2" t="s">
        <v>100</v>
      </c>
      <c r="M302" s="8" t="str">
        <f>HYPERLINK("http://slimages.macys.com/is/image/MCY/11947399 ")</f>
        <v xml:space="preserve">http://slimages.macys.com/is/image/MCY/11947399 </v>
      </c>
    </row>
    <row r="303" spans="1:13" ht="84" x14ac:dyDescent="0.25">
      <c r="A303" s="7" t="s">
        <v>9037</v>
      </c>
      <c r="B303" s="2" t="s">
        <v>1924</v>
      </c>
      <c r="C303" s="4">
        <v>1</v>
      </c>
      <c r="D303" s="5">
        <v>5.41</v>
      </c>
      <c r="E303" s="5">
        <v>16.989999999999998</v>
      </c>
      <c r="F303" s="4" t="s">
        <v>1925</v>
      </c>
      <c r="G303" s="2" t="s">
        <v>86</v>
      </c>
      <c r="H303" s="7" t="s">
        <v>196</v>
      </c>
      <c r="I303" s="2" t="s">
        <v>515</v>
      </c>
      <c r="J303" s="2" t="s">
        <v>827</v>
      </c>
      <c r="K303" s="2" t="s">
        <v>304</v>
      </c>
      <c r="L303" s="2" t="s">
        <v>1117</v>
      </c>
      <c r="M303" s="8" t="str">
        <f>HYPERLINK("http://slimages.macys.com/is/image/MCY/11605918 ")</f>
        <v xml:space="preserve">http://slimages.macys.com/is/image/MCY/11605918 </v>
      </c>
    </row>
    <row r="304" spans="1:13" ht="60" x14ac:dyDescent="0.25">
      <c r="A304" s="7" t="s">
        <v>9620</v>
      </c>
      <c r="B304" s="2" t="s">
        <v>9621</v>
      </c>
      <c r="C304" s="4">
        <v>1</v>
      </c>
      <c r="D304" s="5">
        <v>5.31</v>
      </c>
      <c r="E304" s="5">
        <v>12.99</v>
      </c>
      <c r="F304" s="4" t="s">
        <v>9622</v>
      </c>
      <c r="G304" s="2" t="s">
        <v>303</v>
      </c>
      <c r="H304" s="7" t="s">
        <v>196</v>
      </c>
      <c r="I304" s="2" t="s">
        <v>515</v>
      </c>
      <c r="J304" s="2" t="s">
        <v>1971</v>
      </c>
      <c r="K304" s="2" t="s">
        <v>304</v>
      </c>
      <c r="L304" s="2" t="s">
        <v>119</v>
      </c>
      <c r="M304" s="8" t="str">
        <f>HYPERLINK("http://slimages.macys.com/is/image/MCY/11860942 ")</f>
        <v xml:space="preserve">http://slimages.macys.com/is/image/MCY/11860942 </v>
      </c>
    </row>
    <row r="305" spans="1:13" ht="60" x14ac:dyDescent="0.25">
      <c r="A305" s="7" t="s">
        <v>9623</v>
      </c>
      <c r="B305" s="2" t="s">
        <v>9624</v>
      </c>
      <c r="C305" s="4">
        <v>1</v>
      </c>
      <c r="D305" s="5">
        <v>5.31</v>
      </c>
      <c r="E305" s="5">
        <v>12.99</v>
      </c>
      <c r="F305" s="4" t="s">
        <v>9625</v>
      </c>
      <c r="G305" s="2" t="s">
        <v>297</v>
      </c>
      <c r="H305" s="7" t="s">
        <v>228</v>
      </c>
      <c r="I305" s="2" t="s">
        <v>515</v>
      </c>
      <c r="J305" s="2" t="s">
        <v>1971</v>
      </c>
      <c r="K305" s="2" t="s">
        <v>304</v>
      </c>
      <c r="L305" s="2" t="s">
        <v>119</v>
      </c>
      <c r="M305" s="8" t="str">
        <f>HYPERLINK("http://slimages.macys.com/is/image/MCY/13118935 ")</f>
        <v xml:space="preserve">http://slimages.macys.com/is/image/MCY/13118935 </v>
      </c>
    </row>
    <row r="306" spans="1:13" ht="60" x14ac:dyDescent="0.25">
      <c r="A306" s="7" t="s">
        <v>9626</v>
      </c>
      <c r="B306" s="2" t="s">
        <v>6335</v>
      </c>
      <c r="C306" s="4">
        <v>1</v>
      </c>
      <c r="D306" s="5">
        <v>5.26</v>
      </c>
      <c r="E306" s="5">
        <v>16.8</v>
      </c>
      <c r="F306" s="4" t="s">
        <v>6336</v>
      </c>
      <c r="G306" s="2" t="s">
        <v>86</v>
      </c>
      <c r="H306" s="7" t="s">
        <v>42</v>
      </c>
      <c r="I306" s="2" t="s">
        <v>483</v>
      </c>
      <c r="J306" s="2" t="s">
        <v>536</v>
      </c>
      <c r="K306" s="2" t="s">
        <v>304</v>
      </c>
      <c r="L306" s="2" t="s">
        <v>6337</v>
      </c>
      <c r="M306" s="8" t="str">
        <f>HYPERLINK("http://slimages.macys.com/is/image/MCY/12633341 ")</f>
        <v xml:space="preserve">http://slimages.macys.com/is/image/MCY/12633341 </v>
      </c>
    </row>
    <row r="307" spans="1:13" ht="60" x14ac:dyDescent="0.25">
      <c r="A307" s="7" t="s">
        <v>9627</v>
      </c>
      <c r="B307" s="2" t="s">
        <v>6970</v>
      </c>
      <c r="C307" s="4">
        <v>1</v>
      </c>
      <c r="D307" s="5">
        <v>5.25</v>
      </c>
      <c r="E307" s="5">
        <v>12.77</v>
      </c>
      <c r="F307" s="4">
        <v>17880810</v>
      </c>
      <c r="G307" s="2"/>
      <c r="H307" s="7" t="s">
        <v>91</v>
      </c>
      <c r="I307" s="2" t="s">
        <v>153</v>
      </c>
      <c r="J307" s="2" t="s">
        <v>3580</v>
      </c>
      <c r="K307" s="2" t="s">
        <v>304</v>
      </c>
      <c r="L307" s="2" t="s">
        <v>125</v>
      </c>
      <c r="M307" s="8" t="str">
        <f>HYPERLINK("http://slimages.macys.com/is/image/MCY/13728577 ")</f>
        <v xml:space="preserve">http://slimages.macys.com/is/image/MCY/13728577 </v>
      </c>
    </row>
    <row r="308" spans="1:13" ht="96" x14ac:dyDescent="0.25">
      <c r="A308" s="7" t="s">
        <v>9628</v>
      </c>
      <c r="B308" s="2" t="s">
        <v>1950</v>
      </c>
      <c r="C308" s="4">
        <v>1</v>
      </c>
      <c r="D308" s="5">
        <v>5.25</v>
      </c>
      <c r="E308" s="5">
        <v>14.99</v>
      </c>
      <c r="F308" s="4" t="s">
        <v>1951</v>
      </c>
      <c r="G308" s="2" t="s">
        <v>129</v>
      </c>
      <c r="H308" s="7" t="s">
        <v>68</v>
      </c>
      <c r="I308" s="2" t="s">
        <v>92</v>
      </c>
      <c r="J308" s="2" t="s">
        <v>1076</v>
      </c>
      <c r="K308" s="2" t="s">
        <v>304</v>
      </c>
      <c r="L308" s="2" t="s">
        <v>1948</v>
      </c>
      <c r="M308" s="8" t="str">
        <f>HYPERLINK("http://slimages.macys.com/is/image/MCY/15654553 ")</f>
        <v xml:space="preserve">http://slimages.macys.com/is/image/MCY/15654553 </v>
      </c>
    </row>
    <row r="309" spans="1:13" ht="60" x14ac:dyDescent="0.25">
      <c r="A309" s="7" t="s">
        <v>9629</v>
      </c>
      <c r="B309" s="2" t="s">
        <v>9630</v>
      </c>
      <c r="C309" s="4">
        <v>1</v>
      </c>
      <c r="D309" s="5">
        <v>5.25</v>
      </c>
      <c r="E309" s="5">
        <v>10.5</v>
      </c>
      <c r="F309" s="4">
        <v>26480515</v>
      </c>
      <c r="G309" s="2"/>
      <c r="H309" s="7" t="s">
        <v>209</v>
      </c>
      <c r="I309" s="2" t="s">
        <v>487</v>
      </c>
      <c r="J309" s="2" t="s">
        <v>2424</v>
      </c>
      <c r="K309" s="2" t="s">
        <v>304</v>
      </c>
      <c r="L309" s="2" t="s">
        <v>119</v>
      </c>
      <c r="M309" s="8" t="str">
        <f>HYPERLINK("http://slimages.macys.com/is/image/MCY/11501021 ")</f>
        <v xml:space="preserve">http://slimages.macys.com/is/image/MCY/11501021 </v>
      </c>
    </row>
    <row r="310" spans="1:13" ht="60" x14ac:dyDescent="0.25">
      <c r="A310" s="7" t="s">
        <v>6969</v>
      </c>
      <c r="B310" s="2" t="s">
        <v>6970</v>
      </c>
      <c r="C310" s="4">
        <v>5</v>
      </c>
      <c r="D310" s="5">
        <v>5.25</v>
      </c>
      <c r="E310" s="5">
        <v>12.77</v>
      </c>
      <c r="F310" s="4">
        <v>17880810</v>
      </c>
      <c r="G310" s="2"/>
      <c r="H310" s="7" t="s">
        <v>442</v>
      </c>
      <c r="I310" s="2" t="s">
        <v>153</v>
      </c>
      <c r="J310" s="2" t="s">
        <v>3580</v>
      </c>
      <c r="K310" s="2" t="s">
        <v>304</v>
      </c>
      <c r="L310" s="2" t="s">
        <v>125</v>
      </c>
      <c r="M310" s="8" t="str">
        <f>HYPERLINK("http://slimages.macys.com/is/image/MCY/13728577 ")</f>
        <v xml:space="preserve">http://slimages.macys.com/is/image/MCY/13728577 </v>
      </c>
    </row>
    <row r="311" spans="1:13" ht="60" x14ac:dyDescent="0.25">
      <c r="A311" s="7" t="s">
        <v>1088</v>
      </c>
      <c r="B311" s="2" t="s">
        <v>1089</v>
      </c>
      <c r="C311" s="4">
        <v>2</v>
      </c>
      <c r="D311" s="5">
        <v>5.13</v>
      </c>
      <c r="E311" s="5">
        <v>14.98</v>
      </c>
      <c r="F311" s="4" t="s">
        <v>1090</v>
      </c>
      <c r="G311" s="2" t="s">
        <v>1091</v>
      </c>
      <c r="H311" s="7" t="s">
        <v>531</v>
      </c>
      <c r="I311" s="2" t="s">
        <v>483</v>
      </c>
      <c r="J311" s="2" t="s">
        <v>536</v>
      </c>
      <c r="K311" s="2" t="s">
        <v>304</v>
      </c>
      <c r="L311" s="2" t="s">
        <v>125</v>
      </c>
      <c r="M311" s="8" t="str">
        <f>HYPERLINK("http://slimages.macys.com/is/image/MCY/12646584 ")</f>
        <v xml:space="preserve">http://slimages.macys.com/is/image/MCY/12646584 </v>
      </c>
    </row>
    <row r="312" spans="1:13" ht="60" x14ac:dyDescent="0.25">
      <c r="A312" s="7" t="s">
        <v>1092</v>
      </c>
      <c r="B312" s="2" t="s">
        <v>1093</v>
      </c>
      <c r="C312" s="4">
        <v>5</v>
      </c>
      <c r="D312" s="5">
        <v>5.09</v>
      </c>
      <c r="E312" s="5">
        <v>14.98</v>
      </c>
      <c r="F312" s="4" t="s">
        <v>1094</v>
      </c>
      <c r="G312" s="2" t="s">
        <v>297</v>
      </c>
      <c r="H312" s="7" t="s">
        <v>531</v>
      </c>
      <c r="I312" s="2" t="s">
        <v>483</v>
      </c>
      <c r="J312" s="2" t="s">
        <v>536</v>
      </c>
      <c r="K312" s="2" t="s">
        <v>304</v>
      </c>
      <c r="L312" s="2" t="s">
        <v>125</v>
      </c>
      <c r="M312" s="8" t="str">
        <f>HYPERLINK("http://slimages.macys.com/is/image/MCY/12646583 ")</f>
        <v xml:space="preserve">http://slimages.macys.com/is/image/MCY/12646583 </v>
      </c>
    </row>
    <row r="313" spans="1:13" ht="60" x14ac:dyDescent="0.25">
      <c r="A313" s="7" t="s">
        <v>9631</v>
      </c>
      <c r="B313" s="2" t="s">
        <v>9632</v>
      </c>
      <c r="C313" s="4">
        <v>1</v>
      </c>
      <c r="D313" s="5">
        <v>5</v>
      </c>
      <c r="E313" s="5">
        <v>10.99</v>
      </c>
      <c r="F313" s="4" t="s">
        <v>9633</v>
      </c>
      <c r="G313" s="2" t="s">
        <v>892</v>
      </c>
      <c r="H313" s="7" t="s">
        <v>144</v>
      </c>
      <c r="I313" s="2" t="s">
        <v>380</v>
      </c>
      <c r="J313" s="2" t="s">
        <v>258</v>
      </c>
      <c r="K313" s="2" t="s">
        <v>304</v>
      </c>
      <c r="L313" s="2" t="s">
        <v>119</v>
      </c>
      <c r="M313" s="8" t="str">
        <f>HYPERLINK("http://slimages.macys.com/is/image/MCY/12465300 ")</f>
        <v xml:space="preserve">http://slimages.macys.com/is/image/MCY/12465300 </v>
      </c>
    </row>
    <row r="314" spans="1:13" ht="60" x14ac:dyDescent="0.25">
      <c r="A314" s="7" t="s">
        <v>9634</v>
      </c>
      <c r="B314" s="2" t="s">
        <v>9632</v>
      </c>
      <c r="C314" s="4">
        <v>1</v>
      </c>
      <c r="D314" s="5">
        <v>5</v>
      </c>
      <c r="E314" s="5">
        <v>10.99</v>
      </c>
      <c r="F314" s="4" t="s">
        <v>9635</v>
      </c>
      <c r="G314" s="2" t="s">
        <v>892</v>
      </c>
      <c r="H314" s="7" t="s">
        <v>317</v>
      </c>
      <c r="I314" s="2" t="s">
        <v>380</v>
      </c>
      <c r="J314" s="2" t="s">
        <v>258</v>
      </c>
      <c r="K314" s="2" t="s">
        <v>304</v>
      </c>
      <c r="L314" s="2" t="s">
        <v>119</v>
      </c>
      <c r="M314" s="8" t="str">
        <f>HYPERLINK("http://slimages.macys.com/is/image/MCY/12465300 ")</f>
        <v xml:space="preserve">http://slimages.macys.com/is/image/MCY/12465300 </v>
      </c>
    </row>
    <row r="315" spans="1:13" ht="72" x14ac:dyDescent="0.25">
      <c r="A315" s="7" t="s">
        <v>9636</v>
      </c>
      <c r="B315" s="2" t="s">
        <v>6984</v>
      </c>
      <c r="C315" s="4">
        <v>1</v>
      </c>
      <c r="D315" s="5">
        <v>5</v>
      </c>
      <c r="E315" s="5">
        <v>12.99</v>
      </c>
      <c r="F315" s="4">
        <v>10003197100</v>
      </c>
      <c r="G315" s="2" t="s">
        <v>437</v>
      </c>
      <c r="H315" s="7" t="s">
        <v>604</v>
      </c>
      <c r="I315" s="2" t="s">
        <v>483</v>
      </c>
      <c r="J315" s="2" t="s">
        <v>536</v>
      </c>
      <c r="K315" s="2" t="s">
        <v>304</v>
      </c>
      <c r="L315" s="2" t="s">
        <v>6985</v>
      </c>
      <c r="M315" s="8" t="str">
        <f>HYPERLINK("http://slimages.macys.com/is/image/MCY/10429512 ")</f>
        <v xml:space="preserve">http://slimages.macys.com/is/image/MCY/10429512 </v>
      </c>
    </row>
    <row r="316" spans="1:13" ht="60" x14ac:dyDescent="0.25">
      <c r="A316" s="7" t="s">
        <v>9637</v>
      </c>
      <c r="B316" s="2" t="s">
        <v>1969</v>
      </c>
      <c r="C316" s="4">
        <v>1</v>
      </c>
      <c r="D316" s="5">
        <v>4.9800000000000004</v>
      </c>
      <c r="E316" s="5">
        <v>12.99</v>
      </c>
      <c r="F316" s="4" t="s">
        <v>1970</v>
      </c>
      <c r="G316" s="2" t="s">
        <v>437</v>
      </c>
      <c r="H316" s="7" t="s">
        <v>284</v>
      </c>
      <c r="I316" s="2" t="s">
        <v>515</v>
      </c>
      <c r="J316" s="2" t="s">
        <v>1971</v>
      </c>
      <c r="K316" s="2" t="s">
        <v>304</v>
      </c>
      <c r="L316" s="2" t="s">
        <v>119</v>
      </c>
      <c r="M316" s="8" t="str">
        <f>HYPERLINK("http://slimages.macys.com/is/image/MCY/13586213 ")</f>
        <v xml:space="preserve">http://slimages.macys.com/is/image/MCY/13586213 </v>
      </c>
    </row>
    <row r="317" spans="1:13" ht="60" x14ac:dyDescent="0.25">
      <c r="A317" s="7" t="s">
        <v>8320</v>
      </c>
      <c r="B317" s="2" t="s">
        <v>1969</v>
      </c>
      <c r="C317" s="4">
        <v>1</v>
      </c>
      <c r="D317" s="5">
        <v>4.9800000000000004</v>
      </c>
      <c r="E317" s="5">
        <v>12.99</v>
      </c>
      <c r="F317" s="4" t="s">
        <v>1970</v>
      </c>
      <c r="G317" s="2" t="s">
        <v>437</v>
      </c>
      <c r="H317" s="7" t="s">
        <v>159</v>
      </c>
      <c r="I317" s="2" t="s">
        <v>515</v>
      </c>
      <c r="J317" s="2" t="s">
        <v>1971</v>
      </c>
      <c r="K317" s="2" t="s">
        <v>304</v>
      </c>
      <c r="L317" s="2" t="s">
        <v>119</v>
      </c>
      <c r="M317" s="8" t="str">
        <f>HYPERLINK("http://slimages.macys.com/is/image/MCY/13586213 ")</f>
        <v xml:space="preserve">http://slimages.macys.com/is/image/MCY/13586213 </v>
      </c>
    </row>
    <row r="318" spans="1:13" ht="60" x14ac:dyDescent="0.25">
      <c r="A318" s="7" t="s">
        <v>9638</v>
      </c>
      <c r="B318" s="2" t="s">
        <v>1969</v>
      </c>
      <c r="C318" s="4">
        <v>1</v>
      </c>
      <c r="D318" s="5">
        <v>4.9800000000000004</v>
      </c>
      <c r="E318" s="5">
        <v>12.99</v>
      </c>
      <c r="F318" s="4" t="s">
        <v>1970</v>
      </c>
      <c r="G318" s="2" t="s">
        <v>437</v>
      </c>
      <c r="H318" s="7" t="s">
        <v>196</v>
      </c>
      <c r="I318" s="2" t="s">
        <v>515</v>
      </c>
      <c r="J318" s="2" t="s">
        <v>1971</v>
      </c>
      <c r="K318" s="2" t="s">
        <v>304</v>
      </c>
      <c r="L318" s="2" t="s">
        <v>119</v>
      </c>
      <c r="M318" s="8" t="str">
        <f>HYPERLINK("http://slimages.macys.com/is/image/MCY/13586213 ")</f>
        <v xml:space="preserve">http://slimages.macys.com/is/image/MCY/13586213 </v>
      </c>
    </row>
    <row r="319" spans="1:13" ht="60" x14ac:dyDescent="0.25">
      <c r="A319" s="7" t="s">
        <v>1968</v>
      </c>
      <c r="B319" s="2" t="s">
        <v>1969</v>
      </c>
      <c r="C319" s="4">
        <v>1</v>
      </c>
      <c r="D319" s="5">
        <v>4.9800000000000004</v>
      </c>
      <c r="E319" s="5">
        <v>12.99</v>
      </c>
      <c r="F319" s="4" t="s">
        <v>1970</v>
      </c>
      <c r="G319" s="2" t="s">
        <v>437</v>
      </c>
      <c r="H319" s="7" t="s">
        <v>228</v>
      </c>
      <c r="I319" s="2" t="s">
        <v>515</v>
      </c>
      <c r="J319" s="2" t="s">
        <v>1971</v>
      </c>
      <c r="K319" s="2" t="s">
        <v>304</v>
      </c>
      <c r="L319" s="2" t="s">
        <v>119</v>
      </c>
      <c r="M319" s="8" t="str">
        <f>HYPERLINK("http://slimages.macys.com/is/image/MCY/13586213 ")</f>
        <v xml:space="preserve">http://slimages.macys.com/is/image/MCY/13586213 </v>
      </c>
    </row>
    <row r="320" spans="1:13" ht="60" x14ac:dyDescent="0.25">
      <c r="A320" s="7" t="s">
        <v>9639</v>
      </c>
      <c r="B320" s="2" t="s">
        <v>9640</v>
      </c>
      <c r="C320" s="4">
        <v>1</v>
      </c>
      <c r="D320" s="5">
        <v>4.9800000000000004</v>
      </c>
      <c r="E320" s="5">
        <v>11.99</v>
      </c>
      <c r="F320" s="4" t="s">
        <v>9641</v>
      </c>
      <c r="G320" s="2" t="s">
        <v>353</v>
      </c>
      <c r="H320" s="7" t="s">
        <v>217</v>
      </c>
      <c r="I320" s="2" t="s">
        <v>292</v>
      </c>
      <c r="J320" s="2" t="s">
        <v>293</v>
      </c>
      <c r="K320" s="2" t="s">
        <v>304</v>
      </c>
      <c r="L320" s="2" t="s">
        <v>119</v>
      </c>
      <c r="M320" s="8" t="str">
        <f>HYPERLINK("http://slimages.macys.com/is/image/MCY/11527662 ")</f>
        <v xml:space="preserve">http://slimages.macys.com/is/image/MCY/11527662 </v>
      </c>
    </row>
    <row r="321" spans="1:13" ht="60" x14ac:dyDescent="0.25">
      <c r="A321" s="7" t="s">
        <v>1977</v>
      </c>
      <c r="B321" s="2" t="s">
        <v>1975</v>
      </c>
      <c r="C321" s="4">
        <v>1</v>
      </c>
      <c r="D321" s="5">
        <v>4.93</v>
      </c>
      <c r="E321" s="5">
        <v>12.99</v>
      </c>
      <c r="F321" s="4" t="s">
        <v>1976</v>
      </c>
      <c r="G321" s="2" t="s">
        <v>527</v>
      </c>
      <c r="H321" s="7" t="s">
        <v>159</v>
      </c>
      <c r="I321" s="2" t="s">
        <v>515</v>
      </c>
      <c r="J321" s="2" t="s">
        <v>1971</v>
      </c>
      <c r="K321" s="2" t="s">
        <v>304</v>
      </c>
      <c r="L321" s="2" t="s">
        <v>119</v>
      </c>
      <c r="M321" s="8" t="str">
        <f>HYPERLINK("http://slimages.macys.com/is/image/MCY/11860776 ")</f>
        <v xml:space="preserve">http://slimages.macys.com/is/image/MCY/11860776 </v>
      </c>
    </row>
    <row r="322" spans="1:13" ht="60" x14ac:dyDescent="0.25">
      <c r="A322" s="7" t="s">
        <v>9642</v>
      </c>
      <c r="B322" s="2" t="s">
        <v>4194</v>
      </c>
      <c r="C322" s="4">
        <v>1</v>
      </c>
      <c r="D322" s="5">
        <v>4.93</v>
      </c>
      <c r="E322" s="5">
        <v>12.99</v>
      </c>
      <c r="F322" s="4" t="s">
        <v>4195</v>
      </c>
      <c r="G322" s="2" t="s">
        <v>527</v>
      </c>
      <c r="H322" s="7" t="s">
        <v>578</v>
      </c>
      <c r="I322" s="2" t="s">
        <v>515</v>
      </c>
      <c r="J322" s="2" t="s">
        <v>875</v>
      </c>
      <c r="K322" s="2" t="s">
        <v>304</v>
      </c>
      <c r="L322" s="2" t="s">
        <v>4196</v>
      </c>
      <c r="M322" s="8" t="str">
        <f>HYPERLINK("http://slimages.macys.com/is/image/MCY/11606116 ")</f>
        <v xml:space="preserve">http://slimages.macys.com/is/image/MCY/11606116 </v>
      </c>
    </row>
    <row r="323" spans="1:13" ht="60" x14ac:dyDescent="0.25">
      <c r="A323" s="7" t="s">
        <v>9643</v>
      </c>
      <c r="B323" s="2" t="s">
        <v>1975</v>
      </c>
      <c r="C323" s="4">
        <v>1</v>
      </c>
      <c r="D323" s="5">
        <v>4.93</v>
      </c>
      <c r="E323" s="5">
        <v>12.99</v>
      </c>
      <c r="F323" s="4" t="s">
        <v>1976</v>
      </c>
      <c r="G323" s="2" t="s">
        <v>62</v>
      </c>
      <c r="H323" s="7" t="s">
        <v>196</v>
      </c>
      <c r="I323" s="2" t="s">
        <v>515</v>
      </c>
      <c r="J323" s="2" t="s">
        <v>1971</v>
      </c>
      <c r="K323" s="2" t="s">
        <v>304</v>
      </c>
      <c r="L323" s="2" t="s">
        <v>119</v>
      </c>
      <c r="M323" s="8" t="str">
        <f>HYPERLINK("http://slimages.macys.com/is/image/MCY/11860776 ")</f>
        <v xml:space="preserve">http://slimages.macys.com/is/image/MCY/11860776 </v>
      </c>
    </row>
    <row r="324" spans="1:13" ht="60" x14ac:dyDescent="0.25">
      <c r="A324" s="7" t="s">
        <v>9644</v>
      </c>
      <c r="B324" s="2" t="s">
        <v>1975</v>
      </c>
      <c r="C324" s="4">
        <v>1</v>
      </c>
      <c r="D324" s="5">
        <v>4.93</v>
      </c>
      <c r="E324" s="5">
        <v>12.99</v>
      </c>
      <c r="F324" s="4" t="s">
        <v>1976</v>
      </c>
      <c r="G324" s="2" t="s">
        <v>62</v>
      </c>
      <c r="H324" s="7" t="s">
        <v>284</v>
      </c>
      <c r="I324" s="2" t="s">
        <v>515</v>
      </c>
      <c r="J324" s="2" t="s">
        <v>1971</v>
      </c>
      <c r="K324" s="2" t="s">
        <v>304</v>
      </c>
      <c r="L324" s="2" t="s">
        <v>119</v>
      </c>
      <c r="M324" s="8" t="str">
        <f>HYPERLINK("http://slimages.macys.com/is/image/MCY/11860776 ")</f>
        <v xml:space="preserve">http://slimages.macys.com/is/image/MCY/11860776 </v>
      </c>
    </row>
    <row r="325" spans="1:13" ht="84" x14ac:dyDescent="0.25">
      <c r="A325" s="7" t="s">
        <v>1978</v>
      </c>
      <c r="B325" s="2" t="s">
        <v>1979</v>
      </c>
      <c r="C325" s="4">
        <v>1</v>
      </c>
      <c r="D325" s="5">
        <v>4.92</v>
      </c>
      <c r="E325" s="5">
        <v>12.99</v>
      </c>
      <c r="F325" s="4" t="s">
        <v>1980</v>
      </c>
      <c r="G325" s="2" t="s">
        <v>62</v>
      </c>
      <c r="H325" s="7" t="s">
        <v>284</v>
      </c>
      <c r="I325" s="2" t="s">
        <v>515</v>
      </c>
      <c r="J325" s="2" t="s">
        <v>827</v>
      </c>
      <c r="K325" s="2" t="s">
        <v>304</v>
      </c>
      <c r="L325" s="2" t="s">
        <v>1117</v>
      </c>
      <c r="M325" s="8" t="str">
        <f>HYPERLINK("http://slimages.macys.com/is/image/MCY/12687243 ")</f>
        <v xml:space="preserve">http://slimages.macys.com/is/image/MCY/12687243 </v>
      </c>
    </row>
    <row r="326" spans="1:13" ht="84" x14ac:dyDescent="0.25">
      <c r="A326" s="7" t="s">
        <v>5508</v>
      </c>
      <c r="B326" s="2" t="s">
        <v>1979</v>
      </c>
      <c r="C326" s="4">
        <v>1</v>
      </c>
      <c r="D326" s="5">
        <v>4.92</v>
      </c>
      <c r="E326" s="5">
        <v>12.99</v>
      </c>
      <c r="F326" s="4" t="s">
        <v>1980</v>
      </c>
      <c r="G326" s="2" t="s">
        <v>62</v>
      </c>
      <c r="H326" s="7" t="s">
        <v>196</v>
      </c>
      <c r="I326" s="2" t="s">
        <v>515</v>
      </c>
      <c r="J326" s="2" t="s">
        <v>827</v>
      </c>
      <c r="K326" s="2" t="s">
        <v>304</v>
      </c>
      <c r="L326" s="2" t="s">
        <v>1117</v>
      </c>
      <c r="M326" s="8" t="str">
        <f>HYPERLINK("http://slimages.macys.com/is/image/MCY/12687243 ")</f>
        <v xml:space="preserve">http://slimages.macys.com/is/image/MCY/12687243 </v>
      </c>
    </row>
    <row r="327" spans="1:13" ht="84" x14ac:dyDescent="0.25">
      <c r="A327" s="7" t="s">
        <v>9645</v>
      </c>
      <c r="B327" s="2" t="s">
        <v>1979</v>
      </c>
      <c r="C327" s="4">
        <v>1</v>
      </c>
      <c r="D327" s="5">
        <v>4.92</v>
      </c>
      <c r="E327" s="5">
        <v>12.99</v>
      </c>
      <c r="F327" s="4" t="s">
        <v>1980</v>
      </c>
      <c r="G327" s="2" t="s">
        <v>62</v>
      </c>
      <c r="H327" s="7" t="s">
        <v>159</v>
      </c>
      <c r="I327" s="2" t="s">
        <v>515</v>
      </c>
      <c r="J327" s="2" t="s">
        <v>827</v>
      </c>
      <c r="K327" s="2" t="s">
        <v>304</v>
      </c>
      <c r="L327" s="2" t="s">
        <v>1117</v>
      </c>
      <c r="M327" s="8" t="str">
        <f>HYPERLINK("http://slimages.macys.com/is/image/MCY/12687243 ")</f>
        <v xml:space="preserve">http://slimages.macys.com/is/image/MCY/12687243 </v>
      </c>
    </row>
    <row r="328" spans="1:13" ht="84" x14ac:dyDescent="0.25">
      <c r="A328" s="7" t="s">
        <v>9646</v>
      </c>
      <c r="B328" s="2" t="s">
        <v>1979</v>
      </c>
      <c r="C328" s="4">
        <v>1</v>
      </c>
      <c r="D328" s="5">
        <v>4.92</v>
      </c>
      <c r="E328" s="5">
        <v>12.99</v>
      </c>
      <c r="F328" s="4" t="s">
        <v>1980</v>
      </c>
      <c r="G328" s="2" t="s">
        <v>62</v>
      </c>
      <c r="H328" s="7" t="s">
        <v>196</v>
      </c>
      <c r="I328" s="2" t="s">
        <v>515</v>
      </c>
      <c r="J328" s="2" t="s">
        <v>827</v>
      </c>
      <c r="K328" s="2" t="s">
        <v>304</v>
      </c>
      <c r="L328" s="2" t="s">
        <v>1117</v>
      </c>
      <c r="M328" s="8" t="str">
        <f>HYPERLINK("http://slimages.macys.com/is/image/MCY/12687243 ")</f>
        <v xml:space="preserve">http://slimages.macys.com/is/image/MCY/12687243 </v>
      </c>
    </row>
    <row r="329" spans="1:13" ht="72" x14ac:dyDescent="0.25">
      <c r="A329" s="7" t="s">
        <v>9647</v>
      </c>
      <c r="B329" s="2" t="s">
        <v>6349</v>
      </c>
      <c r="C329" s="4">
        <v>1</v>
      </c>
      <c r="D329" s="5">
        <v>4.8</v>
      </c>
      <c r="E329" s="5">
        <v>9.99</v>
      </c>
      <c r="F329" s="4" t="s">
        <v>6350</v>
      </c>
      <c r="G329" s="2" t="s">
        <v>2107</v>
      </c>
      <c r="H329" s="7" t="s">
        <v>482</v>
      </c>
      <c r="I329" s="2" t="s">
        <v>153</v>
      </c>
      <c r="J329" s="2" t="s">
        <v>154</v>
      </c>
      <c r="K329" s="2" t="s">
        <v>304</v>
      </c>
      <c r="L329" s="2" t="s">
        <v>6351</v>
      </c>
      <c r="M329" s="8" t="str">
        <f>HYPERLINK("http://slimages.macys.com/is/image/MCY/9857364 ")</f>
        <v xml:space="preserve">http://slimages.macys.com/is/image/MCY/9857364 </v>
      </c>
    </row>
    <row r="330" spans="1:13" ht="60" x14ac:dyDescent="0.25">
      <c r="A330" s="7" t="s">
        <v>9081</v>
      </c>
      <c r="B330" s="2" t="s">
        <v>1988</v>
      </c>
      <c r="C330" s="4">
        <v>3</v>
      </c>
      <c r="D330" s="5">
        <v>4.79</v>
      </c>
      <c r="E330" s="5">
        <v>12.99</v>
      </c>
      <c r="F330" s="4" t="s">
        <v>1989</v>
      </c>
      <c r="G330" s="2" t="s">
        <v>48</v>
      </c>
      <c r="H330" s="7" t="s">
        <v>228</v>
      </c>
      <c r="I330" s="2" t="s">
        <v>515</v>
      </c>
      <c r="J330" s="2" t="s">
        <v>1971</v>
      </c>
      <c r="K330" s="2" t="s">
        <v>304</v>
      </c>
      <c r="L330" s="2" t="s">
        <v>119</v>
      </c>
      <c r="M330" s="8" t="str">
        <f>HYPERLINK("http://slimages.macys.com/is/image/MCY/11530999 ")</f>
        <v xml:space="preserve">http://slimages.macys.com/is/image/MCY/11530999 </v>
      </c>
    </row>
    <row r="331" spans="1:13" ht="60" x14ac:dyDescent="0.25">
      <c r="A331" s="7" t="s">
        <v>1987</v>
      </c>
      <c r="B331" s="2" t="s">
        <v>1988</v>
      </c>
      <c r="C331" s="4">
        <v>3</v>
      </c>
      <c r="D331" s="5">
        <v>4.79</v>
      </c>
      <c r="E331" s="5">
        <v>12.99</v>
      </c>
      <c r="F331" s="4" t="s">
        <v>1989</v>
      </c>
      <c r="G331" s="2" t="s">
        <v>48</v>
      </c>
      <c r="H331" s="7" t="s">
        <v>196</v>
      </c>
      <c r="I331" s="2" t="s">
        <v>515</v>
      </c>
      <c r="J331" s="2" t="s">
        <v>1971</v>
      </c>
      <c r="K331" s="2" t="s">
        <v>304</v>
      </c>
      <c r="L331" s="2" t="s">
        <v>119</v>
      </c>
      <c r="M331" s="8" t="str">
        <f>HYPERLINK("http://slimages.macys.com/is/image/MCY/11530999 ")</f>
        <v xml:space="preserve">http://slimages.macys.com/is/image/MCY/11530999 </v>
      </c>
    </row>
    <row r="332" spans="1:13" ht="60" x14ac:dyDescent="0.25">
      <c r="A332" s="7" t="s">
        <v>9648</v>
      </c>
      <c r="B332" s="2" t="s">
        <v>4194</v>
      </c>
      <c r="C332" s="4">
        <v>1</v>
      </c>
      <c r="D332" s="5">
        <v>4.76</v>
      </c>
      <c r="E332" s="5">
        <v>12.99</v>
      </c>
      <c r="F332" s="4" t="s">
        <v>4195</v>
      </c>
      <c r="G332" s="2" t="s">
        <v>171</v>
      </c>
      <c r="H332" s="7" t="s">
        <v>63</v>
      </c>
      <c r="I332" s="2" t="s">
        <v>515</v>
      </c>
      <c r="J332" s="2" t="s">
        <v>875</v>
      </c>
      <c r="K332" s="2" t="s">
        <v>304</v>
      </c>
      <c r="L332" s="2" t="s">
        <v>4196</v>
      </c>
      <c r="M332" s="8" t="str">
        <f>HYPERLINK("http://slimages.macys.com/is/image/MCY/11606116 ")</f>
        <v xml:space="preserve">http://slimages.macys.com/is/image/MCY/11606116 </v>
      </c>
    </row>
    <row r="333" spans="1:13" ht="60" x14ac:dyDescent="0.25">
      <c r="A333" s="7" t="s">
        <v>5524</v>
      </c>
      <c r="B333" s="2" t="s">
        <v>5525</v>
      </c>
      <c r="C333" s="4">
        <v>1</v>
      </c>
      <c r="D333" s="5">
        <v>4.75</v>
      </c>
      <c r="E333" s="5">
        <v>9.99</v>
      </c>
      <c r="F333" s="4" t="s">
        <v>5526</v>
      </c>
      <c r="G333" s="2" t="s">
        <v>86</v>
      </c>
      <c r="H333" s="7" t="s">
        <v>217</v>
      </c>
      <c r="I333" s="2" t="s">
        <v>468</v>
      </c>
      <c r="J333" s="2" t="s">
        <v>469</v>
      </c>
      <c r="K333" s="2" t="s">
        <v>304</v>
      </c>
      <c r="L333" s="2" t="s">
        <v>119</v>
      </c>
      <c r="M333" s="8" t="str">
        <f>HYPERLINK("http://slimages.macys.com/is/image/MCY/12809147 ")</f>
        <v xml:space="preserve">http://slimages.macys.com/is/image/MCY/12809147 </v>
      </c>
    </row>
    <row r="334" spans="1:13" ht="60" x14ac:dyDescent="0.25">
      <c r="A334" s="7" t="s">
        <v>1993</v>
      </c>
      <c r="B334" s="2" t="s">
        <v>1991</v>
      </c>
      <c r="C334" s="4">
        <v>1</v>
      </c>
      <c r="D334" s="5">
        <v>4.75</v>
      </c>
      <c r="E334" s="5">
        <v>8.99</v>
      </c>
      <c r="F334" s="4" t="s">
        <v>1992</v>
      </c>
      <c r="G334" s="2" t="s">
        <v>653</v>
      </c>
      <c r="H334" s="7" t="s">
        <v>228</v>
      </c>
      <c r="I334" s="2" t="s">
        <v>73</v>
      </c>
      <c r="J334" s="2" t="s">
        <v>1917</v>
      </c>
      <c r="K334" s="2" t="s">
        <v>304</v>
      </c>
      <c r="L334" s="2" t="s">
        <v>125</v>
      </c>
      <c r="M334" s="8" t="str">
        <f>HYPERLINK("http://slimages.macys.com/is/image/MCY/13726811 ")</f>
        <v xml:space="preserve">http://slimages.macys.com/is/image/MCY/13726811 </v>
      </c>
    </row>
    <row r="335" spans="1:13" ht="60" x14ac:dyDescent="0.25">
      <c r="A335" s="7" t="s">
        <v>9649</v>
      </c>
      <c r="B335" s="2" t="s">
        <v>2138</v>
      </c>
      <c r="C335" s="4">
        <v>3</v>
      </c>
      <c r="D335" s="5">
        <v>4.5999999999999996</v>
      </c>
      <c r="E335" s="5">
        <v>10.99</v>
      </c>
      <c r="F335" s="4" t="s">
        <v>9100</v>
      </c>
      <c r="G335" s="2" t="s">
        <v>86</v>
      </c>
      <c r="H335" s="7" t="s">
        <v>159</v>
      </c>
      <c r="I335" s="2" t="s">
        <v>389</v>
      </c>
      <c r="J335" s="2" t="s">
        <v>354</v>
      </c>
      <c r="K335" s="2" t="s">
        <v>304</v>
      </c>
      <c r="L335" s="2" t="s">
        <v>119</v>
      </c>
      <c r="M335" s="8" t="str">
        <f t="shared" ref="M335:M341" si="3">HYPERLINK("http://slimages.macys.com/is/image/MCY/10178268 ")</f>
        <v xml:space="preserve">http://slimages.macys.com/is/image/MCY/10178268 </v>
      </c>
    </row>
    <row r="336" spans="1:13" ht="60" x14ac:dyDescent="0.25">
      <c r="A336" s="7" t="s">
        <v>9650</v>
      </c>
      <c r="B336" s="2" t="s">
        <v>2138</v>
      </c>
      <c r="C336" s="4">
        <v>2</v>
      </c>
      <c r="D336" s="5">
        <v>4.5999999999999996</v>
      </c>
      <c r="E336" s="5">
        <v>10.99</v>
      </c>
      <c r="F336" s="4" t="s">
        <v>9100</v>
      </c>
      <c r="G336" s="2" t="s">
        <v>86</v>
      </c>
      <c r="H336" s="7" t="s">
        <v>228</v>
      </c>
      <c r="I336" s="2" t="s">
        <v>389</v>
      </c>
      <c r="J336" s="2" t="s">
        <v>354</v>
      </c>
      <c r="K336" s="2" t="s">
        <v>304</v>
      </c>
      <c r="L336" s="2" t="s">
        <v>119</v>
      </c>
      <c r="M336" s="8" t="str">
        <f t="shared" si="3"/>
        <v xml:space="preserve">http://slimages.macys.com/is/image/MCY/10178268 </v>
      </c>
    </row>
    <row r="337" spans="1:13" ht="60" x14ac:dyDescent="0.25">
      <c r="A337" s="7" t="s">
        <v>9651</v>
      </c>
      <c r="B337" s="2" t="s">
        <v>2138</v>
      </c>
      <c r="C337" s="4">
        <v>2</v>
      </c>
      <c r="D337" s="5">
        <v>4.5999999999999996</v>
      </c>
      <c r="E337" s="5">
        <v>10.99</v>
      </c>
      <c r="F337" s="4" t="s">
        <v>9100</v>
      </c>
      <c r="G337" s="2" t="s">
        <v>41</v>
      </c>
      <c r="H337" s="7" t="s">
        <v>284</v>
      </c>
      <c r="I337" s="2" t="s">
        <v>389</v>
      </c>
      <c r="J337" s="2" t="s">
        <v>354</v>
      </c>
      <c r="K337" s="2" t="s">
        <v>304</v>
      </c>
      <c r="L337" s="2" t="s">
        <v>119</v>
      </c>
      <c r="M337" s="8" t="str">
        <f t="shared" si="3"/>
        <v xml:space="preserve">http://slimages.macys.com/is/image/MCY/10178268 </v>
      </c>
    </row>
    <row r="338" spans="1:13" ht="60" x14ac:dyDescent="0.25">
      <c r="A338" s="7" t="s">
        <v>9652</v>
      </c>
      <c r="B338" s="2" t="s">
        <v>2138</v>
      </c>
      <c r="C338" s="4">
        <v>2</v>
      </c>
      <c r="D338" s="5">
        <v>4.5999999999999996</v>
      </c>
      <c r="E338" s="5">
        <v>10.99</v>
      </c>
      <c r="F338" s="4" t="s">
        <v>9100</v>
      </c>
      <c r="G338" s="2" t="s">
        <v>41</v>
      </c>
      <c r="H338" s="7" t="s">
        <v>228</v>
      </c>
      <c r="I338" s="2" t="s">
        <v>389</v>
      </c>
      <c r="J338" s="2" t="s">
        <v>354</v>
      </c>
      <c r="K338" s="2" t="s">
        <v>304</v>
      </c>
      <c r="L338" s="2" t="s">
        <v>119</v>
      </c>
      <c r="M338" s="8" t="str">
        <f t="shared" si="3"/>
        <v xml:space="preserve">http://slimages.macys.com/is/image/MCY/10178268 </v>
      </c>
    </row>
    <row r="339" spans="1:13" ht="60" x14ac:dyDescent="0.25">
      <c r="A339" s="7" t="s">
        <v>9653</v>
      </c>
      <c r="B339" s="2" t="s">
        <v>2138</v>
      </c>
      <c r="C339" s="4">
        <v>2</v>
      </c>
      <c r="D339" s="5">
        <v>4.5999999999999996</v>
      </c>
      <c r="E339" s="5">
        <v>10.99</v>
      </c>
      <c r="F339" s="4" t="s">
        <v>9100</v>
      </c>
      <c r="G339" s="2" t="s">
        <v>793</v>
      </c>
      <c r="H339" s="7" t="s">
        <v>228</v>
      </c>
      <c r="I339" s="2" t="s">
        <v>389</v>
      </c>
      <c r="J339" s="2" t="s">
        <v>354</v>
      </c>
      <c r="K339" s="2" t="s">
        <v>304</v>
      </c>
      <c r="L339" s="2" t="s">
        <v>119</v>
      </c>
      <c r="M339" s="8" t="str">
        <f t="shared" si="3"/>
        <v xml:space="preserve">http://slimages.macys.com/is/image/MCY/10178268 </v>
      </c>
    </row>
    <row r="340" spans="1:13" ht="60" x14ac:dyDescent="0.25">
      <c r="A340" s="7" t="s">
        <v>9654</v>
      </c>
      <c r="B340" s="2" t="s">
        <v>2138</v>
      </c>
      <c r="C340" s="4">
        <v>1</v>
      </c>
      <c r="D340" s="5">
        <v>4.5999999999999996</v>
      </c>
      <c r="E340" s="5">
        <v>10.99</v>
      </c>
      <c r="F340" s="4" t="s">
        <v>9100</v>
      </c>
      <c r="G340" s="2" t="s">
        <v>793</v>
      </c>
      <c r="H340" s="7" t="s">
        <v>284</v>
      </c>
      <c r="I340" s="2" t="s">
        <v>389</v>
      </c>
      <c r="J340" s="2" t="s">
        <v>354</v>
      </c>
      <c r="K340" s="2" t="s">
        <v>304</v>
      </c>
      <c r="L340" s="2" t="s">
        <v>119</v>
      </c>
      <c r="M340" s="8" t="str">
        <f t="shared" si="3"/>
        <v xml:space="preserve">http://slimages.macys.com/is/image/MCY/10178268 </v>
      </c>
    </row>
    <row r="341" spans="1:13" ht="60" x14ac:dyDescent="0.25">
      <c r="A341" s="7" t="s">
        <v>9655</v>
      </c>
      <c r="B341" s="2" t="s">
        <v>2138</v>
      </c>
      <c r="C341" s="4">
        <v>4</v>
      </c>
      <c r="D341" s="5">
        <v>4.5999999999999996</v>
      </c>
      <c r="E341" s="5">
        <v>10.99</v>
      </c>
      <c r="F341" s="4" t="s">
        <v>9100</v>
      </c>
      <c r="G341" s="2" t="s">
        <v>41</v>
      </c>
      <c r="H341" s="7" t="s">
        <v>159</v>
      </c>
      <c r="I341" s="2" t="s">
        <v>389</v>
      </c>
      <c r="J341" s="2" t="s">
        <v>354</v>
      </c>
      <c r="K341" s="2" t="s">
        <v>304</v>
      </c>
      <c r="L341" s="2" t="s">
        <v>119</v>
      </c>
      <c r="M341" s="8" t="str">
        <f t="shared" si="3"/>
        <v xml:space="preserve">http://slimages.macys.com/is/image/MCY/10178268 </v>
      </c>
    </row>
    <row r="342" spans="1:13" ht="84" x14ac:dyDescent="0.25">
      <c r="A342" s="7" t="s">
        <v>9656</v>
      </c>
      <c r="B342" s="2" t="s">
        <v>5047</v>
      </c>
      <c r="C342" s="4">
        <v>7</v>
      </c>
      <c r="D342" s="5">
        <v>4.59</v>
      </c>
      <c r="E342" s="5">
        <v>12.99</v>
      </c>
      <c r="F342" s="4" t="s">
        <v>5048</v>
      </c>
      <c r="G342" s="2" t="s">
        <v>28</v>
      </c>
      <c r="H342" s="7" t="s">
        <v>159</v>
      </c>
      <c r="I342" s="2" t="s">
        <v>515</v>
      </c>
      <c r="J342" s="2" t="s">
        <v>827</v>
      </c>
      <c r="K342" s="2" t="s">
        <v>304</v>
      </c>
      <c r="L342" s="2" t="s">
        <v>1117</v>
      </c>
      <c r="M342" s="8" t="str">
        <f>HYPERLINK("http://slimages.macys.com/is/image/MCY/11605924 ")</f>
        <v xml:space="preserve">http://slimages.macys.com/is/image/MCY/11605924 </v>
      </c>
    </row>
    <row r="343" spans="1:13" ht="84" x14ac:dyDescent="0.25">
      <c r="A343" s="7" t="s">
        <v>9657</v>
      </c>
      <c r="B343" s="2" t="s">
        <v>1115</v>
      </c>
      <c r="C343" s="4">
        <v>4</v>
      </c>
      <c r="D343" s="5">
        <v>4.59</v>
      </c>
      <c r="E343" s="5">
        <v>12.99</v>
      </c>
      <c r="F343" s="4" t="s">
        <v>1116</v>
      </c>
      <c r="G343" s="2" t="s">
        <v>28</v>
      </c>
      <c r="H343" s="7" t="s">
        <v>228</v>
      </c>
      <c r="I343" s="2" t="s">
        <v>515</v>
      </c>
      <c r="J343" s="2" t="s">
        <v>827</v>
      </c>
      <c r="K343" s="2" t="s">
        <v>304</v>
      </c>
      <c r="L343" s="2" t="s">
        <v>1117</v>
      </c>
      <c r="M343" s="8" t="str">
        <f>HYPERLINK("http://slimages.macys.com/is/image/MCY/11606022 ")</f>
        <v xml:space="preserve">http://slimages.macys.com/is/image/MCY/11606022 </v>
      </c>
    </row>
    <row r="344" spans="1:13" ht="84" x14ac:dyDescent="0.25">
      <c r="A344" s="7" t="s">
        <v>8342</v>
      </c>
      <c r="B344" s="2" t="s">
        <v>2011</v>
      </c>
      <c r="C344" s="4">
        <v>2</v>
      </c>
      <c r="D344" s="5">
        <v>4.59</v>
      </c>
      <c r="E344" s="5">
        <v>12.99</v>
      </c>
      <c r="F344" s="4" t="s">
        <v>2012</v>
      </c>
      <c r="G344" s="2" t="s">
        <v>28</v>
      </c>
      <c r="H344" s="7" t="s">
        <v>284</v>
      </c>
      <c r="I344" s="2" t="s">
        <v>515</v>
      </c>
      <c r="J344" s="2" t="s">
        <v>827</v>
      </c>
      <c r="K344" s="2" t="s">
        <v>304</v>
      </c>
      <c r="L344" s="2" t="s">
        <v>1117</v>
      </c>
      <c r="M344" s="8" t="str">
        <f>HYPERLINK("http://slimages.macys.com/is/image/MCY/11606013 ")</f>
        <v xml:space="preserve">http://slimages.macys.com/is/image/MCY/11606013 </v>
      </c>
    </row>
    <row r="345" spans="1:13" ht="84" x14ac:dyDescent="0.25">
      <c r="A345" s="7" t="s">
        <v>1114</v>
      </c>
      <c r="B345" s="2" t="s">
        <v>1115</v>
      </c>
      <c r="C345" s="4">
        <v>1</v>
      </c>
      <c r="D345" s="5">
        <v>4.59</v>
      </c>
      <c r="E345" s="5">
        <v>12.99</v>
      </c>
      <c r="F345" s="4" t="s">
        <v>1116</v>
      </c>
      <c r="G345" s="2" t="s">
        <v>28</v>
      </c>
      <c r="H345" s="7" t="s">
        <v>196</v>
      </c>
      <c r="I345" s="2" t="s">
        <v>515</v>
      </c>
      <c r="J345" s="2" t="s">
        <v>827</v>
      </c>
      <c r="K345" s="2" t="s">
        <v>304</v>
      </c>
      <c r="L345" s="2" t="s">
        <v>1117</v>
      </c>
      <c r="M345" s="8" t="str">
        <f>HYPERLINK("http://slimages.macys.com/is/image/MCY/11606022 ")</f>
        <v xml:space="preserve">http://slimages.macys.com/is/image/MCY/11606022 </v>
      </c>
    </row>
    <row r="346" spans="1:13" ht="84" x14ac:dyDescent="0.25">
      <c r="A346" s="7" t="s">
        <v>7009</v>
      </c>
      <c r="B346" s="2" t="s">
        <v>2011</v>
      </c>
      <c r="C346" s="4">
        <v>3</v>
      </c>
      <c r="D346" s="5">
        <v>4.59</v>
      </c>
      <c r="E346" s="5">
        <v>12.99</v>
      </c>
      <c r="F346" s="4" t="s">
        <v>2012</v>
      </c>
      <c r="G346" s="2" t="s">
        <v>28</v>
      </c>
      <c r="H346" s="7" t="s">
        <v>159</v>
      </c>
      <c r="I346" s="2" t="s">
        <v>515</v>
      </c>
      <c r="J346" s="2" t="s">
        <v>827</v>
      </c>
      <c r="K346" s="2" t="s">
        <v>304</v>
      </c>
      <c r="L346" s="2" t="s">
        <v>1117</v>
      </c>
      <c r="M346" s="8" t="str">
        <f>HYPERLINK("http://slimages.macys.com/is/image/MCY/11606013 ")</f>
        <v xml:space="preserve">http://slimages.macys.com/is/image/MCY/11606013 </v>
      </c>
    </row>
    <row r="347" spans="1:13" ht="84" x14ac:dyDescent="0.25">
      <c r="A347" s="7" t="s">
        <v>5046</v>
      </c>
      <c r="B347" s="2" t="s">
        <v>5047</v>
      </c>
      <c r="C347" s="4">
        <v>1</v>
      </c>
      <c r="D347" s="5">
        <v>4.59</v>
      </c>
      <c r="E347" s="5">
        <v>12.99</v>
      </c>
      <c r="F347" s="4" t="s">
        <v>5048</v>
      </c>
      <c r="G347" s="2" t="s">
        <v>28</v>
      </c>
      <c r="H347" s="7" t="s">
        <v>196</v>
      </c>
      <c r="I347" s="2" t="s">
        <v>515</v>
      </c>
      <c r="J347" s="2" t="s">
        <v>827</v>
      </c>
      <c r="K347" s="2" t="s">
        <v>304</v>
      </c>
      <c r="L347" s="2" t="s">
        <v>1117</v>
      </c>
      <c r="M347" s="8" t="str">
        <f>HYPERLINK("http://slimages.macys.com/is/image/MCY/11605924 ")</f>
        <v xml:space="preserve">http://slimages.macys.com/is/image/MCY/11605924 </v>
      </c>
    </row>
    <row r="348" spans="1:13" ht="84" x14ac:dyDescent="0.25">
      <c r="A348" s="7" t="s">
        <v>9658</v>
      </c>
      <c r="B348" s="2" t="s">
        <v>5047</v>
      </c>
      <c r="C348" s="4">
        <v>1</v>
      </c>
      <c r="D348" s="5">
        <v>4.59</v>
      </c>
      <c r="E348" s="5">
        <v>12.99</v>
      </c>
      <c r="F348" s="4" t="s">
        <v>5048</v>
      </c>
      <c r="G348" s="2" t="s">
        <v>28</v>
      </c>
      <c r="H348" s="7" t="s">
        <v>284</v>
      </c>
      <c r="I348" s="2" t="s">
        <v>515</v>
      </c>
      <c r="J348" s="2" t="s">
        <v>827</v>
      </c>
      <c r="K348" s="2" t="s">
        <v>304</v>
      </c>
      <c r="L348" s="2" t="s">
        <v>1117</v>
      </c>
      <c r="M348" s="8" t="str">
        <f>HYPERLINK("http://slimages.macys.com/is/image/MCY/11605924 ")</f>
        <v xml:space="preserve">http://slimages.macys.com/is/image/MCY/11605924 </v>
      </c>
    </row>
    <row r="349" spans="1:13" ht="84" x14ac:dyDescent="0.25">
      <c r="A349" s="7" t="s">
        <v>9108</v>
      </c>
      <c r="B349" s="2" t="s">
        <v>1115</v>
      </c>
      <c r="C349" s="4">
        <v>3</v>
      </c>
      <c r="D349" s="5">
        <v>4.59</v>
      </c>
      <c r="E349" s="5">
        <v>12.99</v>
      </c>
      <c r="F349" s="4" t="s">
        <v>1116</v>
      </c>
      <c r="G349" s="2" t="s">
        <v>28</v>
      </c>
      <c r="H349" s="7" t="s">
        <v>159</v>
      </c>
      <c r="I349" s="2" t="s">
        <v>515</v>
      </c>
      <c r="J349" s="2" t="s">
        <v>827</v>
      </c>
      <c r="K349" s="2" t="s">
        <v>304</v>
      </c>
      <c r="L349" s="2" t="s">
        <v>1117</v>
      </c>
      <c r="M349" s="8" t="str">
        <f>HYPERLINK("http://slimages.macys.com/is/image/MCY/11606022 ")</f>
        <v xml:space="preserve">http://slimages.macys.com/is/image/MCY/11606022 </v>
      </c>
    </row>
    <row r="350" spans="1:13" ht="84" x14ac:dyDescent="0.25">
      <c r="A350" s="7" t="s">
        <v>3459</v>
      </c>
      <c r="B350" s="2" t="s">
        <v>1115</v>
      </c>
      <c r="C350" s="4">
        <v>1</v>
      </c>
      <c r="D350" s="5">
        <v>4.59</v>
      </c>
      <c r="E350" s="5">
        <v>12.99</v>
      </c>
      <c r="F350" s="4" t="s">
        <v>1116</v>
      </c>
      <c r="G350" s="2" t="s">
        <v>28</v>
      </c>
      <c r="H350" s="7" t="s">
        <v>284</v>
      </c>
      <c r="I350" s="2" t="s">
        <v>515</v>
      </c>
      <c r="J350" s="2" t="s">
        <v>827</v>
      </c>
      <c r="K350" s="2" t="s">
        <v>304</v>
      </c>
      <c r="L350" s="2" t="s">
        <v>1117</v>
      </c>
      <c r="M350" s="8" t="str">
        <f>HYPERLINK("http://slimages.macys.com/is/image/MCY/11606022 ")</f>
        <v xml:space="preserve">http://slimages.macys.com/is/image/MCY/11606022 </v>
      </c>
    </row>
    <row r="351" spans="1:13" ht="60" x14ac:dyDescent="0.25">
      <c r="A351" s="7" t="s">
        <v>9659</v>
      </c>
      <c r="B351" s="2" t="s">
        <v>3463</v>
      </c>
      <c r="C351" s="4">
        <v>1</v>
      </c>
      <c r="D351" s="5">
        <v>4.53</v>
      </c>
      <c r="E351" s="5">
        <v>12.99</v>
      </c>
      <c r="F351" s="4" t="s">
        <v>3464</v>
      </c>
      <c r="G351" s="2" t="s">
        <v>62</v>
      </c>
      <c r="H351" s="7" t="s">
        <v>196</v>
      </c>
      <c r="I351" s="2" t="s">
        <v>515</v>
      </c>
      <c r="J351" s="2" t="s">
        <v>1971</v>
      </c>
      <c r="K351" s="2" t="s">
        <v>304</v>
      </c>
      <c r="L351" s="2" t="s">
        <v>119</v>
      </c>
      <c r="M351" s="8" t="str">
        <f>HYPERLINK("http://slimages.macys.com/is/image/MCY/12052323 ")</f>
        <v xml:space="preserve">http://slimages.macys.com/is/image/MCY/12052323 </v>
      </c>
    </row>
    <row r="352" spans="1:13" ht="60" x14ac:dyDescent="0.25">
      <c r="A352" s="7" t="s">
        <v>9660</v>
      </c>
      <c r="B352" s="2" t="s">
        <v>6989</v>
      </c>
      <c r="C352" s="4">
        <v>1</v>
      </c>
      <c r="D352" s="5">
        <v>4.5</v>
      </c>
      <c r="E352" s="5">
        <v>7.99</v>
      </c>
      <c r="F352" s="4" t="s">
        <v>7751</v>
      </c>
      <c r="G352" s="2" t="s">
        <v>36</v>
      </c>
      <c r="H352" s="7" t="s">
        <v>63</v>
      </c>
      <c r="I352" s="2" t="s">
        <v>73</v>
      </c>
      <c r="J352" s="2" t="s">
        <v>1963</v>
      </c>
      <c r="K352" s="2" t="s">
        <v>304</v>
      </c>
      <c r="L352" s="2" t="s">
        <v>119</v>
      </c>
      <c r="M352" s="8" t="str">
        <f>HYPERLINK("http://slimages.macys.com/is/image/MCY/12284138 ")</f>
        <v xml:space="preserve">http://slimages.macys.com/is/image/MCY/12284138 </v>
      </c>
    </row>
    <row r="353" spans="1:13" ht="60" x14ac:dyDescent="0.25">
      <c r="A353" s="7" t="s">
        <v>9661</v>
      </c>
      <c r="B353" s="2" t="s">
        <v>6989</v>
      </c>
      <c r="C353" s="4">
        <v>1</v>
      </c>
      <c r="D353" s="5">
        <v>4.5</v>
      </c>
      <c r="E353" s="5">
        <v>7.99</v>
      </c>
      <c r="F353" s="4" t="s">
        <v>7751</v>
      </c>
      <c r="G353" s="2" t="s">
        <v>41</v>
      </c>
      <c r="H353" s="7" t="s">
        <v>63</v>
      </c>
      <c r="I353" s="2" t="s">
        <v>73</v>
      </c>
      <c r="J353" s="2" t="s">
        <v>1963</v>
      </c>
      <c r="K353" s="2" t="s">
        <v>304</v>
      </c>
      <c r="L353" s="2" t="s">
        <v>119</v>
      </c>
      <c r="M353" s="8" t="str">
        <f>HYPERLINK("http://slimages.macys.com/is/image/MCY/12284138 ")</f>
        <v xml:space="preserve">http://slimages.macys.com/is/image/MCY/12284138 </v>
      </c>
    </row>
    <row r="354" spans="1:13" ht="60" x14ac:dyDescent="0.25">
      <c r="A354" s="7" t="s">
        <v>9124</v>
      </c>
      <c r="B354" s="2" t="s">
        <v>2020</v>
      </c>
      <c r="C354" s="4">
        <v>2</v>
      </c>
      <c r="D354" s="5">
        <v>4.49</v>
      </c>
      <c r="E354" s="5">
        <v>12.99</v>
      </c>
      <c r="F354" s="4" t="s">
        <v>2021</v>
      </c>
      <c r="G354" s="2" t="s">
        <v>41</v>
      </c>
      <c r="H354" s="7" t="s">
        <v>196</v>
      </c>
      <c r="I354" s="2" t="s">
        <v>515</v>
      </c>
      <c r="J354" s="2" t="s">
        <v>1971</v>
      </c>
      <c r="K354" s="2" t="s">
        <v>304</v>
      </c>
      <c r="L354" s="2" t="s">
        <v>119</v>
      </c>
      <c r="M354" s="8" t="str">
        <f>HYPERLINK("http://slimages.macys.com/is/image/MCY/11860947 ")</f>
        <v xml:space="preserve">http://slimages.macys.com/is/image/MCY/11860947 </v>
      </c>
    </row>
    <row r="355" spans="1:13" ht="60" x14ac:dyDescent="0.25">
      <c r="A355" s="7" t="s">
        <v>2034</v>
      </c>
      <c r="B355" s="2" t="s">
        <v>2028</v>
      </c>
      <c r="C355" s="4">
        <v>1</v>
      </c>
      <c r="D355" s="5">
        <v>4.43</v>
      </c>
      <c r="E355" s="5">
        <v>12.99</v>
      </c>
      <c r="F355" s="4" t="s">
        <v>2029</v>
      </c>
      <c r="G355" s="2" t="s">
        <v>653</v>
      </c>
      <c r="H355" s="7" t="s">
        <v>284</v>
      </c>
      <c r="I355" s="2" t="s">
        <v>515</v>
      </c>
      <c r="J355" s="2" t="s">
        <v>827</v>
      </c>
      <c r="K355" s="2" t="s">
        <v>304</v>
      </c>
      <c r="L355" s="2" t="s">
        <v>358</v>
      </c>
      <c r="M355" s="8" t="str">
        <f>HYPERLINK("http://slimages.macys.com/is/image/MCY/11860927 ")</f>
        <v xml:space="preserve">http://slimages.macys.com/is/image/MCY/11860927 </v>
      </c>
    </row>
    <row r="356" spans="1:13" ht="84" x14ac:dyDescent="0.25">
      <c r="A356" s="7" t="s">
        <v>9662</v>
      </c>
      <c r="B356" s="2" t="s">
        <v>2036</v>
      </c>
      <c r="C356" s="4">
        <v>1</v>
      </c>
      <c r="D356" s="5">
        <v>4.43</v>
      </c>
      <c r="E356" s="5">
        <v>12.99</v>
      </c>
      <c r="F356" s="4" t="s">
        <v>2037</v>
      </c>
      <c r="G356" s="2" t="s">
        <v>48</v>
      </c>
      <c r="H356" s="7" t="s">
        <v>228</v>
      </c>
      <c r="I356" s="2" t="s">
        <v>515</v>
      </c>
      <c r="J356" s="2" t="s">
        <v>827</v>
      </c>
      <c r="K356" s="2" t="s">
        <v>304</v>
      </c>
      <c r="L356" s="2" t="s">
        <v>1117</v>
      </c>
      <c r="M356" s="8" t="str">
        <f>HYPERLINK("http://slimages.macys.com/is/image/MCY/11860902 ")</f>
        <v xml:space="preserve">http://slimages.macys.com/is/image/MCY/11860902 </v>
      </c>
    </row>
    <row r="357" spans="1:13" ht="60" x14ac:dyDescent="0.25">
      <c r="A357" s="7" t="s">
        <v>2027</v>
      </c>
      <c r="B357" s="2" t="s">
        <v>2028</v>
      </c>
      <c r="C357" s="4">
        <v>1</v>
      </c>
      <c r="D357" s="5">
        <v>4.43</v>
      </c>
      <c r="E357" s="5">
        <v>12.99</v>
      </c>
      <c r="F357" s="4" t="s">
        <v>2029</v>
      </c>
      <c r="G357" s="2" t="s">
        <v>653</v>
      </c>
      <c r="H357" s="7" t="s">
        <v>228</v>
      </c>
      <c r="I357" s="2" t="s">
        <v>515</v>
      </c>
      <c r="J357" s="2" t="s">
        <v>827</v>
      </c>
      <c r="K357" s="2" t="s">
        <v>304</v>
      </c>
      <c r="L357" s="2" t="s">
        <v>358</v>
      </c>
      <c r="M357" s="8" t="str">
        <f>HYPERLINK("http://slimages.macys.com/is/image/MCY/11860927 ")</f>
        <v xml:space="preserve">http://slimages.macys.com/is/image/MCY/11860927 </v>
      </c>
    </row>
    <row r="358" spans="1:13" ht="60" x14ac:dyDescent="0.25">
      <c r="A358" s="7" t="s">
        <v>2030</v>
      </c>
      <c r="B358" s="2" t="s">
        <v>2028</v>
      </c>
      <c r="C358" s="4">
        <v>1</v>
      </c>
      <c r="D358" s="5">
        <v>4.43</v>
      </c>
      <c r="E358" s="5">
        <v>12.99</v>
      </c>
      <c r="F358" s="4" t="s">
        <v>2029</v>
      </c>
      <c r="G358" s="2" t="s">
        <v>653</v>
      </c>
      <c r="H358" s="7" t="s">
        <v>159</v>
      </c>
      <c r="I358" s="2" t="s">
        <v>515</v>
      </c>
      <c r="J358" s="2" t="s">
        <v>827</v>
      </c>
      <c r="K358" s="2" t="s">
        <v>304</v>
      </c>
      <c r="L358" s="2" t="s">
        <v>358</v>
      </c>
      <c r="M358" s="8" t="str">
        <f>HYPERLINK("http://slimages.macys.com/is/image/MCY/11860927 ")</f>
        <v xml:space="preserve">http://slimages.macys.com/is/image/MCY/11860927 </v>
      </c>
    </row>
    <row r="359" spans="1:13" ht="60" x14ac:dyDescent="0.25">
      <c r="A359" s="7" t="s">
        <v>9663</v>
      </c>
      <c r="B359" s="2" t="s">
        <v>5074</v>
      </c>
      <c r="C359" s="4">
        <v>1</v>
      </c>
      <c r="D359" s="5">
        <v>4.4000000000000004</v>
      </c>
      <c r="E359" s="5">
        <v>10.99</v>
      </c>
      <c r="F359" s="4" t="s">
        <v>7756</v>
      </c>
      <c r="G359" s="2" t="s">
        <v>793</v>
      </c>
      <c r="H359" s="7" t="s">
        <v>63</v>
      </c>
      <c r="I359" s="2" t="s">
        <v>1689</v>
      </c>
      <c r="J359" s="2" t="s">
        <v>354</v>
      </c>
      <c r="K359" s="2" t="s">
        <v>304</v>
      </c>
      <c r="L359" s="2" t="s">
        <v>119</v>
      </c>
      <c r="M359" s="8" t="str">
        <f>HYPERLINK("http://slimages.macys.com/is/image/MCY/11500158 ")</f>
        <v xml:space="preserve">http://slimages.macys.com/is/image/MCY/11500158 </v>
      </c>
    </row>
    <row r="360" spans="1:13" ht="60" x14ac:dyDescent="0.25">
      <c r="A360" s="7" t="s">
        <v>9664</v>
      </c>
      <c r="B360" s="2" t="s">
        <v>9665</v>
      </c>
      <c r="C360" s="4">
        <v>1</v>
      </c>
      <c r="D360" s="5">
        <v>4.4000000000000004</v>
      </c>
      <c r="E360" s="5">
        <v>10.99</v>
      </c>
      <c r="F360" s="4" t="s">
        <v>9666</v>
      </c>
      <c r="G360" s="2" t="s">
        <v>103</v>
      </c>
      <c r="H360" s="7" t="s">
        <v>578</v>
      </c>
      <c r="I360" s="2" t="s">
        <v>1689</v>
      </c>
      <c r="J360" s="2" t="s">
        <v>354</v>
      </c>
      <c r="K360" s="2" t="s">
        <v>304</v>
      </c>
      <c r="L360" s="2" t="s">
        <v>119</v>
      </c>
      <c r="M360" s="8" t="str">
        <f>HYPERLINK("http://slimages.macys.com/is/image/MCY/12504833 ")</f>
        <v xml:space="preserve">http://slimages.macys.com/is/image/MCY/12504833 </v>
      </c>
    </row>
    <row r="361" spans="1:13" ht="60" x14ac:dyDescent="0.25">
      <c r="A361" s="7" t="s">
        <v>4226</v>
      </c>
      <c r="B361" s="2" t="s">
        <v>4227</v>
      </c>
      <c r="C361" s="4">
        <v>1</v>
      </c>
      <c r="D361" s="5">
        <v>4.4000000000000004</v>
      </c>
      <c r="E361" s="5">
        <v>10.99</v>
      </c>
      <c r="F361" s="4" t="s">
        <v>4228</v>
      </c>
      <c r="G361" s="2" t="s">
        <v>86</v>
      </c>
      <c r="H361" s="7" t="s">
        <v>1151</v>
      </c>
      <c r="I361" s="2" t="s">
        <v>1689</v>
      </c>
      <c r="J361" s="2" t="s">
        <v>354</v>
      </c>
      <c r="K361" s="2" t="s">
        <v>304</v>
      </c>
      <c r="L361" s="2" t="s">
        <v>119</v>
      </c>
      <c r="M361" s="8" t="str">
        <f>HYPERLINK("http://slimages.macys.com/is/image/MCY/12892797 ")</f>
        <v xml:space="preserve">http://slimages.macys.com/is/image/MCY/12892797 </v>
      </c>
    </row>
    <row r="362" spans="1:13" ht="60" x14ac:dyDescent="0.25">
      <c r="A362" s="7" t="s">
        <v>9667</v>
      </c>
      <c r="B362" s="2" t="s">
        <v>2044</v>
      </c>
      <c r="C362" s="4">
        <v>1</v>
      </c>
      <c r="D362" s="5">
        <v>4.37</v>
      </c>
      <c r="E362" s="5">
        <v>12.99</v>
      </c>
      <c r="F362" s="4" t="s">
        <v>2045</v>
      </c>
      <c r="G362" s="2" t="s">
        <v>41</v>
      </c>
      <c r="H362" s="7" t="s">
        <v>159</v>
      </c>
      <c r="I362" s="2" t="s">
        <v>515</v>
      </c>
      <c r="J362" s="2" t="s">
        <v>1971</v>
      </c>
      <c r="K362" s="2" t="s">
        <v>304</v>
      </c>
      <c r="L362" s="2" t="s">
        <v>119</v>
      </c>
      <c r="M362" s="8" t="str">
        <f>HYPERLINK("http://slimages.macys.com/is/image/MCY/12508210 ")</f>
        <v xml:space="preserve">http://slimages.macys.com/is/image/MCY/12508210 </v>
      </c>
    </row>
    <row r="363" spans="1:13" ht="60" x14ac:dyDescent="0.25">
      <c r="A363" s="7" t="s">
        <v>9668</v>
      </c>
      <c r="B363" s="2" t="s">
        <v>2044</v>
      </c>
      <c r="C363" s="4">
        <v>1</v>
      </c>
      <c r="D363" s="5">
        <v>4.37</v>
      </c>
      <c r="E363" s="5">
        <v>12.99</v>
      </c>
      <c r="F363" s="4" t="s">
        <v>2045</v>
      </c>
      <c r="G363" s="2" t="s">
        <v>437</v>
      </c>
      <c r="H363" s="7" t="s">
        <v>228</v>
      </c>
      <c r="I363" s="2" t="s">
        <v>515</v>
      </c>
      <c r="J363" s="2" t="s">
        <v>1971</v>
      </c>
      <c r="K363" s="2" t="s">
        <v>304</v>
      </c>
      <c r="L363" s="2" t="s">
        <v>119</v>
      </c>
      <c r="M363" s="8" t="str">
        <f>HYPERLINK("http://slimages.macys.com/is/image/MCY/12508210 ")</f>
        <v xml:space="preserve">http://slimages.macys.com/is/image/MCY/12508210 </v>
      </c>
    </row>
    <row r="364" spans="1:13" ht="60" x14ac:dyDescent="0.25">
      <c r="A364" s="7" t="s">
        <v>9669</v>
      </c>
      <c r="B364" s="2" t="s">
        <v>2044</v>
      </c>
      <c r="C364" s="4">
        <v>1</v>
      </c>
      <c r="D364" s="5">
        <v>4.37</v>
      </c>
      <c r="E364" s="5">
        <v>12.99</v>
      </c>
      <c r="F364" s="4" t="s">
        <v>2045</v>
      </c>
      <c r="G364" s="2" t="s">
        <v>41</v>
      </c>
      <c r="H364" s="7" t="s">
        <v>228</v>
      </c>
      <c r="I364" s="2" t="s">
        <v>515</v>
      </c>
      <c r="J364" s="2" t="s">
        <v>1971</v>
      </c>
      <c r="K364" s="2" t="s">
        <v>304</v>
      </c>
      <c r="L364" s="2" t="s">
        <v>119</v>
      </c>
      <c r="M364" s="8" t="str">
        <f>HYPERLINK("http://slimages.macys.com/is/image/MCY/12508210 ")</f>
        <v xml:space="preserve">http://slimages.macys.com/is/image/MCY/12508210 </v>
      </c>
    </row>
    <row r="365" spans="1:13" ht="60" x14ac:dyDescent="0.25">
      <c r="A365" s="7" t="s">
        <v>9132</v>
      </c>
      <c r="B365" s="2" t="s">
        <v>2044</v>
      </c>
      <c r="C365" s="4">
        <v>1</v>
      </c>
      <c r="D365" s="5">
        <v>4.37</v>
      </c>
      <c r="E365" s="5">
        <v>12.99</v>
      </c>
      <c r="F365" s="4" t="s">
        <v>2045</v>
      </c>
      <c r="G365" s="2" t="s">
        <v>437</v>
      </c>
      <c r="H365" s="7" t="s">
        <v>196</v>
      </c>
      <c r="I365" s="2" t="s">
        <v>515</v>
      </c>
      <c r="J365" s="2" t="s">
        <v>1971</v>
      </c>
      <c r="K365" s="2" t="s">
        <v>304</v>
      </c>
      <c r="L365" s="2" t="s">
        <v>119</v>
      </c>
      <c r="M365" s="8" t="str">
        <f>HYPERLINK("http://slimages.macys.com/is/image/MCY/12508210 ")</f>
        <v xml:space="preserve">http://slimages.macys.com/is/image/MCY/12508210 </v>
      </c>
    </row>
    <row r="366" spans="1:13" ht="60" x14ac:dyDescent="0.25">
      <c r="A366" s="7" t="s">
        <v>9670</v>
      </c>
      <c r="B366" s="2" t="s">
        <v>9671</v>
      </c>
      <c r="C366" s="4">
        <v>1</v>
      </c>
      <c r="D366" s="5">
        <v>4.3600000000000003</v>
      </c>
      <c r="E366" s="5">
        <v>12</v>
      </c>
      <c r="F366" s="4" t="s">
        <v>9672</v>
      </c>
      <c r="G366" s="2" t="s">
        <v>171</v>
      </c>
      <c r="H366" s="7" t="s">
        <v>442</v>
      </c>
      <c r="I366" s="2" t="s">
        <v>483</v>
      </c>
      <c r="J366" s="2" t="s">
        <v>536</v>
      </c>
      <c r="K366" s="2" t="s">
        <v>304</v>
      </c>
      <c r="L366" s="2" t="s">
        <v>119</v>
      </c>
      <c r="M366" s="8" t="str">
        <f>HYPERLINK("http://slimages.macys.com/is/image/MCY/12465008 ")</f>
        <v xml:space="preserve">http://slimages.macys.com/is/image/MCY/12465008 </v>
      </c>
    </row>
    <row r="367" spans="1:13" ht="60" x14ac:dyDescent="0.25">
      <c r="A367" s="7" t="s">
        <v>2051</v>
      </c>
      <c r="B367" s="2" t="s">
        <v>2049</v>
      </c>
      <c r="C367" s="4">
        <v>1</v>
      </c>
      <c r="D367" s="5">
        <v>4.32</v>
      </c>
      <c r="E367" s="5">
        <v>10.99</v>
      </c>
      <c r="F367" s="4">
        <v>10005384800</v>
      </c>
      <c r="G367" s="2" t="s">
        <v>1360</v>
      </c>
      <c r="H367" s="7" t="s">
        <v>91</v>
      </c>
      <c r="I367" s="2" t="s">
        <v>483</v>
      </c>
      <c r="J367" s="2" t="s">
        <v>536</v>
      </c>
      <c r="K367" s="2" t="s">
        <v>304</v>
      </c>
      <c r="L367" s="2" t="s">
        <v>119</v>
      </c>
      <c r="M367" s="8" t="str">
        <f>HYPERLINK("http://slimages.macys.com/is/image/MCY/12465277 ")</f>
        <v xml:space="preserve">http://slimages.macys.com/is/image/MCY/12465277 </v>
      </c>
    </row>
    <row r="368" spans="1:13" ht="60" x14ac:dyDescent="0.25">
      <c r="A368" s="7" t="s">
        <v>5556</v>
      </c>
      <c r="B368" s="2" t="s">
        <v>2049</v>
      </c>
      <c r="C368" s="4">
        <v>1</v>
      </c>
      <c r="D368" s="5">
        <v>4.32</v>
      </c>
      <c r="E368" s="5">
        <v>10.99</v>
      </c>
      <c r="F368" s="4">
        <v>10005384800</v>
      </c>
      <c r="G368" s="2" t="s">
        <v>86</v>
      </c>
      <c r="H368" s="7" t="s">
        <v>149</v>
      </c>
      <c r="I368" s="2" t="s">
        <v>483</v>
      </c>
      <c r="J368" s="2" t="s">
        <v>536</v>
      </c>
      <c r="K368" s="2" t="s">
        <v>304</v>
      </c>
      <c r="L368" s="2" t="s">
        <v>119</v>
      </c>
      <c r="M368" s="8" t="str">
        <f>HYPERLINK("http://slimages.macys.com/is/image/MCY/12465277 ")</f>
        <v xml:space="preserve">http://slimages.macys.com/is/image/MCY/12465277 </v>
      </c>
    </row>
    <row r="369" spans="1:13" ht="60" x14ac:dyDescent="0.25">
      <c r="A369" s="7" t="s">
        <v>5555</v>
      </c>
      <c r="B369" s="2" t="s">
        <v>2049</v>
      </c>
      <c r="C369" s="4">
        <v>1</v>
      </c>
      <c r="D369" s="5">
        <v>4.32</v>
      </c>
      <c r="E369" s="5">
        <v>10.99</v>
      </c>
      <c r="F369" s="4">
        <v>10005384800</v>
      </c>
      <c r="G369" s="2" t="s">
        <v>1360</v>
      </c>
      <c r="H369" s="7" t="s">
        <v>590</v>
      </c>
      <c r="I369" s="2" t="s">
        <v>483</v>
      </c>
      <c r="J369" s="2" t="s">
        <v>536</v>
      </c>
      <c r="K369" s="2" t="s">
        <v>304</v>
      </c>
      <c r="L369" s="2" t="s">
        <v>119</v>
      </c>
      <c r="M369" s="8" t="str">
        <f>HYPERLINK("http://slimages.macys.com/is/image/MCY/12465277 ")</f>
        <v xml:space="preserve">http://slimages.macys.com/is/image/MCY/12465277 </v>
      </c>
    </row>
    <row r="370" spans="1:13" ht="60" x14ac:dyDescent="0.25">
      <c r="A370" s="7" t="s">
        <v>9673</v>
      </c>
      <c r="B370" s="2" t="s">
        <v>5993</v>
      </c>
      <c r="C370" s="4">
        <v>1</v>
      </c>
      <c r="D370" s="5">
        <v>4.2699999999999996</v>
      </c>
      <c r="E370" s="5">
        <v>10.99</v>
      </c>
      <c r="F370" s="4" t="s">
        <v>5994</v>
      </c>
      <c r="G370" s="2" t="s">
        <v>62</v>
      </c>
      <c r="H370" s="7" t="s">
        <v>311</v>
      </c>
      <c r="I370" s="2" t="s">
        <v>218</v>
      </c>
      <c r="J370" s="2" t="s">
        <v>2008</v>
      </c>
      <c r="K370" s="2" t="s">
        <v>304</v>
      </c>
      <c r="L370" s="2" t="s">
        <v>119</v>
      </c>
      <c r="M370" s="8" t="str">
        <f>HYPERLINK("http://slimages.macys.com/is/image/MCY/12684312 ")</f>
        <v xml:space="preserve">http://slimages.macys.com/is/image/MCY/12684312 </v>
      </c>
    </row>
    <row r="371" spans="1:13" ht="60" x14ac:dyDescent="0.25">
      <c r="A371" s="7" t="s">
        <v>2070</v>
      </c>
      <c r="B371" s="2" t="s">
        <v>2071</v>
      </c>
      <c r="C371" s="4">
        <v>1</v>
      </c>
      <c r="D371" s="5">
        <v>4.25</v>
      </c>
      <c r="E371" s="5">
        <v>7.99</v>
      </c>
      <c r="F371" s="4" t="s">
        <v>2072</v>
      </c>
      <c r="G371" s="2" t="s">
        <v>41</v>
      </c>
      <c r="H371" s="7" t="s">
        <v>123</v>
      </c>
      <c r="I371" s="2" t="s">
        <v>73</v>
      </c>
      <c r="J371" s="2" t="s">
        <v>1963</v>
      </c>
      <c r="K371" s="2" t="s">
        <v>304</v>
      </c>
      <c r="L371" s="2" t="s">
        <v>119</v>
      </c>
      <c r="M371" s="8" t="str">
        <f>HYPERLINK("http://slimages.macys.com/is/image/MCY/12684273 ")</f>
        <v xml:space="preserve">http://slimages.macys.com/is/image/MCY/12684273 </v>
      </c>
    </row>
    <row r="372" spans="1:13" ht="60" x14ac:dyDescent="0.25">
      <c r="A372" s="7" t="s">
        <v>8353</v>
      </c>
      <c r="B372" s="2" t="s">
        <v>2058</v>
      </c>
      <c r="C372" s="4">
        <v>1</v>
      </c>
      <c r="D372" s="5">
        <v>4.25</v>
      </c>
      <c r="E372" s="5">
        <v>7.99</v>
      </c>
      <c r="F372" s="4" t="s">
        <v>2059</v>
      </c>
      <c r="G372" s="2" t="s">
        <v>41</v>
      </c>
      <c r="H372" s="7" t="s">
        <v>311</v>
      </c>
      <c r="I372" s="2" t="s">
        <v>73</v>
      </c>
      <c r="J372" s="2" t="s">
        <v>1963</v>
      </c>
      <c r="K372" s="2" t="s">
        <v>304</v>
      </c>
      <c r="L372" s="2" t="s">
        <v>119</v>
      </c>
      <c r="M372" s="8" t="str">
        <f>HYPERLINK("http://slimages.macys.com/is/image/MCY/11272141 ")</f>
        <v xml:space="preserve">http://slimages.macys.com/is/image/MCY/11272141 </v>
      </c>
    </row>
    <row r="373" spans="1:13" ht="60" x14ac:dyDescent="0.25">
      <c r="A373" s="7" t="s">
        <v>2060</v>
      </c>
      <c r="B373" s="2" t="s">
        <v>1991</v>
      </c>
      <c r="C373" s="4">
        <v>1</v>
      </c>
      <c r="D373" s="5">
        <v>4.25</v>
      </c>
      <c r="E373" s="5">
        <v>5.99</v>
      </c>
      <c r="F373" s="4" t="s">
        <v>2061</v>
      </c>
      <c r="G373" s="2" t="s">
        <v>653</v>
      </c>
      <c r="H373" s="7" t="s">
        <v>123</v>
      </c>
      <c r="I373" s="2" t="s">
        <v>73</v>
      </c>
      <c r="J373" s="2" t="s">
        <v>1963</v>
      </c>
      <c r="K373" s="2" t="s">
        <v>304</v>
      </c>
      <c r="L373" s="2" t="s">
        <v>125</v>
      </c>
      <c r="M373" s="8" t="str">
        <f>HYPERLINK("http://slimages.macys.com/is/image/MCY/13726811 ")</f>
        <v xml:space="preserve">http://slimages.macys.com/is/image/MCY/13726811 </v>
      </c>
    </row>
    <row r="374" spans="1:13" ht="60" x14ac:dyDescent="0.25">
      <c r="A374" s="7" t="s">
        <v>2066</v>
      </c>
      <c r="B374" s="2" t="s">
        <v>1991</v>
      </c>
      <c r="C374" s="4">
        <v>2</v>
      </c>
      <c r="D374" s="5">
        <v>4.25</v>
      </c>
      <c r="E374" s="5">
        <v>5.99</v>
      </c>
      <c r="F374" s="4" t="s">
        <v>2061</v>
      </c>
      <c r="G374" s="2" t="s">
        <v>653</v>
      </c>
      <c r="H374" s="7" t="s">
        <v>311</v>
      </c>
      <c r="I374" s="2" t="s">
        <v>73</v>
      </c>
      <c r="J374" s="2" t="s">
        <v>1963</v>
      </c>
      <c r="K374" s="2" t="s">
        <v>304</v>
      </c>
      <c r="L374" s="2" t="s">
        <v>125</v>
      </c>
      <c r="M374" s="8" t="str">
        <f>HYPERLINK("http://slimages.macys.com/is/image/MCY/13726811 ")</f>
        <v xml:space="preserve">http://slimages.macys.com/is/image/MCY/13726811 </v>
      </c>
    </row>
    <row r="375" spans="1:13" ht="60" x14ac:dyDescent="0.25">
      <c r="A375" s="7" t="s">
        <v>9674</v>
      </c>
      <c r="B375" s="2" t="s">
        <v>8360</v>
      </c>
      <c r="C375" s="4">
        <v>1</v>
      </c>
      <c r="D375" s="5">
        <v>4.1500000000000004</v>
      </c>
      <c r="E375" s="5">
        <v>9.99</v>
      </c>
      <c r="F375" s="4" t="s">
        <v>8361</v>
      </c>
      <c r="G375" s="2" t="s">
        <v>262</v>
      </c>
      <c r="H375" s="7" t="s">
        <v>217</v>
      </c>
      <c r="I375" s="2" t="s">
        <v>468</v>
      </c>
      <c r="J375" s="2" t="s">
        <v>469</v>
      </c>
      <c r="K375" s="2" t="s">
        <v>304</v>
      </c>
      <c r="L375" s="2" t="s">
        <v>119</v>
      </c>
      <c r="M375" s="8" t="str">
        <f>HYPERLINK("http://slimages.macys.com/is/image/MCY/12809148 ")</f>
        <v xml:space="preserve">http://slimages.macys.com/is/image/MCY/12809148 </v>
      </c>
    </row>
    <row r="376" spans="1:13" ht="60" x14ac:dyDescent="0.25">
      <c r="A376" s="7" t="s">
        <v>2080</v>
      </c>
      <c r="B376" s="2" t="s">
        <v>2075</v>
      </c>
      <c r="C376" s="4">
        <v>1</v>
      </c>
      <c r="D376" s="5">
        <v>4.1500000000000004</v>
      </c>
      <c r="E376" s="5">
        <v>10.99</v>
      </c>
      <c r="F376" s="4" t="s">
        <v>2076</v>
      </c>
      <c r="G376" s="2"/>
      <c r="H376" s="7"/>
      <c r="I376" s="2" t="s">
        <v>312</v>
      </c>
      <c r="J376" s="2" t="s">
        <v>2077</v>
      </c>
      <c r="K376" s="2" t="s">
        <v>304</v>
      </c>
      <c r="L376" s="2" t="s">
        <v>2078</v>
      </c>
      <c r="M376" s="8" t="str">
        <f>HYPERLINK("http://slimages.macys.com/is/image/MCY/12045142 ")</f>
        <v xml:space="preserve">http://slimages.macys.com/is/image/MCY/12045142 </v>
      </c>
    </row>
    <row r="377" spans="1:13" ht="60" x14ac:dyDescent="0.25">
      <c r="A377" s="7" t="s">
        <v>2081</v>
      </c>
      <c r="B377" s="2" t="s">
        <v>2075</v>
      </c>
      <c r="C377" s="4">
        <v>2</v>
      </c>
      <c r="D377" s="5">
        <v>4.1500000000000004</v>
      </c>
      <c r="E377" s="5">
        <v>10.99</v>
      </c>
      <c r="F377" s="4" t="s">
        <v>2076</v>
      </c>
      <c r="G377" s="2"/>
      <c r="H377" s="7"/>
      <c r="I377" s="2" t="s">
        <v>312</v>
      </c>
      <c r="J377" s="2" t="s">
        <v>2077</v>
      </c>
      <c r="K377" s="2" t="s">
        <v>304</v>
      </c>
      <c r="L377" s="2" t="s">
        <v>2078</v>
      </c>
      <c r="M377" s="8" t="str">
        <f>HYPERLINK("http://slimages.macys.com/is/image/MCY/12045142 ")</f>
        <v xml:space="preserve">http://slimages.macys.com/is/image/MCY/12045142 </v>
      </c>
    </row>
    <row r="378" spans="1:13" ht="60" x14ac:dyDescent="0.25">
      <c r="A378" s="7" t="s">
        <v>2074</v>
      </c>
      <c r="B378" s="2" t="s">
        <v>2075</v>
      </c>
      <c r="C378" s="4">
        <v>1</v>
      </c>
      <c r="D378" s="5">
        <v>4.1500000000000004</v>
      </c>
      <c r="E378" s="5">
        <v>10.99</v>
      </c>
      <c r="F378" s="4" t="s">
        <v>2076</v>
      </c>
      <c r="G378" s="2"/>
      <c r="H378" s="7"/>
      <c r="I378" s="2" t="s">
        <v>312</v>
      </c>
      <c r="J378" s="2" t="s">
        <v>2077</v>
      </c>
      <c r="K378" s="2" t="s">
        <v>304</v>
      </c>
      <c r="L378" s="2" t="s">
        <v>2078</v>
      </c>
      <c r="M378" s="8" t="str">
        <f>HYPERLINK("http://slimages.macys.com/is/image/MCY/12045142 ")</f>
        <v xml:space="preserve">http://slimages.macys.com/is/image/MCY/12045142 </v>
      </c>
    </row>
    <row r="379" spans="1:13" ht="60" x14ac:dyDescent="0.25">
      <c r="A379" s="7" t="s">
        <v>9675</v>
      </c>
      <c r="B379" s="2" t="s">
        <v>9676</v>
      </c>
      <c r="C379" s="4">
        <v>1</v>
      </c>
      <c r="D379" s="5">
        <v>4.1100000000000003</v>
      </c>
      <c r="E379" s="5">
        <v>10.99</v>
      </c>
      <c r="F379" s="4" t="s">
        <v>9677</v>
      </c>
      <c r="G379" s="2" t="s">
        <v>41</v>
      </c>
      <c r="H379" s="7" t="s">
        <v>159</v>
      </c>
      <c r="I379" s="2" t="s">
        <v>389</v>
      </c>
      <c r="J379" s="2" t="s">
        <v>354</v>
      </c>
      <c r="K379" s="2" t="s">
        <v>304</v>
      </c>
      <c r="L379" s="2" t="s">
        <v>119</v>
      </c>
      <c r="M379" s="8" t="str">
        <f>HYPERLINK("http://slimages.macys.com/is/image/MCY/13296509 ")</f>
        <v xml:space="preserve">http://slimages.macys.com/is/image/MCY/13296509 </v>
      </c>
    </row>
    <row r="380" spans="1:13" ht="60" x14ac:dyDescent="0.25">
      <c r="A380" s="7" t="s">
        <v>9678</v>
      </c>
      <c r="B380" s="2" t="s">
        <v>9679</v>
      </c>
      <c r="C380" s="4">
        <v>4</v>
      </c>
      <c r="D380" s="5">
        <v>4.1100000000000003</v>
      </c>
      <c r="E380" s="5">
        <v>10.99</v>
      </c>
      <c r="F380" s="4" t="s">
        <v>9680</v>
      </c>
      <c r="G380" s="2" t="s">
        <v>793</v>
      </c>
      <c r="H380" s="7" t="s">
        <v>196</v>
      </c>
      <c r="I380" s="2" t="s">
        <v>389</v>
      </c>
      <c r="J380" s="2" t="s">
        <v>354</v>
      </c>
      <c r="K380" s="2" t="s">
        <v>304</v>
      </c>
      <c r="L380" s="2" t="s">
        <v>119</v>
      </c>
      <c r="M380" s="8" t="str">
        <f>HYPERLINK("http://slimages.macys.com/is/image/MCY/12121585 ")</f>
        <v xml:space="preserve">http://slimages.macys.com/is/image/MCY/12121585 </v>
      </c>
    </row>
    <row r="381" spans="1:13" ht="84" x14ac:dyDescent="0.25">
      <c r="A381" s="7" t="s">
        <v>8362</v>
      </c>
      <c r="B381" s="2" t="s">
        <v>6375</v>
      </c>
      <c r="C381" s="4">
        <v>1</v>
      </c>
      <c r="D381" s="5">
        <v>4.05</v>
      </c>
      <c r="E381" s="5">
        <v>9.99</v>
      </c>
      <c r="F381" s="4" t="s">
        <v>6376</v>
      </c>
      <c r="G381" s="2" t="s">
        <v>582</v>
      </c>
      <c r="H381" s="7" t="s">
        <v>123</v>
      </c>
      <c r="I381" s="2" t="s">
        <v>515</v>
      </c>
      <c r="J381" s="2" t="s">
        <v>875</v>
      </c>
      <c r="K381" s="2" t="s">
        <v>304</v>
      </c>
      <c r="L381" s="2" t="s">
        <v>8363</v>
      </c>
      <c r="M381" s="8" t="str">
        <f>HYPERLINK("http://slimages.macys.com/is/image/MCY/12953221 ")</f>
        <v xml:space="preserve">http://slimages.macys.com/is/image/MCY/12953221 </v>
      </c>
    </row>
    <row r="382" spans="1:13" ht="60" x14ac:dyDescent="0.25">
      <c r="A382" s="7" t="s">
        <v>9681</v>
      </c>
      <c r="B382" s="2" t="s">
        <v>9682</v>
      </c>
      <c r="C382" s="4">
        <v>1</v>
      </c>
      <c r="D382" s="5">
        <v>4.04</v>
      </c>
      <c r="E382" s="5">
        <v>6.99</v>
      </c>
      <c r="F382" s="4" t="s">
        <v>5576</v>
      </c>
      <c r="G382" s="2" t="s">
        <v>41</v>
      </c>
      <c r="H382" s="7" t="s">
        <v>284</v>
      </c>
      <c r="I382" s="2" t="s">
        <v>80</v>
      </c>
      <c r="J382" s="2" t="s">
        <v>1917</v>
      </c>
      <c r="K382" s="2" t="s">
        <v>304</v>
      </c>
      <c r="L382" s="2" t="s">
        <v>119</v>
      </c>
      <c r="M382" s="8" t="str">
        <f>HYPERLINK("http://slimages.macys.com/is/image/MCY/11272143 ")</f>
        <v xml:space="preserve">http://slimages.macys.com/is/image/MCY/11272143 </v>
      </c>
    </row>
    <row r="383" spans="1:13" ht="60" x14ac:dyDescent="0.25">
      <c r="A383" s="7" t="s">
        <v>9683</v>
      </c>
      <c r="B383" s="2" t="s">
        <v>7778</v>
      </c>
      <c r="C383" s="4">
        <v>1</v>
      </c>
      <c r="D383" s="5">
        <v>4</v>
      </c>
      <c r="E383" s="5">
        <v>10.99</v>
      </c>
      <c r="F383" s="4" t="s">
        <v>7779</v>
      </c>
      <c r="G383" s="2" t="s">
        <v>28</v>
      </c>
      <c r="H383" s="7" t="s">
        <v>284</v>
      </c>
      <c r="I383" s="2" t="s">
        <v>389</v>
      </c>
      <c r="J383" s="2" t="s">
        <v>354</v>
      </c>
      <c r="K383" s="2" t="s">
        <v>304</v>
      </c>
      <c r="L383" s="2" t="s">
        <v>390</v>
      </c>
      <c r="M383" s="8" t="str">
        <f>HYPERLINK("http://slimages.macys.com/is/image/MCY/12121748 ")</f>
        <v xml:space="preserve">http://slimages.macys.com/is/image/MCY/12121748 </v>
      </c>
    </row>
    <row r="384" spans="1:13" ht="60" x14ac:dyDescent="0.25">
      <c r="A384" s="7" t="s">
        <v>9684</v>
      </c>
      <c r="B384" s="2" t="s">
        <v>9685</v>
      </c>
      <c r="C384" s="4">
        <v>1</v>
      </c>
      <c r="D384" s="5">
        <v>4</v>
      </c>
      <c r="E384" s="5">
        <v>10.99</v>
      </c>
      <c r="F384" s="4" t="s">
        <v>9686</v>
      </c>
      <c r="G384" s="2" t="s">
        <v>476</v>
      </c>
      <c r="H384" s="7" t="s">
        <v>196</v>
      </c>
      <c r="I384" s="2" t="s">
        <v>389</v>
      </c>
      <c r="J384" s="2" t="s">
        <v>354</v>
      </c>
      <c r="K384" s="2" t="s">
        <v>304</v>
      </c>
      <c r="L384" s="2" t="s">
        <v>390</v>
      </c>
      <c r="M384" s="8" t="str">
        <f>HYPERLINK("http://slimages.macys.com/is/image/MCY/12121806 ")</f>
        <v xml:space="preserve">http://slimages.macys.com/is/image/MCY/12121806 </v>
      </c>
    </row>
    <row r="385" spans="1:13" ht="60" x14ac:dyDescent="0.25">
      <c r="A385" s="7" t="s">
        <v>9687</v>
      </c>
      <c r="B385" s="2" t="s">
        <v>9688</v>
      </c>
      <c r="C385" s="4">
        <v>1</v>
      </c>
      <c r="D385" s="5">
        <v>4</v>
      </c>
      <c r="E385" s="5">
        <v>9.99</v>
      </c>
      <c r="F385" s="4" t="s">
        <v>9689</v>
      </c>
      <c r="G385" s="2" t="s">
        <v>171</v>
      </c>
      <c r="H385" s="7" t="s">
        <v>284</v>
      </c>
      <c r="I385" s="2" t="s">
        <v>468</v>
      </c>
      <c r="J385" s="2" t="s">
        <v>469</v>
      </c>
      <c r="K385" s="2" t="s">
        <v>304</v>
      </c>
      <c r="L385" s="2" t="s">
        <v>119</v>
      </c>
      <c r="M385" s="8" t="str">
        <f>HYPERLINK("http://slimages.macys.com/is/image/MCY/12506830 ")</f>
        <v xml:space="preserve">http://slimages.macys.com/is/image/MCY/12506830 </v>
      </c>
    </row>
    <row r="386" spans="1:13" ht="60" x14ac:dyDescent="0.25">
      <c r="A386" s="7" t="s">
        <v>9690</v>
      </c>
      <c r="B386" s="2" t="s">
        <v>9691</v>
      </c>
      <c r="C386" s="4">
        <v>1</v>
      </c>
      <c r="D386" s="5">
        <v>4</v>
      </c>
      <c r="E386" s="5">
        <v>9.99</v>
      </c>
      <c r="F386" s="4" t="s">
        <v>9692</v>
      </c>
      <c r="G386" s="2" t="s">
        <v>41</v>
      </c>
      <c r="H386" s="7" t="s">
        <v>159</v>
      </c>
      <c r="I386" s="2" t="s">
        <v>468</v>
      </c>
      <c r="J386" s="2" t="s">
        <v>469</v>
      </c>
      <c r="K386" s="2" t="s">
        <v>304</v>
      </c>
      <c r="L386" s="2" t="s">
        <v>119</v>
      </c>
      <c r="M386" s="8" t="str">
        <f>HYPERLINK("http://slimages.macys.com/is/image/MCY/12506684 ")</f>
        <v xml:space="preserve">http://slimages.macys.com/is/image/MCY/12506684 </v>
      </c>
    </row>
    <row r="387" spans="1:13" ht="60" x14ac:dyDescent="0.25">
      <c r="A387" s="7" t="s">
        <v>9693</v>
      </c>
      <c r="B387" s="2" t="s">
        <v>9685</v>
      </c>
      <c r="C387" s="4">
        <v>1</v>
      </c>
      <c r="D387" s="5">
        <v>4</v>
      </c>
      <c r="E387" s="5">
        <v>10.99</v>
      </c>
      <c r="F387" s="4" t="s">
        <v>9686</v>
      </c>
      <c r="G387" s="2" t="s">
        <v>476</v>
      </c>
      <c r="H387" s="7" t="s">
        <v>228</v>
      </c>
      <c r="I387" s="2" t="s">
        <v>389</v>
      </c>
      <c r="J387" s="2" t="s">
        <v>354</v>
      </c>
      <c r="K387" s="2" t="s">
        <v>304</v>
      </c>
      <c r="L387" s="2" t="s">
        <v>390</v>
      </c>
      <c r="M387" s="8" t="str">
        <f>HYPERLINK("http://slimages.macys.com/is/image/MCY/12121806 ")</f>
        <v xml:space="preserve">http://slimages.macys.com/is/image/MCY/12121806 </v>
      </c>
    </row>
    <row r="388" spans="1:13" ht="60" x14ac:dyDescent="0.25">
      <c r="A388" s="7" t="s">
        <v>9694</v>
      </c>
      <c r="B388" s="2" t="s">
        <v>9685</v>
      </c>
      <c r="C388" s="4">
        <v>1</v>
      </c>
      <c r="D388" s="5">
        <v>4</v>
      </c>
      <c r="E388" s="5">
        <v>10.99</v>
      </c>
      <c r="F388" s="4" t="s">
        <v>9686</v>
      </c>
      <c r="G388" s="2" t="s">
        <v>476</v>
      </c>
      <c r="H388" s="7" t="s">
        <v>159</v>
      </c>
      <c r="I388" s="2" t="s">
        <v>389</v>
      </c>
      <c r="J388" s="2" t="s">
        <v>354</v>
      </c>
      <c r="K388" s="2" t="s">
        <v>304</v>
      </c>
      <c r="L388" s="2" t="s">
        <v>390</v>
      </c>
      <c r="M388" s="8" t="str">
        <f>HYPERLINK("http://slimages.macys.com/is/image/MCY/12121806 ")</f>
        <v xml:space="preserve">http://slimages.macys.com/is/image/MCY/12121806 </v>
      </c>
    </row>
    <row r="389" spans="1:13" ht="60" x14ac:dyDescent="0.25">
      <c r="A389" s="7" t="s">
        <v>9695</v>
      </c>
      <c r="B389" s="2" t="s">
        <v>2675</v>
      </c>
      <c r="C389" s="4">
        <v>1</v>
      </c>
      <c r="D389" s="5">
        <v>4</v>
      </c>
      <c r="E389" s="5">
        <v>10.99</v>
      </c>
      <c r="F389" s="4" t="s">
        <v>2676</v>
      </c>
      <c r="G389" s="2" t="s">
        <v>347</v>
      </c>
      <c r="H389" s="7" t="s">
        <v>284</v>
      </c>
      <c r="I389" s="2" t="s">
        <v>389</v>
      </c>
      <c r="J389" s="2" t="s">
        <v>354</v>
      </c>
      <c r="K389" s="2" t="s">
        <v>304</v>
      </c>
      <c r="L389" s="2" t="s">
        <v>390</v>
      </c>
      <c r="M389" s="8" t="str">
        <f>HYPERLINK("http://slimages.macys.com/is/image/MCY/12898616 ")</f>
        <v xml:space="preserve">http://slimages.macys.com/is/image/MCY/12898616 </v>
      </c>
    </row>
    <row r="390" spans="1:13" ht="60" x14ac:dyDescent="0.25">
      <c r="A390" s="7" t="s">
        <v>9696</v>
      </c>
      <c r="B390" s="2" t="s">
        <v>9697</v>
      </c>
      <c r="C390" s="4">
        <v>1</v>
      </c>
      <c r="D390" s="5">
        <v>3.88</v>
      </c>
      <c r="E390" s="5">
        <v>10.99</v>
      </c>
      <c r="F390" s="4" t="s">
        <v>9698</v>
      </c>
      <c r="G390" s="2" t="s">
        <v>582</v>
      </c>
      <c r="H390" s="7" t="s">
        <v>159</v>
      </c>
      <c r="I390" s="2" t="s">
        <v>389</v>
      </c>
      <c r="J390" s="2" t="s">
        <v>354</v>
      </c>
      <c r="K390" s="2" t="s">
        <v>304</v>
      </c>
      <c r="L390" s="2" t="s">
        <v>358</v>
      </c>
      <c r="M390" s="8" t="str">
        <f>HYPERLINK("http://slimages.macys.com/is/image/MCY/12121793 ")</f>
        <v xml:space="preserve">http://slimages.macys.com/is/image/MCY/12121793 </v>
      </c>
    </row>
    <row r="391" spans="1:13" ht="60" x14ac:dyDescent="0.25">
      <c r="A391" s="7" t="s">
        <v>9699</v>
      </c>
      <c r="B391" s="2" t="s">
        <v>9697</v>
      </c>
      <c r="C391" s="4">
        <v>1</v>
      </c>
      <c r="D391" s="5">
        <v>3.88</v>
      </c>
      <c r="E391" s="5">
        <v>10.99</v>
      </c>
      <c r="F391" s="4" t="s">
        <v>9698</v>
      </c>
      <c r="G391" s="2" t="s">
        <v>582</v>
      </c>
      <c r="H391" s="7" t="s">
        <v>284</v>
      </c>
      <c r="I391" s="2" t="s">
        <v>389</v>
      </c>
      <c r="J391" s="2" t="s">
        <v>354</v>
      </c>
      <c r="K391" s="2" t="s">
        <v>304</v>
      </c>
      <c r="L391" s="2" t="s">
        <v>358</v>
      </c>
      <c r="M391" s="8" t="str">
        <f>HYPERLINK("http://slimages.macys.com/is/image/MCY/12121793 ")</f>
        <v xml:space="preserve">http://slimages.macys.com/is/image/MCY/12121793 </v>
      </c>
    </row>
    <row r="392" spans="1:13" ht="60" x14ac:dyDescent="0.25">
      <c r="A392" s="7" t="s">
        <v>9700</v>
      </c>
      <c r="B392" s="2" t="s">
        <v>6390</v>
      </c>
      <c r="C392" s="4">
        <v>1</v>
      </c>
      <c r="D392" s="5">
        <v>3.77</v>
      </c>
      <c r="E392" s="5">
        <v>10.99</v>
      </c>
      <c r="F392" s="4" t="s">
        <v>6391</v>
      </c>
      <c r="G392" s="2" t="s">
        <v>41</v>
      </c>
      <c r="H392" s="7" t="s">
        <v>159</v>
      </c>
      <c r="I392" s="2" t="s">
        <v>389</v>
      </c>
      <c r="J392" s="2" t="s">
        <v>354</v>
      </c>
      <c r="K392" s="2" t="s">
        <v>304</v>
      </c>
      <c r="L392" s="2" t="s">
        <v>119</v>
      </c>
      <c r="M392" s="8" t="str">
        <f>HYPERLINK("http://slimages.macys.com/is/image/MCY/11499714 ")</f>
        <v xml:space="preserve">http://slimages.macys.com/is/image/MCY/11499714 </v>
      </c>
    </row>
    <row r="393" spans="1:13" ht="60" x14ac:dyDescent="0.25">
      <c r="A393" s="7" t="s">
        <v>2681</v>
      </c>
      <c r="B393" s="2" t="s">
        <v>2113</v>
      </c>
      <c r="C393" s="4">
        <v>1</v>
      </c>
      <c r="D393" s="5">
        <v>3.58</v>
      </c>
      <c r="E393" s="5">
        <v>8.99</v>
      </c>
      <c r="F393" s="4" t="s">
        <v>2114</v>
      </c>
      <c r="G393" s="2" t="s">
        <v>297</v>
      </c>
      <c r="H393" s="7" t="s">
        <v>590</v>
      </c>
      <c r="I393" s="2" t="s">
        <v>483</v>
      </c>
      <c r="J393" s="2" t="s">
        <v>536</v>
      </c>
      <c r="K393" s="2" t="s">
        <v>304</v>
      </c>
      <c r="L393" s="2" t="s">
        <v>119</v>
      </c>
      <c r="M393" s="8" t="str">
        <f>HYPERLINK("http://slimages.macys.com/is/image/MCY/13987501 ")</f>
        <v xml:space="preserve">http://slimages.macys.com/is/image/MCY/13987501 </v>
      </c>
    </row>
    <row r="394" spans="1:13" ht="60" x14ac:dyDescent="0.25">
      <c r="A394" s="7" t="s">
        <v>2112</v>
      </c>
      <c r="B394" s="2" t="s">
        <v>2113</v>
      </c>
      <c r="C394" s="4">
        <v>2</v>
      </c>
      <c r="D394" s="5">
        <v>3.58</v>
      </c>
      <c r="E394" s="5">
        <v>8.99</v>
      </c>
      <c r="F394" s="4" t="s">
        <v>2114</v>
      </c>
      <c r="G394" s="2" t="s">
        <v>297</v>
      </c>
      <c r="H394" s="7"/>
      <c r="I394" s="2" t="s">
        <v>483</v>
      </c>
      <c r="J394" s="2" t="s">
        <v>536</v>
      </c>
      <c r="K394" s="2" t="s">
        <v>304</v>
      </c>
      <c r="L394" s="2" t="s">
        <v>119</v>
      </c>
      <c r="M394" s="8" t="str">
        <f>HYPERLINK("http://slimages.macys.com/is/image/MCY/13987501 ")</f>
        <v xml:space="preserve">http://slimages.macys.com/is/image/MCY/13987501 </v>
      </c>
    </row>
    <row r="395" spans="1:13" ht="60" x14ac:dyDescent="0.25">
      <c r="A395" s="7" t="s">
        <v>2680</v>
      </c>
      <c r="B395" s="2" t="s">
        <v>2113</v>
      </c>
      <c r="C395" s="4">
        <v>1</v>
      </c>
      <c r="D395" s="5">
        <v>3.58</v>
      </c>
      <c r="E395" s="5">
        <v>8.99</v>
      </c>
      <c r="F395" s="4" t="s">
        <v>2114</v>
      </c>
      <c r="G395" s="2" t="s">
        <v>297</v>
      </c>
      <c r="H395" s="7" t="s">
        <v>482</v>
      </c>
      <c r="I395" s="2" t="s">
        <v>483</v>
      </c>
      <c r="J395" s="2" t="s">
        <v>536</v>
      </c>
      <c r="K395" s="2" t="s">
        <v>304</v>
      </c>
      <c r="L395" s="2" t="s">
        <v>119</v>
      </c>
      <c r="M395" s="8" t="str">
        <f>HYPERLINK("http://slimages.macys.com/is/image/MCY/13987501 ")</f>
        <v xml:space="preserve">http://slimages.macys.com/is/image/MCY/13987501 </v>
      </c>
    </row>
    <row r="396" spans="1:13" ht="60" x14ac:dyDescent="0.25">
      <c r="A396" s="7" t="s">
        <v>2119</v>
      </c>
      <c r="B396" s="2" t="s">
        <v>2117</v>
      </c>
      <c r="C396" s="4">
        <v>1</v>
      </c>
      <c r="D396" s="5">
        <v>3.51</v>
      </c>
      <c r="E396" s="5">
        <v>8.99</v>
      </c>
      <c r="F396" s="4">
        <v>10006320100</v>
      </c>
      <c r="G396" s="2" t="s">
        <v>134</v>
      </c>
      <c r="H396" s="7" t="s">
        <v>149</v>
      </c>
      <c r="I396" s="2" t="s">
        <v>483</v>
      </c>
      <c r="J396" s="2" t="s">
        <v>536</v>
      </c>
      <c r="K396" s="2" t="s">
        <v>304</v>
      </c>
      <c r="L396" s="2" t="s">
        <v>38</v>
      </c>
      <c r="M396" s="8" t="str">
        <f>HYPERLINK("http://slimages.macys.com/is/image/MCY/13987499 ")</f>
        <v xml:space="preserve">http://slimages.macys.com/is/image/MCY/13987499 </v>
      </c>
    </row>
    <row r="397" spans="1:13" ht="60" x14ac:dyDescent="0.25">
      <c r="A397" s="7" t="s">
        <v>9701</v>
      </c>
      <c r="B397" s="2" t="s">
        <v>2117</v>
      </c>
      <c r="C397" s="4">
        <v>1</v>
      </c>
      <c r="D397" s="5">
        <v>3.51</v>
      </c>
      <c r="E397" s="5">
        <v>8.99</v>
      </c>
      <c r="F397" s="4">
        <v>10006320100</v>
      </c>
      <c r="G397" s="2" t="s">
        <v>134</v>
      </c>
      <c r="H397" s="7" t="s">
        <v>442</v>
      </c>
      <c r="I397" s="2" t="s">
        <v>483</v>
      </c>
      <c r="J397" s="2" t="s">
        <v>536</v>
      </c>
      <c r="K397" s="2" t="s">
        <v>304</v>
      </c>
      <c r="L397" s="2" t="s">
        <v>38</v>
      </c>
      <c r="M397" s="8" t="str">
        <f>HYPERLINK("http://slimages.macys.com/is/image/MCY/13987499 ")</f>
        <v xml:space="preserve">http://slimages.macys.com/is/image/MCY/13987499 </v>
      </c>
    </row>
    <row r="398" spans="1:13" ht="60" x14ac:dyDescent="0.25">
      <c r="A398" s="7" t="s">
        <v>1161</v>
      </c>
      <c r="B398" s="2" t="s">
        <v>1162</v>
      </c>
      <c r="C398" s="4">
        <v>1</v>
      </c>
      <c r="D398" s="5">
        <v>3.5</v>
      </c>
      <c r="E398" s="5">
        <v>7.99</v>
      </c>
      <c r="F398" s="4">
        <v>18184510</v>
      </c>
      <c r="G398" s="2" t="s">
        <v>41</v>
      </c>
      <c r="H398" s="7" t="s">
        <v>91</v>
      </c>
      <c r="I398" s="2" t="s">
        <v>153</v>
      </c>
      <c r="J398" s="2" t="s">
        <v>154</v>
      </c>
      <c r="K398" s="2" t="s">
        <v>304</v>
      </c>
      <c r="L398" s="2" t="s">
        <v>38</v>
      </c>
      <c r="M398" s="8" t="str">
        <f>HYPERLINK("http://slimages.macys.com/is/image/MCY/13852969 ")</f>
        <v xml:space="preserve">http://slimages.macys.com/is/image/MCY/13852969 </v>
      </c>
    </row>
    <row r="399" spans="1:13" ht="60" x14ac:dyDescent="0.25">
      <c r="A399" s="7" t="s">
        <v>9702</v>
      </c>
      <c r="B399" s="2" t="s">
        <v>6427</v>
      </c>
      <c r="C399" s="4">
        <v>1</v>
      </c>
      <c r="D399" s="5">
        <v>3.48</v>
      </c>
      <c r="E399" s="5">
        <v>5.99</v>
      </c>
      <c r="F399" s="4" t="s">
        <v>6428</v>
      </c>
      <c r="G399" s="2" t="s">
        <v>7036</v>
      </c>
      <c r="H399" s="7" t="s">
        <v>311</v>
      </c>
      <c r="I399" s="2" t="s">
        <v>73</v>
      </c>
      <c r="J399" s="2" t="s">
        <v>1963</v>
      </c>
      <c r="K399" s="2" t="s">
        <v>304</v>
      </c>
      <c r="L399" s="2" t="s">
        <v>119</v>
      </c>
      <c r="M399" s="8" t="str">
        <f>HYPERLINK("http://slimages.macys.com/is/image/MCY/12284123 ")</f>
        <v xml:space="preserve">http://slimages.macys.com/is/image/MCY/12284123 </v>
      </c>
    </row>
    <row r="400" spans="1:13" ht="60" x14ac:dyDescent="0.25">
      <c r="A400" s="7" t="s">
        <v>7817</v>
      </c>
      <c r="B400" s="2" t="s">
        <v>5058</v>
      </c>
      <c r="C400" s="4">
        <v>1</v>
      </c>
      <c r="D400" s="5">
        <v>3.48</v>
      </c>
      <c r="E400" s="5">
        <v>5.99</v>
      </c>
      <c r="F400" s="4" t="s">
        <v>5059</v>
      </c>
      <c r="G400" s="2" t="s">
        <v>41</v>
      </c>
      <c r="H400" s="7" t="s">
        <v>63</v>
      </c>
      <c r="I400" s="2" t="s">
        <v>73</v>
      </c>
      <c r="J400" s="2" t="s">
        <v>1963</v>
      </c>
      <c r="K400" s="2" t="s">
        <v>304</v>
      </c>
      <c r="L400" s="2" t="s">
        <v>119</v>
      </c>
      <c r="M400" s="8" t="str">
        <f>HYPERLINK("http://slimages.macys.com/is/image/MCY/13360517 ")</f>
        <v xml:space="preserve">http://slimages.macys.com/is/image/MCY/13360517 </v>
      </c>
    </row>
    <row r="401" spans="1:13" ht="60" x14ac:dyDescent="0.25">
      <c r="A401" s="7" t="s">
        <v>5060</v>
      </c>
      <c r="B401" s="2" t="s">
        <v>2125</v>
      </c>
      <c r="C401" s="4">
        <v>1</v>
      </c>
      <c r="D401" s="5">
        <v>3.48</v>
      </c>
      <c r="E401" s="5">
        <v>5.99</v>
      </c>
      <c r="F401" s="4" t="s">
        <v>2126</v>
      </c>
      <c r="G401" s="2" t="s">
        <v>41</v>
      </c>
      <c r="H401" s="7" t="s">
        <v>68</v>
      </c>
      <c r="I401" s="2" t="s">
        <v>80</v>
      </c>
      <c r="J401" s="2" t="s">
        <v>1857</v>
      </c>
      <c r="K401" s="2" t="s">
        <v>304</v>
      </c>
      <c r="L401" s="2" t="s">
        <v>119</v>
      </c>
      <c r="M401" s="8" t="str">
        <f>HYPERLINK("http://slimages.macys.com/is/image/MCY/11209887 ")</f>
        <v xml:space="preserve">http://slimages.macys.com/is/image/MCY/11209887 </v>
      </c>
    </row>
    <row r="402" spans="1:13" ht="60" x14ac:dyDescent="0.25">
      <c r="A402" s="7" t="s">
        <v>9703</v>
      </c>
      <c r="B402" s="2" t="s">
        <v>6430</v>
      </c>
      <c r="C402" s="4">
        <v>1</v>
      </c>
      <c r="D402" s="5">
        <v>3.48</v>
      </c>
      <c r="E402" s="5">
        <v>5.99</v>
      </c>
      <c r="F402" s="4" t="s">
        <v>6431</v>
      </c>
      <c r="G402" s="2" t="s">
        <v>303</v>
      </c>
      <c r="H402" s="7" t="s">
        <v>317</v>
      </c>
      <c r="I402" s="2" t="s">
        <v>73</v>
      </c>
      <c r="J402" s="2" t="s">
        <v>1963</v>
      </c>
      <c r="K402" s="2" t="s">
        <v>304</v>
      </c>
      <c r="L402" s="2" t="s">
        <v>119</v>
      </c>
      <c r="M402" s="8" t="str">
        <f>HYPERLINK("http://slimages.macys.com/is/image/MCY/12952993 ")</f>
        <v xml:space="preserve">http://slimages.macys.com/is/image/MCY/12952993 </v>
      </c>
    </row>
    <row r="403" spans="1:13" ht="60" x14ac:dyDescent="0.25">
      <c r="A403" s="7" t="s">
        <v>9704</v>
      </c>
      <c r="B403" s="2" t="s">
        <v>7813</v>
      </c>
      <c r="C403" s="4">
        <v>1</v>
      </c>
      <c r="D403" s="5">
        <v>3.48</v>
      </c>
      <c r="E403" s="5">
        <v>5.99</v>
      </c>
      <c r="F403" s="4" t="s">
        <v>7814</v>
      </c>
      <c r="G403" s="2" t="s">
        <v>41</v>
      </c>
      <c r="H403" s="7" t="s">
        <v>166</v>
      </c>
      <c r="I403" s="2" t="s">
        <v>80</v>
      </c>
      <c r="J403" s="2" t="s">
        <v>1857</v>
      </c>
      <c r="K403" s="2" t="s">
        <v>304</v>
      </c>
      <c r="L403" s="2" t="s">
        <v>119</v>
      </c>
      <c r="M403" s="8" t="str">
        <f>HYPERLINK("http://slimages.macys.com/is/image/MCY/12802575 ")</f>
        <v xml:space="preserve">http://slimages.macys.com/is/image/MCY/12802575 </v>
      </c>
    </row>
    <row r="404" spans="1:13" ht="60" x14ac:dyDescent="0.25">
      <c r="A404" s="7" t="s">
        <v>9705</v>
      </c>
      <c r="B404" s="2" t="s">
        <v>5058</v>
      </c>
      <c r="C404" s="4">
        <v>1</v>
      </c>
      <c r="D404" s="5">
        <v>3.48</v>
      </c>
      <c r="E404" s="5">
        <v>5.99</v>
      </c>
      <c r="F404" s="4" t="s">
        <v>5059</v>
      </c>
      <c r="G404" s="2" t="s">
        <v>595</v>
      </c>
      <c r="H404" s="7" t="s">
        <v>311</v>
      </c>
      <c r="I404" s="2" t="s">
        <v>73</v>
      </c>
      <c r="J404" s="2" t="s">
        <v>1963</v>
      </c>
      <c r="K404" s="2" t="s">
        <v>304</v>
      </c>
      <c r="L404" s="2" t="s">
        <v>119</v>
      </c>
      <c r="M404" s="8" t="str">
        <f>HYPERLINK("http://slimages.macys.com/is/image/MCY/13360517 ")</f>
        <v xml:space="preserve">http://slimages.macys.com/is/image/MCY/13360517 </v>
      </c>
    </row>
    <row r="405" spans="1:13" ht="60" x14ac:dyDescent="0.25">
      <c r="A405" s="7" t="s">
        <v>5057</v>
      </c>
      <c r="B405" s="2" t="s">
        <v>5058</v>
      </c>
      <c r="C405" s="4">
        <v>1</v>
      </c>
      <c r="D405" s="5">
        <v>3.48</v>
      </c>
      <c r="E405" s="5">
        <v>5.99</v>
      </c>
      <c r="F405" s="4" t="s">
        <v>5059</v>
      </c>
      <c r="G405" s="2" t="s">
        <v>595</v>
      </c>
      <c r="H405" s="7" t="s">
        <v>63</v>
      </c>
      <c r="I405" s="2" t="s">
        <v>73</v>
      </c>
      <c r="J405" s="2" t="s">
        <v>1963</v>
      </c>
      <c r="K405" s="2" t="s">
        <v>304</v>
      </c>
      <c r="L405" s="2" t="s">
        <v>119</v>
      </c>
      <c r="M405" s="8" t="str">
        <f>HYPERLINK("http://slimages.macys.com/is/image/MCY/13360517 ")</f>
        <v xml:space="preserve">http://slimages.macys.com/is/image/MCY/13360517 </v>
      </c>
    </row>
    <row r="406" spans="1:13" ht="60" x14ac:dyDescent="0.25">
      <c r="A406" s="7" t="s">
        <v>9706</v>
      </c>
      <c r="B406" s="2" t="s">
        <v>5058</v>
      </c>
      <c r="C406" s="4">
        <v>1</v>
      </c>
      <c r="D406" s="5">
        <v>3.48</v>
      </c>
      <c r="E406" s="5">
        <v>5.99</v>
      </c>
      <c r="F406" s="4" t="s">
        <v>5059</v>
      </c>
      <c r="G406" s="2" t="s">
        <v>595</v>
      </c>
      <c r="H406" s="7" t="s">
        <v>68</v>
      </c>
      <c r="I406" s="2" t="s">
        <v>73</v>
      </c>
      <c r="J406" s="2" t="s">
        <v>1963</v>
      </c>
      <c r="K406" s="2" t="s">
        <v>304</v>
      </c>
      <c r="L406" s="2" t="s">
        <v>119</v>
      </c>
      <c r="M406" s="8" t="str">
        <f>HYPERLINK("http://slimages.macys.com/is/image/MCY/13360517 ")</f>
        <v xml:space="preserve">http://slimages.macys.com/is/image/MCY/13360517 </v>
      </c>
    </row>
    <row r="407" spans="1:13" ht="108" x14ac:dyDescent="0.25">
      <c r="A407" s="7" t="s">
        <v>6446</v>
      </c>
      <c r="B407" s="2" t="s">
        <v>565</v>
      </c>
      <c r="C407" s="4">
        <v>1</v>
      </c>
      <c r="D407" s="5">
        <v>3.45</v>
      </c>
      <c r="E407" s="5">
        <v>7.99</v>
      </c>
      <c r="F407" s="4" t="s">
        <v>566</v>
      </c>
      <c r="G407" s="2" t="s">
        <v>28</v>
      </c>
      <c r="H407" s="7" t="s">
        <v>123</v>
      </c>
      <c r="I407" s="2" t="s">
        <v>292</v>
      </c>
      <c r="J407" s="2" t="s">
        <v>354</v>
      </c>
      <c r="K407" s="2" t="s">
        <v>304</v>
      </c>
      <c r="L407" s="2" t="s">
        <v>567</v>
      </c>
      <c r="M407" s="8" t="str">
        <f>HYPERLINK("http://slimages.macys.com/is/image/MCY/12684419 ")</f>
        <v xml:space="preserve">http://slimages.macys.com/is/image/MCY/12684419 </v>
      </c>
    </row>
    <row r="408" spans="1:13" ht="60" x14ac:dyDescent="0.25">
      <c r="A408" s="7" t="s">
        <v>4321</v>
      </c>
      <c r="B408" s="2" t="s">
        <v>3502</v>
      </c>
      <c r="C408" s="4">
        <v>1</v>
      </c>
      <c r="D408" s="5">
        <v>3.44</v>
      </c>
      <c r="E408" s="5">
        <v>7.99</v>
      </c>
      <c r="F408" s="4" t="s">
        <v>3503</v>
      </c>
      <c r="G408" s="2" t="s">
        <v>752</v>
      </c>
      <c r="H408" s="7" t="s">
        <v>311</v>
      </c>
      <c r="I408" s="2" t="s">
        <v>1689</v>
      </c>
      <c r="J408" s="2" t="s">
        <v>354</v>
      </c>
      <c r="K408" s="2" t="s">
        <v>304</v>
      </c>
      <c r="L408" s="2" t="s">
        <v>596</v>
      </c>
      <c r="M408" s="8" t="str">
        <f>HYPERLINK("http://slimages.macys.com/is/image/MCY/12494891 ")</f>
        <v xml:space="preserve">http://slimages.macys.com/is/image/MCY/12494891 </v>
      </c>
    </row>
    <row r="409" spans="1:13" ht="60" x14ac:dyDescent="0.25">
      <c r="A409" s="7" t="s">
        <v>4324</v>
      </c>
      <c r="B409" s="2" t="s">
        <v>3506</v>
      </c>
      <c r="C409" s="4">
        <v>1</v>
      </c>
      <c r="D409" s="5">
        <v>3.36</v>
      </c>
      <c r="E409" s="5">
        <v>7.99</v>
      </c>
      <c r="F409" s="4" t="s">
        <v>3507</v>
      </c>
      <c r="G409" s="2" t="s">
        <v>582</v>
      </c>
      <c r="H409" s="7" t="s">
        <v>514</v>
      </c>
      <c r="I409" s="2" t="s">
        <v>1689</v>
      </c>
      <c r="J409" s="2" t="s">
        <v>354</v>
      </c>
      <c r="K409" s="2" t="s">
        <v>304</v>
      </c>
      <c r="L409" s="2" t="s">
        <v>596</v>
      </c>
      <c r="M409" s="8" t="str">
        <f>HYPERLINK("http://slimages.macys.com/is/image/MCY/11498760 ")</f>
        <v xml:space="preserve">http://slimages.macys.com/is/image/MCY/11498760 </v>
      </c>
    </row>
    <row r="410" spans="1:13" ht="60" x14ac:dyDescent="0.25">
      <c r="A410" s="7" t="s">
        <v>9707</v>
      </c>
      <c r="B410" s="2" t="s">
        <v>7826</v>
      </c>
      <c r="C410" s="4">
        <v>1</v>
      </c>
      <c r="D410" s="5">
        <v>3.36</v>
      </c>
      <c r="E410" s="5">
        <v>7.99</v>
      </c>
      <c r="F410" s="4" t="s">
        <v>7827</v>
      </c>
      <c r="G410" s="2" t="s">
        <v>103</v>
      </c>
      <c r="H410" s="7" t="s">
        <v>63</v>
      </c>
      <c r="I410" s="2" t="s">
        <v>1689</v>
      </c>
      <c r="J410" s="2" t="s">
        <v>354</v>
      </c>
      <c r="K410" s="2" t="s">
        <v>304</v>
      </c>
      <c r="L410" s="2" t="s">
        <v>596</v>
      </c>
      <c r="M410" s="8" t="str">
        <f>HYPERLINK("http://slimages.macys.com/is/image/MCY/9729368 ")</f>
        <v xml:space="preserve">http://slimages.macys.com/is/image/MCY/9729368 </v>
      </c>
    </row>
    <row r="411" spans="1:13" ht="60" x14ac:dyDescent="0.25">
      <c r="A411" s="7" t="s">
        <v>9708</v>
      </c>
      <c r="B411" s="2" t="s">
        <v>9709</v>
      </c>
      <c r="C411" s="4">
        <v>1</v>
      </c>
      <c r="D411" s="5">
        <v>3.36</v>
      </c>
      <c r="E411" s="5">
        <v>7.99</v>
      </c>
      <c r="F411" s="4" t="s">
        <v>9710</v>
      </c>
      <c r="G411" s="2" t="s">
        <v>103</v>
      </c>
      <c r="H411" s="7" t="s">
        <v>63</v>
      </c>
      <c r="I411" s="2" t="s">
        <v>1689</v>
      </c>
      <c r="J411" s="2" t="s">
        <v>354</v>
      </c>
      <c r="K411" s="2" t="s">
        <v>304</v>
      </c>
      <c r="L411" s="2" t="s">
        <v>596</v>
      </c>
      <c r="M411" s="8" t="str">
        <f>HYPERLINK("http://slimages.macys.com/is/image/MCY/11499700 ")</f>
        <v xml:space="preserve">http://slimages.macys.com/is/image/MCY/11499700 </v>
      </c>
    </row>
    <row r="412" spans="1:13" ht="60" x14ac:dyDescent="0.25">
      <c r="A412" s="7" t="s">
        <v>9711</v>
      </c>
      <c r="B412" s="2" t="s">
        <v>9712</v>
      </c>
      <c r="C412" s="4">
        <v>1</v>
      </c>
      <c r="D412" s="5">
        <v>3.3</v>
      </c>
      <c r="E412" s="5">
        <v>7.99</v>
      </c>
      <c r="F412" s="4" t="s">
        <v>9713</v>
      </c>
      <c r="G412" s="2" t="s">
        <v>41</v>
      </c>
      <c r="H412" s="7" t="s">
        <v>1151</v>
      </c>
      <c r="I412" s="2" t="s">
        <v>1689</v>
      </c>
      <c r="J412" s="2" t="s">
        <v>354</v>
      </c>
      <c r="K412" s="2" t="s">
        <v>304</v>
      </c>
      <c r="L412" s="2" t="s">
        <v>119</v>
      </c>
      <c r="M412" s="8" t="str">
        <f>HYPERLINK("http://slimages.macys.com/is/image/MCY/11374695 ")</f>
        <v xml:space="preserve">http://slimages.macys.com/is/image/MCY/11374695 </v>
      </c>
    </row>
    <row r="413" spans="1:13" ht="60" x14ac:dyDescent="0.25">
      <c r="A413" s="7" t="s">
        <v>8400</v>
      </c>
      <c r="B413" s="2" t="s">
        <v>2138</v>
      </c>
      <c r="C413" s="4">
        <v>1</v>
      </c>
      <c r="D413" s="5">
        <v>3.3</v>
      </c>
      <c r="E413" s="5">
        <v>7.99</v>
      </c>
      <c r="F413" s="4" t="s">
        <v>2139</v>
      </c>
      <c r="G413" s="2" t="s">
        <v>86</v>
      </c>
      <c r="H413" s="7" t="s">
        <v>514</v>
      </c>
      <c r="I413" s="2" t="s">
        <v>1689</v>
      </c>
      <c r="J413" s="2" t="s">
        <v>354</v>
      </c>
      <c r="K413" s="2" t="s">
        <v>304</v>
      </c>
      <c r="L413" s="2" t="s">
        <v>119</v>
      </c>
      <c r="M413" s="8" t="str">
        <f>HYPERLINK("http://slimages.macys.com/is/image/MCY/10178138 ")</f>
        <v xml:space="preserve">http://slimages.macys.com/is/image/MCY/10178138 </v>
      </c>
    </row>
    <row r="414" spans="1:13" ht="60" x14ac:dyDescent="0.25">
      <c r="A414" s="7" t="s">
        <v>9714</v>
      </c>
      <c r="B414" s="2" t="s">
        <v>5635</v>
      </c>
      <c r="C414" s="4">
        <v>1</v>
      </c>
      <c r="D414" s="5">
        <v>3.29</v>
      </c>
      <c r="E414" s="5">
        <v>7.99</v>
      </c>
      <c r="F414" s="4" t="s">
        <v>5636</v>
      </c>
      <c r="G414" s="2" t="s">
        <v>103</v>
      </c>
      <c r="H414" s="7" t="s">
        <v>63</v>
      </c>
      <c r="I414" s="2" t="s">
        <v>1689</v>
      </c>
      <c r="J414" s="2" t="s">
        <v>354</v>
      </c>
      <c r="K414" s="2" t="s">
        <v>304</v>
      </c>
      <c r="L414" s="2" t="s">
        <v>119</v>
      </c>
      <c r="M414" s="8" t="str">
        <f>HYPERLINK("http://slimages.macys.com/is/image/MCY/11776815 ")</f>
        <v xml:space="preserve">http://slimages.macys.com/is/image/MCY/11776815 </v>
      </c>
    </row>
    <row r="415" spans="1:13" ht="60" x14ac:dyDescent="0.25">
      <c r="A415" s="7" t="s">
        <v>9715</v>
      </c>
      <c r="B415" s="2" t="s">
        <v>9716</v>
      </c>
      <c r="C415" s="4">
        <v>1</v>
      </c>
      <c r="D415" s="5">
        <v>3.29</v>
      </c>
      <c r="E415" s="5">
        <v>7.99</v>
      </c>
      <c r="F415" s="4" t="s">
        <v>9717</v>
      </c>
      <c r="G415" s="2" t="s">
        <v>86</v>
      </c>
      <c r="H415" s="7" t="s">
        <v>311</v>
      </c>
      <c r="I415" s="2" t="s">
        <v>1689</v>
      </c>
      <c r="J415" s="2" t="s">
        <v>354</v>
      </c>
      <c r="K415" s="2" t="s">
        <v>304</v>
      </c>
      <c r="L415" s="2" t="s">
        <v>119</v>
      </c>
      <c r="M415" s="8" t="str">
        <f>HYPERLINK("http://slimages.macys.com/is/image/MCY/12003696 ")</f>
        <v xml:space="preserve">http://slimages.macys.com/is/image/MCY/12003696 </v>
      </c>
    </row>
    <row r="416" spans="1:13" ht="60" x14ac:dyDescent="0.25">
      <c r="A416" s="7" t="s">
        <v>9718</v>
      </c>
      <c r="B416" s="2" t="s">
        <v>9719</v>
      </c>
      <c r="C416" s="4">
        <v>1</v>
      </c>
      <c r="D416" s="5">
        <v>3.29</v>
      </c>
      <c r="E416" s="5">
        <v>7.99</v>
      </c>
      <c r="F416" s="4" t="s">
        <v>9720</v>
      </c>
      <c r="G416" s="2" t="s">
        <v>582</v>
      </c>
      <c r="H416" s="7" t="s">
        <v>578</v>
      </c>
      <c r="I416" s="2" t="s">
        <v>1689</v>
      </c>
      <c r="J416" s="2" t="s">
        <v>354</v>
      </c>
      <c r="K416" s="2" t="s">
        <v>304</v>
      </c>
      <c r="L416" s="2" t="s">
        <v>119</v>
      </c>
      <c r="M416" s="8" t="str">
        <f>HYPERLINK("http://slimages.macys.com/is/image/MCY/12494462 ")</f>
        <v xml:space="preserve">http://slimages.macys.com/is/image/MCY/12494462 </v>
      </c>
    </row>
    <row r="417" spans="1:13" ht="60" x14ac:dyDescent="0.25">
      <c r="A417" s="7" t="s">
        <v>9721</v>
      </c>
      <c r="B417" s="2" t="s">
        <v>9719</v>
      </c>
      <c r="C417" s="4">
        <v>1</v>
      </c>
      <c r="D417" s="5">
        <v>3.29</v>
      </c>
      <c r="E417" s="5">
        <v>7.99</v>
      </c>
      <c r="F417" s="4" t="s">
        <v>9720</v>
      </c>
      <c r="G417" s="2" t="s">
        <v>582</v>
      </c>
      <c r="H417" s="7" t="s">
        <v>514</v>
      </c>
      <c r="I417" s="2" t="s">
        <v>1689</v>
      </c>
      <c r="J417" s="2" t="s">
        <v>354</v>
      </c>
      <c r="K417" s="2" t="s">
        <v>304</v>
      </c>
      <c r="L417" s="2" t="s">
        <v>119</v>
      </c>
      <c r="M417" s="8" t="str">
        <f>HYPERLINK("http://slimages.macys.com/is/image/MCY/12494462 ")</f>
        <v xml:space="preserve">http://slimages.macys.com/is/image/MCY/12494462 </v>
      </c>
    </row>
    <row r="418" spans="1:13" ht="60" x14ac:dyDescent="0.25">
      <c r="A418" s="7" t="s">
        <v>9722</v>
      </c>
      <c r="B418" s="2" t="s">
        <v>9723</v>
      </c>
      <c r="C418" s="4">
        <v>1</v>
      </c>
      <c r="D418" s="5">
        <v>3.29</v>
      </c>
      <c r="E418" s="5">
        <v>7.99</v>
      </c>
      <c r="F418" s="4" t="s">
        <v>9724</v>
      </c>
      <c r="G418" s="2" t="s">
        <v>41</v>
      </c>
      <c r="H418" s="7" t="s">
        <v>1151</v>
      </c>
      <c r="I418" s="2" t="s">
        <v>1689</v>
      </c>
      <c r="J418" s="2" t="s">
        <v>354</v>
      </c>
      <c r="K418" s="2" t="s">
        <v>304</v>
      </c>
      <c r="L418" s="2" t="s">
        <v>119</v>
      </c>
      <c r="M418" s="8" t="str">
        <f>HYPERLINK("http://slimages.macys.com/is/image/MCY/12101656 ")</f>
        <v xml:space="preserve">http://slimages.macys.com/is/image/MCY/12101656 </v>
      </c>
    </row>
    <row r="419" spans="1:13" ht="60" x14ac:dyDescent="0.25">
      <c r="A419" s="7" t="s">
        <v>9725</v>
      </c>
      <c r="B419" s="2" t="s">
        <v>9726</v>
      </c>
      <c r="C419" s="4">
        <v>1</v>
      </c>
      <c r="D419" s="5">
        <v>3.29</v>
      </c>
      <c r="E419" s="5">
        <v>7.99</v>
      </c>
      <c r="F419" s="4" t="s">
        <v>9727</v>
      </c>
      <c r="G419" s="2" t="s">
        <v>86</v>
      </c>
      <c r="H419" s="7" t="s">
        <v>578</v>
      </c>
      <c r="I419" s="2" t="s">
        <v>1689</v>
      </c>
      <c r="J419" s="2" t="s">
        <v>354</v>
      </c>
      <c r="K419" s="2" t="s">
        <v>304</v>
      </c>
      <c r="L419" s="2" t="s">
        <v>119</v>
      </c>
      <c r="M419" s="8" t="str">
        <f>HYPERLINK("http://slimages.macys.com/is/image/MCY/11500933 ")</f>
        <v xml:space="preserve">http://slimages.macys.com/is/image/MCY/11500933 </v>
      </c>
    </row>
    <row r="420" spans="1:13" ht="60" x14ac:dyDescent="0.25">
      <c r="A420" s="7" t="s">
        <v>7857</v>
      </c>
      <c r="B420" s="2" t="s">
        <v>6453</v>
      </c>
      <c r="C420" s="4">
        <v>1</v>
      </c>
      <c r="D420" s="5">
        <v>3.29</v>
      </c>
      <c r="E420" s="5">
        <v>7.99</v>
      </c>
      <c r="F420" s="4" t="s">
        <v>6454</v>
      </c>
      <c r="G420" s="2" t="s">
        <v>103</v>
      </c>
      <c r="H420" s="7" t="s">
        <v>1151</v>
      </c>
      <c r="I420" s="2" t="s">
        <v>1689</v>
      </c>
      <c r="J420" s="2" t="s">
        <v>354</v>
      </c>
      <c r="K420" s="2" t="s">
        <v>304</v>
      </c>
      <c r="L420" s="2" t="s">
        <v>119</v>
      </c>
      <c r="M420" s="8" t="str">
        <f>HYPERLINK("http://slimages.macys.com/is/image/MCY/12101652 ")</f>
        <v xml:space="preserve">http://slimages.macys.com/is/image/MCY/12101652 </v>
      </c>
    </row>
    <row r="421" spans="1:13" ht="60" x14ac:dyDescent="0.25">
      <c r="A421" s="7" t="s">
        <v>9728</v>
      </c>
      <c r="B421" s="2" t="s">
        <v>5071</v>
      </c>
      <c r="C421" s="4">
        <v>1</v>
      </c>
      <c r="D421" s="5">
        <v>3.29</v>
      </c>
      <c r="E421" s="5">
        <v>7.99</v>
      </c>
      <c r="F421" s="4" t="s">
        <v>5072</v>
      </c>
      <c r="G421" s="2" t="s">
        <v>103</v>
      </c>
      <c r="H421" s="7" t="s">
        <v>514</v>
      </c>
      <c r="I421" s="2" t="s">
        <v>1689</v>
      </c>
      <c r="J421" s="2" t="s">
        <v>354</v>
      </c>
      <c r="K421" s="2" t="s">
        <v>304</v>
      </c>
      <c r="L421" s="2" t="s">
        <v>119</v>
      </c>
      <c r="M421" s="8" t="str">
        <f>HYPERLINK("http://slimages.macys.com/is/image/MCY/12465494 ")</f>
        <v xml:space="preserve">http://slimages.macys.com/is/image/MCY/12465494 </v>
      </c>
    </row>
    <row r="422" spans="1:13" ht="60" x14ac:dyDescent="0.25">
      <c r="A422" s="7" t="s">
        <v>7048</v>
      </c>
      <c r="B422" s="2" t="s">
        <v>2150</v>
      </c>
      <c r="C422" s="4">
        <v>1</v>
      </c>
      <c r="D422" s="5">
        <v>3.29</v>
      </c>
      <c r="E422" s="5">
        <v>7.99</v>
      </c>
      <c r="F422" s="4" t="s">
        <v>2151</v>
      </c>
      <c r="G422" s="2" t="s">
        <v>86</v>
      </c>
      <c r="H422" s="7" t="s">
        <v>1151</v>
      </c>
      <c r="I422" s="2" t="s">
        <v>1689</v>
      </c>
      <c r="J422" s="2" t="s">
        <v>354</v>
      </c>
      <c r="K422" s="2" t="s">
        <v>304</v>
      </c>
      <c r="L422" s="2" t="s">
        <v>119</v>
      </c>
      <c r="M422" s="8" t="str">
        <f>HYPERLINK("http://slimages.macys.com/is/image/MCY/12938525 ")</f>
        <v xml:space="preserve">http://slimages.macys.com/is/image/MCY/12938525 </v>
      </c>
    </row>
    <row r="423" spans="1:13" ht="60" x14ac:dyDescent="0.25">
      <c r="A423" s="7" t="s">
        <v>9729</v>
      </c>
      <c r="B423" s="2" t="s">
        <v>9726</v>
      </c>
      <c r="C423" s="4">
        <v>1</v>
      </c>
      <c r="D423" s="5">
        <v>3.29</v>
      </c>
      <c r="E423" s="5">
        <v>7.99</v>
      </c>
      <c r="F423" s="4" t="s">
        <v>9727</v>
      </c>
      <c r="G423" s="2" t="s">
        <v>86</v>
      </c>
      <c r="H423" s="7" t="s">
        <v>63</v>
      </c>
      <c r="I423" s="2" t="s">
        <v>1689</v>
      </c>
      <c r="J423" s="2" t="s">
        <v>354</v>
      </c>
      <c r="K423" s="2" t="s">
        <v>304</v>
      </c>
      <c r="L423" s="2" t="s">
        <v>119</v>
      </c>
      <c r="M423" s="8" t="str">
        <f>HYPERLINK("http://slimages.macys.com/is/image/MCY/11500933 ")</f>
        <v xml:space="preserve">http://slimages.macys.com/is/image/MCY/11500933 </v>
      </c>
    </row>
    <row r="424" spans="1:13" ht="60" x14ac:dyDescent="0.25">
      <c r="A424" s="7" t="s">
        <v>7094</v>
      </c>
      <c r="B424" s="2" t="s">
        <v>7095</v>
      </c>
      <c r="C424" s="4">
        <v>1</v>
      </c>
      <c r="D424" s="5">
        <v>3.21</v>
      </c>
      <c r="E424" s="5">
        <v>7.99</v>
      </c>
      <c r="F424" s="4" t="s">
        <v>7096</v>
      </c>
      <c r="G424" s="2" t="s">
        <v>41</v>
      </c>
      <c r="H424" s="7" t="s">
        <v>514</v>
      </c>
      <c r="I424" s="2" t="s">
        <v>483</v>
      </c>
      <c r="J424" s="2" t="s">
        <v>536</v>
      </c>
      <c r="K424" s="2" t="s">
        <v>304</v>
      </c>
      <c r="L424" s="2" t="s">
        <v>38</v>
      </c>
      <c r="M424" s="8" t="str">
        <f>HYPERLINK("http://slimages.macys.com/is/image/MCY/13987340 ")</f>
        <v xml:space="preserve">http://slimages.macys.com/is/image/MCY/13987340 </v>
      </c>
    </row>
    <row r="425" spans="1:13" ht="60" x14ac:dyDescent="0.25">
      <c r="A425" s="7" t="s">
        <v>6460</v>
      </c>
      <c r="B425" s="2" t="s">
        <v>4368</v>
      </c>
      <c r="C425" s="4">
        <v>1</v>
      </c>
      <c r="D425" s="5">
        <v>3.15</v>
      </c>
      <c r="E425" s="5">
        <v>7.99</v>
      </c>
      <c r="F425" s="4" t="s">
        <v>4369</v>
      </c>
      <c r="G425" s="2" t="s">
        <v>238</v>
      </c>
      <c r="H425" s="7" t="s">
        <v>514</v>
      </c>
      <c r="I425" s="2" t="s">
        <v>483</v>
      </c>
      <c r="J425" s="2" t="s">
        <v>536</v>
      </c>
      <c r="K425" s="2" t="s">
        <v>304</v>
      </c>
      <c r="L425" s="2" t="s">
        <v>87</v>
      </c>
      <c r="M425" s="8" t="str">
        <f>HYPERLINK("http://slimages.macys.com/is/image/MCY/11436881 ")</f>
        <v xml:space="preserve">http://slimages.macys.com/is/image/MCY/11436881 </v>
      </c>
    </row>
    <row r="426" spans="1:13" ht="60" x14ac:dyDescent="0.25">
      <c r="A426" s="7" t="s">
        <v>1182</v>
      </c>
      <c r="B426" s="2" t="s">
        <v>1183</v>
      </c>
      <c r="C426" s="4">
        <v>7</v>
      </c>
      <c r="D426" s="5">
        <v>3.03</v>
      </c>
      <c r="E426" s="5">
        <v>7.99</v>
      </c>
      <c r="F426" s="4" t="s">
        <v>1184</v>
      </c>
      <c r="G426" s="2" t="s">
        <v>41</v>
      </c>
      <c r="H426" s="7" t="s">
        <v>514</v>
      </c>
      <c r="I426" s="2" t="s">
        <v>483</v>
      </c>
      <c r="J426" s="2" t="s">
        <v>536</v>
      </c>
      <c r="K426" s="2" t="s">
        <v>304</v>
      </c>
      <c r="L426" s="2" t="s">
        <v>38</v>
      </c>
      <c r="M426" s="8" t="str">
        <f>HYPERLINK("http://slimages.macys.com/is/image/MCY/13987599 ")</f>
        <v xml:space="preserve">http://slimages.macys.com/is/image/MCY/13987599 </v>
      </c>
    </row>
    <row r="427" spans="1:13" ht="60" x14ac:dyDescent="0.25">
      <c r="A427" s="7" t="s">
        <v>2166</v>
      </c>
      <c r="B427" s="2" t="s">
        <v>1183</v>
      </c>
      <c r="C427" s="4">
        <v>6</v>
      </c>
      <c r="D427" s="5">
        <v>3.03</v>
      </c>
      <c r="E427" s="5">
        <v>7.99</v>
      </c>
      <c r="F427" s="4" t="s">
        <v>1184</v>
      </c>
      <c r="G427" s="2" t="s">
        <v>41</v>
      </c>
      <c r="H427" s="7" t="s">
        <v>1151</v>
      </c>
      <c r="I427" s="2" t="s">
        <v>483</v>
      </c>
      <c r="J427" s="2" t="s">
        <v>536</v>
      </c>
      <c r="K427" s="2" t="s">
        <v>304</v>
      </c>
      <c r="L427" s="2" t="s">
        <v>38</v>
      </c>
      <c r="M427" s="8" t="str">
        <f>HYPERLINK("http://slimages.macys.com/is/image/MCY/13987599 ")</f>
        <v xml:space="preserve">http://slimages.macys.com/is/image/MCY/13987599 </v>
      </c>
    </row>
    <row r="428" spans="1:13" ht="60" x14ac:dyDescent="0.25">
      <c r="A428" s="7" t="s">
        <v>9730</v>
      </c>
      <c r="B428" s="2" t="s">
        <v>1183</v>
      </c>
      <c r="C428" s="4">
        <v>3</v>
      </c>
      <c r="D428" s="5">
        <v>3.03</v>
      </c>
      <c r="E428" s="5">
        <v>7.99</v>
      </c>
      <c r="F428" s="4" t="s">
        <v>1184</v>
      </c>
      <c r="G428" s="2" t="s">
        <v>41</v>
      </c>
      <c r="H428" s="7" t="s">
        <v>578</v>
      </c>
      <c r="I428" s="2" t="s">
        <v>483</v>
      </c>
      <c r="J428" s="2" t="s">
        <v>536</v>
      </c>
      <c r="K428" s="2" t="s">
        <v>304</v>
      </c>
      <c r="L428" s="2" t="s">
        <v>38</v>
      </c>
      <c r="M428" s="8" t="str">
        <f>HYPERLINK("http://slimages.macys.com/is/image/MCY/13987599 ")</f>
        <v xml:space="preserve">http://slimages.macys.com/is/image/MCY/13987599 </v>
      </c>
    </row>
    <row r="429" spans="1:13" ht="60" x14ac:dyDescent="0.25">
      <c r="A429" s="7" t="s">
        <v>1185</v>
      </c>
      <c r="B429" s="2" t="s">
        <v>1186</v>
      </c>
      <c r="C429" s="4">
        <v>1</v>
      </c>
      <c r="D429" s="5">
        <v>3.03</v>
      </c>
      <c r="E429" s="5">
        <v>7.99</v>
      </c>
      <c r="F429" s="4" t="s">
        <v>1187</v>
      </c>
      <c r="G429" s="2" t="s">
        <v>41</v>
      </c>
      <c r="H429" s="7" t="s">
        <v>514</v>
      </c>
      <c r="I429" s="2" t="s">
        <v>483</v>
      </c>
      <c r="J429" s="2" t="s">
        <v>536</v>
      </c>
      <c r="K429" s="2" t="s">
        <v>304</v>
      </c>
      <c r="L429" s="2" t="s">
        <v>100</v>
      </c>
      <c r="M429" s="8" t="str">
        <f>HYPERLINK("http://slimages.macys.com/is/image/MCY/13337544 ")</f>
        <v xml:space="preserve">http://slimages.macys.com/is/image/MCY/13337544 </v>
      </c>
    </row>
    <row r="430" spans="1:13" ht="60" x14ac:dyDescent="0.25">
      <c r="A430" s="7" t="s">
        <v>6469</v>
      </c>
      <c r="B430" s="2" t="s">
        <v>2168</v>
      </c>
      <c r="C430" s="4">
        <v>2</v>
      </c>
      <c r="D430" s="5">
        <v>3.02</v>
      </c>
      <c r="E430" s="5">
        <v>7.99</v>
      </c>
      <c r="F430" s="4" t="s">
        <v>2169</v>
      </c>
      <c r="G430" s="2" t="s">
        <v>657</v>
      </c>
      <c r="H430" s="7" t="s">
        <v>1151</v>
      </c>
      <c r="I430" s="2" t="s">
        <v>483</v>
      </c>
      <c r="J430" s="2" t="s">
        <v>536</v>
      </c>
      <c r="K430" s="2" t="s">
        <v>304</v>
      </c>
      <c r="L430" s="2" t="s">
        <v>119</v>
      </c>
      <c r="M430" s="8" t="str">
        <f>HYPERLINK("http://slimages.macys.com/is/image/MCY/13987476 ")</f>
        <v xml:space="preserve">http://slimages.macys.com/is/image/MCY/13987476 </v>
      </c>
    </row>
    <row r="431" spans="1:13" ht="60" x14ac:dyDescent="0.25">
      <c r="A431" s="7" t="s">
        <v>6468</v>
      </c>
      <c r="B431" s="2" t="s">
        <v>2168</v>
      </c>
      <c r="C431" s="4">
        <v>1</v>
      </c>
      <c r="D431" s="5">
        <v>3.02</v>
      </c>
      <c r="E431" s="5">
        <v>7.99</v>
      </c>
      <c r="F431" s="4" t="s">
        <v>2169</v>
      </c>
      <c r="G431" s="2" t="s">
        <v>657</v>
      </c>
      <c r="H431" s="7" t="s">
        <v>514</v>
      </c>
      <c r="I431" s="2" t="s">
        <v>483</v>
      </c>
      <c r="J431" s="2" t="s">
        <v>536</v>
      </c>
      <c r="K431" s="2" t="s">
        <v>304</v>
      </c>
      <c r="L431" s="2" t="s">
        <v>119</v>
      </c>
      <c r="M431" s="8" t="str">
        <f>HYPERLINK("http://slimages.macys.com/is/image/MCY/13987476 ")</f>
        <v xml:space="preserve">http://slimages.macys.com/is/image/MCY/13987476 </v>
      </c>
    </row>
    <row r="432" spans="1:13" ht="60" x14ac:dyDescent="0.25">
      <c r="A432" s="7" t="s">
        <v>1192</v>
      </c>
      <c r="B432" s="2" t="s">
        <v>1193</v>
      </c>
      <c r="C432" s="4">
        <v>1</v>
      </c>
      <c r="D432" s="5">
        <v>3.01</v>
      </c>
      <c r="E432" s="5">
        <v>7.99</v>
      </c>
      <c r="F432" s="4" t="s">
        <v>1194</v>
      </c>
      <c r="G432" s="2" t="s">
        <v>1147</v>
      </c>
      <c r="H432" s="7" t="s">
        <v>1151</v>
      </c>
      <c r="I432" s="2" t="s">
        <v>483</v>
      </c>
      <c r="J432" s="2" t="s">
        <v>536</v>
      </c>
      <c r="K432" s="2" t="s">
        <v>304</v>
      </c>
      <c r="L432" s="2" t="s">
        <v>100</v>
      </c>
      <c r="M432" s="8" t="str">
        <f>HYPERLINK("http://slimages.macys.com/is/image/MCY/13987297 ")</f>
        <v xml:space="preserve">http://slimages.macys.com/is/image/MCY/13987297 </v>
      </c>
    </row>
    <row r="433" spans="1:13" ht="60" x14ac:dyDescent="0.25">
      <c r="A433" s="7" t="s">
        <v>6476</v>
      </c>
      <c r="B433" s="2" t="s">
        <v>2183</v>
      </c>
      <c r="C433" s="4">
        <v>1</v>
      </c>
      <c r="D433" s="5">
        <v>2.97</v>
      </c>
      <c r="E433" s="5">
        <v>7.99</v>
      </c>
      <c r="F433" s="4" t="s">
        <v>2184</v>
      </c>
      <c r="G433" s="2" t="s">
        <v>595</v>
      </c>
      <c r="H433" s="7"/>
      <c r="I433" s="2" t="s">
        <v>483</v>
      </c>
      <c r="J433" s="2" t="s">
        <v>536</v>
      </c>
      <c r="K433" s="2" t="s">
        <v>304</v>
      </c>
      <c r="L433" s="2" t="s">
        <v>119</v>
      </c>
      <c r="M433" s="8" t="str">
        <f>HYPERLINK("http://slimages.macys.com/is/image/MCY/12465363 ")</f>
        <v xml:space="preserve">http://slimages.macys.com/is/image/MCY/12465363 </v>
      </c>
    </row>
    <row r="434" spans="1:13" ht="60" x14ac:dyDescent="0.25">
      <c r="A434" s="7" t="s">
        <v>9731</v>
      </c>
      <c r="B434" s="2" t="s">
        <v>9732</v>
      </c>
      <c r="C434" s="4">
        <v>1</v>
      </c>
      <c r="D434" s="5">
        <v>2.97</v>
      </c>
      <c r="E434" s="5">
        <v>7.99</v>
      </c>
      <c r="F434" s="4" t="s">
        <v>9733</v>
      </c>
      <c r="G434" s="2" t="s">
        <v>1265</v>
      </c>
      <c r="H434" s="7" t="s">
        <v>442</v>
      </c>
      <c r="I434" s="2" t="s">
        <v>483</v>
      </c>
      <c r="J434" s="2" t="s">
        <v>536</v>
      </c>
      <c r="K434" s="2" t="s">
        <v>304</v>
      </c>
      <c r="L434" s="2" t="s">
        <v>100</v>
      </c>
      <c r="M434" s="8" t="str">
        <f>HYPERLINK("http://slimages.macys.com/is/image/MCY/12465404 ")</f>
        <v xml:space="preserve">http://slimages.macys.com/is/image/MCY/12465404 </v>
      </c>
    </row>
    <row r="435" spans="1:13" ht="60" x14ac:dyDescent="0.25">
      <c r="A435" s="7" t="s">
        <v>9734</v>
      </c>
      <c r="B435" s="2" t="s">
        <v>9735</v>
      </c>
      <c r="C435" s="4">
        <v>1</v>
      </c>
      <c r="D435" s="5">
        <v>2.97</v>
      </c>
      <c r="E435" s="5">
        <v>7.99</v>
      </c>
      <c r="F435" s="4" t="s">
        <v>9736</v>
      </c>
      <c r="G435" s="2" t="s">
        <v>1147</v>
      </c>
      <c r="H435" s="7" t="s">
        <v>590</v>
      </c>
      <c r="I435" s="2" t="s">
        <v>483</v>
      </c>
      <c r="J435" s="2" t="s">
        <v>536</v>
      </c>
      <c r="K435" s="2" t="s">
        <v>304</v>
      </c>
      <c r="L435" s="2" t="s">
        <v>100</v>
      </c>
      <c r="M435" s="8" t="str">
        <f>HYPERLINK("http://slimages.macys.com/is/image/MCY/12465404 ")</f>
        <v xml:space="preserve">http://slimages.macys.com/is/image/MCY/12465404 </v>
      </c>
    </row>
    <row r="436" spans="1:13" ht="60" x14ac:dyDescent="0.25">
      <c r="A436" s="7" t="s">
        <v>7111</v>
      </c>
      <c r="B436" s="2" t="s">
        <v>7112</v>
      </c>
      <c r="C436" s="4">
        <v>2</v>
      </c>
      <c r="D436" s="5">
        <v>2.97</v>
      </c>
      <c r="E436" s="5">
        <v>7.99</v>
      </c>
      <c r="F436" s="4" t="s">
        <v>7113</v>
      </c>
      <c r="G436" s="2" t="s">
        <v>195</v>
      </c>
      <c r="H436" s="7"/>
      <c r="I436" s="2" t="s">
        <v>483</v>
      </c>
      <c r="J436" s="2" t="s">
        <v>536</v>
      </c>
      <c r="K436" s="2" t="s">
        <v>304</v>
      </c>
      <c r="L436" s="2" t="s">
        <v>119</v>
      </c>
      <c r="M436" s="8" t="str">
        <f>HYPERLINK("http://slimages.macys.com/is/image/MCY/12465251 ")</f>
        <v xml:space="preserve">http://slimages.macys.com/is/image/MCY/12465251 </v>
      </c>
    </row>
    <row r="437" spans="1:13" ht="60" x14ac:dyDescent="0.25">
      <c r="A437" s="7" t="s">
        <v>6022</v>
      </c>
      <c r="B437" s="2" t="s">
        <v>2187</v>
      </c>
      <c r="C437" s="4">
        <v>2</v>
      </c>
      <c r="D437" s="5">
        <v>2.94</v>
      </c>
      <c r="E437" s="5">
        <v>7.99</v>
      </c>
      <c r="F437" s="4" t="s">
        <v>2188</v>
      </c>
      <c r="G437" s="2" t="s">
        <v>353</v>
      </c>
      <c r="H437" s="7" t="s">
        <v>514</v>
      </c>
      <c r="I437" s="2" t="s">
        <v>483</v>
      </c>
      <c r="J437" s="2" t="s">
        <v>536</v>
      </c>
      <c r="K437" s="2" t="s">
        <v>304</v>
      </c>
      <c r="L437" s="2" t="s">
        <v>206</v>
      </c>
      <c r="M437" s="8" t="str">
        <f>HYPERLINK("http://slimages.macys.com/is/image/MCY/13386702 ")</f>
        <v xml:space="preserve">http://slimages.macys.com/is/image/MCY/13386702 </v>
      </c>
    </row>
    <row r="438" spans="1:13" ht="60" x14ac:dyDescent="0.25">
      <c r="A438" s="7" t="s">
        <v>9737</v>
      </c>
      <c r="B438" s="2" t="s">
        <v>2190</v>
      </c>
      <c r="C438" s="4">
        <v>3</v>
      </c>
      <c r="D438" s="5">
        <v>2.94</v>
      </c>
      <c r="E438" s="5">
        <v>7.99</v>
      </c>
      <c r="F438" s="4" t="s">
        <v>2191</v>
      </c>
      <c r="G438" s="2" t="s">
        <v>41</v>
      </c>
      <c r="H438" s="7" t="s">
        <v>578</v>
      </c>
      <c r="I438" s="2" t="s">
        <v>483</v>
      </c>
      <c r="J438" s="2" t="s">
        <v>536</v>
      </c>
      <c r="K438" s="2" t="s">
        <v>304</v>
      </c>
      <c r="L438" s="2" t="s">
        <v>206</v>
      </c>
      <c r="M438" s="8" t="str">
        <f>HYPERLINK("http://slimages.macys.com/is/image/MCY/13385759 ")</f>
        <v xml:space="preserve">http://slimages.macys.com/is/image/MCY/13385759 </v>
      </c>
    </row>
    <row r="439" spans="1:13" ht="60" x14ac:dyDescent="0.25">
      <c r="A439" s="7" t="s">
        <v>4413</v>
      </c>
      <c r="B439" s="2" t="s">
        <v>2193</v>
      </c>
      <c r="C439" s="4">
        <v>2</v>
      </c>
      <c r="D439" s="5">
        <v>2.94</v>
      </c>
      <c r="E439" s="5">
        <v>7.99</v>
      </c>
      <c r="F439" s="4" t="s">
        <v>2194</v>
      </c>
      <c r="G439" s="2" t="s">
        <v>41</v>
      </c>
      <c r="H439" s="7" t="s">
        <v>1151</v>
      </c>
      <c r="I439" s="2" t="s">
        <v>483</v>
      </c>
      <c r="J439" s="2" t="s">
        <v>536</v>
      </c>
      <c r="K439" s="2" t="s">
        <v>304</v>
      </c>
      <c r="L439" s="2" t="s">
        <v>38</v>
      </c>
      <c r="M439" s="8" t="str">
        <f>HYPERLINK("http://slimages.macys.com/is/image/MCY/13987272 ")</f>
        <v xml:space="preserve">http://slimages.macys.com/is/image/MCY/13987272 </v>
      </c>
    </row>
    <row r="440" spans="1:13" ht="60" x14ac:dyDescent="0.25">
      <c r="A440" s="7" t="s">
        <v>2189</v>
      </c>
      <c r="B440" s="2" t="s">
        <v>2190</v>
      </c>
      <c r="C440" s="4">
        <v>1</v>
      </c>
      <c r="D440" s="5">
        <v>2.94</v>
      </c>
      <c r="E440" s="5">
        <v>7.99</v>
      </c>
      <c r="F440" s="4" t="s">
        <v>2191</v>
      </c>
      <c r="G440" s="2" t="s">
        <v>41</v>
      </c>
      <c r="H440" s="7" t="s">
        <v>1151</v>
      </c>
      <c r="I440" s="2" t="s">
        <v>483</v>
      </c>
      <c r="J440" s="2" t="s">
        <v>536</v>
      </c>
      <c r="K440" s="2" t="s">
        <v>304</v>
      </c>
      <c r="L440" s="2" t="s">
        <v>206</v>
      </c>
      <c r="M440" s="8" t="str">
        <f>HYPERLINK("http://slimages.macys.com/is/image/MCY/13385759 ")</f>
        <v xml:space="preserve">http://slimages.macys.com/is/image/MCY/13385759 </v>
      </c>
    </row>
    <row r="441" spans="1:13" ht="60" x14ac:dyDescent="0.25">
      <c r="A441" s="7" t="s">
        <v>4409</v>
      </c>
      <c r="B441" s="2" t="s">
        <v>2187</v>
      </c>
      <c r="C441" s="4">
        <v>1</v>
      </c>
      <c r="D441" s="5">
        <v>2.94</v>
      </c>
      <c r="E441" s="5">
        <v>7.99</v>
      </c>
      <c r="F441" s="4" t="s">
        <v>2188</v>
      </c>
      <c r="G441" s="2" t="s">
        <v>353</v>
      </c>
      <c r="H441" s="7" t="s">
        <v>578</v>
      </c>
      <c r="I441" s="2" t="s">
        <v>483</v>
      </c>
      <c r="J441" s="2" t="s">
        <v>536</v>
      </c>
      <c r="K441" s="2" t="s">
        <v>304</v>
      </c>
      <c r="L441" s="2" t="s">
        <v>206</v>
      </c>
      <c r="M441" s="8" t="str">
        <f>HYPERLINK("http://slimages.macys.com/is/image/MCY/13386702 ")</f>
        <v xml:space="preserve">http://slimages.macys.com/is/image/MCY/13386702 </v>
      </c>
    </row>
    <row r="442" spans="1:13" ht="60" x14ac:dyDescent="0.25">
      <c r="A442" s="7" t="s">
        <v>7120</v>
      </c>
      <c r="B442" s="2" t="s">
        <v>2193</v>
      </c>
      <c r="C442" s="4">
        <v>1</v>
      </c>
      <c r="D442" s="5">
        <v>2.94</v>
      </c>
      <c r="E442" s="5">
        <v>7.99</v>
      </c>
      <c r="F442" s="4" t="s">
        <v>2194</v>
      </c>
      <c r="G442" s="2" t="s">
        <v>41</v>
      </c>
      <c r="H442" s="7" t="s">
        <v>578</v>
      </c>
      <c r="I442" s="2" t="s">
        <v>483</v>
      </c>
      <c r="J442" s="2" t="s">
        <v>536</v>
      </c>
      <c r="K442" s="2" t="s">
        <v>304</v>
      </c>
      <c r="L442" s="2" t="s">
        <v>38</v>
      </c>
      <c r="M442" s="8" t="str">
        <f>HYPERLINK("http://slimages.macys.com/is/image/MCY/13987272 ")</f>
        <v xml:space="preserve">http://slimages.macys.com/is/image/MCY/13987272 </v>
      </c>
    </row>
    <row r="443" spans="1:13" ht="60" x14ac:dyDescent="0.25">
      <c r="A443" s="7" t="s">
        <v>4427</v>
      </c>
      <c r="B443" s="2" t="s">
        <v>4428</v>
      </c>
      <c r="C443" s="4">
        <v>2</v>
      </c>
      <c r="D443" s="5">
        <v>2.93</v>
      </c>
      <c r="E443" s="5">
        <v>8.99</v>
      </c>
      <c r="F443" s="4">
        <v>10006317700</v>
      </c>
      <c r="G443" s="2" t="s">
        <v>134</v>
      </c>
      <c r="H443" s="7"/>
      <c r="I443" s="2" t="s">
        <v>483</v>
      </c>
      <c r="J443" s="2" t="s">
        <v>536</v>
      </c>
      <c r="K443" s="2" t="s">
        <v>304</v>
      </c>
      <c r="L443" s="2" t="s">
        <v>38</v>
      </c>
      <c r="M443" s="8" t="str">
        <f>HYPERLINK("http://slimages.macys.com/is/image/MCY/13987487 ")</f>
        <v xml:space="preserve">http://slimages.macys.com/is/image/MCY/13987487 </v>
      </c>
    </row>
    <row r="444" spans="1:13" ht="60" x14ac:dyDescent="0.25">
      <c r="A444" s="7" t="s">
        <v>2198</v>
      </c>
      <c r="B444" s="2" t="s">
        <v>2196</v>
      </c>
      <c r="C444" s="4">
        <v>4</v>
      </c>
      <c r="D444" s="5">
        <v>2.92</v>
      </c>
      <c r="E444" s="5">
        <v>7.99</v>
      </c>
      <c r="F444" s="4" t="s">
        <v>2197</v>
      </c>
      <c r="G444" s="2" t="s">
        <v>86</v>
      </c>
      <c r="H444" s="7" t="s">
        <v>514</v>
      </c>
      <c r="I444" s="2" t="s">
        <v>483</v>
      </c>
      <c r="J444" s="2" t="s">
        <v>536</v>
      </c>
      <c r="K444" s="2" t="s">
        <v>304</v>
      </c>
      <c r="L444" s="2" t="s">
        <v>38</v>
      </c>
      <c r="M444" s="8" t="str">
        <f>HYPERLINK("http://slimages.macys.com/is/image/MCY/11855486 ")</f>
        <v xml:space="preserve">http://slimages.macys.com/is/image/MCY/11855486 </v>
      </c>
    </row>
    <row r="445" spans="1:13" ht="60" x14ac:dyDescent="0.25">
      <c r="A445" s="7" t="s">
        <v>2195</v>
      </c>
      <c r="B445" s="2" t="s">
        <v>2196</v>
      </c>
      <c r="C445" s="4">
        <v>2</v>
      </c>
      <c r="D445" s="5">
        <v>2.92</v>
      </c>
      <c r="E445" s="5">
        <v>7.99</v>
      </c>
      <c r="F445" s="4" t="s">
        <v>2197</v>
      </c>
      <c r="G445" s="2" t="s">
        <v>86</v>
      </c>
      <c r="H445" s="7" t="s">
        <v>1151</v>
      </c>
      <c r="I445" s="2" t="s">
        <v>483</v>
      </c>
      <c r="J445" s="2" t="s">
        <v>536</v>
      </c>
      <c r="K445" s="2" t="s">
        <v>304</v>
      </c>
      <c r="L445" s="2" t="s">
        <v>38</v>
      </c>
      <c r="M445" s="8" t="str">
        <f>HYPERLINK("http://slimages.macys.com/is/image/MCY/11855486 ")</f>
        <v xml:space="preserve">http://slimages.macys.com/is/image/MCY/11855486 </v>
      </c>
    </row>
    <row r="446" spans="1:13" ht="60" x14ac:dyDescent="0.25">
      <c r="A446" s="7" t="s">
        <v>9738</v>
      </c>
      <c r="B446" s="2" t="s">
        <v>4434</v>
      </c>
      <c r="C446" s="4">
        <v>1</v>
      </c>
      <c r="D446" s="5">
        <v>2.88</v>
      </c>
      <c r="E446" s="5">
        <v>7.99</v>
      </c>
      <c r="F446" s="4" t="s">
        <v>4435</v>
      </c>
      <c r="G446" s="2" t="s">
        <v>103</v>
      </c>
      <c r="H446" s="7" t="s">
        <v>1151</v>
      </c>
      <c r="I446" s="2" t="s">
        <v>483</v>
      </c>
      <c r="J446" s="2" t="s">
        <v>536</v>
      </c>
      <c r="K446" s="2" t="s">
        <v>304</v>
      </c>
      <c r="L446" s="2" t="s">
        <v>87</v>
      </c>
      <c r="M446" s="8" t="str">
        <f>HYPERLINK("http://slimages.macys.com/is/image/MCY/11524164 ")</f>
        <v xml:space="preserve">http://slimages.macys.com/is/image/MCY/11524164 </v>
      </c>
    </row>
    <row r="447" spans="1:13" ht="120" x14ac:dyDescent="0.25">
      <c r="A447" s="7" t="s">
        <v>2200</v>
      </c>
      <c r="B447" s="2" t="s">
        <v>598</v>
      </c>
      <c r="C447" s="4">
        <v>2</v>
      </c>
      <c r="D447" s="5">
        <v>2.84</v>
      </c>
      <c r="E447" s="5">
        <v>7.99</v>
      </c>
      <c r="F447" s="4" t="s">
        <v>599</v>
      </c>
      <c r="G447" s="2" t="s">
        <v>62</v>
      </c>
      <c r="H447" s="7" t="s">
        <v>149</v>
      </c>
      <c r="I447" s="2" t="s">
        <v>483</v>
      </c>
      <c r="J447" s="2" t="s">
        <v>536</v>
      </c>
      <c r="K447" s="2" t="s">
        <v>304</v>
      </c>
      <c r="L447" s="2" t="s">
        <v>600</v>
      </c>
      <c r="M447" s="8" t="str">
        <f>HYPERLINK("http://slimages.macys.com/is/image/MCY/14384837 ")</f>
        <v xml:space="preserve">http://slimages.macys.com/is/image/MCY/14384837 </v>
      </c>
    </row>
    <row r="448" spans="1:13" ht="120" x14ac:dyDescent="0.25">
      <c r="A448" s="7" t="s">
        <v>597</v>
      </c>
      <c r="B448" s="2" t="s">
        <v>598</v>
      </c>
      <c r="C448" s="4">
        <v>1</v>
      </c>
      <c r="D448" s="5">
        <v>2.84</v>
      </c>
      <c r="E448" s="5">
        <v>7.99</v>
      </c>
      <c r="F448" s="4" t="s">
        <v>599</v>
      </c>
      <c r="G448" s="2" t="s">
        <v>62</v>
      </c>
      <c r="H448" s="7"/>
      <c r="I448" s="2" t="s">
        <v>483</v>
      </c>
      <c r="J448" s="2" t="s">
        <v>536</v>
      </c>
      <c r="K448" s="2" t="s">
        <v>304</v>
      </c>
      <c r="L448" s="2" t="s">
        <v>600</v>
      </c>
      <c r="M448" s="8" t="str">
        <f>HYPERLINK("http://slimages.macys.com/is/image/MCY/14384837 ")</f>
        <v xml:space="preserve">http://slimages.macys.com/is/image/MCY/14384837 </v>
      </c>
    </row>
    <row r="449" spans="1:13" ht="60" x14ac:dyDescent="0.25">
      <c r="A449" s="7" t="s">
        <v>6024</v>
      </c>
      <c r="B449" s="2" t="s">
        <v>1213</v>
      </c>
      <c r="C449" s="4">
        <v>1</v>
      </c>
      <c r="D449" s="5">
        <v>2.82</v>
      </c>
      <c r="E449" s="5">
        <v>7.99</v>
      </c>
      <c r="F449" s="4" t="s">
        <v>1214</v>
      </c>
      <c r="G449" s="2" t="s">
        <v>657</v>
      </c>
      <c r="H449" s="7" t="s">
        <v>514</v>
      </c>
      <c r="I449" s="2" t="s">
        <v>483</v>
      </c>
      <c r="J449" s="2" t="s">
        <v>536</v>
      </c>
      <c r="K449" s="2" t="s">
        <v>304</v>
      </c>
      <c r="L449" s="2" t="s">
        <v>119</v>
      </c>
      <c r="M449" s="8" t="str">
        <f>HYPERLINK("http://slimages.macys.com/is/image/MCY/13987252 ")</f>
        <v xml:space="preserve">http://slimages.macys.com/is/image/MCY/13987252 </v>
      </c>
    </row>
    <row r="450" spans="1:13" ht="60" x14ac:dyDescent="0.25">
      <c r="A450" s="7" t="s">
        <v>605</v>
      </c>
      <c r="B450" s="2" t="s">
        <v>602</v>
      </c>
      <c r="C450" s="4">
        <v>1</v>
      </c>
      <c r="D450" s="5">
        <v>2.77</v>
      </c>
      <c r="E450" s="5">
        <v>7.99</v>
      </c>
      <c r="F450" s="4" t="s">
        <v>603</v>
      </c>
      <c r="G450" s="2" t="s">
        <v>297</v>
      </c>
      <c r="H450" s="7"/>
      <c r="I450" s="2" t="s">
        <v>483</v>
      </c>
      <c r="J450" s="2" t="s">
        <v>536</v>
      </c>
      <c r="K450" s="2" t="s">
        <v>304</v>
      </c>
      <c r="L450" s="2" t="s">
        <v>119</v>
      </c>
      <c r="M450" s="8" t="str">
        <f>HYPERLINK("http://slimages.macys.com/is/image/MCY/11520409 ")</f>
        <v xml:space="preserve">http://slimages.macys.com/is/image/MCY/11520409 </v>
      </c>
    </row>
    <row r="451" spans="1:13" ht="60" x14ac:dyDescent="0.25">
      <c r="A451" s="7" t="s">
        <v>5679</v>
      </c>
      <c r="B451" s="2" t="s">
        <v>1217</v>
      </c>
      <c r="C451" s="4">
        <v>2</v>
      </c>
      <c r="D451" s="5">
        <v>2.77</v>
      </c>
      <c r="E451" s="5">
        <v>7.99</v>
      </c>
      <c r="F451" s="4">
        <v>10005049100</v>
      </c>
      <c r="G451" s="2" t="s">
        <v>527</v>
      </c>
      <c r="H451" s="7"/>
      <c r="I451" s="2" t="s">
        <v>483</v>
      </c>
      <c r="J451" s="2" t="s">
        <v>536</v>
      </c>
      <c r="K451" s="2" t="s">
        <v>304</v>
      </c>
      <c r="L451" s="2" t="s">
        <v>119</v>
      </c>
      <c r="M451" s="8" t="str">
        <f>HYPERLINK("http://slimages.macys.com/is/image/MCY/11520375 ")</f>
        <v xml:space="preserve">http://slimages.macys.com/is/image/MCY/11520375 </v>
      </c>
    </row>
    <row r="452" spans="1:13" ht="60" x14ac:dyDescent="0.25">
      <c r="A452" s="7" t="s">
        <v>601</v>
      </c>
      <c r="B452" s="2" t="s">
        <v>602</v>
      </c>
      <c r="C452" s="4">
        <v>1</v>
      </c>
      <c r="D452" s="5">
        <v>2.77</v>
      </c>
      <c r="E452" s="5">
        <v>7.99</v>
      </c>
      <c r="F452" s="4" t="s">
        <v>603</v>
      </c>
      <c r="G452" s="2" t="s">
        <v>297</v>
      </c>
      <c r="H452" s="7" t="s">
        <v>604</v>
      </c>
      <c r="I452" s="2" t="s">
        <v>483</v>
      </c>
      <c r="J452" s="2" t="s">
        <v>536</v>
      </c>
      <c r="K452" s="2" t="s">
        <v>304</v>
      </c>
      <c r="L452" s="2" t="s">
        <v>119</v>
      </c>
      <c r="M452" s="8" t="str">
        <f>HYPERLINK("http://slimages.macys.com/is/image/MCY/11520409 ")</f>
        <v xml:space="preserve">http://slimages.macys.com/is/image/MCY/11520409 </v>
      </c>
    </row>
    <row r="453" spans="1:13" ht="60" x14ac:dyDescent="0.25">
      <c r="A453" s="7" t="s">
        <v>1216</v>
      </c>
      <c r="B453" s="2" t="s">
        <v>1217</v>
      </c>
      <c r="C453" s="4">
        <v>2</v>
      </c>
      <c r="D453" s="5">
        <v>2.77</v>
      </c>
      <c r="E453" s="5">
        <v>7.99</v>
      </c>
      <c r="F453" s="4">
        <v>10005049100</v>
      </c>
      <c r="G453" s="2" t="s">
        <v>527</v>
      </c>
      <c r="H453" s="7" t="s">
        <v>604</v>
      </c>
      <c r="I453" s="2" t="s">
        <v>483</v>
      </c>
      <c r="J453" s="2" t="s">
        <v>536</v>
      </c>
      <c r="K453" s="2" t="s">
        <v>304</v>
      </c>
      <c r="L453" s="2" t="s">
        <v>119</v>
      </c>
      <c r="M453" s="8" t="str">
        <f>HYPERLINK("http://slimages.macys.com/is/image/MCY/11520375 ")</f>
        <v xml:space="preserve">http://slimages.macys.com/is/image/MCY/11520375 </v>
      </c>
    </row>
    <row r="454" spans="1:13" ht="60" x14ac:dyDescent="0.25">
      <c r="A454" s="7" t="s">
        <v>2208</v>
      </c>
      <c r="B454" s="2" t="s">
        <v>2209</v>
      </c>
      <c r="C454" s="4">
        <v>2</v>
      </c>
      <c r="D454" s="5">
        <v>2.77</v>
      </c>
      <c r="E454" s="5">
        <v>7.99</v>
      </c>
      <c r="F454" s="4">
        <v>10004191600</v>
      </c>
      <c r="G454" s="2" t="s">
        <v>1360</v>
      </c>
      <c r="H454" s="7" t="s">
        <v>586</v>
      </c>
      <c r="I454" s="2" t="s">
        <v>483</v>
      </c>
      <c r="J454" s="2" t="s">
        <v>536</v>
      </c>
      <c r="K454" s="2" t="s">
        <v>304</v>
      </c>
      <c r="L454" s="2" t="s">
        <v>119</v>
      </c>
      <c r="M454" s="8" t="str">
        <f>HYPERLINK("http://slimages.macys.com/is/image/MCY/11547113 ")</f>
        <v xml:space="preserve">http://slimages.macys.com/is/image/MCY/11547113 </v>
      </c>
    </row>
    <row r="455" spans="1:13" ht="60" x14ac:dyDescent="0.25">
      <c r="A455" s="7" t="s">
        <v>9739</v>
      </c>
      <c r="B455" s="2" t="s">
        <v>4449</v>
      </c>
      <c r="C455" s="4">
        <v>2</v>
      </c>
      <c r="D455" s="5">
        <v>2.77</v>
      </c>
      <c r="E455" s="5">
        <v>7.99</v>
      </c>
      <c r="F455" s="4" t="s">
        <v>4450</v>
      </c>
      <c r="G455" s="2" t="s">
        <v>62</v>
      </c>
      <c r="H455" s="7" t="s">
        <v>514</v>
      </c>
      <c r="I455" s="2" t="s">
        <v>483</v>
      </c>
      <c r="J455" s="2" t="s">
        <v>536</v>
      </c>
      <c r="K455" s="2" t="s">
        <v>304</v>
      </c>
      <c r="L455" s="2" t="s">
        <v>38</v>
      </c>
      <c r="M455" s="8" t="str">
        <f>HYPERLINK("http://slimages.macys.com/is/image/MCY/13337362 ")</f>
        <v xml:space="preserve">http://slimages.macys.com/is/image/MCY/13337362 </v>
      </c>
    </row>
    <row r="456" spans="1:13" ht="60" x14ac:dyDescent="0.25">
      <c r="A456" s="7" t="s">
        <v>4448</v>
      </c>
      <c r="B456" s="2" t="s">
        <v>4449</v>
      </c>
      <c r="C456" s="4">
        <v>1</v>
      </c>
      <c r="D456" s="5">
        <v>2.77</v>
      </c>
      <c r="E456" s="5">
        <v>7.99</v>
      </c>
      <c r="F456" s="4" t="s">
        <v>4450</v>
      </c>
      <c r="G456" s="2" t="s">
        <v>62</v>
      </c>
      <c r="H456" s="7" t="s">
        <v>578</v>
      </c>
      <c r="I456" s="2" t="s">
        <v>483</v>
      </c>
      <c r="J456" s="2" t="s">
        <v>536</v>
      </c>
      <c r="K456" s="2" t="s">
        <v>304</v>
      </c>
      <c r="L456" s="2" t="s">
        <v>38</v>
      </c>
      <c r="M456" s="8" t="str">
        <f>HYPERLINK("http://slimages.macys.com/is/image/MCY/13337362 ")</f>
        <v xml:space="preserve">http://slimages.macys.com/is/image/MCY/13337362 </v>
      </c>
    </row>
    <row r="457" spans="1:13" ht="60" x14ac:dyDescent="0.25">
      <c r="A457" s="7" t="s">
        <v>8421</v>
      </c>
      <c r="B457" s="2" t="s">
        <v>1217</v>
      </c>
      <c r="C457" s="4">
        <v>1</v>
      </c>
      <c r="D457" s="5">
        <v>2.77</v>
      </c>
      <c r="E457" s="5">
        <v>7.99</v>
      </c>
      <c r="F457" s="4">
        <v>10005049100</v>
      </c>
      <c r="G457" s="2" t="s">
        <v>527</v>
      </c>
      <c r="H457" s="7" t="s">
        <v>586</v>
      </c>
      <c r="I457" s="2" t="s">
        <v>483</v>
      </c>
      <c r="J457" s="2" t="s">
        <v>536</v>
      </c>
      <c r="K457" s="2" t="s">
        <v>304</v>
      </c>
      <c r="L457" s="2" t="s">
        <v>119</v>
      </c>
      <c r="M457" s="8" t="str">
        <f>HYPERLINK("http://slimages.macys.com/is/image/MCY/11520375 ")</f>
        <v xml:space="preserve">http://slimages.macys.com/is/image/MCY/11520375 </v>
      </c>
    </row>
    <row r="458" spans="1:13" ht="60" x14ac:dyDescent="0.25">
      <c r="A458" s="7" t="s">
        <v>2212</v>
      </c>
      <c r="B458" s="2" t="s">
        <v>2209</v>
      </c>
      <c r="C458" s="4">
        <v>2</v>
      </c>
      <c r="D458" s="5">
        <v>2.77</v>
      </c>
      <c r="E458" s="5">
        <v>7.99</v>
      </c>
      <c r="F458" s="4">
        <v>10004191600</v>
      </c>
      <c r="G458" s="2" t="s">
        <v>1360</v>
      </c>
      <c r="H458" s="7"/>
      <c r="I458" s="2" t="s">
        <v>483</v>
      </c>
      <c r="J458" s="2" t="s">
        <v>536</v>
      </c>
      <c r="K458" s="2" t="s">
        <v>304</v>
      </c>
      <c r="L458" s="2" t="s">
        <v>119</v>
      </c>
      <c r="M458" s="8" t="str">
        <f>HYPERLINK("http://slimages.macys.com/is/image/MCY/11547113 ")</f>
        <v xml:space="preserve">http://slimages.macys.com/is/image/MCY/11547113 </v>
      </c>
    </row>
    <row r="459" spans="1:13" ht="60" x14ac:dyDescent="0.25">
      <c r="A459" s="7" t="s">
        <v>4451</v>
      </c>
      <c r="B459" s="2" t="s">
        <v>4449</v>
      </c>
      <c r="C459" s="4">
        <v>1</v>
      </c>
      <c r="D459" s="5">
        <v>2.77</v>
      </c>
      <c r="E459" s="5">
        <v>7.99</v>
      </c>
      <c r="F459" s="4" t="s">
        <v>4450</v>
      </c>
      <c r="G459" s="2" t="s">
        <v>62</v>
      </c>
      <c r="H459" s="7" t="s">
        <v>1151</v>
      </c>
      <c r="I459" s="2" t="s">
        <v>483</v>
      </c>
      <c r="J459" s="2" t="s">
        <v>536</v>
      </c>
      <c r="K459" s="2" t="s">
        <v>304</v>
      </c>
      <c r="L459" s="2" t="s">
        <v>38</v>
      </c>
      <c r="M459" s="8" t="str">
        <f>HYPERLINK("http://slimages.macys.com/is/image/MCY/13337362 ")</f>
        <v xml:space="preserve">http://slimages.macys.com/is/image/MCY/13337362 </v>
      </c>
    </row>
    <row r="460" spans="1:13" ht="60" x14ac:dyDescent="0.25">
      <c r="A460" s="7" t="s">
        <v>2211</v>
      </c>
      <c r="B460" s="2" t="s">
        <v>2209</v>
      </c>
      <c r="C460" s="4">
        <v>1</v>
      </c>
      <c r="D460" s="5">
        <v>2.77</v>
      </c>
      <c r="E460" s="5">
        <v>7.99</v>
      </c>
      <c r="F460" s="4">
        <v>10004191600</v>
      </c>
      <c r="G460" s="2" t="s">
        <v>1360</v>
      </c>
      <c r="H460" s="7" t="s">
        <v>604</v>
      </c>
      <c r="I460" s="2" t="s">
        <v>483</v>
      </c>
      <c r="J460" s="2" t="s">
        <v>536</v>
      </c>
      <c r="K460" s="2" t="s">
        <v>304</v>
      </c>
      <c r="L460" s="2" t="s">
        <v>119</v>
      </c>
      <c r="M460" s="8" t="str">
        <f>HYPERLINK("http://slimages.macys.com/is/image/MCY/11547113 ")</f>
        <v xml:space="preserve">http://slimages.macys.com/is/image/MCY/11547113 </v>
      </c>
    </row>
    <row r="461" spans="1:13" ht="60" x14ac:dyDescent="0.25">
      <c r="A461" s="7" t="s">
        <v>8422</v>
      </c>
      <c r="B461" s="2" t="s">
        <v>6481</v>
      </c>
      <c r="C461" s="4">
        <v>1</v>
      </c>
      <c r="D461" s="5">
        <v>2.75</v>
      </c>
      <c r="E461" s="5">
        <v>6.99</v>
      </c>
      <c r="F461" s="4" t="s">
        <v>6482</v>
      </c>
      <c r="G461" s="2" t="s">
        <v>41</v>
      </c>
      <c r="H461" s="7" t="s">
        <v>42</v>
      </c>
      <c r="I461" s="2" t="s">
        <v>483</v>
      </c>
      <c r="J461" s="2" t="s">
        <v>536</v>
      </c>
      <c r="K461" s="2" t="s">
        <v>304</v>
      </c>
      <c r="L461" s="2" t="s">
        <v>38</v>
      </c>
      <c r="M461" s="8" t="str">
        <f>HYPERLINK("http://slimages.macys.com/is/image/MCY/13987340 ")</f>
        <v xml:space="preserve">http://slimages.macys.com/is/image/MCY/13987340 </v>
      </c>
    </row>
    <row r="462" spans="1:13" ht="60" x14ac:dyDescent="0.25">
      <c r="A462" s="7" t="s">
        <v>6483</v>
      </c>
      <c r="B462" s="2" t="s">
        <v>6481</v>
      </c>
      <c r="C462" s="4">
        <v>1</v>
      </c>
      <c r="D462" s="5">
        <v>2.75</v>
      </c>
      <c r="E462" s="5">
        <v>6.99</v>
      </c>
      <c r="F462" s="4" t="s">
        <v>6482</v>
      </c>
      <c r="G462" s="2" t="s">
        <v>41</v>
      </c>
      <c r="H462" s="7" t="s">
        <v>91</v>
      </c>
      <c r="I462" s="2" t="s">
        <v>483</v>
      </c>
      <c r="J462" s="2" t="s">
        <v>536</v>
      </c>
      <c r="K462" s="2" t="s">
        <v>304</v>
      </c>
      <c r="L462" s="2" t="s">
        <v>38</v>
      </c>
      <c r="M462" s="8" t="str">
        <f>HYPERLINK("http://slimages.macys.com/is/image/MCY/13987340 ")</f>
        <v xml:space="preserve">http://slimages.macys.com/is/image/MCY/13987340 </v>
      </c>
    </row>
    <row r="463" spans="1:13" ht="60" x14ac:dyDescent="0.25">
      <c r="A463" s="7" t="s">
        <v>6484</v>
      </c>
      <c r="B463" s="2" t="s">
        <v>1219</v>
      </c>
      <c r="C463" s="4">
        <v>1</v>
      </c>
      <c r="D463" s="5">
        <v>2.75</v>
      </c>
      <c r="E463" s="5">
        <v>6.99</v>
      </c>
      <c r="F463" s="4" t="s">
        <v>1220</v>
      </c>
      <c r="G463" s="2" t="s">
        <v>527</v>
      </c>
      <c r="H463" s="7" t="s">
        <v>149</v>
      </c>
      <c r="I463" s="2" t="s">
        <v>483</v>
      </c>
      <c r="J463" s="2" t="s">
        <v>536</v>
      </c>
      <c r="K463" s="2" t="s">
        <v>304</v>
      </c>
      <c r="L463" s="2" t="s">
        <v>119</v>
      </c>
      <c r="M463" s="8" t="str">
        <f>HYPERLINK("http://slimages.macys.com/is/image/MCY/13987326 ")</f>
        <v xml:space="preserve">http://slimages.macys.com/is/image/MCY/13987326 </v>
      </c>
    </row>
    <row r="464" spans="1:13" ht="60" x14ac:dyDescent="0.25">
      <c r="A464" s="7" t="s">
        <v>2214</v>
      </c>
      <c r="B464" s="2" t="s">
        <v>2215</v>
      </c>
      <c r="C464" s="4">
        <v>1</v>
      </c>
      <c r="D464" s="5">
        <v>2.75</v>
      </c>
      <c r="E464" s="5">
        <v>7.99</v>
      </c>
      <c r="F464" s="4" t="s">
        <v>2216</v>
      </c>
      <c r="G464" s="2" t="s">
        <v>1360</v>
      </c>
      <c r="H464" s="7" t="s">
        <v>514</v>
      </c>
      <c r="I464" s="2" t="s">
        <v>483</v>
      </c>
      <c r="J464" s="2" t="s">
        <v>536</v>
      </c>
      <c r="K464" s="2" t="s">
        <v>304</v>
      </c>
      <c r="L464" s="2" t="s">
        <v>38</v>
      </c>
      <c r="M464" s="8" t="str">
        <f>HYPERLINK("http://slimages.macys.com/is/image/MCY/13987605 ")</f>
        <v xml:space="preserve">http://slimages.macys.com/is/image/MCY/13987605 </v>
      </c>
    </row>
    <row r="465" spans="1:13" ht="96" x14ac:dyDescent="0.25">
      <c r="A465" s="7" t="s">
        <v>9740</v>
      </c>
      <c r="B465" s="2" t="s">
        <v>1222</v>
      </c>
      <c r="C465" s="4">
        <v>1</v>
      </c>
      <c r="D465" s="5">
        <v>2.74</v>
      </c>
      <c r="E465" s="5">
        <v>7.99</v>
      </c>
      <c r="F465" s="4" t="s">
        <v>1223</v>
      </c>
      <c r="G465" s="2" t="s">
        <v>41</v>
      </c>
      <c r="H465" s="7" t="s">
        <v>578</v>
      </c>
      <c r="I465" s="2" t="s">
        <v>483</v>
      </c>
      <c r="J465" s="2" t="s">
        <v>536</v>
      </c>
      <c r="K465" s="2" t="s">
        <v>304</v>
      </c>
      <c r="L465" s="2" t="s">
        <v>1224</v>
      </c>
      <c r="M465" s="8" t="str">
        <f>HYPERLINK("http://slimages.macys.com/is/image/MCY/13386590 ")</f>
        <v xml:space="preserve">http://slimages.macys.com/is/image/MCY/13386590 </v>
      </c>
    </row>
    <row r="466" spans="1:13" ht="60" x14ac:dyDescent="0.25">
      <c r="A466" s="7" t="s">
        <v>9741</v>
      </c>
      <c r="B466" s="2" t="s">
        <v>7143</v>
      </c>
      <c r="C466" s="4">
        <v>1</v>
      </c>
      <c r="D466" s="5">
        <v>2.74</v>
      </c>
      <c r="E466" s="5">
        <v>7.99</v>
      </c>
      <c r="F466" s="4" t="s">
        <v>7144</v>
      </c>
      <c r="G466" s="2" t="s">
        <v>643</v>
      </c>
      <c r="H466" s="7" t="s">
        <v>1151</v>
      </c>
      <c r="I466" s="2" t="s">
        <v>483</v>
      </c>
      <c r="J466" s="2" t="s">
        <v>536</v>
      </c>
      <c r="K466" s="2" t="s">
        <v>304</v>
      </c>
      <c r="L466" s="2" t="s">
        <v>206</v>
      </c>
      <c r="M466" s="8" t="str">
        <f>HYPERLINK("http://slimages.macys.com/is/image/MCY/13337390 ")</f>
        <v xml:space="preserve">http://slimages.macys.com/is/image/MCY/13337390 </v>
      </c>
    </row>
    <row r="467" spans="1:13" ht="60" x14ac:dyDescent="0.25">
      <c r="A467" s="7" t="s">
        <v>6488</v>
      </c>
      <c r="B467" s="2" t="s">
        <v>2223</v>
      </c>
      <c r="C467" s="4">
        <v>1</v>
      </c>
      <c r="D467" s="5">
        <v>2.69</v>
      </c>
      <c r="E467" s="5">
        <v>5.99</v>
      </c>
      <c r="F467" s="4" t="s">
        <v>2224</v>
      </c>
      <c r="G467" s="2" t="s">
        <v>28</v>
      </c>
      <c r="H467" s="7" t="s">
        <v>91</v>
      </c>
      <c r="I467" s="2" t="s">
        <v>483</v>
      </c>
      <c r="J467" s="2" t="s">
        <v>536</v>
      </c>
      <c r="K467" s="2" t="s">
        <v>304</v>
      </c>
      <c r="L467" s="2" t="s">
        <v>206</v>
      </c>
      <c r="M467" s="8" t="str">
        <f t="shared" ref="M467:M472" si="4">HYPERLINK("http://slimages.macys.com/is/image/MCY/11436881 ")</f>
        <v xml:space="preserve">http://slimages.macys.com/is/image/MCY/11436881 </v>
      </c>
    </row>
    <row r="468" spans="1:13" ht="60" x14ac:dyDescent="0.25">
      <c r="A468" s="7" t="s">
        <v>6027</v>
      </c>
      <c r="B468" s="2" t="s">
        <v>2223</v>
      </c>
      <c r="C468" s="4">
        <v>1</v>
      </c>
      <c r="D468" s="5">
        <v>2.69</v>
      </c>
      <c r="E468" s="5">
        <v>5.99</v>
      </c>
      <c r="F468" s="4" t="s">
        <v>2224</v>
      </c>
      <c r="G468" s="2" t="s">
        <v>238</v>
      </c>
      <c r="H468" s="7" t="s">
        <v>91</v>
      </c>
      <c r="I468" s="2" t="s">
        <v>483</v>
      </c>
      <c r="J468" s="2" t="s">
        <v>536</v>
      </c>
      <c r="K468" s="2" t="s">
        <v>304</v>
      </c>
      <c r="L468" s="2" t="s">
        <v>206</v>
      </c>
      <c r="M468" s="8" t="str">
        <f t="shared" si="4"/>
        <v xml:space="preserve">http://slimages.macys.com/is/image/MCY/11436881 </v>
      </c>
    </row>
    <row r="469" spans="1:13" ht="60" x14ac:dyDescent="0.25">
      <c r="A469" s="7" t="s">
        <v>2222</v>
      </c>
      <c r="B469" s="2" t="s">
        <v>2223</v>
      </c>
      <c r="C469" s="4">
        <v>3</v>
      </c>
      <c r="D469" s="5">
        <v>2.69</v>
      </c>
      <c r="E469" s="5">
        <v>5.99</v>
      </c>
      <c r="F469" s="4" t="s">
        <v>2224</v>
      </c>
      <c r="G469" s="2" t="s">
        <v>62</v>
      </c>
      <c r="H469" s="7" t="s">
        <v>91</v>
      </c>
      <c r="I469" s="2" t="s">
        <v>483</v>
      </c>
      <c r="J469" s="2" t="s">
        <v>536</v>
      </c>
      <c r="K469" s="2" t="s">
        <v>304</v>
      </c>
      <c r="L469" s="2" t="s">
        <v>206</v>
      </c>
      <c r="M469" s="8" t="str">
        <f t="shared" si="4"/>
        <v xml:space="preserve">http://slimages.macys.com/is/image/MCY/11436881 </v>
      </c>
    </row>
    <row r="470" spans="1:13" ht="60" x14ac:dyDescent="0.25">
      <c r="A470" s="7" t="s">
        <v>6489</v>
      </c>
      <c r="B470" s="2" t="s">
        <v>2223</v>
      </c>
      <c r="C470" s="4">
        <v>1</v>
      </c>
      <c r="D470" s="5">
        <v>2.69</v>
      </c>
      <c r="E470" s="5">
        <v>5.99</v>
      </c>
      <c r="F470" s="4" t="s">
        <v>2224</v>
      </c>
      <c r="G470" s="2" t="s">
        <v>62</v>
      </c>
      <c r="H470" s="7" t="s">
        <v>442</v>
      </c>
      <c r="I470" s="2" t="s">
        <v>483</v>
      </c>
      <c r="J470" s="2" t="s">
        <v>536</v>
      </c>
      <c r="K470" s="2" t="s">
        <v>304</v>
      </c>
      <c r="L470" s="2" t="s">
        <v>206</v>
      </c>
      <c r="M470" s="8" t="str">
        <f t="shared" si="4"/>
        <v xml:space="preserve">http://slimages.macys.com/is/image/MCY/11436881 </v>
      </c>
    </row>
    <row r="471" spans="1:13" ht="60" x14ac:dyDescent="0.25">
      <c r="A471" s="7" t="s">
        <v>6026</v>
      </c>
      <c r="B471" s="2" t="s">
        <v>2223</v>
      </c>
      <c r="C471" s="4">
        <v>1</v>
      </c>
      <c r="D471" s="5">
        <v>2.69</v>
      </c>
      <c r="E471" s="5">
        <v>5.99</v>
      </c>
      <c r="F471" s="4" t="s">
        <v>2224</v>
      </c>
      <c r="G471" s="2" t="s">
        <v>238</v>
      </c>
      <c r="H471" s="7" t="s">
        <v>442</v>
      </c>
      <c r="I471" s="2" t="s">
        <v>483</v>
      </c>
      <c r="J471" s="2" t="s">
        <v>536</v>
      </c>
      <c r="K471" s="2" t="s">
        <v>304</v>
      </c>
      <c r="L471" s="2" t="s">
        <v>206</v>
      </c>
      <c r="M471" s="8" t="str">
        <f t="shared" si="4"/>
        <v xml:space="preserve">http://slimages.macys.com/is/image/MCY/11436881 </v>
      </c>
    </row>
    <row r="472" spans="1:13" ht="60" x14ac:dyDescent="0.25">
      <c r="A472" s="7" t="s">
        <v>6486</v>
      </c>
      <c r="B472" s="2" t="s">
        <v>2223</v>
      </c>
      <c r="C472" s="4">
        <v>1</v>
      </c>
      <c r="D472" s="5">
        <v>2.69</v>
      </c>
      <c r="E472" s="5">
        <v>5.99</v>
      </c>
      <c r="F472" s="4" t="s">
        <v>2224</v>
      </c>
      <c r="G472" s="2" t="s">
        <v>28</v>
      </c>
      <c r="H472" s="7" t="s">
        <v>442</v>
      </c>
      <c r="I472" s="2" t="s">
        <v>483</v>
      </c>
      <c r="J472" s="2" t="s">
        <v>536</v>
      </c>
      <c r="K472" s="2" t="s">
        <v>304</v>
      </c>
      <c r="L472" s="2" t="s">
        <v>206</v>
      </c>
      <c r="M472" s="8" t="str">
        <f t="shared" si="4"/>
        <v xml:space="preserve">http://slimages.macys.com/is/image/MCY/11436881 </v>
      </c>
    </row>
    <row r="473" spans="1:13" ht="84" x14ac:dyDescent="0.25">
      <c r="A473" s="7" t="s">
        <v>2237</v>
      </c>
      <c r="B473" s="2" t="s">
        <v>2228</v>
      </c>
      <c r="C473" s="4">
        <v>3</v>
      </c>
      <c r="D473" s="5">
        <v>2.67</v>
      </c>
      <c r="E473" s="5">
        <v>7.99</v>
      </c>
      <c r="F473" s="4" t="s">
        <v>2229</v>
      </c>
      <c r="G473" s="2" t="s">
        <v>527</v>
      </c>
      <c r="H473" s="7"/>
      <c r="I473" s="2" t="s">
        <v>483</v>
      </c>
      <c r="J473" s="2" t="s">
        <v>536</v>
      </c>
      <c r="K473" s="2" t="s">
        <v>304</v>
      </c>
      <c r="L473" s="2" t="s">
        <v>2230</v>
      </c>
      <c r="M473" s="8" t="str">
        <f>HYPERLINK("http://slimages.macys.com/is/image/MCY/14385110 ")</f>
        <v xml:space="preserve">http://slimages.macys.com/is/image/MCY/14385110 </v>
      </c>
    </row>
    <row r="474" spans="1:13" ht="84" x14ac:dyDescent="0.25">
      <c r="A474" s="7" t="s">
        <v>2227</v>
      </c>
      <c r="B474" s="2" t="s">
        <v>2228</v>
      </c>
      <c r="C474" s="4">
        <v>5</v>
      </c>
      <c r="D474" s="5">
        <v>2.67</v>
      </c>
      <c r="E474" s="5">
        <v>7.99</v>
      </c>
      <c r="F474" s="4" t="s">
        <v>2229</v>
      </c>
      <c r="G474" s="2" t="s">
        <v>527</v>
      </c>
      <c r="H474" s="7" t="s">
        <v>149</v>
      </c>
      <c r="I474" s="2" t="s">
        <v>483</v>
      </c>
      <c r="J474" s="2" t="s">
        <v>536</v>
      </c>
      <c r="K474" s="2" t="s">
        <v>304</v>
      </c>
      <c r="L474" s="2" t="s">
        <v>2230</v>
      </c>
      <c r="M474" s="8" t="str">
        <f>HYPERLINK("http://slimages.macys.com/is/image/MCY/14385110 ")</f>
        <v xml:space="preserve">http://slimages.macys.com/is/image/MCY/14385110 </v>
      </c>
    </row>
    <row r="475" spans="1:13" ht="60" x14ac:dyDescent="0.25">
      <c r="A475" s="7" t="s">
        <v>5683</v>
      </c>
      <c r="B475" s="2" t="s">
        <v>4479</v>
      </c>
      <c r="C475" s="4">
        <v>1</v>
      </c>
      <c r="D475" s="5">
        <v>2.67</v>
      </c>
      <c r="E475" s="5">
        <v>6.99</v>
      </c>
      <c r="F475" s="4" t="s">
        <v>4480</v>
      </c>
      <c r="G475" s="2" t="s">
        <v>195</v>
      </c>
      <c r="H475" s="7" t="s">
        <v>149</v>
      </c>
      <c r="I475" s="2" t="s">
        <v>483</v>
      </c>
      <c r="J475" s="2" t="s">
        <v>536</v>
      </c>
      <c r="K475" s="2" t="s">
        <v>304</v>
      </c>
      <c r="L475" s="2" t="s">
        <v>38</v>
      </c>
      <c r="M475" s="8" t="str">
        <f>HYPERLINK("http://slimages.macys.com/is/image/MCY/12465793 ")</f>
        <v xml:space="preserve">http://slimages.macys.com/is/image/MCY/12465793 </v>
      </c>
    </row>
    <row r="476" spans="1:13" ht="84" x14ac:dyDescent="0.25">
      <c r="A476" s="7" t="s">
        <v>5685</v>
      </c>
      <c r="B476" s="2" t="s">
        <v>2228</v>
      </c>
      <c r="C476" s="4">
        <v>3</v>
      </c>
      <c r="D476" s="5">
        <v>2.67</v>
      </c>
      <c r="E476" s="5">
        <v>7.99</v>
      </c>
      <c r="F476" s="4" t="s">
        <v>2229</v>
      </c>
      <c r="G476" s="2" t="s">
        <v>527</v>
      </c>
      <c r="H476" s="7" t="s">
        <v>442</v>
      </c>
      <c r="I476" s="2" t="s">
        <v>483</v>
      </c>
      <c r="J476" s="2" t="s">
        <v>536</v>
      </c>
      <c r="K476" s="2" t="s">
        <v>304</v>
      </c>
      <c r="L476" s="2" t="s">
        <v>2230</v>
      </c>
      <c r="M476" s="8" t="str">
        <f>HYPERLINK("http://slimages.macys.com/is/image/MCY/14385110 ")</f>
        <v xml:space="preserve">http://slimages.macys.com/is/image/MCY/14385110 </v>
      </c>
    </row>
    <row r="477" spans="1:13" ht="84" x14ac:dyDescent="0.25">
      <c r="A477" s="7" t="s">
        <v>2238</v>
      </c>
      <c r="B477" s="2" t="s">
        <v>2228</v>
      </c>
      <c r="C477" s="4">
        <v>2</v>
      </c>
      <c r="D477" s="5">
        <v>2.67</v>
      </c>
      <c r="E477" s="5">
        <v>7.99</v>
      </c>
      <c r="F477" s="4" t="s">
        <v>2229</v>
      </c>
      <c r="G477" s="2" t="s">
        <v>527</v>
      </c>
      <c r="H477" s="7" t="s">
        <v>590</v>
      </c>
      <c r="I477" s="2" t="s">
        <v>483</v>
      </c>
      <c r="J477" s="2" t="s">
        <v>536</v>
      </c>
      <c r="K477" s="2" t="s">
        <v>304</v>
      </c>
      <c r="L477" s="2" t="s">
        <v>2230</v>
      </c>
      <c r="M477" s="8" t="str">
        <f>HYPERLINK("http://slimages.macys.com/is/image/MCY/14385110 ")</f>
        <v xml:space="preserve">http://slimages.macys.com/is/image/MCY/14385110 </v>
      </c>
    </row>
    <row r="478" spans="1:13" ht="60" x14ac:dyDescent="0.25">
      <c r="A478" s="7" t="s">
        <v>2244</v>
      </c>
      <c r="B478" s="2" t="s">
        <v>1236</v>
      </c>
      <c r="C478" s="4">
        <v>2</v>
      </c>
      <c r="D478" s="5">
        <v>2.65</v>
      </c>
      <c r="E478" s="5">
        <v>6.99</v>
      </c>
      <c r="F478" s="4" t="s">
        <v>1237</v>
      </c>
      <c r="G478" s="2" t="s">
        <v>41</v>
      </c>
      <c r="H478" s="7" t="s">
        <v>590</v>
      </c>
      <c r="I478" s="2" t="s">
        <v>483</v>
      </c>
      <c r="J478" s="2" t="s">
        <v>536</v>
      </c>
      <c r="K478" s="2" t="s">
        <v>304</v>
      </c>
      <c r="L478" s="2" t="s">
        <v>100</v>
      </c>
      <c r="M478" s="8" t="str">
        <f>HYPERLINK("http://slimages.macys.com/is/image/MCY/13337374 ")</f>
        <v xml:space="preserve">http://slimages.macys.com/is/image/MCY/13337374 </v>
      </c>
    </row>
    <row r="479" spans="1:13" ht="60" x14ac:dyDescent="0.25">
      <c r="A479" s="7" t="s">
        <v>9742</v>
      </c>
      <c r="B479" s="2" t="s">
        <v>9743</v>
      </c>
      <c r="C479" s="4">
        <v>2</v>
      </c>
      <c r="D479" s="5">
        <v>2.64</v>
      </c>
      <c r="E479" s="5">
        <v>7.99</v>
      </c>
      <c r="F479" s="4" t="s">
        <v>9744</v>
      </c>
      <c r="G479" s="2" t="s">
        <v>643</v>
      </c>
      <c r="H479" s="7" t="s">
        <v>514</v>
      </c>
      <c r="I479" s="2" t="s">
        <v>483</v>
      </c>
      <c r="J479" s="2" t="s">
        <v>536</v>
      </c>
      <c r="K479" s="2" t="s">
        <v>304</v>
      </c>
      <c r="L479" s="2" t="s">
        <v>206</v>
      </c>
      <c r="M479" s="8" t="str">
        <f>HYPERLINK("http://slimages.macys.com/is/image/MCY/13386674 ")</f>
        <v xml:space="preserve">http://slimages.macys.com/is/image/MCY/13386674 </v>
      </c>
    </row>
    <row r="480" spans="1:13" ht="108" x14ac:dyDescent="0.25">
      <c r="A480" s="7" t="s">
        <v>4491</v>
      </c>
      <c r="B480" s="2" t="s">
        <v>4492</v>
      </c>
      <c r="C480" s="4">
        <v>1</v>
      </c>
      <c r="D480" s="5">
        <v>2.64</v>
      </c>
      <c r="E480" s="5">
        <v>6.99</v>
      </c>
      <c r="F480" s="4">
        <v>10004350100</v>
      </c>
      <c r="G480" s="2" t="s">
        <v>134</v>
      </c>
      <c r="H480" s="7" t="s">
        <v>604</v>
      </c>
      <c r="I480" s="2" t="s">
        <v>483</v>
      </c>
      <c r="J480" s="2" t="s">
        <v>536</v>
      </c>
      <c r="K480" s="2" t="s">
        <v>304</v>
      </c>
      <c r="L480" s="2" t="s">
        <v>4493</v>
      </c>
      <c r="M480" s="8" t="str">
        <f>HYPERLINK("http://slimages.macys.com/is/image/MCY/11437061 ")</f>
        <v xml:space="preserve">http://slimages.macys.com/is/image/MCY/11437061 </v>
      </c>
    </row>
    <row r="481" spans="1:13" ht="60" x14ac:dyDescent="0.25">
      <c r="A481" s="7" t="s">
        <v>9745</v>
      </c>
      <c r="B481" s="2" t="s">
        <v>9743</v>
      </c>
      <c r="C481" s="4">
        <v>1</v>
      </c>
      <c r="D481" s="5">
        <v>2.64</v>
      </c>
      <c r="E481" s="5">
        <v>7.99</v>
      </c>
      <c r="F481" s="4" t="s">
        <v>9744</v>
      </c>
      <c r="G481" s="2" t="s">
        <v>643</v>
      </c>
      <c r="H481" s="7" t="s">
        <v>1151</v>
      </c>
      <c r="I481" s="2" t="s">
        <v>483</v>
      </c>
      <c r="J481" s="2" t="s">
        <v>536</v>
      </c>
      <c r="K481" s="2" t="s">
        <v>304</v>
      </c>
      <c r="L481" s="2" t="s">
        <v>206</v>
      </c>
      <c r="M481" s="8" t="str">
        <f>HYPERLINK("http://slimages.macys.com/is/image/MCY/13386674 ")</f>
        <v xml:space="preserve">http://slimages.macys.com/is/image/MCY/13386674 </v>
      </c>
    </row>
    <row r="482" spans="1:13" ht="60" x14ac:dyDescent="0.25">
      <c r="A482" s="7" t="s">
        <v>7158</v>
      </c>
      <c r="B482" s="2" t="s">
        <v>4495</v>
      </c>
      <c r="C482" s="4">
        <v>1</v>
      </c>
      <c r="D482" s="5">
        <v>2.63</v>
      </c>
      <c r="E482" s="5">
        <v>5.99</v>
      </c>
      <c r="F482" s="4" t="s">
        <v>4496</v>
      </c>
      <c r="G482" s="2" t="s">
        <v>858</v>
      </c>
      <c r="H482" s="7" t="s">
        <v>91</v>
      </c>
      <c r="I482" s="2" t="s">
        <v>483</v>
      </c>
      <c r="J482" s="2" t="s">
        <v>536</v>
      </c>
      <c r="K482" s="2" t="s">
        <v>304</v>
      </c>
      <c r="L482" s="2" t="s">
        <v>206</v>
      </c>
      <c r="M482" s="8" t="str">
        <f>HYPERLINK("http://slimages.macys.com/is/image/MCY/11709478 ")</f>
        <v xml:space="preserve">http://slimages.macys.com/is/image/MCY/11709478 </v>
      </c>
    </row>
    <row r="483" spans="1:13" ht="60" x14ac:dyDescent="0.25">
      <c r="A483" s="7" t="s">
        <v>9208</v>
      </c>
      <c r="B483" s="2" t="s">
        <v>4495</v>
      </c>
      <c r="C483" s="4">
        <v>1</v>
      </c>
      <c r="D483" s="5">
        <v>2.63</v>
      </c>
      <c r="E483" s="5">
        <v>5.99</v>
      </c>
      <c r="F483" s="4" t="s">
        <v>4496</v>
      </c>
      <c r="G483" s="2" t="s">
        <v>858</v>
      </c>
      <c r="H483" s="7" t="s">
        <v>442</v>
      </c>
      <c r="I483" s="2" t="s">
        <v>483</v>
      </c>
      <c r="J483" s="2" t="s">
        <v>536</v>
      </c>
      <c r="K483" s="2" t="s">
        <v>304</v>
      </c>
      <c r="L483" s="2" t="s">
        <v>206</v>
      </c>
      <c r="M483" s="8" t="str">
        <f>HYPERLINK("http://slimages.macys.com/is/image/MCY/11709478 ")</f>
        <v xml:space="preserve">http://slimages.macys.com/is/image/MCY/11709478 </v>
      </c>
    </row>
    <row r="484" spans="1:13" ht="60" x14ac:dyDescent="0.25">
      <c r="A484" s="7" t="s">
        <v>8435</v>
      </c>
      <c r="B484" s="2" t="s">
        <v>4501</v>
      </c>
      <c r="C484" s="4">
        <v>1</v>
      </c>
      <c r="D484" s="5">
        <v>2.63</v>
      </c>
      <c r="E484" s="5">
        <v>7.99</v>
      </c>
      <c r="F484" s="4" t="s">
        <v>4502</v>
      </c>
      <c r="G484" s="2" t="s">
        <v>353</v>
      </c>
      <c r="H484" s="7" t="s">
        <v>514</v>
      </c>
      <c r="I484" s="2" t="s">
        <v>483</v>
      </c>
      <c r="J484" s="2" t="s">
        <v>536</v>
      </c>
      <c r="K484" s="2"/>
      <c r="L484" s="2"/>
      <c r="M484" s="8" t="str">
        <f>HYPERLINK("http://slimages.macys.com/is/image/MCY/12239826 ")</f>
        <v xml:space="preserve">http://slimages.macys.com/is/image/MCY/12239826 </v>
      </c>
    </row>
    <row r="485" spans="1:13" ht="60" x14ac:dyDescent="0.25">
      <c r="A485" s="7" t="s">
        <v>2266</v>
      </c>
      <c r="B485" s="2" t="s">
        <v>2254</v>
      </c>
      <c r="C485" s="4">
        <v>4</v>
      </c>
      <c r="D485" s="5">
        <v>2.62</v>
      </c>
      <c r="E485" s="5">
        <v>5.99</v>
      </c>
      <c r="F485" s="4" t="s">
        <v>2255</v>
      </c>
      <c r="G485" s="2" t="s">
        <v>657</v>
      </c>
      <c r="H485" s="7" t="s">
        <v>442</v>
      </c>
      <c r="I485" s="2" t="s">
        <v>483</v>
      </c>
      <c r="J485" s="2" t="s">
        <v>536</v>
      </c>
      <c r="K485" s="2" t="s">
        <v>304</v>
      </c>
      <c r="L485" s="2" t="s">
        <v>119</v>
      </c>
      <c r="M485" s="8" t="str">
        <f>HYPERLINK("http://slimages.macys.com/is/image/MCY/12644604 ")</f>
        <v xml:space="preserve">http://slimages.macys.com/is/image/MCY/12644604 </v>
      </c>
    </row>
    <row r="486" spans="1:13" ht="60" x14ac:dyDescent="0.25">
      <c r="A486" s="7" t="s">
        <v>6511</v>
      </c>
      <c r="B486" s="2" t="s">
        <v>1243</v>
      </c>
      <c r="C486" s="4">
        <v>1</v>
      </c>
      <c r="D486" s="5">
        <v>2.62</v>
      </c>
      <c r="E486" s="5">
        <v>6.99</v>
      </c>
      <c r="F486" s="4" t="s">
        <v>1244</v>
      </c>
      <c r="G486" s="2" t="s">
        <v>41</v>
      </c>
      <c r="H486" s="7" t="s">
        <v>442</v>
      </c>
      <c r="I486" s="2" t="s">
        <v>483</v>
      </c>
      <c r="J486" s="2" t="s">
        <v>536</v>
      </c>
      <c r="K486" s="2" t="s">
        <v>304</v>
      </c>
      <c r="L486" s="2" t="s">
        <v>38</v>
      </c>
      <c r="M486" s="8" t="str">
        <f>HYPERLINK("http://slimages.macys.com/is/image/MCY/13987599 ")</f>
        <v xml:space="preserve">http://slimages.macys.com/is/image/MCY/13987599 </v>
      </c>
    </row>
    <row r="487" spans="1:13" ht="60" x14ac:dyDescent="0.25">
      <c r="A487" s="7" t="s">
        <v>7163</v>
      </c>
      <c r="B487" s="2" t="s">
        <v>1240</v>
      </c>
      <c r="C487" s="4">
        <v>2</v>
      </c>
      <c r="D487" s="5">
        <v>2.62</v>
      </c>
      <c r="E487" s="5">
        <v>6.99</v>
      </c>
      <c r="F487" s="4" t="s">
        <v>1241</v>
      </c>
      <c r="G487" s="2" t="s">
        <v>28</v>
      </c>
      <c r="H487" s="7" t="s">
        <v>42</v>
      </c>
      <c r="I487" s="2" t="s">
        <v>483</v>
      </c>
      <c r="J487" s="2" t="s">
        <v>536</v>
      </c>
      <c r="K487" s="2" t="s">
        <v>304</v>
      </c>
      <c r="L487" s="2" t="s">
        <v>100</v>
      </c>
      <c r="M487" s="8" t="str">
        <f>HYPERLINK("http://slimages.macys.com/is/image/MCY/13336558 ")</f>
        <v xml:space="preserve">http://slimages.macys.com/is/image/MCY/13336558 </v>
      </c>
    </row>
    <row r="488" spans="1:13" ht="60" x14ac:dyDescent="0.25">
      <c r="A488" s="7" t="s">
        <v>1245</v>
      </c>
      <c r="B488" s="2" t="s">
        <v>1246</v>
      </c>
      <c r="C488" s="4">
        <v>2</v>
      </c>
      <c r="D488" s="5">
        <v>2.62</v>
      </c>
      <c r="E488" s="5">
        <v>6.99</v>
      </c>
      <c r="F488" s="4" t="s">
        <v>1247</v>
      </c>
      <c r="G488" s="2" t="s">
        <v>41</v>
      </c>
      <c r="H488" s="7" t="s">
        <v>149</v>
      </c>
      <c r="I488" s="2" t="s">
        <v>483</v>
      </c>
      <c r="J488" s="2" t="s">
        <v>536</v>
      </c>
      <c r="K488" s="2" t="s">
        <v>304</v>
      </c>
      <c r="L488" s="2" t="s">
        <v>100</v>
      </c>
      <c r="M488" s="8" t="str">
        <f>HYPERLINK("http://slimages.macys.com/is/image/MCY/13337544 ")</f>
        <v xml:space="preserve">http://slimages.macys.com/is/image/MCY/13337544 </v>
      </c>
    </row>
    <row r="489" spans="1:13" ht="60" x14ac:dyDescent="0.25">
      <c r="A489" s="7" t="s">
        <v>6036</v>
      </c>
      <c r="B489" s="2" t="s">
        <v>1246</v>
      </c>
      <c r="C489" s="4">
        <v>2</v>
      </c>
      <c r="D489" s="5">
        <v>2.62</v>
      </c>
      <c r="E489" s="5">
        <v>6.99</v>
      </c>
      <c r="F489" s="4" t="s">
        <v>1247</v>
      </c>
      <c r="G489" s="2" t="s">
        <v>41</v>
      </c>
      <c r="H489" s="7" t="s">
        <v>42</v>
      </c>
      <c r="I489" s="2" t="s">
        <v>483</v>
      </c>
      <c r="J489" s="2" t="s">
        <v>536</v>
      </c>
      <c r="K489" s="2" t="s">
        <v>304</v>
      </c>
      <c r="L489" s="2" t="s">
        <v>100</v>
      </c>
      <c r="M489" s="8" t="str">
        <f>HYPERLINK("http://slimages.macys.com/is/image/MCY/13337544 ")</f>
        <v xml:space="preserve">http://slimages.macys.com/is/image/MCY/13337544 </v>
      </c>
    </row>
    <row r="490" spans="1:13" ht="60" x14ac:dyDescent="0.25">
      <c r="A490" s="7" t="s">
        <v>7165</v>
      </c>
      <c r="B490" s="2" t="s">
        <v>1246</v>
      </c>
      <c r="C490" s="4">
        <v>1</v>
      </c>
      <c r="D490" s="5">
        <v>2.62</v>
      </c>
      <c r="E490" s="5">
        <v>6.99</v>
      </c>
      <c r="F490" s="4" t="s">
        <v>1247</v>
      </c>
      <c r="G490" s="2" t="s">
        <v>41</v>
      </c>
      <c r="H490" s="7" t="s">
        <v>590</v>
      </c>
      <c r="I490" s="2" t="s">
        <v>483</v>
      </c>
      <c r="J490" s="2" t="s">
        <v>536</v>
      </c>
      <c r="K490" s="2" t="s">
        <v>304</v>
      </c>
      <c r="L490" s="2" t="s">
        <v>100</v>
      </c>
      <c r="M490" s="8" t="str">
        <f>HYPERLINK("http://slimages.macys.com/is/image/MCY/13337544 ")</f>
        <v xml:space="preserve">http://slimages.macys.com/is/image/MCY/13337544 </v>
      </c>
    </row>
    <row r="491" spans="1:13" ht="60" x14ac:dyDescent="0.25">
      <c r="A491" s="7" t="s">
        <v>2260</v>
      </c>
      <c r="B491" s="2" t="s">
        <v>2261</v>
      </c>
      <c r="C491" s="4">
        <v>1</v>
      </c>
      <c r="D491" s="5">
        <v>2.62</v>
      </c>
      <c r="E491" s="5">
        <v>5.99</v>
      </c>
      <c r="F491" s="4" t="s">
        <v>2262</v>
      </c>
      <c r="G491" s="2" t="s">
        <v>858</v>
      </c>
      <c r="H491" s="7" t="s">
        <v>149</v>
      </c>
      <c r="I491" s="2" t="s">
        <v>483</v>
      </c>
      <c r="J491" s="2" t="s">
        <v>536</v>
      </c>
      <c r="K491" s="2" t="s">
        <v>304</v>
      </c>
      <c r="L491" s="2" t="s">
        <v>119</v>
      </c>
      <c r="M491" s="8" t="str">
        <f>HYPERLINK("http://slimages.macys.com/is/image/MCY/12644569 ")</f>
        <v xml:space="preserve">http://slimages.macys.com/is/image/MCY/12644569 </v>
      </c>
    </row>
    <row r="492" spans="1:13" ht="60" x14ac:dyDescent="0.25">
      <c r="A492" s="7" t="s">
        <v>6035</v>
      </c>
      <c r="B492" s="2" t="s">
        <v>1246</v>
      </c>
      <c r="C492" s="4">
        <v>1</v>
      </c>
      <c r="D492" s="5">
        <v>2.62</v>
      </c>
      <c r="E492" s="5">
        <v>6.99</v>
      </c>
      <c r="F492" s="4" t="s">
        <v>1247</v>
      </c>
      <c r="G492" s="2" t="s">
        <v>41</v>
      </c>
      <c r="H492" s="7" t="s">
        <v>442</v>
      </c>
      <c r="I492" s="2" t="s">
        <v>483</v>
      </c>
      <c r="J492" s="2" t="s">
        <v>536</v>
      </c>
      <c r="K492" s="2" t="s">
        <v>304</v>
      </c>
      <c r="L492" s="2" t="s">
        <v>100</v>
      </c>
      <c r="M492" s="8" t="str">
        <f>HYPERLINK("http://slimages.macys.com/is/image/MCY/13337544 ")</f>
        <v xml:space="preserve">http://slimages.macys.com/is/image/MCY/13337544 </v>
      </c>
    </row>
    <row r="493" spans="1:13" ht="60" x14ac:dyDescent="0.25">
      <c r="A493" s="7" t="s">
        <v>1242</v>
      </c>
      <c r="B493" s="2" t="s">
        <v>1243</v>
      </c>
      <c r="C493" s="4">
        <v>3</v>
      </c>
      <c r="D493" s="5">
        <v>2.62</v>
      </c>
      <c r="E493" s="5">
        <v>6.99</v>
      </c>
      <c r="F493" s="4" t="s">
        <v>1244</v>
      </c>
      <c r="G493" s="2" t="s">
        <v>41</v>
      </c>
      <c r="H493" s="7" t="s">
        <v>149</v>
      </c>
      <c r="I493" s="2" t="s">
        <v>483</v>
      </c>
      <c r="J493" s="2" t="s">
        <v>536</v>
      </c>
      <c r="K493" s="2" t="s">
        <v>304</v>
      </c>
      <c r="L493" s="2" t="s">
        <v>38</v>
      </c>
      <c r="M493" s="8" t="str">
        <f>HYPERLINK("http://slimages.macys.com/is/image/MCY/13987599 ")</f>
        <v xml:space="preserve">http://slimages.macys.com/is/image/MCY/13987599 </v>
      </c>
    </row>
    <row r="494" spans="1:13" ht="60" x14ac:dyDescent="0.25">
      <c r="A494" s="7" t="s">
        <v>5081</v>
      </c>
      <c r="B494" s="2" t="s">
        <v>1240</v>
      </c>
      <c r="C494" s="4">
        <v>2</v>
      </c>
      <c r="D494" s="5">
        <v>2.62</v>
      </c>
      <c r="E494" s="5">
        <v>6.99</v>
      </c>
      <c r="F494" s="4" t="s">
        <v>1241</v>
      </c>
      <c r="G494" s="2" t="s">
        <v>28</v>
      </c>
      <c r="H494" s="7" t="s">
        <v>91</v>
      </c>
      <c r="I494" s="2" t="s">
        <v>483</v>
      </c>
      <c r="J494" s="2" t="s">
        <v>536</v>
      </c>
      <c r="K494" s="2" t="s">
        <v>304</v>
      </c>
      <c r="L494" s="2" t="s">
        <v>100</v>
      </c>
      <c r="M494" s="8" t="str">
        <f>HYPERLINK("http://slimages.macys.com/is/image/MCY/13336558 ")</f>
        <v xml:space="preserve">http://slimages.macys.com/is/image/MCY/13336558 </v>
      </c>
    </row>
    <row r="495" spans="1:13" ht="60" x14ac:dyDescent="0.25">
      <c r="A495" s="7" t="s">
        <v>2268</v>
      </c>
      <c r="B495" s="2" t="s">
        <v>2254</v>
      </c>
      <c r="C495" s="4">
        <v>2</v>
      </c>
      <c r="D495" s="5">
        <v>2.62</v>
      </c>
      <c r="E495" s="5">
        <v>5.99</v>
      </c>
      <c r="F495" s="4" t="s">
        <v>2255</v>
      </c>
      <c r="G495" s="2" t="s">
        <v>657</v>
      </c>
      <c r="H495" s="7" t="s">
        <v>91</v>
      </c>
      <c r="I495" s="2" t="s">
        <v>483</v>
      </c>
      <c r="J495" s="2" t="s">
        <v>536</v>
      </c>
      <c r="K495" s="2" t="s">
        <v>304</v>
      </c>
      <c r="L495" s="2" t="s">
        <v>119</v>
      </c>
      <c r="M495" s="8" t="str">
        <f>HYPERLINK("http://slimages.macys.com/is/image/MCY/12644604 ")</f>
        <v xml:space="preserve">http://slimages.macys.com/is/image/MCY/12644604 </v>
      </c>
    </row>
    <row r="496" spans="1:13" ht="60" x14ac:dyDescent="0.25">
      <c r="A496" s="7" t="s">
        <v>7166</v>
      </c>
      <c r="B496" s="2" t="s">
        <v>1243</v>
      </c>
      <c r="C496" s="4">
        <v>3</v>
      </c>
      <c r="D496" s="5">
        <v>2.62</v>
      </c>
      <c r="E496" s="5">
        <v>6.99</v>
      </c>
      <c r="F496" s="4" t="s">
        <v>1244</v>
      </c>
      <c r="G496" s="2" t="s">
        <v>41</v>
      </c>
      <c r="H496" s="7" t="s">
        <v>42</v>
      </c>
      <c r="I496" s="2" t="s">
        <v>483</v>
      </c>
      <c r="J496" s="2" t="s">
        <v>536</v>
      </c>
      <c r="K496" s="2" t="s">
        <v>304</v>
      </c>
      <c r="L496" s="2" t="s">
        <v>38</v>
      </c>
      <c r="M496" s="8" t="str">
        <f>HYPERLINK("http://slimages.macys.com/is/image/MCY/13987599 ")</f>
        <v xml:space="preserve">http://slimages.macys.com/is/image/MCY/13987599 </v>
      </c>
    </row>
    <row r="497" spans="1:13" ht="60" x14ac:dyDescent="0.25">
      <c r="A497" s="7" t="s">
        <v>2267</v>
      </c>
      <c r="B497" s="2" t="s">
        <v>2254</v>
      </c>
      <c r="C497" s="4">
        <v>1</v>
      </c>
      <c r="D497" s="5">
        <v>2.62</v>
      </c>
      <c r="E497" s="5">
        <v>5.99</v>
      </c>
      <c r="F497" s="4" t="s">
        <v>2255</v>
      </c>
      <c r="G497" s="2" t="s">
        <v>657</v>
      </c>
      <c r="H497" s="7" t="s">
        <v>590</v>
      </c>
      <c r="I497" s="2" t="s">
        <v>483</v>
      </c>
      <c r="J497" s="2" t="s">
        <v>536</v>
      </c>
      <c r="K497" s="2" t="s">
        <v>304</v>
      </c>
      <c r="L497" s="2" t="s">
        <v>119</v>
      </c>
      <c r="M497" s="8" t="str">
        <f>HYPERLINK("http://slimages.macys.com/is/image/MCY/12644604 ")</f>
        <v xml:space="preserve">http://slimages.macys.com/is/image/MCY/12644604 </v>
      </c>
    </row>
    <row r="498" spans="1:13" ht="60" x14ac:dyDescent="0.25">
      <c r="A498" s="7" t="s">
        <v>2256</v>
      </c>
      <c r="B498" s="2" t="s">
        <v>2254</v>
      </c>
      <c r="C498" s="4">
        <v>1</v>
      </c>
      <c r="D498" s="5">
        <v>2.62</v>
      </c>
      <c r="E498" s="5">
        <v>5.99</v>
      </c>
      <c r="F498" s="4" t="s">
        <v>2255</v>
      </c>
      <c r="G498" s="2" t="s">
        <v>657</v>
      </c>
      <c r="H498" s="7" t="s">
        <v>149</v>
      </c>
      <c r="I498" s="2" t="s">
        <v>483</v>
      </c>
      <c r="J498" s="2" t="s">
        <v>536</v>
      </c>
      <c r="K498" s="2" t="s">
        <v>304</v>
      </c>
      <c r="L498" s="2" t="s">
        <v>119</v>
      </c>
      <c r="M498" s="8" t="str">
        <f>HYPERLINK("http://slimages.macys.com/is/image/MCY/12644604 ")</f>
        <v xml:space="preserve">http://slimages.macys.com/is/image/MCY/12644604 </v>
      </c>
    </row>
    <row r="499" spans="1:13" ht="60" x14ac:dyDescent="0.25">
      <c r="A499" s="7" t="s">
        <v>7174</v>
      </c>
      <c r="B499" s="2" t="s">
        <v>2276</v>
      </c>
      <c r="C499" s="4">
        <v>1</v>
      </c>
      <c r="D499" s="5">
        <v>2.61</v>
      </c>
      <c r="E499" s="5">
        <v>6.99</v>
      </c>
      <c r="F499" s="4" t="s">
        <v>2277</v>
      </c>
      <c r="G499" s="2" t="s">
        <v>527</v>
      </c>
      <c r="H499" s="7" t="s">
        <v>590</v>
      </c>
      <c r="I499" s="2" t="s">
        <v>483</v>
      </c>
      <c r="J499" s="2" t="s">
        <v>536</v>
      </c>
      <c r="K499" s="2" t="s">
        <v>304</v>
      </c>
      <c r="L499" s="2" t="s">
        <v>206</v>
      </c>
      <c r="M499" s="8" t="str">
        <f>HYPERLINK("http://slimages.macys.com/is/image/MCY/13336562 ")</f>
        <v xml:space="preserve">http://slimages.macys.com/is/image/MCY/13336562 </v>
      </c>
    </row>
    <row r="500" spans="1:13" ht="60" x14ac:dyDescent="0.25">
      <c r="A500" s="7" t="s">
        <v>9746</v>
      </c>
      <c r="B500" s="2" t="s">
        <v>6521</v>
      </c>
      <c r="C500" s="4">
        <v>1</v>
      </c>
      <c r="D500" s="5">
        <v>2.61</v>
      </c>
      <c r="E500" s="5">
        <v>6.99</v>
      </c>
      <c r="F500" s="4" t="s">
        <v>6522</v>
      </c>
      <c r="G500" s="2" t="s">
        <v>297</v>
      </c>
      <c r="H500" s="7" t="s">
        <v>149</v>
      </c>
      <c r="I500" s="2" t="s">
        <v>483</v>
      </c>
      <c r="J500" s="2" t="s">
        <v>536</v>
      </c>
      <c r="K500" s="2" t="s">
        <v>304</v>
      </c>
      <c r="L500" s="2" t="s">
        <v>38</v>
      </c>
      <c r="M500" s="8" t="str">
        <f>HYPERLINK("http://slimages.macys.com/is/image/MCY/13987484 ")</f>
        <v xml:space="preserve">http://slimages.macys.com/is/image/MCY/13987484 </v>
      </c>
    </row>
    <row r="501" spans="1:13" ht="60" x14ac:dyDescent="0.25">
      <c r="A501" s="7" t="s">
        <v>1255</v>
      </c>
      <c r="B501" s="2" t="s">
        <v>1250</v>
      </c>
      <c r="C501" s="4">
        <v>1</v>
      </c>
      <c r="D501" s="5">
        <v>2.61</v>
      </c>
      <c r="E501" s="5">
        <v>7.99</v>
      </c>
      <c r="F501" s="4" t="s">
        <v>1251</v>
      </c>
      <c r="G501" s="2" t="s">
        <v>643</v>
      </c>
      <c r="H501" s="7" t="s">
        <v>1151</v>
      </c>
      <c r="I501" s="2" t="s">
        <v>483</v>
      </c>
      <c r="J501" s="2" t="s">
        <v>536</v>
      </c>
      <c r="K501" s="2" t="s">
        <v>304</v>
      </c>
      <c r="L501" s="2" t="s">
        <v>38</v>
      </c>
      <c r="M501" s="8" t="str">
        <f>HYPERLINK("http://slimages.macys.com/is/image/MCY/13987601 ")</f>
        <v xml:space="preserve">http://slimages.macys.com/is/image/MCY/13987601 </v>
      </c>
    </row>
    <row r="502" spans="1:13" ht="60" x14ac:dyDescent="0.25">
      <c r="A502" s="7" t="s">
        <v>9747</v>
      </c>
      <c r="B502" s="2" t="s">
        <v>2276</v>
      </c>
      <c r="C502" s="4">
        <v>1</v>
      </c>
      <c r="D502" s="5">
        <v>2.61</v>
      </c>
      <c r="E502" s="5">
        <v>6.99</v>
      </c>
      <c r="F502" s="4" t="s">
        <v>2277</v>
      </c>
      <c r="G502" s="2" t="s">
        <v>527</v>
      </c>
      <c r="H502" s="7" t="s">
        <v>442</v>
      </c>
      <c r="I502" s="2" t="s">
        <v>483</v>
      </c>
      <c r="J502" s="2" t="s">
        <v>536</v>
      </c>
      <c r="K502" s="2" t="s">
        <v>304</v>
      </c>
      <c r="L502" s="2" t="s">
        <v>206</v>
      </c>
      <c r="M502" s="8" t="str">
        <f>HYPERLINK("http://slimages.macys.com/is/image/MCY/13336562 ")</f>
        <v xml:space="preserve">http://slimages.macys.com/is/image/MCY/13336562 </v>
      </c>
    </row>
    <row r="503" spans="1:13" ht="60" x14ac:dyDescent="0.25">
      <c r="A503" s="7" t="s">
        <v>8446</v>
      </c>
      <c r="B503" s="2" t="s">
        <v>2271</v>
      </c>
      <c r="C503" s="4">
        <v>1</v>
      </c>
      <c r="D503" s="5">
        <v>2.61</v>
      </c>
      <c r="E503" s="5">
        <v>6.99</v>
      </c>
      <c r="F503" s="4" t="s">
        <v>2272</v>
      </c>
      <c r="G503" s="2" t="s">
        <v>1147</v>
      </c>
      <c r="H503" s="7" t="s">
        <v>42</v>
      </c>
      <c r="I503" s="2" t="s">
        <v>483</v>
      </c>
      <c r="J503" s="2" t="s">
        <v>536</v>
      </c>
      <c r="K503" s="2" t="s">
        <v>304</v>
      </c>
      <c r="L503" s="2" t="s">
        <v>38</v>
      </c>
      <c r="M503" s="8" t="str">
        <f>HYPERLINK("http://slimages.macys.com/is/image/MCY/13987297 ")</f>
        <v xml:space="preserve">http://slimages.macys.com/is/image/MCY/13987297 </v>
      </c>
    </row>
    <row r="504" spans="1:13" ht="60" x14ac:dyDescent="0.25">
      <c r="A504" s="7" t="s">
        <v>2274</v>
      </c>
      <c r="B504" s="2" t="s">
        <v>1253</v>
      </c>
      <c r="C504" s="4">
        <v>2</v>
      </c>
      <c r="D504" s="5">
        <v>2.61</v>
      </c>
      <c r="E504" s="5">
        <v>6.99</v>
      </c>
      <c r="F504" s="4" t="s">
        <v>1254</v>
      </c>
      <c r="G504" s="2" t="s">
        <v>171</v>
      </c>
      <c r="H504" s="7" t="s">
        <v>590</v>
      </c>
      <c r="I504" s="2" t="s">
        <v>483</v>
      </c>
      <c r="J504" s="2" t="s">
        <v>536</v>
      </c>
      <c r="K504" s="2" t="s">
        <v>304</v>
      </c>
      <c r="L504" s="2" t="s">
        <v>38</v>
      </c>
      <c r="M504" s="8" t="str">
        <f>HYPERLINK("http://slimages.macys.com/is/image/MCY/13987491 ")</f>
        <v xml:space="preserve">http://slimages.macys.com/is/image/MCY/13987491 </v>
      </c>
    </row>
    <row r="505" spans="1:13" ht="60" x14ac:dyDescent="0.25">
      <c r="A505" s="7" t="s">
        <v>1252</v>
      </c>
      <c r="B505" s="2" t="s">
        <v>1253</v>
      </c>
      <c r="C505" s="4">
        <v>1</v>
      </c>
      <c r="D505" s="5">
        <v>2.61</v>
      </c>
      <c r="E505" s="5">
        <v>6.99</v>
      </c>
      <c r="F505" s="4" t="s">
        <v>1254</v>
      </c>
      <c r="G505" s="2" t="s">
        <v>171</v>
      </c>
      <c r="H505" s="7" t="s">
        <v>149</v>
      </c>
      <c r="I505" s="2" t="s">
        <v>483</v>
      </c>
      <c r="J505" s="2" t="s">
        <v>536</v>
      </c>
      <c r="K505" s="2" t="s">
        <v>304</v>
      </c>
      <c r="L505" s="2" t="s">
        <v>38</v>
      </c>
      <c r="M505" s="8" t="str">
        <f>HYPERLINK("http://slimages.macys.com/is/image/MCY/13987491 ")</f>
        <v xml:space="preserve">http://slimages.macys.com/is/image/MCY/13987491 </v>
      </c>
    </row>
    <row r="506" spans="1:13" ht="60" x14ac:dyDescent="0.25">
      <c r="A506" s="7" t="s">
        <v>6037</v>
      </c>
      <c r="B506" s="2" t="s">
        <v>2276</v>
      </c>
      <c r="C506" s="4">
        <v>3</v>
      </c>
      <c r="D506" s="5">
        <v>2.61</v>
      </c>
      <c r="E506" s="5">
        <v>6.99</v>
      </c>
      <c r="F506" s="4" t="s">
        <v>2277</v>
      </c>
      <c r="G506" s="2" t="s">
        <v>527</v>
      </c>
      <c r="H506" s="7" t="s">
        <v>42</v>
      </c>
      <c r="I506" s="2" t="s">
        <v>483</v>
      </c>
      <c r="J506" s="2" t="s">
        <v>536</v>
      </c>
      <c r="K506" s="2" t="s">
        <v>304</v>
      </c>
      <c r="L506" s="2" t="s">
        <v>206</v>
      </c>
      <c r="M506" s="8" t="str">
        <f>HYPERLINK("http://slimages.macys.com/is/image/MCY/13336562 ")</f>
        <v xml:space="preserve">http://slimages.macys.com/is/image/MCY/13336562 </v>
      </c>
    </row>
    <row r="507" spans="1:13" ht="60" x14ac:dyDescent="0.25">
      <c r="A507" s="7" t="s">
        <v>9209</v>
      </c>
      <c r="B507" s="2" t="s">
        <v>6521</v>
      </c>
      <c r="C507" s="4">
        <v>2</v>
      </c>
      <c r="D507" s="5">
        <v>2.61</v>
      </c>
      <c r="E507" s="5">
        <v>6.99</v>
      </c>
      <c r="F507" s="4" t="s">
        <v>6522</v>
      </c>
      <c r="G507" s="2" t="s">
        <v>297</v>
      </c>
      <c r="H507" s="7" t="s">
        <v>590</v>
      </c>
      <c r="I507" s="2" t="s">
        <v>483</v>
      </c>
      <c r="J507" s="2" t="s">
        <v>536</v>
      </c>
      <c r="K507" s="2" t="s">
        <v>304</v>
      </c>
      <c r="L507" s="2" t="s">
        <v>38</v>
      </c>
      <c r="M507" s="8" t="str">
        <f>HYPERLINK("http://slimages.macys.com/is/image/MCY/13987484 ")</f>
        <v xml:space="preserve">http://slimages.macys.com/is/image/MCY/13987484 </v>
      </c>
    </row>
    <row r="508" spans="1:13" ht="60" x14ac:dyDescent="0.25">
      <c r="A508" s="7" t="s">
        <v>7177</v>
      </c>
      <c r="B508" s="2" t="s">
        <v>7178</v>
      </c>
      <c r="C508" s="4">
        <v>1</v>
      </c>
      <c r="D508" s="5">
        <v>2.61</v>
      </c>
      <c r="E508" s="5">
        <v>7.99</v>
      </c>
      <c r="F508" s="4" t="s">
        <v>7179</v>
      </c>
      <c r="G508" s="2" t="s">
        <v>28</v>
      </c>
      <c r="H508" s="7" t="s">
        <v>514</v>
      </c>
      <c r="I508" s="2" t="s">
        <v>483</v>
      </c>
      <c r="J508" s="2" t="s">
        <v>536</v>
      </c>
      <c r="K508" s="2" t="s">
        <v>304</v>
      </c>
      <c r="L508" s="2" t="s">
        <v>119</v>
      </c>
      <c r="M508" s="8" t="str">
        <f>HYPERLINK("http://slimages.macys.com/is/image/MCY/13987620 ")</f>
        <v xml:space="preserve">http://slimages.macys.com/is/image/MCY/13987620 </v>
      </c>
    </row>
    <row r="509" spans="1:13" ht="60" x14ac:dyDescent="0.25">
      <c r="A509" s="7" t="s">
        <v>5689</v>
      </c>
      <c r="B509" s="2" t="s">
        <v>1253</v>
      </c>
      <c r="C509" s="4">
        <v>2</v>
      </c>
      <c r="D509" s="5">
        <v>2.61</v>
      </c>
      <c r="E509" s="5">
        <v>6.99</v>
      </c>
      <c r="F509" s="4" t="s">
        <v>1254</v>
      </c>
      <c r="G509" s="2" t="s">
        <v>171</v>
      </c>
      <c r="H509" s="7"/>
      <c r="I509" s="2" t="s">
        <v>483</v>
      </c>
      <c r="J509" s="2" t="s">
        <v>536</v>
      </c>
      <c r="K509" s="2" t="s">
        <v>304</v>
      </c>
      <c r="L509" s="2" t="s">
        <v>38</v>
      </c>
      <c r="M509" s="8" t="str">
        <f>HYPERLINK("http://slimages.macys.com/is/image/MCY/13987491 ")</f>
        <v xml:space="preserve">http://slimages.macys.com/is/image/MCY/13987491 </v>
      </c>
    </row>
    <row r="510" spans="1:13" ht="60" x14ac:dyDescent="0.25">
      <c r="A510" s="7" t="s">
        <v>9748</v>
      </c>
      <c r="B510" s="2" t="s">
        <v>6531</v>
      </c>
      <c r="C510" s="4">
        <v>1</v>
      </c>
      <c r="D510" s="5">
        <v>2.56</v>
      </c>
      <c r="E510" s="5">
        <v>6.99</v>
      </c>
      <c r="F510" s="4" t="s">
        <v>6532</v>
      </c>
      <c r="G510" s="2" t="s">
        <v>41</v>
      </c>
      <c r="H510" s="7" t="s">
        <v>42</v>
      </c>
      <c r="I510" s="2" t="s">
        <v>483</v>
      </c>
      <c r="J510" s="2" t="s">
        <v>536</v>
      </c>
      <c r="K510" s="2" t="s">
        <v>304</v>
      </c>
      <c r="L510" s="2" t="s">
        <v>100</v>
      </c>
      <c r="M510" s="8" t="str">
        <f>HYPERLINK("http://slimages.macys.com/is/image/MCY/11334659 ")</f>
        <v xml:space="preserve">http://slimages.macys.com/is/image/MCY/11334659 </v>
      </c>
    </row>
    <row r="511" spans="1:13" ht="60" x14ac:dyDescent="0.25">
      <c r="A511" s="7" t="s">
        <v>9749</v>
      </c>
      <c r="B511" s="2" t="s">
        <v>1260</v>
      </c>
      <c r="C511" s="4">
        <v>1</v>
      </c>
      <c r="D511" s="5">
        <v>2.56</v>
      </c>
      <c r="E511" s="5">
        <v>6.99</v>
      </c>
      <c r="F511" s="4" t="s">
        <v>1261</v>
      </c>
      <c r="G511" s="2" t="s">
        <v>41</v>
      </c>
      <c r="H511" s="7" t="s">
        <v>149</v>
      </c>
      <c r="I511" s="2" t="s">
        <v>483</v>
      </c>
      <c r="J511" s="2" t="s">
        <v>536</v>
      </c>
      <c r="K511" s="2" t="s">
        <v>304</v>
      </c>
      <c r="L511" s="2" t="s">
        <v>100</v>
      </c>
      <c r="M511" s="8" t="str">
        <f>HYPERLINK("http://slimages.macys.com/is/image/MCY/11779082 ")</f>
        <v xml:space="preserve">http://slimages.macys.com/is/image/MCY/11779082 </v>
      </c>
    </row>
    <row r="512" spans="1:13" ht="60" x14ac:dyDescent="0.25">
      <c r="A512" s="7" t="s">
        <v>9750</v>
      </c>
      <c r="B512" s="2" t="s">
        <v>6531</v>
      </c>
      <c r="C512" s="4">
        <v>1</v>
      </c>
      <c r="D512" s="5">
        <v>2.56</v>
      </c>
      <c r="E512" s="5">
        <v>6.99</v>
      </c>
      <c r="F512" s="4" t="s">
        <v>6532</v>
      </c>
      <c r="G512" s="2" t="s">
        <v>41</v>
      </c>
      <c r="H512" s="7" t="s">
        <v>91</v>
      </c>
      <c r="I512" s="2" t="s">
        <v>483</v>
      </c>
      <c r="J512" s="2" t="s">
        <v>536</v>
      </c>
      <c r="K512" s="2" t="s">
        <v>304</v>
      </c>
      <c r="L512" s="2" t="s">
        <v>100</v>
      </c>
      <c r="M512" s="8" t="str">
        <f>HYPERLINK("http://slimages.macys.com/is/image/MCY/11334659 ")</f>
        <v xml:space="preserve">http://slimages.macys.com/is/image/MCY/11334659 </v>
      </c>
    </row>
    <row r="513" spans="1:13" ht="60" x14ac:dyDescent="0.25">
      <c r="A513" s="7" t="s">
        <v>6059</v>
      </c>
      <c r="B513" s="2" t="s">
        <v>1260</v>
      </c>
      <c r="C513" s="4">
        <v>1</v>
      </c>
      <c r="D513" s="5">
        <v>2.56</v>
      </c>
      <c r="E513" s="5">
        <v>6.99</v>
      </c>
      <c r="F513" s="4" t="s">
        <v>1261</v>
      </c>
      <c r="G513" s="2" t="s">
        <v>86</v>
      </c>
      <c r="H513" s="7" t="s">
        <v>442</v>
      </c>
      <c r="I513" s="2" t="s">
        <v>483</v>
      </c>
      <c r="J513" s="2" t="s">
        <v>536</v>
      </c>
      <c r="K513" s="2" t="s">
        <v>304</v>
      </c>
      <c r="L513" s="2" t="s">
        <v>100</v>
      </c>
      <c r="M513" s="8" t="str">
        <f>HYPERLINK("http://slimages.macys.com/is/image/MCY/11779082 ")</f>
        <v xml:space="preserve">http://slimages.macys.com/is/image/MCY/11779082 </v>
      </c>
    </row>
    <row r="514" spans="1:13" ht="60" x14ac:dyDescent="0.25">
      <c r="A514" s="7" t="s">
        <v>6535</v>
      </c>
      <c r="B514" s="2" t="s">
        <v>5694</v>
      </c>
      <c r="C514" s="4">
        <v>1</v>
      </c>
      <c r="D514" s="5">
        <v>2.5499999999999998</v>
      </c>
      <c r="E514" s="5">
        <v>6.99</v>
      </c>
      <c r="F514" s="4" t="s">
        <v>5695</v>
      </c>
      <c r="G514" s="2" t="s">
        <v>2107</v>
      </c>
      <c r="H514" s="7" t="s">
        <v>590</v>
      </c>
      <c r="I514" s="2" t="s">
        <v>483</v>
      </c>
      <c r="J514" s="2" t="s">
        <v>536</v>
      </c>
      <c r="K514" s="2" t="s">
        <v>304</v>
      </c>
      <c r="L514" s="2" t="s">
        <v>206</v>
      </c>
      <c r="M514" s="8" t="str">
        <f>HYPERLINK("http://slimages.macys.com/is/image/MCY/11436886 ")</f>
        <v xml:space="preserve">http://slimages.macys.com/is/image/MCY/11436886 </v>
      </c>
    </row>
    <row r="515" spans="1:13" ht="84" x14ac:dyDescent="0.25">
      <c r="A515" s="7" t="s">
        <v>4540</v>
      </c>
      <c r="B515" s="2" t="s">
        <v>4538</v>
      </c>
      <c r="C515" s="4">
        <v>1</v>
      </c>
      <c r="D515" s="5">
        <v>2.5499999999999998</v>
      </c>
      <c r="E515" s="5">
        <v>6.99</v>
      </c>
      <c r="F515" s="4" t="s">
        <v>4539</v>
      </c>
      <c r="G515" s="2" t="s">
        <v>1265</v>
      </c>
      <c r="H515" s="7" t="s">
        <v>149</v>
      </c>
      <c r="I515" s="2" t="s">
        <v>483</v>
      </c>
      <c r="J515" s="2" t="s">
        <v>536</v>
      </c>
      <c r="K515" s="2" t="s">
        <v>304</v>
      </c>
      <c r="L515" s="2" t="s">
        <v>1308</v>
      </c>
      <c r="M515" s="8" t="str">
        <f>HYPERLINK("http://slimages.macys.com/is/image/MCY/13987471 ")</f>
        <v xml:space="preserve">http://slimages.macys.com/is/image/MCY/13987471 </v>
      </c>
    </row>
    <row r="516" spans="1:13" ht="60" x14ac:dyDescent="0.25">
      <c r="A516" s="7" t="s">
        <v>9751</v>
      </c>
      <c r="B516" s="2" t="s">
        <v>9752</v>
      </c>
      <c r="C516" s="4">
        <v>1</v>
      </c>
      <c r="D516" s="5">
        <v>2.5499999999999998</v>
      </c>
      <c r="E516" s="5">
        <v>6.99</v>
      </c>
      <c r="F516" s="4" t="s">
        <v>9753</v>
      </c>
      <c r="G516" s="2" t="s">
        <v>129</v>
      </c>
      <c r="H516" s="7" t="s">
        <v>149</v>
      </c>
      <c r="I516" s="2" t="s">
        <v>7609</v>
      </c>
      <c r="J516" s="2" t="s">
        <v>536</v>
      </c>
      <c r="K516" s="2" t="s">
        <v>304</v>
      </c>
      <c r="L516" s="2" t="s">
        <v>38</v>
      </c>
      <c r="M516" s="8" t="str">
        <f>HYPERLINK("http://slimages.macys.com/is/image/MCY/10276650 ")</f>
        <v xml:space="preserve">http://slimages.macys.com/is/image/MCY/10276650 </v>
      </c>
    </row>
    <row r="517" spans="1:13" ht="60" x14ac:dyDescent="0.25">
      <c r="A517" s="7" t="s">
        <v>5701</v>
      </c>
      <c r="B517" s="2" t="s">
        <v>4536</v>
      </c>
      <c r="C517" s="4">
        <v>1</v>
      </c>
      <c r="D517" s="5">
        <v>2.5499999999999998</v>
      </c>
      <c r="E517" s="5">
        <v>6.99</v>
      </c>
      <c r="F517" s="4">
        <v>10005486300</v>
      </c>
      <c r="G517" s="2" t="s">
        <v>134</v>
      </c>
      <c r="H517" s="7" t="s">
        <v>590</v>
      </c>
      <c r="I517" s="2" t="s">
        <v>483</v>
      </c>
      <c r="J517" s="2" t="s">
        <v>536</v>
      </c>
      <c r="K517" s="2" t="s">
        <v>304</v>
      </c>
      <c r="L517" s="2" t="s">
        <v>119</v>
      </c>
      <c r="M517" s="8" t="str">
        <f>HYPERLINK("http://slimages.macys.com/is/image/MCY/12466262 ")</f>
        <v xml:space="preserve">http://slimages.macys.com/is/image/MCY/12466262 </v>
      </c>
    </row>
    <row r="518" spans="1:13" ht="60" x14ac:dyDescent="0.25">
      <c r="A518" s="7" t="s">
        <v>1268</v>
      </c>
      <c r="B518" s="2" t="s">
        <v>1269</v>
      </c>
      <c r="C518" s="4">
        <v>2</v>
      </c>
      <c r="D518" s="5">
        <v>2.54</v>
      </c>
      <c r="E518" s="5">
        <v>6.99</v>
      </c>
      <c r="F518" s="4" t="s">
        <v>1270</v>
      </c>
      <c r="G518" s="2" t="s">
        <v>41</v>
      </c>
      <c r="H518" s="7"/>
      <c r="I518" s="2" t="s">
        <v>483</v>
      </c>
      <c r="J518" s="2" t="s">
        <v>536</v>
      </c>
      <c r="K518" s="2" t="s">
        <v>304</v>
      </c>
      <c r="L518" s="2" t="s">
        <v>38</v>
      </c>
      <c r="M518" s="8" t="str">
        <f>HYPERLINK("http://slimages.macys.com/is/image/MCY/13987495 ")</f>
        <v xml:space="preserve">http://slimages.macys.com/is/image/MCY/13987495 </v>
      </c>
    </row>
    <row r="519" spans="1:13" ht="60" x14ac:dyDescent="0.25">
      <c r="A519" s="7" t="s">
        <v>8458</v>
      </c>
      <c r="B519" s="2" t="s">
        <v>2722</v>
      </c>
      <c r="C519" s="4">
        <v>1</v>
      </c>
      <c r="D519" s="5">
        <v>2.54</v>
      </c>
      <c r="E519" s="5">
        <v>6.99</v>
      </c>
      <c r="F519" s="4">
        <v>10006317100</v>
      </c>
      <c r="G519" s="2" t="s">
        <v>1302</v>
      </c>
      <c r="H519" s="7" t="s">
        <v>442</v>
      </c>
      <c r="I519" s="2" t="s">
        <v>483</v>
      </c>
      <c r="J519" s="2" t="s">
        <v>536</v>
      </c>
      <c r="K519" s="2" t="s">
        <v>304</v>
      </c>
      <c r="L519" s="2" t="s">
        <v>38</v>
      </c>
      <c r="M519" s="8" t="str">
        <f>HYPERLINK("http://slimages.macys.com/is/image/MCY/13987493 ")</f>
        <v xml:space="preserve">http://slimages.macys.com/is/image/MCY/13987493 </v>
      </c>
    </row>
    <row r="520" spans="1:13" ht="60" x14ac:dyDescent="0.25">
      <c r="A520" s="7" t="s">
        <v>2723</v>
      </c>
      <c r="B520" s="2" t="s">
        <v>1269</v>
      </c>
      <c r="C520" s="4">
        <v>1</v>
      </c>
      <c r="D520" s="5">
        <v>2.54</v>
      </c>
      <c r="E520" s="5">
        <v>6.99</v>
      </c>
      <c r="F520" s="4" t="s">
        <v>1270</v>
      </c>
      <c r="G520" s="2" t="s">
        <v>41</v>
      </c>
      <c r="H520" s="7" t="s">
        <v>482</v>
      </c>
      <c r="I520" s="2" t="s">
        <v>483</v>
      </c>
      <c r="J520" s="2" t="s">
        <v>536</v>
      </c>
      <c r="K520" s="2" t="s">
        <v>304</v>
      </c>
      <c r="L520" s="2" t="s">
        <v>38</v>
      </c>
      <c r="M520" s="8" t="str">
        <f>HYPERLINK("http://slimages.macys.com/is/image/MCY/13987495 ")</f>
        <v xml:space="preserve">http://slimages.macys.com/is/image/MCY/13987495 </v>
      </c>
    </row>
    <row r="521" spans="1:13" ht="60" x14ac:dyDescent="0.25">
      <c r="A521" s="7" t="s">
        <v>9754</v>
      </c>
      <c r="B521" s="2" t="s">
        <v>5712</v>
      </c>
      <c r="C521" s="4">
        <v>1</v>
      </c>
      <c r="D521" s="5">
        <v>2.5299999999999998</v>
      </c>
      <c r="E521" s="5">
        <v>5.99</v>
      </c>
      <c r="F521" s="4" t="s">
        <v>5713</v>
      </c>
      <c r="G521" s="2" t="s">
        <v>28</v>
      </c>
      <c r="H521" s="7" t="s">
        <v>91</v>
      </c>
      <c r="I521" s="2" t="s">
        <v>483</v>
      </c>
      <c r="J521" s="2" t="s">
        <v>536</v>
      </c>
      <c r="K521" s="2" t="s">
        <v>304</v>
      </c>
      <c r="L521" s="2" t="s">
        <v>206</v>
      </c>
      <c r="M521" s="8" t="str">
        <f>HYPERLINK("http://slimages.macys.com/is/image/MCY/13386207 ")</f>
        <v xml:space="preserve">http://slimages.macys.com/is/image/MCY/13386207 </v>
      </c>
    </row>
    <row r="522" spans="1:13" ht="60" x14ac:dyDescent="0.25">
      <c r="A522" s="7" t="s">
        <v>7200</v>
      </c>
      <c r="B522" s="2" t="s">
        <v>1286</v>
      </c>
      <c r="C522" s="4">
        <v>1</v>
      </c>
      <c r="D522" s="5">
        <v>2.5299999999999998</v>
      </c>
      <c r="E522" s="5">
        <v>5.99</v>
      </c>
      <c r="F522" s="4" t="s">
        <v>1287</v>
      </c>
      <c r="G522" s="2" t="s">
        <v>41</v>
      </c>
      <c r="H522" s="7" t="s">
        <v>42</v>
      </c>
      <c r="I522" s="2" t="s">
        <v>483</v>
      </c>
      <c r="J522" s="2" t="s">
        <v>536</v>
      </c>
      <c r="K522" s="2" t="s">
        <v>304</v>
      </c>
      <c r="L522" s="2" t="s">
        <v>38</v>
      </c>
      <c r="M522" s="8" t="str">
        <f>HYPERLINK("http://slimages.macys.com/is/image/MCY/13987272 ")</f>
        <v xml:space="preserve">http://slimages.macys.com/is/image/MCY/13987272 </v>
      </c>
    </row>
    <row r="523" spans="1:13" ht="60" x14ac:dyDescent="0.25">
      <c r="A523" s="7" t="s">
        <v>9755</v>
      </c>
      <c r="B523" s="2" t="s">
        <v>1289</v>
      </c>
      <c r="C523" s="4">
        <v>1</v>
      </c>
      <c r="D523" s="5">
        <v>2.5299999999999998</v>
      </c>
      <c r="E523" s="5">
        <v>5.99</v>
      </c>
      <c r="F523" s="4" t="s">
        <v>1290</v>
      </c>
      <c r="G523" s="2" t="s">
        <v>353</v>
      </c>
      <c r="H523" s="7" t="s">
        <v>91</v>
      </c>
      <c r="I523" s="2" t="s">
        <v>483</v>
      </c>
      <c r="J523" s="2" t="s">
        <v>536</v>
      </c>
      <c r="K523" s="2" t="s">
        <v>304</v>
      </c>
      <c r="L523" s="2" t="s">
        <v>206</v>
      </c>
      <c r="M523" s="8" t="str">
        <f>HYPERLINK("http://slimages.macys.com/is/image/MCY/13386702 ")</f>
        <v xml:space="preserve">http://slimages.macys.com/is/image/MCY/13386702 </v>
      </c>
    </row>
    <row r="524" spans="1:13" ht="60" x14ac:dyDescent="0.25">
      <c r="A524" s="7" t="s">
        <v>9756</v>
      </c>
      <c r="B524" s="2" t="s">
        <v>1280</v>
      </c>
      <c r="C524" s="4">
        <v>2</v>
      </c>
      <c r="D524" s="5">
        <v>2.5299999999999998</v>
      </c>
      <c r="E524" s="5">
        <v>5.99</v>
      </c>
      <c r="F524" s="4" t="s">
        <v>1281</v>
      </c>
      <c r="G524" s="2" t="s">
        <v>41</v>
      </c>
      <c r="H524" s="7" t="s">
        <v>91</v>
      </c>
      <c r="I524" s="2" t="s">
        <v>483</v>
      </c>
      <c r="J524" s="2" t="s">
        <v>536</v>
      </c>
      <c r="K524" s="2" t="s">
        <v>304</v>
      </c>
      <c r="L524" s="2" t="s">
        <v>206</v>
      </c>
      <c r="M524" s="8" t="str">
        <f>HYPERLINK("http://slimages.macys.com/is/image/MCY/13385820 ")</f>
        <v xml:space="preserve">http://slimages.macys.com/is/image/MCY/13385820 </v>
      </c>
    </row>
    <row r="525" spans="1:13" ht="60" x14ac:dyDescent="0.25">
      <c r="A525" s="7" t="s">
        <v>9757</v>
      </c>
      <c r="B525" s="2" t="s">
        <v>1283</v>
      </c>
      <c r="C525" s="4">
        <v>1</v>
      </c>
      <c r="D525" s="5">
        <v>2.5299999999999998</v>
      </c>
      <c r="E525" s="5">
        <v>5.99</v>
      </c>
      <c r="F525" s="4" t="s">
        <v>1284</v>
      </c>
      <c r="G525" s="2" t="s">
        <v>41</v>
      </c>
      <c r="H525" s="7" t="s">
        <v>442</v>
      </c>
      <c r="I525" s="2" t="s">
        <v>483</v>
      </c>
      <c r="J525" s="2" t="s">
        <v>536</v>
      </c>
      <c r="K525" s="2" t="s">
        <v>304</v>
      </c>
      <c r="L525" s="2" t="s">
        <v>38</v>
      </c>
      <c r="M525" s="8" t="str">
        <f>HYPERLINK("http://slimages.macys.com/is/image/MCY/13337388 ")</f>
        <v xml:space="preserve">http://slimages.macys.com/is/image/MCY/13337388 </v>
      </c>
    </row>
    <row r="526" spans="1:13" ht="84" x14ac:dyDescent="0.25">
      <c r="A526" s="7" t="s">
        <v>9758</v>
      </c>
      <c r="B526" s="2" t="s">
        <v>8463</v>
      </c>
      <c r="C526" s="4">
        <v>1</v>
      </c>
      <c r="D526" s="5">
        <v>2.5299999999999998</v>
      </c>
      <c r="E526" s="5">
        <v>5.99</v>
      </c>
      <c r="F526" s="4" t="s">
        <v>8464</v>
      </c>
      <c r="G526" s="2" t="s">
        <v>653</v>
      </c>
      <c r="H526" s="7" t="s">
        <v>442</v>
      </c>
      <c r="I526" s="2" t="s">
        <v>483</v>
      </c>
      <c r="J526" s="2" t="s">
        <v>536</v>
      </c>
      <c r="K526" s="2" t="s">
        <v>304</v>
      </c>
      <c r="L526" s="2" t="s">
        <v>8465</v>
      </c>
      <c r="M526" s="8" t="str">
        <f>HYPERLINK("http://slimages.macys.com/is/image/MCY/11708628 ")</f>
        <v xml:space="preserve">http://slimages.macys.com/is/image/MCY/11708628 </v>
      </c>
    </row>
    <row r="527" spans="1:13" ht="60" x14ac:dyDescent="0.25">
      <c r="A527" s="7" t="s">
        <v>9759</v>
      </c>
      <c r="B527" s="2" t="s">
        <v>9760</v>
      </c>
      <c r="C527" s="4">
        <v>1</v>
      </c>
      <c r="D527" s="5">
        <v>2.52</v>
      </c>
      <c r="E527" s="5">
        <v>7.99</v>
      </c>
      <c r="F527" s="4" t="s">
        <v>9761</v>
      </c>
      <c r="G527" s="2" t="s">
        <v>657</v>
      </c>
      <c r="H527" s="7" t="s">
        <v>1151</v>
      </c>
      <c r="I527" s="2" t="s">
        <v>483</v>
      </c>
      <c r="J527" s="2" t="s">
        <v>536</v>
      </c>
      <c r="K527" s="2" t="s">
        <v>304</v>
      </c>
      <c r="L527" s="2" t="s">
        <v>38</v>
      </c>
      <c r="M527" s="8" t="str">
        <f>HYPERLINK("http://slimages.macys.com/is/image/MCY/13987613 ")</f>
        <v xml:space="preserve">http://slimages.macys.com/is/image/MCY/13987613 </v>
      </c>
    </row>
    <row r="528" spans="1:13" ht="60" x14ac:dyDescent="0.25">
      <c r="A528" s="7" t="s">
        <v>6071</v>
      </c>
      <c r="B528" s="2" t="s">
        <v>6072</v>
      </c>
      <c r="C528" s="4">
        <v>1</v>
      </c>
      <c r="D528" s="5">
        <v>2.52</v>
      </c>
      <c r="E528" s="5">
        <v>7.99</v>
      </c>
      <c r="F528" s="4">
        <v>10005378700</v>
      </c>
      <c r="G528" s="2" t="s">
        <v>582</v>
      </c>
      <c r="H528" s="7" t="s">
        <v>482</v>
      </c>
      <c r="I528" s="2" t="s">
        <v>483</v>
      </c>
      <c r="J528" s="2" t="s">
        <v>536</v>
      </c>
      <c r="K528" s="2" t="s">
        <v>304</v>
      </c>
      <c r="L528" s="2" t="s">
        <v>100</v>
      </c>
      <c r="M528" s="8" t="str">
        <f>HYPERLINK("http://slimages.macys.com/is/image/MCY/12466219 ")</f>
        <v xml:space="preserve">http://slimages.macys.com/is/image/MCY/12466219 </v>
      </c>
    </row>
    <row r="529" spans="1:13" ht="60" x14ac:dyDescent="0.25">
      <c r="A529" s="7" t="s">
        <v>6074</v>
      </c>
      <c r="B529" s="2" t="s">
        <v>2295</v>
      </c>
      <c r="C529" s="4">
        <v>4</v>
      </c>
      <c r="D529" s="5">
        <v>2.5099999999999998</v>
      </c>
      <c r="E529" s="5">
        <v>5.99</v>
      </c>
      <c r="F529" s="4" t="s">
        <v>2296</v>
      </c>
      <c r="G529" s="2" t="s">
        <v>28</v>
      </c>
      <c r="H529" s="7" t="s">
        <v>42</v>
      </c>
      <c r="I529" s="2" t="s">
        <v>483</v>
      </c>
      <c r="J529" s="2" t="s">
        <v>536</v>
      </c>
      <c r="K529" s="2" t="s">
        <v>304</v>
      </c>
      <c r="L529" s="2" t="s">
        <v>119</v>
      </c>
      <c r="M529" s="8" t="str">
        <f>HYPERLINK("http://slimages.macys.com/is/image/MCY/11436914 ")</f>
        <v xml:space="preserve">http://slimages.macys.com/is/image/MCY/11436914 </v>
      </c>
    </row>
    <row r="530" spans="1:13" ht="60" x14ac:dyDescent="0.25">
      <c r="A530" s="7" t="s">
        <v>6075</v>
      </c>
      <c r="B530" s="2" t="s">
        <v>2295</v>
      </c>
      <c r="C530" s="4">
        <v>3</v>
      </c>
      <c r="D530" s="5">
        <v>2.5099999999999998</v>
      </c>
      <c r="E530" s="5">
        <v>5.99</v>
      </c>
      <c r="F530" s="4" t="s">
        <v>2296</v>
      </c>
      <c r="G530" s="2" t="s">
        <v>28</v>
      </c>
      <c r="H530" s="7" t="s">
        <v>442</v>
      </c>
      <c r="I530" s="2" t="s">
        <v>483</v>
      </c>
      <c r="J530" s="2" t="s">
        <v>536</v>
      </c>
      <c r="K530" s="2" t="s">
        <v>304</v>
      </c>
      <c r="L530" s="2" t="s">
        <v>119</v>
      </c>
      <c r="M530" s="8" t="str">
        <f>HYPERLINK("http://slimages.macys.com/is/image/MCY/11436914 ")</f>
        <v xml:space="preserve">http://slimages.macys.com/is/image/MCY/11436914 </v>
      </c>
    </row>
    <row r="531" spans="1:13" ht="60" x14ac:dyDescent="0.25">
      <c r="A531" s="7" t="s">
        <v>2297</v>
      </c>
      <c r="B531" s="2" t="s">
        <v>2295</v>
      </c>
      <c r="C531" s="4">
        <v>5</v>
      </c>
      <c r="D531" s="5">
        <v>2.5099999999999998</v>
      </c>
      <c r="E531" s="5">
        <v>5.99</v>
      </c>
      <c r="F531" s="4" t="s">
        <v>2296</v>
      </c>
      <c r="G531" s="2" t="s">
        <v>28</v>
      </c>
      <c r="H531" s="7" t="s">
        <v>91</v>
      </c>
      <c r="I531" s="2" t="s">
        <v>483</v>
      </c>
      <c r="J531" s="2" t="s">
        <v>536</v>
      </c>
      <c r="K531" s="2" t="s">
        <v>304</v>
      </c>
      <c r="L531" s="2" t="s">
        <v>119</v>
      </c>
      <c r="M531" s="8" t="str">
        <f>HYPERLINK("http://slimages.macys.com/is/image/MCY/11436914 ")</f>
        <v xml:space="preserve">http://slimages.macys.com/is/image/MCY/11436914 </v>
      </c>
    </row>
    <row r="532" spans="1:13" ht="60" x14ac:dyDescent="0.25">
      <c r="A532" s="7" t="s">
        <v>8469</v>
      </c>
      <c r="B532" s="2" t="s">
        <v>3523</v>
      </c>
      <c r="C532" s="4">
        <v>1</v>
      </c>
      <c r="D532" s="5">
        <v>2.5099999999999998</v>
      </c>
      <c r="E532" s="5">
        <v>5.99</v>
      </c>
      <c r="F532" s="4" t="s">
        <v>3524</v>
      </c>
      <c r="G532" s="2" t="s">
        <v>657</v>
      </c>
      <c r="H532" s="7" t="s">
        <v>149</v>
      </c>
      <c r="I532" s="2" t="s">
        <v>483</v>
      </c>
      <c r="J532" s="2" t="s">
        <v>536</v>
      </c>
      <c r="K532" s="2" t="s">
        <v>304</v>
      </c>
      <c r="L532" s="2" t="s">
        <v>119</v>
      </c>
      <c r="M532" s="8" t="str">
        <f>HYPERLINK("http://slimages.macys.com/is/image/MCY/13987476 ")</f>
        <v xml:space="preserve">http://slimages.macys.com/is/image/MCY/13987476 </v>
      </c>
    </row>
    <row r="533" spans="1:13" ht="60" x14ac:dyDescent="0.25">
      <c r="A533" s="7" t="s">
        <v>2294</v>
      </c>
      <c r="B533" s="2" t="s">
        <v>2295</v>
      </c>
      <c r="C533" s="4">
        <v>3</v>
      </c>
      <c r="D533" s="5">
        <v>2.5099999999999998</v>
      </c>
      <c r="E533" s="5">
        <v>5.99</v>
      </c>
      <c r="F533" s="4" t="s">
        <v>2296</v>
      </c>
      <c r="G533" s="2" t="s">
        <v>28</v>
      </c>
      <c r="H533" s="7" t="s">
        <v>590</v>
      </c>
      <c r="I533" s="2" t="s">
        <v>483</v>
      </c>
      <c r="J533" s="2" t="s">
        <v>536</v>
      </c>
      <c r="K533" s="2" t="s">
        <v>304</v>
      </c>
      <c r="L533" s="2" t="s">
        <v>119</v>
      </c>
      <c r="M533" s="8" t="str">
        <f>HYPERLINK("http://slimages.macys.com/is/image/MCY/11436914 ")</f>
        <v xml:space="preserve">http://slimages.macys.com/is/image/MCY/11436914 </v>
      </c>
    </row>
    <row r="534" spans="1:13" ht="60" x14ac:dyDescent="0.25">
      <c r="A534" s="7" t="s">
        <v>6076</v>
      </c>
      <c r="B534" s="2" t="s">
        <v>2295</v>
      </c>
      <c r="C534" s="4">
        <v>1</v>
      </c>
      <c r="D534" s="5">
        <v>2.5099999999999998</v>
      </c>
      <c r="E534" s="5">
        <v>5.99</v>
      </c>
      <c r="F534" s="4" t="s">
        <v>2296</v>
      </c>
      <c r="G534" s="2" t="s">
        <v>28</v>
      </c>
      <c r="H534" s="7" t="s">
        <v>149</v>
      </c>
      <c r="I534" s="2" t="s">
        <v>483</v>
      </c>
      <c r="J534" s="2" t="s">
        <v>536</v>
      </c>
      <c r="K534" s="2" t="s">
        <v>304</v>
      </c>
      <c r="L534" s="2" t="s">
        <v>119</v>
      </c>
      <c r="M534" s="8" t="str">
        <f>HYPERLINK("http://slimages.macys.com/is/image/MCY/11436914 ")</f>
        <v xml:space="preserve">http://slimages.macys.com/is/image/MCY/11436914 </v>
      </c>
    </row>
    <row r="535" spans="1:13" ht="60" x14ac:dyDescent="0.25">
      <c r="A535" s="7" t="s">
        <v>9762</v>
      </c>
      <c r="B535" s="2" t="s">
        <v>6561</v>
      </c>
      <c r="C535" s="4">
        <v>1</v>
      </c>
      <c r="D535" s="5">
        <v>2.5</v>
      </c>
      <c r="E535" s="5">
        <v>5.99</v>
      </c>
      <c r="F535" s="4" t="s">
        <v>6562</v>
      </c>
      <c r="G535" s="2" t="s">
        <v>41</v>
      </c>
      <c r="H535" s="7" t="s">
        <v>590</v>
      </c>
      <c r="I535" s="2" t="s">
        <v>483</v>
      </c>
      <c r="J535" s="2" t="s">
        <v>536</v>
      </c>
      <c r="K535" s="2" t="s">
        <v>304</v>
      </c>
      <c r="L535" s="2" t="s">
        <v>100</v>
      </c>
      <c r="M535" s="8" t="str">
        <f>HYPERLINK("http://slimages.macys.com/is/image/MCY/11857323 ")</f>
        <v xml:space="preserve">http://slimages.macys.com/is/image/MCY/11857323 </v>
      </c>
    </row>
    <row r="536" spans="1:13" ht="60" x14ac:dyDescent="0.25">
      <c r="A536" s="7" t="s">
        <v>9763</v>
      </c>
      <c r="B536" s="2" t="s">
        <v>6564</v>
      </c>
      <c r="C536" s="4">
        <v>2</v>
      </c>
      <c r="D536" s="5">
        <v>2.5</v>
      </c>
      <c r="E536" s="5">
        <v>5.99</v>
      </c>
      <c r="F536" s="4" t="s">
        <v>6565</v>
      </c>
      <c r="G536" s="2" t="s">
        <v>755</v>
      </c>
      <c r="H536" s="7" t="s">
        <v>217</v>
      </c>
      <c r="I536" s="2" t="s">
        <v>468</v>
      </c>
      <c r="J536" s="2" t="s">
        <v>544</v>
      </c>
      <c r="K536" s="2" t="s">
        <v>304</v>
      </c>
      <c r="L536" s="2" t="s">
        <v>119</v>
      </c>
      <c r="M536" s="8" t="str">
        <f>HYPERLINK("http://slimages.macys.com/is/image/MCY/12228312 ")</f>
        <v xml:space="preserve">http://slimages.macys.com/is/image/MCY/12228312 </v>
      </c>
    </row>
    <row r="537" spans="1:13" ht="60" x14ac:dyDescent="0.25">
      <c r="A537" s="7" t="s">
        <v>6563</v>
      </c>
      <c r="B537" s="2" t="s">
        <v>6564</v>
      </c>
      <c r="C537" s="4">
        <v>2</v>
      </c>
      <c r="D537" s="5">
        <v>2.5</v>
      </c>
      <c r="E537" s="5">
        <v>5.99</v>
      </c>
      <c r="F537" s="4" t="s">
        <v>6565</v>
      </c>
      <c r="G537" s="2" t="s">
        <v>755</v>
      </c>
      <c r="H537" s="7" t="s">
        <v>228</v>
      </c>
      <c r="I537" s="2" t="s">
        <v>468</v>
      </c>
      <c r="J537" s="2" t="s">
        <v>544</v>
      </c>
      <c r="K537" s="2" t="s">
        <v>304</v>
      </c>
      <c r="L537" s="2" t="s">
        <v>119</v>
      </c>
      <c r="M537" s="8" t="str">
        <f>HYPERLINK("http://slimages.macys.com/is/image/MCY/12228312 ")</f>
        <v xml:space="preserve">http://slimages.macys.com/is/image/MCY/12228312 </v>
      </c>
    </row>
    <row r="538" spans="1:13" ht="60" x14ac:dyDescent="0.25">
      <c r="A538" s="7" t="s">
        <v>9764</v>
      </c>
      <c r="B538" s="2" t="s">
        <v>6564</v>
      </c>
      <c r="C538" s="4">
        <v>1</v>
      </c>
      <c r="D538" s="5">
        <v>2.5</v>
      </c>
      <c r="E538" s="5">
        <v>5.99</v>
      </c>
      <c r="F538" s="4" t="s">
        <v>6565</v>
      </c>
      <c r="G538" s="2" t="s">
        <v>755</v>
      </c>
      <c r="H538" s="7" t="s">
        <v>159</v>
      </c>
      <c r="I538" s="2" t="s">
        <v>468</v>
      </c>
      <c r="J538" s="2" t="s">
        <v>544</v>
      </c>
      <c r="K538" s="2" t="s">
        <v>304</v>
      </c>
      <c r="L538" s="2" t="s">
        <v>119</v>
      </c>
      <c r="M538" s="8" t="str">
        <f>HYPERLINK("http://slimages.macys.com/is/image/MCY/12228312 ")</f>
        <v xml:space="preserve">http://slimages.macys.com/is/image/MCY/12228312 </v>
      </c>
    </row>
    <row r="539" spans="1:13" ht="60" x14ac:dyDescent="0.25">
      <c r="A539" s="7" t="s">
        <v>9765</v>
      </c>
      <c r="B539" s="2" t="s">
        <v>6564</v>
      </c>
      <c r="C539" s="4">
        <v>1</v>
      </c>
      <c r="D539" s="5">
        <v>2.5</v>
      </c>
      <c r="E539" s="5">
        <v>5.99</v>
      </c>
      <c r="F539" s="4" t="s">
        <v>6565</v>
      </c>
      <c r="G539" s="2" t="s">
        <v>755</v>
      </c>
      <c r="H539" s="7" t="s">
        <v>284</v>
      </c>
      <c r="I539" s="2" t="s">
        <v>468</v>
      </c>
      <c r="J539" s="2" t="s">
        <v>544</v>
      </c>
      <c r="K539" s="2" t="s">
        <v>304</v>
      </c>
      <c r="L539" s="2" t="s">
        <v>119</v>
      </c>
      <c r="M539" s="8" t="str">
        <f>HYPERLINK("http://slimages.macys.com/is/image/MCY/12228312 ")</f>
        <v xml:space="preserve">http://slimages.macys.com/is/image/MCY/12228312 </v>
      </c>
    </row>
    <row r="540" spans="1:13" ht="60" x14ac:dyDescent="0.25">
      <c r="A540" s="7" t="s">
        <v>9225</v>
      </c>
      <c r="B540" s="2" t="s">
        <v>2725</v>
      </c>
      <c r="C540" s="4">
        <v>1</v>
      </c>
      <c r="D540" s="5">
        <v>2.5</v>
      </c>
      <c r="E540" s="5">
        <v>5.99</v>
      </c>
      <c r="F540" s="4" t="s">
        <v>2726</v>
      </c>
      <c r="G540" s="2" t="s">
        <v>86</v>
      </c>
      <c r="H540" s="7" t="s">
        <v>590</v>
      </c>
      <c r="I540" s="2" t="s">
        <v>483</v>
      </c>
      <c r="J540" s="2" t="s">
        <v>536</v>
      </c>
      <c r="K540" s="2" t="s">
        <v>304</v>
      </c>
      <c r="L540" s="2" t="s">
        <v>87</v>
      </c>
      <c r="M540" s="8" t="str">
        <f>HYPERLINK("http://slimages.macys.com/is/image/MCY/11524096 ")</f>
        <v xml:space="preserve">http://slimages.macys.com/is/image/MCY/11524096 </v>
      </c>
    </row>
    <row r="541" spans="1:13" ht="84" x14ac:dyDescent="0.25">
      <c r="A541" s="7" t="s">
        <v>9766</v>
      </c>
      <c r="B541" s="2" t="s">
        <v>1312</v>
      </c>
      <c r="C541" s="4">
        <v>1</v>
      </c>
      <c r="D541" s="5">
        <v>2.4900000000000002</v>
      </c>
      <c r="E541" s="5">
        <v>6.99</v>
      </c>
      <c r="F541" s="4" t="s">
        <v>1313</v>
      </c>
      <c r="G541" s="2" t="s">
        <v>41</v>
      </c>
      <c r="H541" s="7" t="s">
        <v>442</v>
      </c>
      <c r="I541" s="2" t="s">
        <v>483</v>
      </c>
      <c r="J541" s="2" t="s">
        <v>536</v>
      </c>
      <c r="K541" s="2" t="s">
        <v>304</v>
      </c>
      <c r="L541" s="2" t="s">
        <v>1314</v>
      </c>
      <c r="M541" s="8" t="str">
        <f>HYPERLINK("http://slimages.macys.com/is/image/MCY/13987469 ")</f>
        <v xml:space="preserve">http://slimages.macys.com/is/image/MCY/13987469 </v>
      </c>
    </row>
    <row r="542" spans="1:13" ht="108" x14ac:dyDescent="0.25">
      <c r="A542" s="7" t="s">
        <v>2301</v>
      </c>
      <c r="B542" s="2" t="s">
        <v>2302</v>
      </c>
      <c r="C542" s="4">
        <v>1</v>
      </c>
      <c r="D542" s="5">
        <v>2.4900000000000002</v>
      </c>
      <c r="E542" s="5">
        <v>6.99</v>
      </c>
      <c r="F542" s="4" t="s">
        <v>2303</v>
      </c>
      <c r="G542" s="2" t="s">
        <v>134</v>
      </c>
      <c r="H542" s="7" t="s">
        <v>149</v>
      </c>
      <c r="I542" s="2" t="s">
        <v>483</v>
      </c>
      <c r="J542" s="2" t="s">
        <v>536</v>
      </c>
      <c r="K542" s="2" t="s">
        <v>304</v>
      </c>
      <c r="L542" s="2" t="s">
        <v>2304</v>
      </c>
      <c r="M542" s="8" t="str">
        <f>HYPERLINK("http://slimages.macys.com/is/image/MCY/13987461 ")</f>
        <v xml:space="preserve">http://slimages.macys.com/is/image/MCY/13987461 </v>
      </c>
    </row>
    <row r="543" spans="1:13" ht="60" x14ac:dyDescent="0.25">
      <c r="A543" s="7" t="s">
        <v>2313</v>
      </c>
      <c r="B543" s="2" t="s">
        <v>622</v>
      </c>
      <c r="C543" s="4">
        <v>2</v>
      </c>
      <c r="D543" s="5">
        <v>2.48</v>
      </c>
      <c r="E543" s="5">
        <v>7.99</v>
      </c>
      <c r="F543" s="4">
        <v>10005379300</v>
      </c>
      <c r="G543" s="2" t="s">
        <v>437</v>
      </c>
      <c r="H543" s="7" t="s">
        <v>149</v>
      </c>
      <c r="I543" s="2" t="s">
        <v>483</v>
      </c>
      <c r="J543" s="2" t="s">
        <v>536</v>
      </c>
      <c r="K543" s="2" t="s">
        <v>304</v>
      </c>
      <c r="L543" s="2" t="s">
        <v>623</v>
      </c>
      <c r="M543" s="8" t="str">
        <f t="shared" ref="M543:M550" si="5">HYPERLINK("http://slimages.macys.com/is/image/MCY/12465415 ")</f>
        <v xml:space="preserve">http://slimages.macys.com/is/image/MCY/12465415 </v>
      </c>
    </row>
    <row r="544" spans="1:13" ht="60" x14ac:dyDescent="0.25">
      <c r="A544" s="7" t="s">
        <v>2309</v>
      </c>
      <c r="B544" s="2" t="s">
        <v>622</v>
      </c>
      <c r="C544" s="4">
        <v>1</v>
      </c>
      <c r="D544" s="5">
        <v>2.48</v>
      </c>
      <c r="E544" s="5">
        <v>7.99</v>
      </c>
      <c r="F544" s="4">
        <v>10005379300</v>
      </c>
      <c r="G544" s="2" t="s">
        <v>437</v>
      </c>
      <c r="H544" s="7" t="s">
        <v>482</v>
      </c>
      <c r="I544" s="2" t="s">
        <v>483</v>
      </c>
      <c r="J544" s="2" t="s">
        <v>536</v>
      </c>
      <c r="K544" s="2" t="s">
        <v>304</v>
      </c>
      <c r="L544" s="2" t="s">
        <v>623</v>
      </c>
      <c r="M544" s="8" t="str">
        <f t="shared" si="5"/>
        <v xml:space="preserve">http://slimages.macys.com/is/image/MCY/12465415 </v>
      </c>
    </row>
    <row r="545" spans="1:13" ht="60" x14ac:dyDescent="0.25">
      <c r="A545" s="7" t="s">
        <v>2314</v>
      </c>
      <c r="B545" s="2" t="s">
        <v>622</v>
      </c>
      <c r="C545" s="4">
        <v>1</v>
      </c>
      <c r="D545" s="5">
        <v>2.48</v>
      </c>
      <c r="E545" s="5">
        <v>7.99</v>
      </c>
      <c r="F545" s="4">
        <v>10005379300</v>
      </c>
      <c r="G545" s="2" t="s">
        <v>437</v>
      </c>
      <c r="H545" s="7"/>
      <c r="I545" s="2" t="s">
        <v>483</v>
      </c>
      <c r="J545" s="2" t="s">
        <v>536</v>
      </c>
      <c r="K545" s="2" t="s">
        <v>304</v>
      </c>
      <c r="L545" s="2" t="s">
        <v>623</v>
      </c>
      <c r="M545" s="8" t="str">
        <f t="shared" si="5"/>
        <v xml:space="preserve">http://slimages.macys.com/is/image/MCY/12465415 </v>
      </c>
    </row>
    <row r="546" spans="1:13" ht="60" x14ac:dyDescent="0.25">
      <c r="A546" s="7" t="s">
        <v>2312</v>
      </c>
      <c r="B546" s="2" t="s">
        <v>622</v>
      </c>
      <c r="C546" s="4">
        <v>1</v>
      </c>
      <c r="D546" s="5">
        <v>2.48</v>
      </c>
      <c r="E546" s="5">
        <v>7.99</v>
      </c>
      <c r="F546" s="4">
        <v>10005379300</v>
      </c>
      <c r="G546" s="2" t="s">
        <v>62</v>
      </c>
      <c r="H546" s="7" t="s">
        <v>149</v>
      </c>
      <c r="I546" s="2" t="s">
        <v>483</v>
      </c>
      <c r="J546" s="2" t="s">
        <v>536</v>
      </c>
      <c r="K546" s="2" t="s">
        <v>304</v>
      </c>
      <c r="L546" s="2" t="s">
        <v>623</v>
      </c>
      <c r="M546" s="8" t="str">
        <f t="shared" si="5"/>
        <v xml:space="preserve">http://slimages.macys.com/is/image/MCY/12465415 </v>
      </c>
    </row>
    <row r="547" spans="1:13" ht="60" x14ac:dyDescent="0.25">
      <c r="A547" s="7" t="s">
        <v>2311</v>
      </c>
      <c r="B547" s="2" t="s">
        <v>622</v>
      </c>
      <c r="C547" s="4">
        <v>2</v>
      </c>
      <c r="D547" s="5">
        <v>2.48</v>
      </c>
      <c r="E547" s="5">
        <v>7.99</v>
      </c>
      <c r="F547" s="4">
        <v>10005379300</v>
      </c>
      <c r="G547" s="2" t="s">
        <v>62</v>
      </c>
      <c r="H547" s="7" t="s">
        <v>482</v>
      </c>
      <c r="I547" s="2" t="s">
        <v>483</v>
      </c>
      <c r="J547" s="2" t="s">
        <v>536</v>
      </c>
      <c r="K547" s="2" t="s">
        <v>304</v>
      </c>
      <c r="L547" s="2" t="s">
        <v>623</v>
      </c>
      <c r="M547" s="8" t="str">
        <f t="shared" si="5"/>
        <v xml:space="preserve">http://slimages.macys.com/is/image/MCY/12465415 </v>
      </c>
    </row>
    <row r="548" spans="1:13" ht="60" x14ac:dyDescent="0.25">
      <c r="A548" s="7" t="s">
        <v>2316</v>
      </c>
      <c r="B548" s="2" t="s">
        <v>622</v>
      </c>
      <c r="C548" s="4">
        <v>1</v>
      </c>
      <c r="D548" s="5">
        <v>2.48</v>
      </c>
      <c r="E548" s="5">
        <v>7.99</v>
      </c>
      <c r="F548" s="4">
        <v>10005379300</v>
      </c>
      <c r="G548" s="2" t="s">
        <v>437</v>
      </c>
      <c r="H548" s="7" t="s">
        <v>442</v>
      </c>
      <c r="I548" s="2" t="s">
        <v>483</v>
      </c>
      <c r="J548" s="2" t="s">
        <v>536</v>
      </c>
      <c r="K548" s="2" t="s">
        <v>304</v>
      </c>
      <c r="L548" s="2" t="s">
        <v>623</v>
      </c>
      <c r="M548" s="8" t="str">
        <f t="shared" si="5"/>
        <v xml:space="preserve">http://slimages.macys.com/is/image/MCY/12465415 </v>
      </c>
    </row>
    <row r="549" spans="1:13" ht="60" x14ac:dyDescent="0.25">
      <c r="A549" s="7" t="s">
        <v>621</v>
      </c>
      <c r="B549" s="2" t="s">
        <v>622</v>
      </c>
      <c r="C549" s="4">
        <v>3</v>
      </c>
      <c r="D549" s="5">
        <v>2.48</v>
      </c>
      <c r="E549" s="5">
        <v>7.99</v>
      </c>
      <c r="F549" s="4">
        <v>10005379300</v>
      </c>
      <c r="G549" s="2" t="s">
        <v>437</v>
      </c>
      <c r="H549" s="7" t="s">
        <v>590</v>
      </c>
      <c r="I549" s="2" t="s">
        <v>483</v>
      </c>
      <c r="J549" s="2" t="s">
        <v>536</v>
      </c>
      <c r="K549" s="2" t="s">
        <v>304</v>
      </c>
      <c r="L549" s="2" t="s">
        <v>623</v>
      </c>
      <c r="M549" s="8" t="str">
        <f t="shared" si="5"/>
        <v xml:space="preserve">http://slimages.macys.com/is/image/MCY/12465415 </v>
      </c>
    </row>
    <row r="550" spans="1:13" ht="60" x14ac:dyDescent="0.25">
      <c r="A550" s="7" t="s">
        <v>2310</v>
      </c>
      <c r="B550" s="2" t="s">
        <v>622</v>
      </c>
      <c r="C550" s="4">
        <v>2</v>
      </c>
      <c r="D550" s="5">
        <v>2.48</v>
      </c>
      <c r="E550" s="5">
        <v>7.99</v>
      </c>
      <c r="F550" s="4">
        <v>10005379300</v>
      </c>
      <c r="G550" s="2" t="s">
        <v>62</v>
      </c>
      <c r="H550" s="7"/>
      <c r="I550" s="2" t="s">
        <v>483</v>
      </c>
      <c r="J550" s="2" t="s">
        <v>536</v>
      </c>
      <c r="K550" s="2" t="s">
        <v>304</v>
      </c>
      <c r="L550" s="2" t="s">
        <v>623</v>
      </c>
      <c r="M550" s="8" t="str">
        <f t="shared" si="5"/>
        <v xml:space="preserve">http://slimages.macys.com/is/image/MCY/12465415 </v>
      </c>
    </row>
    <row r="551" spans="1:13" ht="96" x14ac:dyDescent="0.25">
      <c r="A551" s="7" t="s">
        <v>7212</v>
      </c>
      <c r="B551" s="2" t="s">
        <v>2318</v>
      </c>
      <c r="C551" s="4">
        <v>2</v>
      </c>
      <c r="D551" s="5">
        <v>2.4700000000000002</v>
      </c>
      <c r="E551" s="5">
        <v>6.99</v>
      </c>
      <c r="F551" s="4">
        <v>10006315800</v>
      </c>
      <c r="G551" s="2" t="s">
        <v>527</v>
      </c>
      <c r="H551" s="7" t="s">
        <v>442</v>
      </c>
      <c r="I551" s="2" t="s">
        <v>483</v>
      </c>
      <c r="J551" s="2" t="s">
        <v>536</v>
      </c>
      <c r="K551" s="2" t="s">
        <v>304</v>
      </c>
      <c r="L551" s="2" t="s">
        <v>2319</v>
      </c>
      <c r="M551" s="8" t="str">
        <f>HYPERLINK("http://slimages.macys.com/is/image/MCY/13987454 ")</f>
        <v xml:space="preserve">http://slimages.macys.com/is/image/MCY/13987454 </v>
      </c>
    </row>
    <row r="552" spans="1:13" ht="96" x14ac:dyDescent="0.25">
      <c r="A552" s="7" t="s">
        <v>9767</v>
      </c>
      <c r="B552" s="2" t="s">
        <v>2318</v>
      </c>
      <c r="C552" s="4">
        <v>1</v>
      </c>
      <c r="D552" s="5">
        <v>2.4700000000000002</v>
      </c>
      <c r="E552" s="5">
        <v>6.99</v>
      </c>
      <c r="F552" s="4">
        <v>10006315800</v>
      </c>
      <c r="G552" s="2" t="s">
        <v>527</v>
      </c>
      <c r="H552" s="7" t="s">
        <v>482</v>
      </c>
      <c r="I552" s="2" t="s">
        <v>483</v>
      </c>
      <c r="J552" s="2" t="s">
        <v>536</v>
      </c>
      <c r="K552" s="2" t="s">
        <v>304</v>
      </c>
      <c r="L552" s="2" t="s">
        <v>2319</v>
      </c>
      <c r="M552" s="8" t="str">
        <f>HYPERLINK("http://slimages.macys.com/is/image/MCY/13987454 ")</f>
        <v xml:space="preserve">http://slimages.macys.com/is/image/MCY/13987454 </v>
      </c>
    </row>
    <row r="553" spans="1:13" ht="60" x14ac:dyDescent="0.25">
      <c r="A553" s="7" t="s">
        <v>9768</v>
      </c>
      <c r="B553" s="2" t="s">
        <v>9769</v>
      </c>
      <c r="C553" s="4">
        <v>1</v>
      </c>
      <c r="D553" s="5">
        <v>2.46</v>
      </c>
      <c r="E553" s="5">
        <v>7.99</v>
      </c>
      <c r="F553" s="4" t="s">
        <v>9770</v>
      </c>
      <c r="G553" s="2" t="s">
        <v>793</v>
      </c>
      <c r="H553" s="7" t="s">
        <v>1151</v>
      </c>
      <c r="I553" s="2" t="s">
        <v>483</v>
      </c>
      <c r="J553" s="2" t="s">
        <v>536</v>
      </c>
      <c r="K553" s="2" t="s">
        <v>304</v>
      </c>
      <c r="L553" s="2" t="s">
        <v>119</v>
      </c>
      <c r="M553" s="8" t="str">
        <f>HYPERLINK("http://slimages.macys.com/is/image/MCY/13987430 ")</f>
        <v xml:space="preserve">http://slimages.macys.com/is/image/MCY/13987430 </v>
      </c>
    </row>
    <row r="554" spans="1:13" ht="60" x14ac:dyDescent="0.25">
      <c r="A554" s="7" t="s">
        <v>9771</v>
      </c>
      <c r="B554" s="2" t="s">
        <v>9772</v>
      </c>
      <c r="C554" s="4">
        <v>1</v>
      </c>
      <c r="D554" s="5">
        <v>2.4500000000000002</v>
      </c>
      <c r="E554" s="5">
        <v>5.99</v>
      </c>
      <c r="F554" s="4" t="s">
        <v>9773</v>
      </c>
      <c r="G554" s="2" t="s">
        <v>79</v>
      </c>
      <c r="H554" s="7" t="s">
        <v>442</v>
      </c>
      <c r="I554" s="2" t="s">
        <v>483</v>
      </c>
      <c r="J554" s="2" t="s">
        <v>536</v>
      </c>
      <c r="K554" s="2" t="s">
        <v>304</v>
      </c>
      <c r="L554" s="2" t="s">
        <v>119</v>
      </c>
      <c r="M554" s="8" t="str">
        <f>HYPERLINK("http://slimages.macys.com/is/image/MCY/8372286 ")</f>
        <v xml:space="preserve">http://slimages.macys.com/is/image/MCY/8372286 </v>
      </c>
    </row>
    <row r="555" spans="1:13" ht="60" x14ac:dyDescent="0.25">
      <c r="A555" s="7" t="s">
        <v>9774</v>
      </c>
      <c r="B555" s="2" t="s">
        <v>4564</v>
      </c>
      <c r="C555" s="4">
        <v>1</v>
      </c>
      <c r="D555" s="5">
        <v>2.4300000000000002</v>
      </c>
      <c r="E555" s="5">
        <v>6.99</v>
      </c>
      <c r="F555" s="4" t="s">
        <v>4565</v>
      </c>
      <c r="G555" s="2" t="s">
        <v>171</v>
      </c>
      <c r="H555" s="7" t="s">
        <v>590</v>
      </c>
      <c r="I555" s="2" t="s">
        <v>483</v>
      </c>
      <c r="J555" s="2" t="s">
        <v>536</v>
      </c>
      <c r="K555" s="2" t="s">
        <v>304</v>
      </c>
      <c r="L555" s="2" t="s">
        <v>100</v>
      </c>
      <c r="M555" s="8" t="str">
        <f>HYPERLINK("http://slimages.macys.com/is/image/MCY/13987449 ")</f>
        <v xml:space="preserve">http://slimages.macys.com/is/image/MCY/13987449 </v>
      </c>
    </row>
    <row r="556" spans="1:13" ht="60" x14ac:dyDescent="0.25">
      <c r="A556" s="7" t="s">
        <v>9775</v>
      </c>
      <c r="B556" s="2" t="s">
        <v>9776</v>
      </c>
      <c r="C556" s="4">
        <v>1</v>
      </c>
      <c r="D556" s="5">
        <v>2.4300000000000002</v>
      </c>
      <c r="E556" s="5">
        <v>5.99</v>
      </c>
      <c r="F556" s="4" t="s">
        <v>9777</v>
      </c>
      <c r="G556" s="2" t="s">
        <v>41</v>
      </c>
      <c r="H556" s="7" t="s">
        <v>442</v>
      </c>
      <c r="I556" s="2" t="s">
        <v>483</v>
      </c>
      <c r="J556" s="2" t="s">
        <v>536</v>
      </c>
      <c r="K556" s="2" t="s">
        <v>304</v>
      </c>
      <c r="L556" s="2" t="s">
        <v>38</v>
      </c>
      <c r="M556" s="8" t="str">
        <f>HYPERLINK("http://slimages.macys.com/is/image/MCY/10467607 ")</f>
        <v xml:space="preserve">http://slimages.macys.com/is/image/MCY/10467607 </v>
      </c>
    </row>
    <row r="557" spans="1:13" ht="108" x14ac:dyDescent="0.25">
      <c r="A557" s="7" t="s">
        <v>2321</v>
      </c>
      <c r="B557" s="2" t="s">
        <v>2322</v>
      </c>
      <c r="C557" s="4">
        <v>2</v>
      </c>
      <c r="D557" s="5">
        <v>2.4300000000000002</v>
      </c>
      <c r="E557" s="5">
        <v>7.99</v>
      </c>
      <c r="F557" s="4" t="s">
        <v>2323</v>
      </c>
      <c r="G557" s="2" t="s">
        <v>41</v>
      </c>
      <c r="H557" s="7"/>
      <c r="I557" s="2" t="s">
        <v>483</v>
      </c>
      <c r="J557" s="2" t="s">
        <v>536</v>
      </c>
      <c r="K557" s="2" t="s">
        <v>304</v>
      </c>
      <c r="L557" s="2" t="s">
        <v>2324</v>
      </c>
      <c r="M557" s="8" t="str">
        <f>HYPERLINK("http://slimages.macys.com/is/image/MCY/14384998 ")</f>
        <v xml:space="preserve">http://slimages.macys.com/is/image/MCY/14384998 </v>
      </c>
    </row>
    <row r="558" spans="1:13" ht="108" x14ac:dyDescent="0.25">
      <c r="A558" s="7" t="s">
        <v>2326</v>
      </c>
      <c r="B558" s="2" t="s">
        <v>2322</v>
      </c>
      <c r="C558" s="4">
        <v>1</v>
      </c>
      <c r="D558" s="5">
        <v>2.4300000000000002</v>
      </c>
      <c r="E558" s="5">
        <v>7.99</v>
      </c>
      <c r="F558" s="4" t="s">
        <v>2323</v>
      </c>
      <c r="G558" s="2" t="s">
        <v>41</v>
      </c>
      <c r="H558" s="7" t="s">
        <v>149</v>
      </c>
      <c r="I558" s="2" t="s">
        <v>483</v>
      </c>
      <c r="J558" s="2" t="s">
        <v>536</v>
      </c>
      <c r="K558" s="2" t="s">
        <v>304</v>
      </c>
      <c r="L558" s="2" t="s">
        <v>2324</v>
      </c>
      <c r="M558" s="8" t="str">
        <f>HYPERLINK("http://slimages.macys.com/is/image/MCY/14384998 ")</f>
        <v xml:space="preserve">http://slimages.macys.com/is/image/MCY/14384998 </v>
      </c>
    </row>
    <row r="559" spans="1:13" ht="60" x14ac:dyDescent="0.25">
      <c r="A559" s="7" t="s">
        <v>9778</v>
      </c>
      <c r="B559" s="2" t="s">
        <v>7979</v>
      </c>
      <c r="C559" s="4">
        <v>1</v>
      </c>
      <c r="D559" s="5">
        <v>2.41</v>
      </c>
      <c r="E559" s="5">
        <v>5.99</v>
      </c>
      <c r="F559" s="4" t="s">
        <v>7980</v>
      </c>
      <c r="G559" s="2" t="s">
        <v>353</v>
      </c>
      <c r="H559" s="7" t="s">
        <v>91</v>
      </c>
      <c r="I559" s="2" t="s">
        <v>483</v>
      </c>
      <c r="J559" s="2" t="s">
        <v>536</v>
      </c>
      <c r="K559" s="2" t="s">
        <v>304</v>
      </c>
      <c r="L559" s="2" t="s">
        <v>100</v>
      </c>
      <c r="M559" s="8" t="str">
        <f>HYPERLINK("http://slimages.macys.com/is/image/MCY/12466328 ")</f>
        <v xml:space="preserve">http://slimages.macys.com/is/image/MCY/12466328 </v>
      </c>
    </row>
    <row r="560" spans="1:13" ht="60" x14ac:dyDescent="0.25">
      <c r="A560" s="7" t="s">
        <v>9779</v>
      </c>
      <c r="B560" s="2" t="s">
        <v>7979</v>
      </c>
      <c r="C560" s="4">
        <v>1</v>
      </c>
      <c r="D560" s="5">
        <v>2.41</v>
      </c>
      <c r="E560" s="5">
        <v>5.99</v>
      </c>
      <c r="F560" s="4" t="s">
        <v>7980</v>
      </c>
      <c r="G560" s="2" t="s">
        <v>353</v>
      </c>
      <c r="H560" s="7" t="s">
        <v>590</v>
      </c>
      <c r="I560" s="2" t="s">
        <v>483</v>
      </c>
      <c r="J560" s="2" t="s">
        <v>536</v>
      </c>
      <c r="K560" s="2" t="s">
        <v>304</v>
      </c>
      <c r="L560" s="2" t="s">
        <v>100</v>
      </c>
      <c r="M560" s="8" t="str">
        <f>HYPERLINK("http://slimages.macys.com/is/image/MCY/12466328 ")</f>
        <v xml:space="preserve">http://slimages.macys.com/is/image/MCY/12466328 </v>
      </c>
    </row>
    <row r="561" spans="1:13" ht="60" x14ac:dyDescent="0.25">
      <c r="A561" s="7" t="s">
        <v>6583</v>
      </c>
      <c r="B561" s="2" t="s">
        <v>6584</v>
      </c>
      <c r="C561" s="4">
        <v>1</v>
      </c>
      <c r="D561" s="5">
        <v>2.41</v>
      </c>
      <c r="E561" s="5">
        <v>6.99</v>
      </c>
      <c r="F561" s="4" t="s">
        <v>6585</v>
      </c>
      <c r="G561" s="2" t="s">
        <v>41</v>
      </c>
      <c r="H561" s="7" t="s">
        <v>91</v>
      </c>
      <c r="I561" s="2" t="s">
        <v>483</v>
      </c>
      <c r="J561" s="2" t="s">
        <v>536</v>
      </c>
      <c r="K561" s="2" t="s">
        <v>304</v>
      </c>
      <c r="L561" s="2" t="s">
        <v>206</v>
      </c>
      <c r="M561" s="8" t="str">
        <f>HYPERLINK("http://slimages.macys.com/is/image/MCY/13987211 ")</f>
        <v xml:space="preserve">http://slimages.macys.com/is/image/MCY/13987211 </v>
      </c>
    </row>
    <row r="562" spans="1:13" ht="60" x14ac:dyDescent="0.25">
      <c r="A562" s="7" t="s">
        <v>9780</v>
      </c>
      <c r="B562" s="2" t="s">
        <v>7990</v>
      </c>
      <c r="C562" s="4">
        <v>2</v>
      </c>
      <c r="D562" s="5">
        <v>2.4</v>
      </c>
      <c r="E562" s="5">
        <v>5.99</v>
      </c>
      <c r="F562" s="4" t="s">
        <v>7991</v>
      </c>
      <c r="G562" s="2" t="s">
        <v>41</v>
      </c>
      <c r="H562" s="7" t="s">
        <v>42</v>
      </c>
      <c r="I562" s="2" t="s">
        <v>483</v>
      </c>
      <c r="J562" s="2" t="s">
        <v>536</v>
      </c>
      <c r="K562" s="2" t="s">
        <v>304</v>
      </c>
      <c r="L562" s="2" t="s">
        <v>100</v>
      </c>
      <c r="M562" s="8" t="str">
        <f>HYPERLINK("http://slimages.macys.com/is/image/MCY/12466323 ")</f>
        <v xml:space="preserve">http://slimages.macys.com/is/image/MCY/12466323 </v>
      </c>
    </row>
    <row r="563" spans="1:13" ht="60" x14ac:dyDescent="0.25">
      <c r="A563" s="7" t="s">
        <v>9237</v>
      </c>
      <c r="B563" s="2" t="s">
        <v>1348</v>
      </c>
      <c r="C563" s="4">
        <v>2</v>
      </c>
      <c r="D563" s="5">
        <v>2.36</v>
      </c>
      <c r="E563" s="5">
        <v>5.99</v>
      </c>
      <c r="F563" s="4" t="s">
        <v>1349</v>
      </c>
      <c r="G563" s="2" t="s">
        <v>62</v>
      </c>
      <c r="H563" s="7" t="s">
        <v>42</v>
      </c>
      <c r="I563" s="2" t="s">
        <v>483</v>
      </c>
      <c r="J563" s="2" t="s">
        <v>536</v>
      </c>
      <c r="K563" s="2" t="s">
        <v>304</v>
      </c>
      <c r="L563" s="2" t="s">
        <v>38</v>
      </c>
      <c r="M563" s="8" t="str">
        <f>HYPERLINK("http://slimages.macys.com/is/image/MCY/13337362 ")</f>
        <v xml:space="preserve">http://slimages.macys.com/is/image/MCY/13337362 </v>
      </c>
    </row>
    <row r="564" spans="1:13" ht="60" x14ac:dyDescent="0.25">
      <c r="A564" s="7" t="s">
        <v>1353</v>
      </c>
      <c r="B564" s="2" t="s">
        <v>1354</v>
      </c>
      <c r="C564" s="4">
        <v>2</v>
      </c>
      <c r="D564" s="5">
        <v>2.34</v>
      </c>
      <c r="E564" s="5">
        <v>5.99</v>
      </c>
      <c r="F564" s="4" t="s">
        <v>1355</v>
      </c>
      <c r="G564" s="2" t="s">
        <v>643</v>
      </c>
      <c r="H564" s="7" t="s">
        <v>590</v>
      </c>
      <c r="I564" s="2" t="s">
        <v>483</v>
      </c>
      <c r="J564" s="2" t="s">
        <v>536</v>
      </c>
      <c r="K564" s="2" t="s">
        <v>304</v>
      </c>
      <c r="L564" s="2" t="s">
        <v>38</v>
      </c>
      <c r="M564" s="8" t="str">
        <f>HYPERLINK("http://slimages.macys.com/is/image/MCY/13337390 ")</f>
        <v xml:space="preserve">http://slimages.macys.com/is/image/MCY/13337390 </v>
      </c>
    </row>
    <row r="565" spans="1:13" ht="60" x14ac:dyDescent="0.25">
      <c r="A565" s="7" t="s">
        <v>9238</v>
      </c>
      <c r="B565" s="2" t="s">
        <v>4573</v>
      </c>
      <c r="C565" s="4">
        <v>2</v>
      </c>
      <c r="D565" s="5">
        <v>2.34</v>
      </c>
      <c r="E565" s="5">
        <v>5.99</v>
      </c>
      <c r="F565" s="4" t="s">
        <v>4574</v>
      </c>
      <c r="G565" s="2" t="s">
        <v>1360</v>
      </c>
      <c r="H565" s="7" t="s">
        <v>590</v>
      </c>
      <c r="I565" s="2" t="s">
        <v>483</v>
      </c>
      <c r="J565" s="2" t="s">
        <v>536</v>
      </c>
      <c r="K565" s="2" t="s">
        <v>304</v>
      </c>
      <c r="L565" s="2" t="s">
        <v>38</v>
      </c>
      <c r="M565" s="8" t="str">
        <f>HYPERLINK("http://slimages.macys.com/is/image/MCY/13987605 ")</f>
        <v xml:space="preserve">http://slimages.macys.com/is/image/MCY/13987605 </v>
      </c>
    </row>
    <row r="566" spans="1:13" ht="60" x14ac:dyDescent="0.25">
      <c r="A566" s="7" t="s">
        <v>9781</v>
      </c>
      <c r="B566" s="2" t="s">
        <v>9782</v>
      </c>
      <c r="C566" s="4">
        <v>1</v>
      </c>
      <c r="D566" s="5">
        <v>2.34</v>
      </c>
      <c r="E566" s="5">
        <v>5.99</v>
      </c>
      <c r="F566" s="4" t="s">
        <v>9783</v>
      </c>
      <c r="G566" s="2" t="s">
        <v>41</v>
      </c>
      <c r="H566" s="7" t="s">
        <v>149</v>
      </c>
      <c r="I566" s="2" t="s">
        <v>7609</v>
      </c>
      <c r="J566" s="2" t="s">
        <v>536</v>
      </c>
      <c r="K566" s="2" t="s">
        <v>304</v>
      </c>
      <c r="L566" s="2" t="s">
        <v>206</v>
      </c>
      <c r="M566" s="8" t="str">
        <f>HYPERLINK("http://slimages.macys.com/is/image/MCY/10467589 ")</f>
        <v xml:space="preserve">http://slimages.macys.com/is/image/MCY/10467589 </v>
      </c>
    </row>
    <row r="567" spans="1:13" ht="60" x14ac:dyDescent="0.25">
      <c r="A567" s="7" t="s">
        <v>9784</v>
      </c>
      <c r="B567" s="2" t="s">
        <v>2338</v>
      </c>
      <c r="C567" s="4">
        <v>1</v>
      </c>
      <c r="D567" s="5">
        <v>2.34</v>
      </c>
      <c r="E567" s="5">
        <v>5.99</v>
      </c>
      <c r="F567" s="4" t="s">
        <v>2339</v>
      </c>
      <c r="G567" s="2" t="s">
        <v>41</v>
      </c>
      <c r="H567" s="7" t="s">
        <v>91</v>
      </c>
      <c r="I567" s="2" t="s">
        <v>483</v>
      </c>
      <c r="J567" s="2" t="s">
        <v>536</v>
      </c>
      <c r="K567" s="2" t="s">
        <v>304</v>
      </c>
      <c r="L567" s="2" t="s">
        <v>38</v>
      </c>
      <c r="M567" s="8" t="str">
        <f>HYPERLINK("http://slimages.macys.com/is/image/MCY/13386590 ")</f>
        <v xml:space="preserve">http://slimages.macys.com/is/image/MCY/13386590 </v>
      </c>
    </row>
    <row r="568" spans="1:13" ht="60" x14ac:dyDescent="0.25">
      <c r="A568" s="7" t="s">
        <v>9785</v>
      </c>
      <c r="B568" s="2" t="s">
        <v>1351</v>
      </c>
      <c r="C568" s="4">
        <v>1</v>
      </c>
      <c r="D568" s="5">
        <v>2.34</v>
      </c>
      <c r="E568" s="5">
        <v>5.99</v>
      </c>
      <c r="F568" s="4" t="s">
        <v>1352</v>
      </c>
      <c r="G568" s="2" t="s">
        <v>41</v>
      </c>
      <c r="H568" s="7" t="s">
        <v>42</v>
      </c>
      <c r="I568" s="2" t="s">
        <v>483</v>
      </c>
      <c r="J568" s="2" t="s">
        <v>536</v>
      </c>
      <c r="K568" s="2" t="s">
        <v>304</v>
      </c>
      <c r="L568" s="2" t="s">
        <v>38</v>
      </c>
      <c r="M568" s="8" t="str">
        <f>HYPERLINK("http://slimages.macys.com/is/image/MCY/13385985 ")</f>
        <v xml:space="preserve">http://slimages.macys.com/is/image/MCY/13385985 </v>
      </c>
    </row>
    <row r="569" spans="1:13" ht="60" x14ac:dyDescent="0.25">
      <c r="A569" s="7" t="s">
        <v>1357</v>
      </c>
      <c r="B569" s="2" t="s">
        <v>1351</v>
      </c>
      <c r="C569" s="4">
        <v>1</v>
      </c>
      <c r="D569" s="5">
        <v>2.34</v>
      </c>
      <c r="E569" s="5">
        <v>5.99</v>
      </c>
      <c r="F569" s="4" t="s">
        <v>1352</v>
      </c>
      <c r="G569" s="2" t="s">
        <v>41</v>
      </c>
      <c r="H569" s="7" t="s">
        <v>590</v>
      </c>
      <c r="I569" s="2" t="s">
        <v>483</v>
      </c>
      <c r="J569" s="2" t="s">
        <v>536</v>
      </c>
      <c r="K569" s="2" t="s">
        <v>304</v>
      </c>
      <c r="L569" s="2" t="s">
        <v>38</v>
      </c>
      <c r="M569" s="8" t="str">
        <f>HYPERLINK("http://slimages.macys.com/is/image/MCY/13385985 ")</f>
        <v xml:space="preserve">http://slimages.macys.com/is/image/MCY/13385985 </v>
      </c>
    </row>
    <row r="570" spans="1:13" ht="60" x14ac:dyDescent="0.25">
      <c r="A570" s="7" t="s">
        <v>9786</v>
      </c>
      <c r="B570" s="2" t="s">
        <v>1351</v>
      </c>
      <c r="C570" s="4">
        <v>1</v>
      </c>
      <c r="D570" s="5">
        <v>2.34</v>
      </c>
      <c r="E570" s="5">
        <v>5.99</v>
      </c>
      <c r="F570" s="4" t="s">
        <v>1352</v>
      </c>
      <c r="G570" s="2" t="s">
        <v>41</v>
      </c>
      <c r="H570" s="7" t="s">
        <v>91</v>
      </c>
      <c r="I570" s="2" t="s">
        <v>483</v>
      </c>
      <c r="J570" s="2" t="s">
        <v>536</v>
      </c>
      <c r="K570" s="2" t="s">
        <v>304</v>
      </c>
      <c r="L570" s="2" t="s">
        <v>38</v>
      </c>
      <c r="M570" s="8" t="str">
        <f>HYPERLINK("http://slimages.macys.com/is/image/MCY/13385985 ")</f>
        <v xml:space="preserve">http://slimages.macys.com/is/image/MCY/13385985 </v>
      </c>
    </row>
    <row r="571" spans="1:13" ht="60" x14ac:dyDescent="0.25">
      <c r="A571" s="7" t="s">
        <v>9787</v>
      </c>
      <c r="B571" s="2" t="s">
        <v>9788</v>
      </c>
      <c r="C571" s="4">
        <v>1</v>
      </c>
      <c r="D571" s="5">
        <v>2.34</v>
      </c>
      <c r="E571" s="5">
        <v>5.99</v>
      </c>
      <c r="F571" s="4">
        <v>100005398</v>
      </c>
      <c r="G571" s="2" t="s">
        <v>527</v>
      </c>
      <c r="H571" s="7" t="s">
        <v>590</v>
      </c>
      <c r="I571" s="2" t="s">
        <v>2717</v>
      </c>
      <c r="J571" s="2" t="s">
        <v>536</v>
      </c>
      <c r="K571" s="2" t="s">
        <v>304</v>
      </c>
      <c r="L571" s="2" t="s">
        <v>206</v>
      </c>
      <c r="M571" s="8" t="str">
        <f>HYPERLINK("http://slimages.macys.com/is/image/MCY/9381763 ")</f>
        <v xml:space="preserve">http://slimages.macys.com/is/image/MCY/9381763 </v>
      </c>
    </row>
    <row r="572" spans="1:13" ht="60" x14ac:dyDescent="0.25">
      <c r="A572" s="7" t="s">
        <v>9789</v>
      </c>
      <c r="B572" s="2" t="s">
        <v>9790</v>
      </c>
      <c r="C572" s="4">
        <v>1</v>
      </c>
      <c r="D572" s="5">
        <v>2.34</v>
      </c>
      <c r="E572" s="5">
        <v>6.99</v>
      </c>
      <c r="F572" s="4" t="s">
        <v>9791</v>
      </c>
      <c r="G572" s="2" t="s">
        <v>129</v>
      </c>
      <c r="H572" s="7" t="s">
        <v>91</v>
      </c>
      <c r="I572" s="2" t="s">
        <v>483</v>
      </c>
      <c r="J572" s="2" t="s">
        <v>536</v>
      </c>
      <c r="K572" s="2" t="s">
        <v>304</v>
      </c>
      <c r="L572" s="2" t="s">
        <v>38</v>
      </c>
      <c r="M572" s="8" t="str">
        <f>HYPERLINK("http://slimages.macys.com/is/image/MCY/13987591 ")</f>
        <v xml:space="preserve">http://slimages.macys.com/is/image/MCY/13987591 </v>
      </c>
    </row>
    <row r="573" spans="1:13" ht="60" x14ac:dyDescent="0.25">
      <c r="A573" s="7" t="s">
        <v>8478</v>
      </c>
      <c r="B573" s="2" t="s">
        <v>8479</v>
      </c>
      <c r="C573" s="4">
        <v>1</v>
      </c>
      <c r="D573" s="5">
        <v>2.33</v>
      </c>
      <c r="E573" s="5">
        <v>6.99</v>
      </c>
      <c r="F573" s="4" t="s">
        <v>8480</v>
      </c>
      <c r="G573" s="2" t="s">
        <v>171</v>
      </c>
      <c r="H573" s="7" t="s">
        <v>482</v>
      </c>
      <c r="I573" s="2" t="s">
        <v>483</v>
      </c>
      <c r="J573" s="2" t="s">
        <v>536</v>
      </c>
      <c r="K573" s="2" t="s">
        <v>304</v>
      </c>
      <c r="L573" s="2" t="s">
        <v>596</v>
      </c>
      <c r="M573" s="8" t="str">
        <f>HYPERLINK("http://slimages.macys.com/is/image/MCY/12466035 ")</f>
        <v xml:space="preserve">http://slimages.macys.com/is/image/MCY/12466035 </v>
      </c>
    </row>
    <row r="574" spans="1:13" ht="60" x14ac:dyDescent="0.25">
      <c r="A574" s="7" t="s">
        <v>5765</v>
      </c>
      <c r="B574" s="2" t="s">
        <v>2353</v>
      </c>
      <c r="C574" s="4">
        <v>2</v>
      </c>
      <c r="D574" s="5">
        <v>2.31</v>
      </c>
      <c r="E574" s="5">
        <v>7.99</v>
      </c>
      <c r="F574" s="4" t="s">
        <v>2354</v>
      </c>
      <c r="G574" s="2" t="s">
        <v>657</v>
      </c>
      <c r="H574" s="7" t="s">
        <v>514</v>
      </c>
      <c r="I574" s="2" t="s">
        <v>483</v>
      </c>
      <c r="J574" s="2" t="s">
        <v>536</v>
      </c>
      <c r="K574" s="2" t="s">
        <v>304</v>
      </c>
      <c r="L574" s="2" t="s">
        <v>119</v>
      </c>
      <c r="M574" s="8" t="str">
        <f>HYPERLINK("http://slimages.macys.com/is/image/MCY/13987628 ")</f>
        <v xml:space="preserve">http://slimages.macys.com/is/image/MCY/13987628 </v>
      </c>
    </row>
    <row r="575" spans="1:13" ht="60" x14ac:dyDescent="0.25">
      <c r="A575" s="7" t="s">
        <v>2347</v>
      </c>
      <c r="B575" s="2" t="s">
        <v>2348</v>
      </c>
      <c r="C575" s="4">
        <v>3</v>
      </c>
      <c r="D575" s="5">
        <v>2.31</v>
      </c>
      <c r="E575" s="5">
        <v>7.99</v>
      </c>
      <c r="F575" s="4">
        <v>10005380100</v>
      </c>
      <c r="G575" s="2" t="s">
        <v>1360</v>
      </c>
      <c r="H575" s="7" t="s">
        <v>531</v>
      </c>
      <c r="I575" s="2" t="s">
        <v>483</v>
      </c>
      <c r="J575" s="2" t="s">
        <v>536</v>
      </c>
      <c r="K575" s="2" t="s">
        <v>304</v>
      </c>
      <c r="L575" s="2" t="s">
        <v>87</v>
      </c>
      <c r="M575" s="8" t="str">
        <f>HYPERLINK("http://slimages.macys.com/is/image/MCY/12466174 ")</f>
        <v xml:space="preserve">http://slimages.macys.com/is/image/MCY/12466174 </v>
      </c>
    </row>
    <row r="576" spans="1:13" ht="60" x14ac:dyDescent="0.25">
      <c r="A576" s="7" t="s">
        <v>2352</v>
      </c>
      <c r="B576" s="2" t="s">
        <v>2353</v>
      </c>
      <c r="C576" s="4">
        <v>2</v>
      </c>
      <c r="D576" s="5">
        <v>2.31</v>
      </c>
      <c r="E576" s="5">
        <v>7.99</v>
      </c>
      <c r="F576" s="4" t="s">
        <v>2354</v>
      </c>
      <c r="G576" s="2" t="s">
        <v>657</v>
      </c>
      <c r="H576" s="7" t="s">
        <v>1151</v>
      </c>
      <c r="I576" s="2" t="s">
        <v>483</v>
      </c>
      <c r="J576" s="2" t="s">
        <v>536</v>
      </c>
      <c r="K576" s="2" t="s">
        <v>304</v>
      </c>
      <c r="L576" s="2" t="s">
        <v>119</v>
      </c>
      <c r="M576" s="8" t="str">
        <f>HYPERLINK("http://slimages.macys.com/is/image/MCY/13987628 ")</f>
        <v xml:space="preserve">http://slimages.macys.com/is/image/MCY/13987628 </v>
      </c>
    </row>
    <row r="577" spans="1:13" ht="60" x14ac:dyDescent="0.25">
      <c r="A577" s="7" t="s">
        <v>4585</v>
      </c>
      <c r="B577" s="2" t="s">
        <v>2359</v>
      </c>
      <c r="C577" s="4">
        <v>2</v>
      </c>
      <c r="D577" s="5">
        <v>2.29</v>
      </c>
      <c r="E577" s="5">
        <v>5.99</v>
      </c>
      <c r="F577" s="4" t="s">
        <v>2360</v>
      </c>
      <c r="G577" s="2" t="s">
        <v>28</v>
      </c>
      <c r="H577" s="7" t="s">
        <v>590</v>
      </c>
      <c r="I577" s="2" t="s">
        <v>483</v>
      </c>
      <c r="J577" s="2" t="s">
        <v>536</v>
      </c>
      <c r="K577" s="2" t="s">
        <v>304</v>
      </c>
      <c r="L577" s="2" t="s">
        <v>119</v>
      </c>
      <c r="M577" s="8" t="str">
        <f>HYPERLINK("http://slimages.macys.com/is/image/MCY/12644507 ")</f>
        <v xml:space="preserve">http://slimages.macys.com/is/image/MCY/12644507 </v>
      </c>
    </row>
    <row r="578" spans="1:13" ht="60" x14ac:dyDescent="0.25">
      <c r="A578" s="7" t="s">
        <v>6626</v>
      </c>
      <c r="B578" s="2" t="s">
        <v>2359</v>
      </c>
      <c r="C578" s="4">
        <v>2</v>
      </c>
      <c r="D578" s="5">
        <v>2.29</v>
      </c>
      <c r="E578" s="5">
        <v>5.99</v>
      </c>
      <c r="F578" s="4" t="s">
        <v>2360</v>
      </c>
      <c r="G578" s="2" t="s">
        <v>28</v>
      </c>
      <c r="H578" s="7" t="s">
        <v>91</v>
      </c>
      <c r="I578" s="2" t="s">
        <v>483</v>
      </c>
      <c r="J578" s="2" t="s">
        <v>536</v>
      </c>
      <c r="K578" s="2" t="s">
        <v>304</v>
      </c>
      <c r="L578" s="2" t="s">
        <v>119</v>
      </c>
      <c r="M578" s="8" t="str">
        <f>HYPERLINK("http://slimages.macys.com/is/image/MCY/12644507 ")</f>
        <v xml:space="preserve">http://slimages.macys.com/is/image/MCY/12644507 </v>
      </c>
    </row>
    <row r="579" spans="1:13" ht="60" x14ac:dyDescent="0.25">
      <c r="A579" s="7" t="s">
        <v>2362</v>
      </c>
      <c r="B579" s="2" t="s">
        <v>2359</v>
      </c>
      <c r="C579" s="4">
        <v>1</v>
      </c>
      <c r="D579" s="5">
        <v>2.29</v>
      </c>
      <c r="E579" s="5">
        <v>5.99</v>
      </c>
      <c r="F579" s="4" t="s">
        <v>2360</v>
      </c>
      <c r="G579" s="2" t="s">
        <v>28</v>
      </c>
      <c r="H579" s="7" t="s">
        <v>442</v>
      </c>
      <c r="I579" s="2" t="s">
        <v>483</v>
      </c>
      <c r="J579" s="2" t="s">
        <v>536</v>
      </c>
      <c r="K579" s="2" t="s">
        <v>304</v>
      </c>
      <c r="L579" s="2" t="s">
        <v>119</v>
      </c>
      <c r="M579" s="8" t="str">
        <f>HYPERLINK("http://slimages.macys.com/is/image/MCY/12644507 ")</f>
        <v xml:space="preserve">http://slimages.macys.com/is/image/MCY/12644507 </v>
      </c>
    </row>
    <row r="580" spans="1:13" ht="60" x14ac:dyDescent="0.25">
      <c r="A580" s="7" t="s">
        <v>1376</v>
      </c>
      <c r="B580" s="2" t="s">
        <v>1372</v>
      </c>
      <c r="C580" s="4">
        <v>1</v>
      </c>
      <c r="D580" s="5">
        <v>2.27</v>
      </c>
      <c r="E580" s="5">
        <v>5.99</v>
      </c>
      <c r="F580" s="4" t="s">
        <v>1373</v>
      </c>
      <c r="G580" s="2" t="s">
        <v>134</v>
      </c>
      <c r="H580" s="7" t="s">
        <v>149</v>
      </c>
      <c r="I580" s="2" t="s">
        <v>483</v>
      </c>
      <c r="J580" s="2" t="s">
        <v>536</v>
      </c>
      <c r="K580" s="2" t="s">
        <v>304</v>
      </c>
      <c r="L580" s="2" t="s">
        <v>119</v>
      </c>
      <c r="M580" s="8" t="str">
        <f>HYPERLINK("http://slimages.macys.com/is/image/MCY/12642166 ")</f>
        <v xml:space="preserve">http://slimages.macys.com/is/image/MCY/12642166 </v>
      </c>
    </row>
    <row r="581" spans="1:13" ht="60" x14ac:dyDescent="0.25">
      <c r="A581" s="7" t="s">
        <v>7246</v>
      </c>
      <c r="B581" s="2" t="s">
        <v>4594</v>
      </c>
      <c r="C581" s="4">
        <v>1</v>
      </c>
      <c r="D581" s="5">
        <v>2.27</v>
      </c>
      <c r="E581" s="5">
        <v>5.99</v>
      </c>
      <c r="F581" s="4" t="s">
        <v>4595</v>
      </c>
      <c r="G581" s="2" t="s">
        <v>41</v>
      </c>
      <c r="H581" s="7" t="s">
        <v>91</v>
      </c>
      <c r="I581" s="2" t="s">
        <v>483</v>
      </c>
      <c r="J581" s="2" t="s">
        <v>536</v>
      </c>
      <c r="K581" s="2" t="s">
        <v>304</v>
      </c>
      <c r="L581" s="2" t="s">
        <v>87</v>
      </c>
      <c r="M581" s="8" t="str">
        <f>HYPERLINK("http://slimages.macys.com/is/image/MCY/12466281 ")</f>
        <v xml:space="preserve">http://slimages.macys.com/is/image/MCY/12466281 </v>
      </c>
    </row>
    <row r="582" spans="1:13" ht="60" x14ac:dyDescent="0.25">
      <c r="A582" s="7" t="s">
        <v>7251</v>
      </c>
      <c r="B582" s="2" t="s">
        <v>1391</v>
      </c>
      <c r="C582" s="4">
        <v>1</v>
      </c>
      <c r="D582" s="5">
        <v>2.27</v>
      </c>
      <c r="E582" s="5">
        <v>5.99</v>
      </c>
      <c r="F582" s="4" t="s">
        <v>7252</v>
      </c>
      <c r="G582" s="2" t="s">
        <v>1147</v>
      </c>
      <c r="H582" s="7" t="s">
        <v>590</v>
      </c>
      <c r="I582" s="2" t="s">
        <v>483</v>
      </c>
      <c r="J582" s="2" t="s">
        <v>536</v>
      </c>
      <c r="K582" s="2" t="s">
        <v>304</v>
      </c>
      <c r="L582" s="2" t="s">
        <v>206</v>
      </c>
      <c r="M582" s="8" t="str">
        <f>HYPERLINK("http://slimages.macys.com/is/image/MCY/11855627 ")</f>
        <v xml:space="preserve">http://slimages.macys.com/is/image/MCY/11855627 </v>
      </c>
    </row>
    <row r="583" spans="1:13" ht="60" x14ac:dyDescent="0.25">
      <c r="A583" s="7" t="s">
        <v>9792</v>
      </c>
      <c r="B583" s="2" t="s">
        <v>1391</v>
      </c>
      <c r="C583" s="4">
        <v>2</v>
      </c>
      <c r="D583" s="5">
        <v>2.27</v>
      </c>
      <c r="E583" s="5">
        <v>5.99</v>
      </c>
      <c r="F583" s="4" t="s">
        <v>7252</v>
      </c>
      <c r="G583" s="2" t="s">
        <v>1147</v>
      </c>
      <c r="H583" s="7" t="s">
        <v>149</v>
      </c>
      <c r="I583" s="2" t="s">
        <v>483</v>
      </c>
      <c r="J583" s="2" t="s">
        <v>536</v>
      </c>
      <c r="K583" s="2" t="s">
        <v>304</v>
      </c>
      <c r="L583" s="2" t="s">
        <v>206</v>
      </c>
      <c r="M583" s="8" t="str">
        <f>HYPERLINK("http://slimages.macys.com/is/image/MCY/11855627 ")</f>
        <v xml:space="preserve">http://slimages.macys.com/is/image/MCY/11855627 </v>
      </c>
    </row>
    <row r="584" spans="1:13" ht="60" x14ac:dyDescent="0.25">
      <c r="A584" s="7" t="s">
        <v>1377</v>
      </c>
      <c r="B584" s="2" t="s">
        <v>1372</v>
      </c>
      <c r="C584" s="4">
        <v>1</v>
      </c>
      <c r="D584" s="5">
        <v>2.27</v>
      </c>
      <c r="E584" s="5">
        <v>5.99</v>
      </c>
      <c r="F584" s="4" t="s">
        <v>1373</v>
      </c>
      <c r="G584" s="2" t="s">
        <v>134</v>
      </c>
      <c r="H584" s="7" t="s">
        <v>91</v>
      </c>
      <c r="I584" s="2" t="s">
        <v>483</v>
      </c>
      <c r="J584" s="2" t="s">
        <v>536</v>
      </c>
      <c r="K584" s="2" t="s">
        <v>304</v>
      </c>
      <c r="L584" s="2" t="s">
        <v>119</v>
      </c>
      <c r="M584" s="8" t="str">
        <f>HYPERLINK("http://slimages.macys.com/is/image/MCY/12642166 ")</f>
        <v xml:space="preserve">http://slimages.macys.com/is/image/MCY/12642166 </v>
      </c>
    </row>
    <row r="585" spans="1:13" ht="60" x14ac:dyDescent="0.25">
      <c r="A585" s="7" t="s">
        <v>7250</v>
      </c>
      <c r="B585" s="2" t="s">
        <v>5718</v>
      </c>
      <c r="C585" s="4">
        <v>1</v>
      </c>
      <c r="D585" s="5">
        <v>2.27</v>
      </c>
      <c r="E585" s="5">
        <v>5.99</v>
      </c>
      <c r="F585" s="4" t="s">
        <v>7248</v>
      </c>
      <c r="G585" s="2" t="s">
        <v>41</v>
      </c>
      <c r="H585" s="7" t="s">
        <v>42</v>
      </c>
      <c r="I585" s="2" t="s">
        <v>483</v>
      </c>
      <c r="J585" s="2" t="s">
        <v>536</v>
      </c>
      <c r="K585" s="2" t="s">
        <v>304</v>
      </c>
      <c r="L585" s="2" t="s">
        <v>87</v>
      </c>
      <c r="M585" s="8" t="str">
        <f>HYPERLINK("http://slimages.macys.com/is/image/MCY/12466263 ")</f>
        <v xml:space="preserve">http://slimages.macys.com/is/image/MCY/12466263 </v>
      </c>
    </row>
    <row r="586" spans="1:13" ht="60" x14ac:dyDescent="0.25">
      <c r="A586" s="7" t="s">
        <v>4596</v>
      </c>
      <c r="B586" s="2" t="s">
        <v>4594</v>
      </c>
      <c r="C586" s="4">
        <v>1</v>
      </c>
      <c r="D586" s="5">
        <v>2.27</v>
      </c>
      <c r="E586" s="5">
        <v>5.99</v>
      </c>
      <c r="F586" s="4" t="s">
        <v>4595</v>
      </c>
      <c r="G586" s="2" t="s">
        <v>41</v>
      </c>
      <c r="H586" s="7" t="s">
        <v>149</v>
      </c>
      <c r="I586" s="2" t="s">
        <v>483</v>
      </c>
      <c r="J586" s="2" t="s">
        <v>536</v>
      </c>
      <c r="K586" s="2" t="s">
        <v>304</v>
      </c>
      <c r="L586" s="2" t="s">
        <v>87</v>
      </c>
      <c r="M586" s="8" t="str">
        <f>HYPERLINK("http://slimages.macys.com/is/image/MCY/12466281 ")</f>
        <v xml:space="preserve">http://slimages.macys.com/is/image/MCY/12466281 </v>
      </c>
    </row>
    <row r="587" spans="1:13" ht="60" x14ac:dyDescent="0.25">
      <c r="A587" s="7" t="s">
        <v>1374</v>
      </c>
      <c r="B587" s="2" t="s">
        <v>1372</v>
      </c>
      <c r="C587" s="4">
        <v>1</v>
      </c>
      <c r="D587" s="5">
        <v>2.27</v>
      </c>
      <c r="E587" s="5">
        <v>5.99</v>
      </c>
      <c r="F587" s="4" t="s">
        <v>1373</v>
      </c>
      <c r="G587" s="2" t="s">
        <v>134</v>
      </c>
      <c r="H587" s="7" t="s">
        <v>590</v>
      </c>
      <c r="I587" s="2" t="s">
        <v>483</v>
      </c>
      <c r="J587" s="2" t="s">
        <v>536</v>
      </c>
      <c r="K587" s="2" t="s">
        <v>304</v>
      </c>
      <c r="L587" s="2" t="s">
        <v>119</v>
      </c>
      <c r="M587" s="8" t="str">
        <f>HYPERLINK("http://slimages.macys.com/is/image/MCY/12642166 ")</f>
        <v xml:space="preserve">http://slimages.macys.com/is/image/MCY/12642166 </v>
      </c>
    </row>
    <row r="588" spans="1:13" ht="60" x14ac:dyDescent="0.25">
      <c r="A588" s="7" t="s">
        <v>6634</v>
      </c>
      <c r="B588" s="2" t="s">
        <v>2374</v>
      </c>
      <c r="C588" s="4">
        <v>1</v>
      </c>
      <c r="D588" s="5">
        <v>2.2599999999999998</v>
      </c>
      <c r="E588" s="5">
        <v>6.99</v>
      </c>
      <c r="F588" s="4" t="s">
        <v>2375</v>
      </c>
      <c r="G588" s="2" t="s">
        <v>41</v>
      </c>
      <c r="H588" s="7" t="s">
        <v>42</v>
      </c>
      <c r="I588" s="2" t="s">
        <v>483</v>
      </c>
      <c r="J588" s="2" t="s">
        <v>536</v>
      </c>
      <c r="K588" s="2" t="s">
        <v>304</v>
      </c>
      <c r="L588" s="2" t="s">
        <v>100</v>
      </c>
      <c r="M588" s="8" t="str">
        <f>HYPERLINK("http://slimages.macys.com/is/image/MCY/11792552 ")</f>
        <v xml:space="preserve">http://slimages.macys.com/is/image/MCY/11792552 </v>
      </c>
    </row>
    <row r="589" spans="1:13" ht="60" x14ac:dyDescent="0.25">
      <c r="A589" s="7" t="s">
        <v>1381</v>
      </c>
      <c r="B589" s="2" t="s">
        <v>1379</v>
      </c>
      <c r="C589" s="4">
        <v>1</v>
      </c>
      <c r="D589" s="5">
        <v>2.25</v>
      </c>
      <c r="E589" s="5">
        <v>5.99</v>
      </c>
      <c r="F589" s="4" t="s">
        <v>1380</v>
      </c>
      <c r="G589" s="2" t="s">
        <v>41</v>
      </c>
      <c r="H589" s="7" t="s">
        <v>42</v>
      </c>
      <c r="I589" s="2" t="s">
        <v>483</v>
      </c>
      <c r="J589" s="2" t="s">
        <v>536</v>
      </c>
      <c r="K589" s="2" t="s">
        <v>304</v>
      </c>
      <c r="L589" s="2" t="s">
        <v>206</v>
      </c>
      <c r="M589" s="8" t="str">
        <f>HYPERLINK("http://slimages.macys.com/is/image/MCY/13386152 ")</f>
        <v xml:space="preserve">http://slimages.macys.com/is/image/MCY/13386152 </v>
      </c>
    </row>
    <row r="590" spans="1:13" ht="60" x14ac:dyDescent="0.25">
      <c r="A590" s="7" t="s">
        <v>2376</v>
      </c>
      <c r="B590" s="2" t="s">
        <v>2377</v>
      </c>
      <c r="C590" s="4">
        <v>1</v>
      </c>
      <c r="D590" s="5">
        <v>2.2400000000000002</v>
      </c>
      <c r="E590" s="5">
        <v>5.99</v>
      </c>
      <c r="F590" s="4" t="s">
        <v>2378</v>
      </c>
      <c r="G590" s="2" t="s">
        <v>643</v>
      </c>
      <c r="H590" s="7" t="s">
        <v>42</v>
      </c>
      <c r="I590" s="2" t="s">
        <v>483</v>
      </c>
      <c r="J590" s="2" t="s">
        <v>536</v>
      </c>
      <c r="K590" s="2" t="s">
        <v>304</v>
      </c>
      <c r="L590" s="2" t="s">
        <v>206</v>
      </c>
      <c r="M590" s="8" t="str">
        <f>HYPERLINK("http://slimages.macys.com/is/image/MCY/13386674 ")</f>
        <v xml:space="preserve">http://slimages.macys.com/is/image/MCY/13386674 </v>
      </c>
    </row>
    <row r="591" spans="1:13" ht="60" x14ac:dyDescent="0.25">
      <c r="A591" s="7" t="s">
        <v>7261</v>
      </c>
      <c r="B591" s="2" t="s">
        <v>2377</v>
      </c>
      <c r="C591" s="4">
        <v>1</v>
      </c>
      <c r="D591" s="5">
        <v>2.2400000000000002</v>
      </c>
      <c r="E591" s="5">
        <v>5.99</v>
      </c>
      <c r="F591" s="4" t="s">
        <v>2378</v>
      </c>
      <c r="G591" s="2" t="s">
        <v>643</v>
      </c>
      <c r="H591" s="7" t="s">
        <v>590</v>
      </c>
      <c r="I591" s="2" t="s">
        <v>483</v>
      </c>
      <c r="J591" s="2" t="s">
        <v>536</v>
      </c>
      <c r="K591" s="2" t="s">
        <v>304</v>
      </c>
      <c r="L591" s="2" t="s">
        <v>206</v>
      </c>
      <c r="M591" s="8" t="str">
        <f>HYPERLINK("http://slimages.macys.com/is/image/MCY/13386674 ")</f>
        <v xml:space="preserve">http://slimages.macys.com/is/image/MCY/13386674 </v>
      </c>
    </row>
    <row r="592" spans="1:13" ht="60" x14ac:dyDescent="0.25">
      <c r="A592" s="7" t="s">
        <v>2382</v>
      </c>
      <c r="B592" s="2" t="s">
        <v>2383</v>
      </c>
      <c r="C592" s="4">
        <v>24</v>
      </c>
      <c r="D592" s="5">
        <v>2.2200000000000002</v>
      </c>
      <c r="E592" s="5">
        <v>4.99</v>
      </c>
      <c r="F592" s="4">
        <v>10004193500</v>
      </c>
      <c r="G592" s="2" t="s">
        <v>1360</v>
      </c>
      <c r="H592" s="7" t="s">
        <v>531</v>
      </c>
      <c r="I592" s="2" t="s">
        <v>483</v>
      </c>
      <c r="J592" s="2" t="s">
        <v>536</v>
      </c>
      <c r="K592" s="2" t="s">
        <v>304</v>
      </c>
      <c r="L592" s="2" t="s">
        <v>87</v>
      </c>
      <c r="M592" s="8" t="str">
        <f>HYPERLINK("http://slimages.macys.com/is/image/MCY/11520388 ")</f>
        <v xml:space="preserve">http://slimages.macys.com/is/image/MCY/11520388 </v>
      </c>
    </row>
    <row r="593" spans="1:13" ht="60" x14ac:dyDescent="0.25">
      <c r="A593" s="7" t="s">
        <v>9793</v>
      </c>
      <c r="B593" s="2" t="s">
        <v>9794</v>
      </c>
      <c r="C593" s="4">
        <v>1</v>
      </c>
      <c r="D593" s="5">
        <v>2.2200000000000002</v>
      </c>
      <c r="E593" s="5">
        <v>5.99</v>
      </c>
      <c r="F593" s="4" t="s">
        <v>9795</v>
      </c>
      <c r="G593" s="2" t="s">
        <v>262</v>
      </c>
      <c r="H593" s="7" t="s">
        <v>149</v>
      </c>
      <c r="I593" s="2" t="s">
        <v>483</v>
      </c>
      <c r="J593" s="2" t="s">
        <v>536</v>
      </c>
      <c r="K593" s="2" t="s">
        <v>304</v>
      </c>
      <c r="L593" s="2" t="s">
        <v>100</v>
      </c>
      <c r="M593" s="8" t="str">
        <f>HYPERLINK("http://slimages.macys.com/is/image/MCY/11793352 ")</f>
        <v xml:space="preserve">http://slimages.macys.com/is/image/MCY/11793352 </v>
      </c>
    </row>
    <row r="594" spans="1:13" ht="60" x14ac:dyDescent="0.25">
      <c r="A594" s="7" t="s">
        <v>9796</v>
      </c>
      <c r="B594" s="2" t="s">
        <v>9797</v>
      </c>
      <c r="C594" s="4">
        <v>1</v>
      </c>
      <c r="D594" s="5">
        <v>2.2200000000000002</v>
      </c>
      <c r="E594" s="5">
        <v>5.99</v>
      </c>
      <c r="F594" s="4">
        <v>100016697</v>
      </c>
      <c r="G594" s="2" t="s">
        <v>1360</v>
      </c>
      <c r="H594" s="7" t="s">
        <v>42</v>
      </c>
      <c r="I594" s="2" t="s">
        <v>483</v>
      </c>
      <c r="J594" s="2" t="s">
        <v>536</v>
      </c>
      <c r="K594" s="2" t="s">
        <v>304</v>
      </c>
      <c r="L594" s="2" t="s">
        <v>206</v>
      </c>
      <c r="M594" s="8" t="str">
        <f>HYPERLINK("http://slimages.macys.com/is/image/MCY/9423893 ")</f>
        <v xml:space="preserve">http://slimages.macys.com/is/image/MCY/9423893 </v>
      </c>
    </row>
    <row r="595" spans="1:13" ht="60" x14ac:dyDescent="0.25">
      <c r="A595" s="7" t="s">
        <v>7266</v>
      </c>
      <c r="B595" s="2" t="s">
        <v>5773</v>
      </c>
      <c r="C595" s="4">
        <v>1</v>
      </c>
      <c r="D595" s="5">
        <v>2.2200000000000002</v>
      </c>
      <c r="E595" s="5">
        <v>5.99</v>
      </c>
      <c r="F595" s="4" t="s">
        <v>5774</v>
      </c>
      <c r="G595" s="2" t="s">
        <v>28</v>
      </c>
      <c r="H595" s="7" t="s">
        <v>42</v>
      </c>
      <c r="I595" s="2" t="s">
        <v>483</v>
      </c>
      <c r="J595" s="2" t="s">
        <v>536</v>
      </c>
      <c r="K595" s="2" t="s">
        <v>304</v>
      </c>
      <c r="L595" s="2" t="s">
        <v>119</v>
      </c>
      <c r="M595" s="8" t="str">
        <f>HYPERLINK("http://slimages.macys.com/is/image/MCY/13987620 ")</f>
        <v xml:space="preserve">http://slimages.macys.com/is/image/MCY/13987620 </v>
      </c>
    </row>
    <row r="596" spans="1:13" ht="60" x14ac:dyDescent="0.25">
      <c r="A596" s="7" t="s">
        <v>2379</v>
      </c>
      <c r="B596" s="2" t="s">
        <v>2380</v>
      </c>
      <c r="C596" s="4">
        <v>1</v>
      </c>
      <c r="D596" s="5">
        <v>2.2200000000000002</v>
      </c>
      <c r="E596" s="5">
        <v>5.99</v>
      </c>
      <c r="F596" s="4" t="s">
        <v>2381</v>
      </c>
      <c r="G596" s="2" t="s">
        <v>28</v>
      </c>
      <c r="H596" s="7" t="s">
        <v>149</v>
      </c>
      <c r="I596" s="2" t="s">
        <v>483</v>
      </c>
      <c r="J596" s="2" t="s">
        <v>536</v>
      </c>
      <c r="K596" s="2" t="s">
        <v>304</v>
      </c>
      <c r="L596" s="2" t="s">
        <v>119</v>
      </c>
      <c r="M596" s="8" t="str">
        <f>HYPERLINK("http://slimages.macys.com/is/image/MCY/12462743 ")</f>
        <v xml:space="preserve">http://slimages.macys.com/is/image/MCY/12462743 </v>
      </c>
    </row>
    <row r="597" spans="1:13" ht="72" x14ac:dyDescent="0.25">
      <c r="A597" s="7" t="s">
        <v>4610</v>
      </c>
      <c r="B597" s="2" t="s">
        <v>4607</v>
      </c>
      <c r="C597" s="4">
        <v>5</v>
      </c>
      <c r="D597" s="5">
        <v>2.21</v>
      </c>
      <c r="E597" s="5">
        <v>6.99</v>
      </c>
      <c r="F597" s="4" t="s">
        <v>4608</v>
      </c>
      <c r="G597" s="2" t="s">
        <v>41</v>
      </c>
      <c r="H597" s="7" t="s">
        <v>586</v>
      </c>
      <c r="I597" s="2" t="s">
        <v>483</v>
      </c>
      <c r="J597" s="2" t="s">
        <v>536</v>
      </c>
      <c r="K597" s="2" t="s">
        <v>304</v>
      </c>
      <c r="L597" s="2" t="s">
        <v>4609</v>
      </c>
      <c r="M597" s="8" t="str">
        <f>HYPERLINK("http://slimages.macys.com/is/image/MCY/13987511 ")</f>
        <v xml:space="preserve">http://slimages.macys.com/is/image/MCY/13987511 </v>
      </c>
    </row>
    <row r="598" spans="1:13" ht="60" x14ac:dyDescent="0.25">
      <c r="A598" s="7" t="s">
        <v>1390</v>
      </c>
      <c r="B598" s="2" t="s">
        <v>1391</v>
      </c>
      <c r="C598" s="4">
        <v>1</v>
      </c>
      <c r="D598" s="5">
        <v>2.21</v>
      </c>
      <c r="E598" s="5">
        <v>5.99</v>
      </c>
      <c r="F598" s="4" t="s">
        <v>1392</v>
      </c>
      <c r="G598" s="2" t="s">
        <v>41</v>
      </c>
      <c r="H598" s="7" t="s">
        <v>42</v>
      </c>
      <c r="I598" s="2" t="s">
        <v>483</v>
      </c>
      <c r="J598" s="2" t="s">
        <v>536</v>
      </c>
      <c r="K598" s="2" t="s">
        <v>304</v>
      </c>
      <c r="L598" s="2" t="s">
        <v>100</v>
      </c>
      <c r="M598" s="8" t="str">
        <f>HYPERLINK("http://slimages.macys.com/is/image/MCY/12466361 ")</f>
        <v xml:space="preserve">http://slimages.macys.com/is/image/MCY/12466361 </v>
      </c>
    </row>
    <row r="599" spans="1:13" ht="84" x14ac:dyDescent="0.25">
      <c r="A599" s="7" t="s">
        <v>2733</v>
      </c>
      <c r="B599" s="2" t="s">
        <v>637</v>
      </c>
      <c r="C599" s="4">
        <v>7</v>
      </c>
      <c r="D599" s="5">
        <v>2.21</v>
      </c>
      <c r="E599" s="5">
        <v>6.99</v>
      </c>
      <c r="F599" s="4" t="s">
        <v>638</v>
      </c>
      <c r="G599" s="2" t="s">
        <v>171</v>
      </c>
      <c r="H599" s="7" t="s">
        <v>586</v>
      </c>
      <c r="I599" s="2" t="s">
        <v>483</v>
      </c>
      <c r="J599" s="2" t="s">
        <v>536</v>
      </c>
      <c r="K599" s="2" t="s">
        <v>304</v>
      </c>
      <c r="L599" s="2" t="s">
        <v>639</v>
      </c>
      <c r="M599" s="8" t="str">
        <f>HYPERLINK("http://slimages.macys.com/is/image/MCY/13987507 ")</f>
        <v xml:space="preserve">http://slimages.macys.com/is/image/MCY/13987507 </v>
      </c>
    </row>
    <row r="600" spans="1:13" ht="84" x14ac:dyDescent="0.25">
      <c r="A600" s="7" t="s">
        <v>636</v>
      </c>
      <c r="B600" s="2" t="s">
        <v>637</v>
      </c>
      <c r="C600" s="4">
        <v>2</v>
      </c>
      <c r="D600" s="5">
        <v>2.21</v>
      </c>
      <c r="E600" s="5">
        <v>6.99</v>
      </c>
      <c r="F600" s="4" t="s">
        <v>638</v>
      </c>
      <c r="G600" s="2" t="s">
        <v>171</v>
      </c>
      <c r="H600" s="7" t="s">
        <v>604</v>
      </c>
      <c r="I600" s="2" t="s">
        <v>483</v>
      </c>
      <c r="J600" s="2" t="s">
        <v>536</v>
      </c>
      <c r="K600" s="2" t="s">
        <v>304</v>
      </c>
      <c r="L600" s="2" t="s">
        <v>639</v>
      </c>
      <c r="M600" s="8" t="str">
        <f>HYPERLINK("http://slimages.macys.com/is/image/MCY/13987507 ")</f>
        <v xml:space="preserve">http://slimages.macys.com/is/image/MCY/13987507 </v>
      </c>
    </row>
    <row r="601" spans="1:13" ht="60" x14ac:dyDescent="0.25">
      <c r="A601" s="7" t="s">
        <v>9257</v>
      </c>
      <c r="B601" s="2" t="s">
        <v>1388</v>
      </c>
      <c r="C601" s="4">
        <v>1</v>
      </c>
      <c r="D601" s="5">
        <v>2.21</v>
      </c>
      <c r="E601" s="5">
        <v>5.99</v>
      </c>
      <c r="F601" s="4" t="s">
        <v>1389</v>
      </c>
      <c r="G601" s="2" t="s">
        <v>129</v>
      </c>
      <c r="H601" s="7" t="s">
        <v>590</v>
      </c>
      <c r="I601" s="2" t="s">
        <v>483</v>
      </c>
      <c r="J601" s="2" t="s">
        <v>536</v>
      </c>
      <c r="K601" s="2" t="s">
        <v>304</v>
      </c>
      <c r="L601" s="2" t="s">
        <v>38</v>
      </c>
      <c r="M601" s="8" t="str">
        <f>HYPERLINK("http://slimages.macys.com/is/image/MCY/13987618 ")</f>
        <v xml:space="preserve">http://slimages.macys.com/is/image/MCY/13987618 </v>
      </c>
    </row>
    <row r="602" spans="1:13" ht="60" x14ac:dyDescent="0.25">
      <c r="A602" s="7" t="s">
        <v>9798</v>
      </c>
      <c r="B602" s="2" t="s">
        <v>641</v>
      </c>
      <c r="C602" s="4">
        <v>1</v>
      </c>
      <c r="D602" s="5">
        <v>2.21</v>
      </c>
      <c r="E602" s="5">
        <v>5.99</v>
      </c>
      <c r="F602" s="4" t="s">
        <v>642</v>
      </c>
      <c r="G602" s="2" t="s">
        <v>643</v>
      </c>
      <c r="H602" s="7" t="s">
        <v>149</v>
      </c>
      <c r="I602" s="2" t="s">
        <v>483</v>
      </c>
      <c r="J602" s="2" t="s">
        <v>536</v>
      </c>
      <c r="K602" s="2" t="s">
        <v>304</v>
      </c>
      <c r="L602" s="2" t="s">
        <v>38</v>
      </c>
      <c r="M602" s="8" t="str">
        <f>HYPERLINK("http://slimages.macys.com/is/image/MCY/13987601 ")</f>
        <v xml:space="preserve">http://slimages.macys.com/is/image/MCY/13987601 </v>
      </c>
    </row>
    <row r="603" spans="1:13" ht="60" x14ac:dyDescent="0.25">
      <c r="A603" s="7" t="s">
        <v>7279</v>
      </c>
      <c r="B603" s="2" t="s">
        <v>3556</v>
      </c>
      <c r="C603" s="4">
        <v>1</v>
      </c>
      <c r="D603" s="5">
        <v>2.19</v>
      </c>
      <c r="E603" s="5">
        <v>5.99</v>
      </c>
      <c r="F603" s="4" t="s">
        <v>3557</v>
      </c>
      <c r="G603" s="2" t="s">
        <v>41</v>
      </c>
      <c r="H603" s="7" t="s">
        <v>442</v>
      </c>
      <c r="I603" s="2" t="s">
        <v>483</v>
      </c>
      <c r="J603" s="2" t="s">
        <v>536</v>
      </c>
      <c r="K603" s="2" t="s">
        <v>304</v>
      </c>
      <c r="L603" s="2" t="s">
        <v>100</v>
      </c>
      <c r="M603" s="8" t="str">
        <f>HYPERLINK("http://slimages.macys.com/is/image/MCY/11855683 ")</f>
        <v xml:space="preserve">http://slimages.macys.com/is/image/MCY/11855683 </v>
      </c>
    </row>
    <row r="604" spans="1:13" ht="60" x14ac:dyDescent="0.25">
      <c r="A604" s="7" t="s">
        <v>3555</v>
      </c>
      <c r="B604" s="2" t="s">
        <v>3556</v>
      </c>
      <c r="C604" s="4">
        <v>1</v>
      </c>
      <c r="D604" s="5">
        <v>2.19</v>
      </c>
      <c r="E604" s="5">
        <v>5.99</v>
      </c>
      <c r="F604" s="4" t="s">
        <v>3557</v>
      </c>
      <c r="G604" s="2" t="s">
        <v>41</v>
      </c>
      <c r="H604" s="7" t="s">
        <v>42</v>
      </c>
      <c r="I604" s="2" t="s">
        <v>483</v>
      </c>
      <c r="J604" s="2" t="s">
        <v>536</v>
      </c>
      <c r="K604" s="2" t="s">
        <v>304</v>
      </c>
      <c r="L604" s="2" t="s">
        <v>100</v>
      </c>
      <c r="M604" s="8" t="str">
        <f>HYPERLINK("http://slimages.macys.com/is/image/MCY/11855683 ")</f>
        <v xml:space="preserve">http://slimages.macys.com/is/image/MCY/11855683 </v>
      </c>
    </row>
    <row r="605" spans="1:13" ht="60" x14ac:dyDescent="0.25">
      <c r="A605" s="7" t="s">
        <v>9259</v>
      </c>
      <c r="B605" s="2" t="s">
        <v>9260</v>
      </c>
      <c r="C605" s="4">
        <v>1</v>
      </c>
      <c r="D605" s="5">
        <v>2.19</v>
      </c>
      <c r="E605" s="5">
        <v>5.99</v>
      </c>
      <c r="F605" s="4" t="s">
        <v>9261</v>
      </c>
      <c r="G605" s="2" t="s">
        <v>657</v>
      </c>
      <c r="H605" s="7" t="s">
        <v>42</v>
      </c>
      <c r="I605" s="2" t="s">
        <v>483</v>
      </c>
      <c r="J605" s="2" t="s">
        <v>536</v>
      </c>
      <c r="K605" s="2" t="s">
        <v>304</v>
      </c>
      <c r="L605" s="2" t="s">
        <v>206</v>
      </c>
      <c r="M605" s="8" t="str">
        <f>HYPERLINK("http://slimages.macys.com/is/image/MCY/12644514 ")</f>
        <v xml:space="preserve">http://slimages.macys.com/is/image/MCY/12644514 </v>
      </c>
    </row>
    <row r="606" spans="1:13" ht="60" x14ac:dyDescent="0.25">
      <c r="A606" s="7" t="s">
        <v>7288</v>
      </c>
      <c r="B606" s="2" t="s">
        <v>2398</v>
      </c>
      <c r="C606" s="4">
        <v>1</v>
      </c>
      <c r="D606" s="5">
        <v>2.17</v>
      </c>
      <c r="E606" s="5">
        <v>5.99</v>
      </c>
      <c r="F606" s="4" t="s">
        <v>2399</v>
      </c>
      <c r="G606" s="2" t="s">
        <v>41</v>
      </c>
      <c r="H606" s="7" t="s">
        <v>590</v>
      </c>
      <c r="I606" s="2" t="s">
        <v>483</v>
      </c>
      <c r="J606" s="2" t="s">
        <v>536</v>
      </c>
      <c r="K606" s="2" t="s">
        <v>304</v>
      </c>
      <c r="L606" s="2" t="s">
        <v>87</v>
      </c>
      <c r="M606" s="8" t="str">
        <f>HYPERLINK("http://slimages.macys.com/is/image/MCY/12644613 ")</f>
        <v xml:space="preserve">http://slimages.macys.com/is/image/MCY/12644613 </v>
      </c>
    </row>
    <row r="607" spans="1:13" ht="60" x14ac:dyDescent="0.25">
      <c r="A607" s="7" t="s">
        <v>8061</v>
      </c>
      <c r="B607" s="2" t="s">
        <v>5789</v>
      </c>
      <c r="C607" s="4">
        <v>1</v>
      </c>
      <c r="D607" s="5">
        <v>2.16</v>
      </c>
      <c r="E607" s="5">
        <v>5.99</v>
      </c>
      <c r="F607" s="4" t="s">
        <v>8062</v>
      </c>
      <c r="G607" s="2" t="s">
        <v>1360</v>
      </c>
      <c r="H607" s="7" t="s">
        <v>590</v>
      </c>
      <c r="I607" s="2" t="s">
        <v>483</v>
      </c>
      <c r="J607" s="2" t="s">
        <v>536</v>
      </c>
      <c r="K607" s="2" t="s">
        <v>304</v>
      </c>
      <c r="L607" s="2" t="s">
        <v>206</v>
      </c>
      <c r="M607" s="8" t="str">
        <f>HYPERLINK("http://slimages.macys.com/is/image/MCY/11525797 ")</f>
        <v xml:space="preserve">http://slimages.macys.com/is/image/MCY/11525797 </v>
      </c>
    </row>
    <row r="608" spans="1:13" ht="60" x14ac:dyDescent="0.25">
      <c r="A608" s="7" t="s">
        <v>7295</v>
      </c>
      <c r="B608" s="2" t="s">
        <v>2407</v>
      </c>
      <c r="C608" s="4">
        <v>1</v>
      </c>
      <c r="D608" s="5">
        <v>2.02</v>
      </c>
      <c r="E608" s="5">
        <v>5.99</v>
      </c>
      <c r="F608" s="4" t="s">
        <v>2408</v>
      </c>
      <c r="G608" s="2" t="s">
        <v>657</v>
      </c>
      <c r="H608" s="7" t="s">
        <v>42</v>
      </c>
      <c r="I608" s="2" t="s">
        <v>483</v>
      </c>
      <c r="J608" s="2" t="s">
        <v>536</v>
      </c>
      <c r="K608" s="2" t="s">
        <v>304</v>
      </c>
      <c r="L608" s="2" t="s">
        <v>206</v>
      </c>
      <c r="M608" s="8" t="str">
        <f>HYPERLINK("http://slimages.macys.com/is/image/MCY/12464674 ")</f>
        <v xml:space="preserve">http://slimages.macys.com/is/image/MCY/12464674 </v>
      </c>
    </row>
    <row r="609" spans="1:13" ht="60" x14ac:dyDescent="0.25">
      <c r="A609" s="7" t="s">
        <v>9799</v>
      </c>
      <c r="B609" s="2" t="s">
        <v>2407</v>
      </c>
      <c r="C609" s="4">
        <v>1</v>
      </c>
      <c r="D609" s="5">
        <v>2.02</v>
      </c>
      <c r="E609" s="5">
        <v>5.99</v>
      </c>
      <c r="F609" s="4" t="s">
        <v>2408</v>
      </c>
      <c r="G609" s="2" t="s">
        <v>657</v>
      </c>
      <c r="H609" s="7" t="s">
        <v>590</v>
      </c>
      <c r="I609" s="2" t="s">
        <v>483</v>
      </c>
      <c r="J609" s="2" t="s">
        <v>536</v>
      </c>
      <c r="K609" s="2" t="s">
        <v>304</v>
      </c>
      <c r="L609" s="2" t="s">
        <v>206</v>
      </c>
      <c r="M609" s="8" t="str">
        <f>HYPERLINK("http://slimages.macys.com/is/image/MCY/12464674 ")</f>
        <v xml:space="preserve">http://slimages.macys.com/is/image/MCY/12464674 </v>
      </c>
    </row>
    <row r="610" spans="1:13" ht="60" x14ac:dyDescent="0.25">
      <c r="A610" s="7" t="s">
        <v>9268</v>
      </c>
      <c r="B610" s="2" t="s">
        <v>7297</v>
      </c>
      <c r="C610" s="4">
        <v>1</v>
      </c>
      <c r="D610" s="5">
        <v>1.97</v>
      </c>
      <c r="E610" s="5">
        <v>5.99</v>
      </c>
      <c r="F610" s="4" t="s">
        <v>7298</v>
      </c>
      <c r="G610" s="2" t="s">
        <v>657</v>
      </c>
      <c r="H610" s="7" t="s">
        <v>91</v>
      </c>
      <c r="I610" s="2" t="s">
        <v>483</v>
      </c>
      <c r="J610" s="2" t="s">
        <v>536</v>
      </c>
      <c r="K610" s="2" t="s">
        <v>304</v>
      </c>
      <c r="L610" s="2" t="s">
        <v>119</v>
      </c>
      <c r="M610" s="8" t="str">
        <f>HYPERLINK("http://slimages.macys.com/is/image/MCY/12636887 ")</f>
        <v xml:space="preserve">http://slimages.macys.com/is/image/MCY/12636887 </v>
      </c>
    </row>
    <row r="611" spans="1:13" ht="60" x14ac:dyDescent="0.25">
      <c r="A611" s="7" t="s">
        <v>9800</v>
      </c>
      <c r="B611" s="2" t="s">
        <v>5799</v>
      </c>
      <c r="C611" s="4">
        <v>1</v>
      </c>
      <c r="D611" s="5">
        <v>1.95</v>
      </c>
      <c r="E611" s="5">
        <v>5.99</v>
      </c>
      <c r="F611" s="4" t="s">
        <v>5800</v>
      </c>
      <c r="G611" s="2" t="s">
        <v>129</v>
      </c>
      <c r="H611" s="7" t="s">
        <v>590</v>
      </c>
      <c r="I611" s="2" t="s">
        <v>483</v>
      </c>
      <c r="J611" s="2" t="s">
        <v>536</v>
      </c>
      <c r="K611" s="2" t="s">
        <v>304</v>
      </c>
      <c r="L611" s="2" t="s">
        <v>119</v>
      </c>
      <c r="M611" s="8" t="str">
        <f>HYPERLINK("http://slimages.macys.com/is/image/MCY/12776923 ")</f>
        <v xml:space="preserve">http://slimages.macys.com/is/image/MCY/12776923 </v>
      </c>
    </row>
    <row r="612" spans="1:13" ht="60" x14ac:dyDescent="0.25">
      <c r="A612" s="7" t="s">
        <v>2418</v>
      </c>
      <c r="B612" s="2" t="s">
        <v>2419</v>
      </c>
      <c r="C612" s="4">
        <v>1</v>
      </c>
      <c r="D612" s="5">
        <v>1.42</v>
      </c>
      <c r="E612" s="5">
        <v>3.99</v>
      </c>
      <c r="F612" s="4" t="s">
        <v>2420</v>
      </c>
      <c r="G612" s="2" t="s">
        <v>134</v>
      </c>
      <c r="H612" s="7" t="s">
        <v>531</v>
      </c>
      <c r="I612" s="2" t="s">
        <v>483</v>
      </c>
      <c r="J612" s="2" t="s">
        <v>536</v>
      </c>
      <c r="K612" s="2" t="s">
        <v>304</v>
      </c>
      <c r="L612" s="2" t="s">
        <v>2421</v>
      </c>
      <c r="M612" s="8" t="str">
        <f>HYPERLINK("http://slimages.macys.com/is/image/MCY/13987505 ")</f>
        <v xml:space="preserve">http://slimages.macys.com/is/image/MCY/13987505 </v>
      </c>
    </row>
    <row r="613" spans="1:13" ht="60" x14ac:dyDescent="0.25">
      <c r="A613" s="7" t="s">
        <v>3578</v>
      </c>
      <c r="B613" s="2" t="s">
        <v>3579</v>
      </c>
      <c r="C613" s="4">
        <v>4</v>
      </c>
      <c r="D613" s="5">
        <v>10.3</v>
      </c>
      <c r="E613" s="5">
        <v>25.05</v>
      </c>
      <c r="F613" s="4">
        <v>17872211</v>
      </c>
      <c r="G613" s="2"/>
      <c r="H613" s="7" t="s">
        <v>91</v>
      </c>
      <c r="I613" s="2" t="s">
        <v>153</v>
      </c>
      <c r="J613" s="2" t="s">
        <v>3580</v>
      </c>
      <c r="K613" s="2"/>
      <c r="L613" s="2"/>
      <c r="M613" s="8"/>
    </row>
    <row r="614" spans="1:13" ht="60" x14ac:dyDescent="0.25">
      <c r="A614" s="7" t="s">
        <v>8084</v>
      </c>
      <c r="B614" s="2" t="s">
        <v>3579</v>
      </c>
      <c r="C614" s="4">
        <v>1</v>
      </c>
      <c r="D614" s="5">
        <v>10.3</v>
      </c>
      <c r="E614" s="5">
        <v>25.05</v>
      </c>
      <c r="F614" s="4">
        <v>17872211</v>
      </c>
      <c r="G614" s="2"/>
      <c r="H614" s="7" t="s">
        <v>442</v>
      </c>
      <c r="I614" s="2" t="s">
        <v>153</v>
      </c>
      <c r="J614" s="2" t="s">
        <v>3580</v>
      </c>
      <c r="K614" s="2"/>
      <c r="L614" s="2"/>
      <c r="M614" s="8"/>
    </row>
    <row r="615" spans="1:13" ht="60" x14ac:dyDescent="0.25">
      <c r="A615" s="7" t="s">
        <v>3581</v>
      </c>
      <c r="B615" s="2" t="s">
        <v>3579</v>
      </c>
      <c r="C615" s="4">
        <v>1</v>
      </c>
      <c r="D615" s="5">
        <v>10.3</v>
      </c>
      <c r="E615" s="5">
        <v>25.05</v>
      </c>
      <c r="F615" s="4">
        <v>17872211</v>
      </c>
      <c r="G615" s="2"/>
      <c r="H615" s="7" t="s">
        <v>438</v>
      </c>
      <c r="I615" s="2" t="s">
        <v>153</v>
      </c>
      <c r="J615" s="2" t="s">
        <v>3580</v>
      </c>
      <c r="K615" s="2"/>
      <c r="L615" s="2"/>
      <c r="M615" s="8"/>
    </row>
    <row r="616" spans="1:13" ht="36" x14ac:dyDescent="0.25">
      <c r="A616" s="7" t="s">
        <v>6101</v>
      </c>
      <c r="B616" s="2" t="s">
        <v>1402</v>
      </c>
      <c r="C616" s="4">
        <v>1</v>
      </c>
      <c r="D616" s="5">
        <v>10.25</v>
      </c>
      <c r="E616" s="5">
        <v>34</v>
      </c>
      <c r="F616" s="4" t="s">
        <v>1403</v>
      </c>
      <c r="G616" s="2" t="s">
        <v>657</v>
      </c>
      <c r="H616" s="7" t="s">
        <v>2872</v>
      </c>
      <c r="I616" s="2" t="s">
        <v>50</v>
      </c>
      <c r="J616" s="2" t="s">
        <v>650</v>
      </c>
      <c r="K616" s="2"/>
      <c r="L616" s="2"/>
      <c r="M616" s="8"/>
    </row>
    <row r="617" spans="1:13" ht="24" x14ac:dyDescent="0.25">
      <c r="A617" s="7" t="s">
        <v>8511</v>
      </c>
      <c r="B617" s="2" t="s">
        <v>7304</v>
      </c>
      <c r="C617" s="4">
        <v>1</v>
      </c>
      <c r="D617" s="5">
        <v>8.01</v>
      </c>
      <c r="E617" s="5">
        <v>17.989999999999998</v>
      </c>
      <c r="F617" s="4" t="s">
        <v>7305</v>
      </c>
      <c r="G617" s="2" t="s">
        <v>527</v>
      </c>
      <c r="H617" s="7" t="s">
        <v>159</v>
      </c>
      <c r="I617" s="2" t="s">
        <v>80</v>
      </c>
      <c r="J617" s="2" t="s">
        <v>160</v>
      </c>
      <c r="K617" s="2"/>
      <c r="L617" s="2"/>
      <c r="M617" s="8"/>
    </row>
    <row r="618" spans="1:13" ht="24" x14ac:dyDescent="0.25">
      <c r="A618" s="7" t="s">
        <v>7303</v>
      </c>
      <c r="B618" s="2" t="s">
        <v>7304</v>
      </c>
      <c r="C618" s="4">
        <v>3</v>
      </c>
      <c r="D618" s="5">
        <v>8.01</v>
      </c>
      <c r="E618" s="5">
        <v>17.989999999999998</v>
      </c>
      <c r="F618" s="4" t="s">
        <v>7305</v>
      </c>
      <c r="G618" s="2" t="s">
        <v>527</v>
      </c>
      <c r="H618" s="7" t="s">
        <v>228</v>
      </c>
      <c r="I618" s="2" t="s">
        <v>80</v>
      </c>
      <c r="J618" s="2" t="s">
        <v>160</v>
      </c>
      <c r="K618" s="2"/>
      <c r="L618" s="2"/>
      <c r="M618" s="8"/>
    </row>
    <row r="619" spans="1:13" ht="24" x14ac:dyDescent="0.25">
      <c r="A619" s="7" t="s">
        <v>9801</v>
      </c>
      <c r="B619" s="2" t="s">
        <v>7304</v>
      </c>
      <c r="C619" s="4">
        <v>1</v>
      </c>
      <c r="D619" s="5">
        <v>8.01</v>
      </c>
      <c r="E619" s="5">
        <v>17.989999999999998</v>
      </c>
      <c r="F619" s="4" t="s">
        <v>7305</v>
      </c>
      <c r="G619" s="2" t="s">
        <v>527</v>
      </c>
      <c r="H619" s="7" t="s">
        <v>217</v>
      </c>
      <c r="I619" s="2" t="s">
        <v>80</v>
      </c>
      <c r="J619" s="2" t="s">
        <v>160</v>
      </c>
      <c r="K619" s="2"/>
      <c r="L619" s="2"/>
      <c r="M619" s="8"/>
    </row>
    <row r="620" spans="1:13" ht="36" x14ac:dyDescent="0.25">
      <c r="A620" s="7" t="s">
        <v>9802</v>
      </c>
      <c r="B620" s="2" t="s">
        <v>8513</v>
      </c>
      <c r="C620" s="4">
        <v>1</v>
      </c>
      <c r="D620" s="5">
        <v>7.6</v>
      </c>
      <c r="E620" s="5">
        <v>17.28</v>
      </c>
      <c r="F620" s="4">
        <v>17878210</v>
      </c>
      <c r="G620" s="2"/>
      <c r="H620" s="7" t="s">
        <v>675</v>
      </c>
      <c r="I620" s="2" t="s">
        <v>153</v>
      </c>
      <c r="J620" s="2" t="s">
        <v>154</v>
      </c>
      <c r="K620" s="2"/>
      <c r="L620" s="2"/>
      <c r="M620" s="8"/>
    </row>
    <row r="621" spans="1:13" ht="36" x14ac:dyDescent="0.25">
      <c r="A621" s="7" t="s">
        <v>8514</v>
      </c>
      <c r="B621" s="2" t="s">
        <v>8513</v>
      </c>
      <c r="C621" s="4">
        <v>1</v>
      </c>
      <c r="D621" s="5">
        <v>7.6</v>
      </c>
      <c r="E621" s="5">
        <v>17.28</v>
      </c>
      <c r="F621" s="4">
        <v>17878210</v>
      </c>
      <c r="G621" s="2"/>
      <c r="H621" s="7" t="s">
        <v>442</v>
      </c>
      <c r="I621" s="2" t="s">
        <v>153</v>
      </c>
      <c r="J621" s="2" t="s">
        <v>154</v>
      </c>
      <c r="K621" s="2"/>
      <c r="L621" s="2"/>
      <c r="M621" s="8"/>
    </row>
  </sheetData>
  <pageMargins left="0.5" right="0.5" top="0.25" bottom="0.25" header="0.3" footer="0.3"/>
  <pageSetup scale="65" orientation="landscape" horizontalDpi="0" verticalDpi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77"/>
  <sheetViews>
    <sheetView workbookViewId="0">
      <selection activeCell="N5" sqref="N5"/>
    </sheetView>
  </sheetViews>
  <sheetFormatPr defaultRowHeight="15" x14ac:dyDescent="0.25"/>
  <cols>
    <col min="1" max="1" width="14.28515625" customWidth="1"/>
    <col min="2" max="2" width="36.85546875" customWidth="1"/>
    <col min="3" max="3" width="15" customWidth="1"/>
    <col min="4" max="4" width="10.85546875" customWidth="1"/>
    <col min="5" max="6" width="15" customWidth="1"/>
    <col min="7" max="7" width="10.28515625" customWidth="1"/>
    <col min="8" max="8" width="16.5703125" customWidth="1"/>
    <col min="9" max="11" width="11.42578125" customWidth="1"/>
    <col min="12" max="12" width="7.42578125" customWidth="1"/>
    <col min="13" max="13" width="10.85546875" customWidth="1"/>
    <col min="14" max="14" width="12.140625" customWidth="1"/>
    <col min="15" max="15" width="36.5703125" bestFit="1" customWidth="1"/>
    <col min="16" max="17" width="20.7109375" customWidth="1"/>
    <col min="18" max="18" width="64.28515625" customWidth="1"/>
  </cols>
  <sheetData>
    <row r="1" spans="1:13" ht="36" x14ac:dyDescent="0.25">
      <c r="A1" s="22" t="s">
        <v>0</v>
      </c>
      <c r="B1" s="22" t="s">
        <v>1</v>
      </c>
      <c r="C1" s="22" t="s">
        <v>2</v>
      </c>
      <c r="D1" s="22" t="s">
        <v>3</v>
      </c>
      <c r="E1" s="22" t="s">
        <v>4</v>
      </c>
      <c r="F1" s="22" t="s">
        <v>5</v>
      </c>
      <c r="G1" s="22" t="s">
        <v>6</v>
      </c>
      <c r="H1" s="22" t="s">
        <v>7</v>
      </c>
      <c r="I1" s="22" t="s">
        <v>8</v>
      </c>
      <c r="J1" s="22" t="s">
        <v>9</v>
      </c>
    </row>
    <row r="2" spans="1:13" ht="36" x14ac:dyDescent="0.25">
      <c r="A2" s="2" t="s">
        <v>10</v>
      </c>
      <c r="B2" s="3">
        <v>12431680</v>
      </c>
      <c r="C2" s="2" t="s">
        <v>11</v>
      </c>
      <c r="D2" s="2" t="s">
        <v>12</v>
      </c>
      <c r="E2" s="4">
        <v>1</v>
      </c>
      <c r="F2" s="4">
        <v>20</v>
      </c>
      <c r="G2" s="2">
        <v>242</v>
      </c>
      <c r="H2" s="5">
        <v>5911.52</v>
      </c>
      <c r="I2" s="5">
        <v>14919.23</v>
      </c>
      <c r="J2" s="2">
        <v>945</v>
      </c>
    </row>
    <row r="4" spans="1:13" s="6" customFormat="1" x14ac:dyDescent="0.25"/>
    <row r="8" spans="1:13" s="6" customFormat="1" x14ac:dyDescent="0.25"/>
    <row r="9" spans="1:13" ht="36" x14ac:dyDescent="0.25">
      <c r="A9" s="22" t="s">
        <v>13</v>
      </c>
      <c r="B9" s="22" t="s">
        <v>14</v>
      </c>
      <c r="C9" s="22" t="s">
        <v>15</v>
      </c>
      <c r="D9" s="22" t="s">
        <v>16</v>
      </c>
      <c r="E9" s="22" t="s">
        <v>17</v>
      </c>
      <c r="F9" s="22" t="s">
        <v>18</v>
      </c>
      <c r="G9" s="22" t="s">
        <v>19</v>
      </c>
      <c r="H9" s="22" t="s">
        <v>20</v>
      </c>
      <c r="I9" s="22" t="s">
        <v>21</v>
      </c>
      <c r="J9" s="22" t="s">
        <v>22</v>
      </c>
      <c r="K9" s="22" t="s">
        <v>2737</v>
      </c>
      <c r="L9" s="22" t="s">
        <v>23</v>
      </c>
      <c r="M9" s="22" t="s">
        <v>24</v>
      </c>
    </row>
    <row r="10" spans="1:13" ht="60" x14ac:dyDescent="0.25">
      <c r="A10" s="7" t="s">
        <v>8520</v>
      </c>
      <c r="B10" s="2" t="s">
        <v>8521</v>
      </c>
      <c r="C10" s="4">
        <v>1</v>
      </c>
      <c r="D10" s="5">
        <v>44</v>
      </c>
      <c r="E10" s="5">
        <v>138</v>
      </c>
      <c r="F10" s="4" t="s">
        <v>8522</v>
      </c>
      <c r="G10" s="2" t="s">
        <v>36</v>
      </c>
      <c r="H10" s="7" t="s">
        <v>172</v>
      </c>
      <c r="I10" s="2" t="s">
        <v>173</v>
      </c>
      <c r="J10" s="2" t="s">
        <v>2745</v>
      </c>
      <c r="K10" s="2" t="s">
        <v>2746</v>
      </c>
      <c r="L10" s="2" t="s">
        <v>8523</v>
      </c>
      <c r="M10" s="8" t="str">
        <f>HYPERLINK("http://images.bloomingdales.com/is/image/BLM/10201131 ")</f>
        <v xml:space="preserve">http://images.bloomingdales.com/is/image/BLM/10201131 </v>
      </c>
    </row>
    <row r="11" spans="1:13" ht="324" x14ac:dyDescent="0.25">
      <c r="A11" s="7" t="s">
        <v>8524</v>
      </c>
      <c r="B11" s="2" t="s">
        <v>2757</v>
      </c>
      <c r="C11" s="4">
        <v>1</v>
      </c>
      <c r="D11" s="5">
        <v>40</v>
      </c>
      <c r="E11" s="5">
        <v>110</v>
      </c>
      <c r="F11" s="4" t="s">
        <v>2758</v>
      </c>
      <c r="G11" s="2" t="s">
        <v>41</v>
      </c>
      <c r="H11" s="7" t="s">
        <v>166</v>
      </c>
      <c r="I11" s="2" t="s">
        <v>668</v>
      </c>
      <c r="J11" s="2" t="s">
        <v>672</v>
      </c>
      <c r="K11" s="2" t="s">
        <v>304</v>
      </c>
      <c r="L11" s="2" t="s">
        <v>2759</v>
      </c>
      <c r="M11" s="8" t="str">
        <f>HYPERLINK("http://slimages.macys.com/is/image/MCY/12336674 ")</f>
        <v xml:space="preserve">http://slimages.macys.com/is/image/MCY/12336674 </v>
      </c>
    </row>
    <row r="12" spans="1:13" ht="60" x14ac:dyDescent="0.25">
      <c r="A12" s="7" t="s">
        <v>2763</v>
      </c>
      <c r="B12" s="2" t="s">
        <v>2761</v>
      </c>
      <c r="C12" s="4">
        <v>1</v>
      </c>
      <c r="D12" s="5">
        <v>39.9</v>
      </c>
      <c r="E12" s="5">
        <v>79.989999999999995</v>
      </c>
      <c r="F12" s="4" t="s">
        <v>2762</v>
      </c>
      <c r="G12" s="2" t="s">
        <v>62</v>
      </c>
      <c r="H12" s="7" t="s">
        <v>118</v>
      </c>
      <c r="I12" s="2" t="s">
        <v>30</v>
      </c>
      <c r="J12" s="2" t="s">
        <v>31</v>
      </c>
      <c r="K12" s="2" t="s">
        <v>304</v>
      </c>
      <c r="L12" s="2" t="s">
        <v>32</v>
      </c>
      <c r="M12" s="8" t="str">
        <f>HYPERLINK("http://slimages.macys.com/is/image/MCY/11831381 ")</f>
        <v xml:space="preserve">http://slimages.macys.com/is/image/MCY/11831381 </v>
      </c>
    </row>
    <row r="13" spans="1:13" ht="60" x14ac:dyDescent="0.25">
      <c r="A13" s="7" t="s">
        <v>8525</v>
      </c>
      <c r="B13" s="2" t="s">
        <v>8526</v>
      </c>
      <c r="C13" s="4">
        <v>1</v>
      </c>
      <c r="D13" s="5">
        <v>31</v>
      </c>
      <c r="E13" s="5">
        <v>68</v>
      </c>
      <c r="F13" s="4" t="s">
        <v>8527</v>
      </c>
      <c r="G13" s="2" t="s">
        <v>79</v>
      </c>
      <c r="H13" s="7"/>
      <c r="I13" s="2" t="s">
        <v>173</v>
      </c>
      <c r="J13" s="2" t="s">
        <v>8528</v>
      </c>
      <c r="K13" s="2" t="s">
        <v>2752</v>
      </c>
      <c r="L13" s="2" t="s">
        <v>8529</v>
      </c>
      <c r="M13" s="8" t="str">
        <f>HYPERLINK("http://images.bloomingdales.com/is/image/BLM/10284371 ")</f>
        <v xml:space="preserve">http://images.bloomingdales.com/is/image/BLM/10284371 </v>
      </c>
    </row>
    <row r="14" spans="1:13" ht="60" x14ac:dyDescent="0.25">
      <c r="A14" s="7" t="s">
        <v>8530</v>
      </c>
      <c r="B14" s="2" t="s">
        <v>8531</v>
      </c>
      <c r="C14" s="4">
        <v>1</v>
      </c>
      <c r="D14" s="5">
        <v>27.2</v>
      </c>
      <c r="E14" s="5">
        <v>68</v>
      </c>
      <c r="F14" s="4" t="s">
        <v>8532</v>
      </c>
      <c r="G14" s="2" t="s">
        <v>476</v>
      </c>
      <c r="H14" s="7" t="s">
        <v>217</v>
      </c>
      <c r="I14" s="2" t="s">
        <v>173</v>
      </c>
      <c r="J14" s="2" t="s">
        <v>5132</v>
      </c>
      <c r="K14" s="2" t="s">
        <v>2752</v>
      </c>
      <c r="L14" s="2" t="s">
        <v>2873</v>
      </c>
      <c r="M14" s="8" t="str">
        <f>HYPERLINK("http://images.bloomingdales.com/is/image/BLM/10317746 ")</f>
        <v xml:space="preserve">http://images.bloomingdales.com/is/image/BLM/10317746 </v>
      </c>
    </row>
    <row r="15" spans="1:13" ht="60" x14ac:dyDescent="0.25">
      <c r="A15" s="7" t="s">
        <v>8533</v>
      </c>
      <c r="B15" s="2" t="s">
        <v>8534</v>
      </c>
      <c r="C15" s="4">
        <v>1</v>
      </c>
      <c r="D15" s="5">
        <v>27.2</v>
      </c>
      <c r="E15" s="5">
        <v>68</v>
      </c>
      <c r="F15" s="4" t="s">
        <v>8535</v>
      </c>
      <c r="G15" s="2" t="s">
        <v>28</v>
      </c>
      <c r="H15" s="7" t="s">
        <v>123</v>
      </c>
      <c r="I15" s="2" t="s">
        <v>173</v>
      </c>
      <c r="J15" s="2" t="s">
        <v>5132</v>
      </c>
      <c r="K15" s="2" t="s">
        <v>2752</v>
      </c>
      <c r="L15" s="2" t="s">
        <v>119</v>
      </c>
      <c r="M15" s="8" t="str">
        <f>HYPERLINK("http://images.bloomingdales.com/is/image/BLM/10293124 ")</f>
        <v xml:space="preserve">http://images.bloomingdales.com/is/image/BLM/10293124 </v>
      </c>
    </row>
    <row r="16" spans="1:13" ht="60" x14ac:dyDescent="0.25">
      <c r="A16" s="7" t="s">
        <v>8536</v>
      </c>
      <c r="B16" s="2" t="s">
        <v>8537</v>
      </c>
      <c r="C16" s="4">
        <v>1</v>
      </c>
      <c r="D16" s="5">
        <v>26</v>
      </c>
      <c r="E16" s="5">
        <v>58</v>
      </c>
      <c r="F16" s="4" t="s">
        <v>8538</v>
      </c>
      <c r="G16" s="2" t="s">
        <v>79</v>
      </c>
      <c r="H16" s="7"/>
      <c r="I16" s="2" t="s">
        <v>173</v>
      </c>
      <c r="J16" s="2" t="s">
        <v>8528</v>
      </c>
      <c r="K16" s="2" t="s">
        <v>2752</v>
      </c>
      <c r="L16" s="2" t="s">
        <v>8539</v>
      </c>
      <c r="M16" s="8" t="str">
        <f>HYPERLINK("http://images.bloomingdales.com/is/image/BLM/10284395 ")</f>
        <v xml:space="preserve">http://images.bloomingdales.com/is/image/BLM/10284395 </v>
      </c>
    </row>
    <row r="17" spans="1:13" ht="96" x14ac:dyDescent="0.25">
      <c r="A17" s="7" t="s">
        <v>8540</v>
      </c>
      <c r="B17" s="2" t="s">
        <v>8541</v>
      </c>
      <c r="C17" s="4">
        <v>1</v>
      </c>
      <c r="D17" s="5">
        <v>23.49</v>
      </c>
      <c r="E17" s="5">
        <v>64</v>
      </c>
      <c r="F17" s="4" t="s">
        <v>8542</v>
      </c>
      <c r="G17" s="2" t="s">
        <v>36</v>
      </c>
      <c r="H17" s="7" t="s">
        <v>63</v>
      </c>
      <c r="I17" s="2" t="s">
        <v>173</v>
      </c>
      <c r="J17" s="2" t="s">
        <v>8543</v>
      </c>
      <c r="K17" s="2" t="s">
        <v>2746</v>
      </c>
      <c r="L17" s="2" t="s">
        <v>8544</v>
      </c>
      <c r="M17" s="8" t="str">
        <f>HYPERLINK("http://images.bloomingdales.com/is/image/BLM/10199730 ")</f>
        <v xml:space="preserve">http://images.bloomingdales.com/is/image/BLM/10199730 </v>
      </c>
    </row>
    <row r="18" spans="1:13" ht="84" x14ac:dyDescent="0.25">
      <c r="A18" s="7" t="s">
        <v>8545</v>
      </c>
      <c r="B18" s="2" t="s">
        <v>8546</v>
      </c>
      <c r="C18" s="4">
        <v>1</v>
      </c>
      <c r="D18" s="5">
        <v>23</v>
      </c>
      <c r="E18" s="5">
        <v>64.989999999999995</v>
      </c>
      <c r="F18" s="4" t="s">
        <v>8547</v>
      </c>
      <c r="G18" s="2" t="s">
        <v>752</v>
      </c>
      <c r="H18" s="7" t="s">
        <v>97</v>
      </c>
      <c r="I18" s="2" t="s">
        <v>668</v>
      </c>
      <c r="J18" s="2" t="s">
        <v>1506</v>
      </c>
      <c r="K18" s="2" t="s">
        <v>304</v>
      </c>
      <c r="L18" s="2" t="s">
        <v>1460</v>
      </c>
      <c r="M18" s="8" t="str">
        <f>HYPERLINK("http://slimages.macys.com/is/image/MCY/14459146 ")</f>
        <v xml:space="preserve">http://slimages.macys.com/is/image/MCY/14459146 </v>
      </c>
    </row>
    <row r="19" spans="1:13" ht="60" x14ac:dyDescent="0.25">
      <c r="A19" s="7" t="s">
        <v>8548</v>
      </c>
      <c r="B19" s="2" t="s">
        <v>8549</v>
      </c>
      <c r="C19" s="4">
        <v>1</v>
      </c>
      <c r="D19" s="5">
        <v>20.25</v>
      </c>
      <c r="E19" s="5">
        <v>50</v>
      </c>
      <c r="F19" s="4" t="s">
        <v>8550</v>
      </c>
      <c r="G19" s="2" t="s">
        <v>79</v>
      </c>
      <c r="H19" s="7"/>
      <c r="I19" s="2" t="s">
        <v>700</v>
      </c>
      <c r="J19" s="2" t="s">
        <v>74</v>
      </c>
      <c r="K19" s="2" t="s">
        <v>8551</v>
      </c>
      <c r="L19" s="2" t="s">
        <v>8552</v>
      </c>
      <c r="M19" s="8" t="str">
        <f>HYPERLINK("http://images.bloomingdales.com/is/image/BLM/10543293 ")</f>
        <v xml:space="preserve">http://images.bloomingdales.com/is/image/BLM/10543293 </v>
      </c>
    </row>
    <row r="20" spans="1:13" ht="60" x14ac:dyDescent="0.25">
      <c r="A20" s="7" t="s">
        <v>8553</v>
      </c>
      <c r="B20" s="2" t="s">
        <v>2459</v>
      </c>
      <c r="C20" s="4">
        <v>1</v>
      </c>
      <c r="D20" s="5">
        <v>20.25</v>
      </c>
      <c r="E20" s="5">
        <v>45</v>
      </c>
      <c r="F20" s="4">
        <v>323750092004</v>
      </c>
      <c r="G20" s="2" t="s">
        <v>28</v>
      </c>
      <c r="H20" s="7" t="s">
        <v>228</v>
      </c>
      <c r="I20" s="2" t="s">
        <v>204</v>
      </c>
      <c r="J20" s="2" t="s">
        <v>205</v>
      </c>
      <c r="K20" s="2" t="s">
        <v>304</v>
      </c>
      <c r="L20" s="2" t="s">
        <v>224</v>
      </c>
      <c r="M20" s="8" t="str">
        <f>HYPERLINK("http://slimages.macys.com/is/image/MCY/14413110 ")</f>
        <v xml:space="preserve">http://slimages.macys.com/is/image/MCY/14413110 </v>
      </c>
    </row>
    <row r="21" spans="1:13" ht="60" x14ac:dyDescent="0.25">
      <c r="A21" s="7" t="s">
        <v>8554</v>
      </c>
      <c r="B21" s="2" t="s">
        <v>3616</v>
      </c>
      <c r="C21" s="4">
        <v>1</v>
      </c>
      <c r="D21" s="5">
        <v>20.02</v>
      </c>
      <c r="E21" s="5">
        <v>40.99</v>
      </c>
      <c r="F21" s="4" t="s">
        <v>3617</v>
      </c>
      <c r="G21" s="2" t="s">
        <v>892</v>
      </c>
      <c r="H21" s="7" t="s">
        <v>228</v>
      </c>
      <c r="I21" s="2" t="s">
        <v>73</v>
      </c>
      <c r="J21" s="2" t="s">
        <v>160</v>
      </c>
      <c r="K21" s="2" t="s">
        <v>304</v>
      </c>
      <c r="L21" s="2" t="s">
        <v>119</v>
      </c>
      <c r="M21" s="8" t="str">
        <f>HYPERLINK("http://slimages.macys.com/is/image/MCY/12875354 ")</f>
        <v xml:space="preserve">http://slimages.macys.com/is/image/MCY/12875354 </v>
      </c>
    </row>
    <row r="22" spans="1:13" ht="60" x14ac:dyDescent="0.25">
      <c r="A22" s="7" t="s">
        <v>3615</v>
      </c>
      <c r="B22" s="2" t="s">
        <v>3616</v>
      </c>
      <c r="C22" s="4">
        <v>2</v>
      </c>
      <c r="D22" s="5">
        <v>20.02</v>
      </c>
      <c r="E22" s="5">
        <v>40.99</v>
      </c>
      <c r="F22" s="4" t="s">
        <v>3617</v>
      </c>
      <c r="G22" s="2" t="s">
        <v>892</v>
      </c>
      <c r="H22" s="7" t="s">
        <v>196</v>
      </c>
      <c r="I22" s="2" t="s">
        <v>73</v>
      </c>
      <c r="J22" s="2" t="s">
        <v>160</v>
      </c>
      <c r="K22" s="2" t="s">
        <v>304</v>
      </c>
      <c r="L22" s="2" t="s">
        <v>119</v>
      </c>
      <c r="M22" s="8" t="str">
        <f>HYPERLINK("http://slimages.macys.com/is/image/MCY/12875354 ")</f>
        <v xml:space="preserve">http://slimages.macys.com/is/image/MCY/12875354 </v>
      </c>
    </row>
    <row r="23" spans="1:13" ht="60" x14ac:dyDescent="0.25">
      <c r="A23" s="7" t="s">
        <v>5155</v>
      </c>
      <c r="B23" s="2" t="s">
        <v>3616</v>
      </c>
      <c r="C23" s="4">
        <v>1</v>
      </c>
      <c r="D23" s="5">
        <v>20.02</v>
      </c>
      <c r="E23" s="5">
        <v>40.99</v>
      </c>
      <c r="F23" s="4" t="s">
        <v>3617</v>
      </c>
      <c r="G23" s="2" t="s">
        <v>892</v>
      </c>
      <c r="H23" s="7" t="s">
        <v>159</v>
      </c>
      <c r="I23" s="2" t="s">
        <v>73</v>
      </c>
      <c r="J23" s="2" t="s">
        <v>160</v>
      </c>
      <c r="K23" s="2" t="s">
        <v>304</v>
      </c>
      <c r="L23" s="2" t="s">
        <v>119</v>
      </c>
      <c r="M23" s="8" t="str">
        <f>HYPERLINK("http://slimages.macys.com/is/image/MCY/12875354 ")</f>
        <v xml:space="preserve">http://slimages.macys.com/is/image/MCY/12875354 </v>
      </c>
    </row>
    <row r="24" spans="1:13" ht="120" x14ac:dyDescent="0.25">
      <c r="A24" s="7" t="s">
        <v>8555</v>
      </c>
      <c r="B24" s="2" t="s">
        <v>8556</v>
      </c>
      <c r="C24" s="4">
        <v>1</v>
      </c>
      <c r="D24" s="5">
        <v>19.75</v>
      </c>
      <c r="E24" s="5">
        <v>52</v>
      </c>
      <c r="F24" s="4" t="s">
        <v>8557</v>
      </c>
      <c r="G24" s="2" t="s">
        <v>527</v>
      </c>
      <c r="H24" s="7" t="s">
        <v>68</v>
      </c>
      <c r="I24" s="2" t="s">
        <v>173</v>
      </c>
      <c r="J24" s="2" t="s">
        <v>672</v>
      </c>
      <c r="K24" s="2" t="s">
        <v>2752</v>
      </c>
      <c r="L24" s="2" t="s">
        <v>8558</v>
      </c>
      <c r="M24" s="8" t="str">
        <f>HYPERLINK("http://images.bloomingdales.com/is/image/BLM/10262449 ")</f>
        <v xml:space="preserve">http://images.bloomingdales.com/is/image/BLM/10262449 </v>
      </c>
    </row>
    <row r="25" spans="1:13" ht="132" x14ac:dyDescent="0.25">
      <c r="A25" s="7" t="s">
        <v>8559</v>
      </c>
      <c r="B25" s="2" t="s">
        <v>8560</v>
      </c>
      <c r="C25" s="4">
        <v>1</v>
      </c>
      <c r="D25" s="5">
        <v>18.5</v>
      </c>
      <c r="E25" s="5">
        <v>49</v>
      </c>
      <c r="F25" s="4" t="s">
        <v>8561</v>
      </c>
      <c r="G25" s="2"/>
      <c r="H25" s="7" t="s">
        <v>68</v>
      </c>
      <c r="I25" s="2" t="s">
        <v>173</v>
      </c>
      <c r="J25" s="2" t="s">
        <v>672</v>
      </c>
      <c r="K25" s="2" t="s">
        <v>2752</v>
      </c>
      <c r="L25" s="2" t="s">
        <v>8562</v>
      </c>
      <c r="M25" s="8" t="str">
        <f>HYPERLINK("http://images.bloomingdales.com/is/image/BLM/10363765 ")</f>
        <v xml:space="preserve">http://images.bloomingdales.com/is/image/BLM/10363765 </v>
      </c>
    </row>
    <row r="26" spans="1:13" ht="72" x14ac:dyDescent="0.25">
      <c r="A26" s="7" t="s">
        <v>8563</v>
      </c>
      <c r="B26" s="2" t="s">
        <v>8564</v>
      </c>
      <c r="C26" s="4">
        <v>1</v>
      </c>
      <c r="D26" s="5">
        <v>18</v>
      </c>
      <c r="E26" s="5">
        <v>68</v>
      </c>
      <c r="F26" s="4" t="s">
        <v>8565</v>
      </c>
      <c r="G26" s="2" t="s">
        <v>28</v>
      </c>
      <c r="H26" s="7" t="s">
        <v>196</v>
      </c>
      <c r="I26" s="2" t="s">
        <v>173</v>
      </c>
      <c r="J26" s="2" t="s">
        <v>4733</v>
      </c>
      <c r="K26" s="2" t="s">
        <v>2746</v>
      </c>
      <c r="L26" s="2" t="s">
        <v>8566</v>
      </c>
      <c r="M26" s="8" t="str">
        <f>HYPERLINK("http://images.bloomingdales.com/is/image/BLM/10444107 ")</f>
        <v xml:space="preserve">http://images.bloomingdales.com/is/image/BLM/10444107 </v>
      </c>
    </row>
    <row r="27" spans="1:13" ht="72" x14ac:dyDescent="0.25">
      <c r="A27" s="7" t="s">
        <v>8567</v>
      </c>
      <c r="B27" s="2" t="s">
        <v>8564</v>
      </c>
      <c r="C27" s="4">
        <v>1</v>
      </c>
      <c r="D27" s="5">
        <v>18</v>
      </c>
      <c r="E27" s="5">
        <v>68</v>
      </c>
      <c r="F27" s="4" t="s">
        <v>8565</v>
      </c>
      <c r="G27" s="2" t="s">
        <v>28</v>
      </c>
      <c r="H27" s="7" t="s">
        <v>4732</v>
      </c>
      <c r="I27" s="2" t="s">
        <v>173</v>
      </c>
      <c r="J27" s="2" t="s">
        <v>4733</v>
      </c>
      <c r="K27" s="2" t="s">
        <v>2746</v>
      </c>
      <c r="L27" s="2" t="s">
        <v>8566</v>
      </c>
      <c r="M27" s="8" t="str">
        <f>HYPERLINK("http://images.bloomingdales.com/is/image/BLM/10444107 ")</f>
        <v xml:space="preserve">http://images.bloomingdales.com/is/image/BLM/10444107 </v>
      </c>
    </row>
    <row r="28" spans="1:13" ht="60" x14ac:dyDescent="0.25">
      <c r="A28" s="7" t="s">
        <v>8568</v>
      </c>
      <c r="B28" s="2" t="s">
        <v>4703</v>
      </c>
      <c r="C28" s="4">
        <v>1</v>
      </c>
      <c r="D28" s="5">
        <v>17.8</v>
      </c>
      <c r="E28" s="5">
        <v>44.5</v>
      </c>
      <c r="F28" s="4" t="s">
        <v>4704</v>
      </c>
      <c r="G28" s="2" t="s">
        <v>79</v>
      </c>
      <c r="H28" s="7" t="s">
        <v>317</v>
      </c>
      <c r="I28" s="2" t="s">
        <v>690</v>
      </c>
      <c r="J28" s="2" t="s">
        <v>58</v>
      </c>
      <c r="K28" s="2" t="s">
        <v>304</v>
      </c>
      <c r="L28" s="2" t="s">
        <v>38</v>
      </c>
      <c r="M28" s="8" t="str">
        <f>HYPERLINK("http://slimages.macys.com/is/image/MCY/13786978 ")</f>
        <v xml:space="preserve">http://slimages.macys.com/is/image/MCY/13786978 </v>
      </c>
    </row>
    <row r="29" spans="1:13" ht="60" x14ac:dyDescent="0.25">
      <c r="A29" s="7" t="s">
        <v>8569</v>
      </c>
      <c r="B29" s="2" t="s">
        <v>8570</v>
      </c>
      <c r="C29" s="4">
        <v>1</v>
      </c>
      <c r="D29" s="5">
        <v>17.8</v>
      </c>
      <c r="E29" s="5">
        <v>44.5</v>
      </c>
      <c r="F29" s="4" t="s">
        <v>8571</v>
      </c>
      <c r="G29" s="2" t="s">
        <v>86</v>
      </c>
      <c r="H29" s="7" t="s">
        <v>166</v>
      </c>
      <c r="I29" s="2" t="s">
        <v>690</v>
      </c>
      <c r="J29" s="2" t="s">
        <v>58</v>
      </c>
      <c r="K29" s="2" t="s">
        <v>304</v>
      </c>
      <c r="L29" s="2" t="s">
        <v>206</v>
      </c>
      <c r="M29" s="8" t="str">
        <f>HYPERLINK("http://slimages.macys.com/is/image/MCY/13049221 ")</f>
        <v xml:space="preserve">http://slimages.macys.com/is/image/MCY/13049221 </v>
      </c>
    </row>
    <row r="30" spans="1:13" ht="60" x14ac:dyDescent="0.25">
      <c r="A30" s="7" t="s">
        <v>8572</v>
      </c>
      <c r="B30" s="2" t="s">
        <v>8573</v>
      </c>
      <c r="C30" s="4">
        <v>1</v>
      </c>
      <c r="D30" s="5">
        <v>17.78</v>
      </c>
      <c r="E30" s="5">
        <v>39.5</v>
      </c>
      <c r="F30" s="4">
        <v>320736965004</v>
      </c>
      <c r="G30" s="2" t="s">
        <v>437</v>
      </c>
      <c r="H30" s="7" t="s">
        <v>233</v>
      </c>
      <c r="I30" s="2" t="s">
        <v>676</v>
      </c>
      <c r="J30" s="2" t="s">
        <v>677</v>
      </c>
      <c r="K30" s="2" t="s">
        <v>304</v>
      </c>
      <c r="L30" s="2" t="s">
        <v>75</v>
      </c>
      <c r="M30" s="8" t="str">
        <f>HYPERLINK("http://slimages.macys.com/is/image/MCY/11943953 ")</f>
        <v xml:space="preserve">http://slimages.macys.com/is/image/MCY/11943953 </v>
      </c>
    </row>
    <row r="31" spans="1:13" ht="60" x14ac:dyDescent="0.25">
      <c r="A31" s="7" t="s">
        <v>8574</v>
      </c>
      <c r="B31" s="2" t="s">
        <v>8575</v>
      </c>
      <c r="C31" s="4">
        <v>1</v>
      </c>
      <c r="D31" s="5">
        <v>17</v>
      </c>
      <c r="E31" s="5">
        <v>58</v>
      </c>
      <c r="F31" s="4" t="s">
        <v>8576</v>
      </c>
      <c r="G31" s="2" t="s">
        <v>28</v>
      </c>
      <c r="H31" s="7" t="s">
        <v>4732</v>
      </c>
      <c r="I31" s="2" t="s">
        <v>173</v>
      </c>
      <c r="J31" s="2" t="s">
        <v>4733</v>
      </c>
      <c r="K31" s="2" t="s">
        <v>2752</v>
      </c>
      <c r="L31" s="2" t="s">
        <v>8577</v>
      </c>
      <c r="M31" s="8" t="str">
        <f>HYPERLINK("http://images.bloomingdales.com/is/image/BLM/10311459 ")</f>
        <v xml:space="preserve">http://images.bloomingdales.com/is/image/BLM/10311459 </v>
      </c>
    </row>
    <row r="32" spans="1:13" ht="60" x14ac:dyDescent="0.25">
      <c r="A32" s="7" t="s">
        <v>8578</v>
      </c>
      <c r="B32" s="2" t="s">
        <v>8579</v>
      </c>
      <c r="C32" s="4">
        <v>1</v>
      </c>
      <c r="D32" s="5">
        <v>16.53</v>
      </c>
      <c r="E32" s="5">
        <v>44</v>
      </c>
      <c r="F32" s="4" t="s">
        <v>8580</v>
      </c>
      <c r="G32" s="2" t="s">
        <v>86</v>
      </c>
      <c r="H32" s="7" t="s">
        <v>123</v>
      </c>
      <c r="I32" s="2" t="s">
        <v>173</v>
      </c>
      <c r="J32" s="2" t="s">
        <v>8543</v>
      </c>
      <c r="K32" s="2" t="s">
        <v>2746</v>
      </c>
      <c r="L32" s="2" t="s">
        <v>8581</v>
      </c>
      <c r="M32" s="8" t="str">
        <f>HYPERLINK("http://images.bloomingdales.com/is/image/BLM/10249399 ")</f>
        <v xml:space="preserve">http://images.bloomingdales.com/is/image/BLM/10249399 </v>
      </c>
    </row>
    <row r="33" spans="1:13" ht="60" x14ac:dyDescent="0.25">
      <c r="A33" s="7" t="s">
        <v>8582</v>
      </c>
      <c r="B33" s="2" t="s">
        <v>8583</v>
      </c>
      <c r="C33" s="4">
        <v>1</v>
      </c>
      <c r="D33" s="5">
        <v>16.5</v>
      </c>
      <c r="E33" s="5">
        <v>55</v>
      </c>
      <c r="F33" s="4">
        <v>59134024</v>
      </c>
      <c r="G33" s="2"/>
      <c r="H33" s="7" t="s">
        <v>166</v>
      </c>
      <c r="I33" s="2" t="s">
        <v>173</v>
      </c>
      <c r="J33" s="2" t="s">
        <v>8584</v>
      </c>
      <c r="K33" s="2" t="s">
        <v>2752</v>
      </c>
      <c r="L33" s="2" t="s">
        <v>125</v>
      </c>
      <c r="M33" s="8" t="str">
        <f>HYPERLINK("http://images.bloomingdales.com/is/image/BLM/10155078 ")</f>
        <v xml:space="preserve">http://images.bloomingdales.com/is/image/BLM/10155078 </v>
      </c>
    </row>
    <row r="34" spans="1:13" ht="60" x14ac:dyDescent="0.25">
      <c r="A34" s="7" t="s">
        <v>8585</v>
      </c>
      <c r="B34" s="2" t="s">
        <v>8586</v>
      </c>
      <c r="C34" s="4">
        <v>1</v>
      </c>
      <c r="D34" s="5">
        <v>16</v>
      </c>
      <c r="E34" s="5">
        <v>58</v>
      </c>
      <c r="F34" s="4" t="s">
        <v>8587</v>
      </c>
      <c r="G34" s="2" t="s">
        <v>41</v>
      </c>
      <c r="H34" s="7" t="s">
        <v>1601</v>
      </c>
      <c r="I34" s="2" t="s">
        <v>173</v>
      </c>
      <c r="J34" s="2" t="s">
        <v>4733</v>
      </c>
      <c r="K34" s="2" t="s">
        <v>2752</v>
      </c>
      <c r="L34" s="2" t="s">
        <v>8588</v>
      </c>
      <c r="M34" s="8" t="str">
        <f>HYPERLINK("http://images.bloomingdales.com/is/image/BLM/10433203 ")</f>
        <v xml:space="preserve">http://images.bloomingdales.com/is/image/BLM/10433203 </v>
      </c>
    </row>
    <row r="35" spans="1:13" ht="96" x14ac:dyDescent="0.25">
      <c r="A35" s="7" t="s">
        <v>8589</v>
      </c>
      <c r="B35" s="2" t="s">
        <v>4736</v>
      </c>
      <c r="C35" s="4">
        <v>1</v>
      </c>
      <c r="D35" s="5">
        <v>16</v>
      </c>
      <c r="E35" s="5">
        <v>58</v>
      </c>
      <c r="F35" s="4" t="s">
        <v>4737</v>
      </c>
      <c r="G35" s="2" t="s">
        <v>41</v>
      </c>
      <c r="H35" s="7" t="s">
        <v>1601</v>
      </c>
      <c r="I35" s="2" t="s">
        <v>173</v>
      </c>
      <c r="J35" s="2" t="s">
        <v>4733</v>
      </c>
      <c r="K35" s="2" t="s">
        <v>2752</v>
      </c>
      <c r="L35" s="2" t="s">
        <v>4738</v>
      </c>
      <c r="M35" s="8" t="str">
        <f>HYPERLINK("http://images.bloomingdales.com/is/image/BLM/10311409 ")</f>
        <v xml:space="preserve">http://images.bloomingdales.com/is/image/BLM/10311409 </v>
      </c>
    </row>
    <row r="36" spans="1:13" ht="60" x14ac:dyDescent="0.25">
      <c r="A36" s="7" t="s">
        <v>8590</v>
      </c>
      <c r="B36" s="2" t="s">
        <v>1467</v>
      </c>
      <c r="C36" s="4">
        <v>1</v>
      </c>
      <c r="D36" s="5">
        <v>15.8</v>
      </c>
      <c r="E36" s="5">
        <v>39.5</v>
      </c>
      <c r="F36" s="4" t="s">
        <v>1468</v>
      </c>
      <c r="G36" s="2" t="s">
        <v>437</v>
      </c>
      <c r="H36" s="7"/>
      <c r="I36" s="2" t="s">
        <v>57</v>
      </c>
      <c r="J36" s="2" t="s">
        <v>58</v>
      </c>
      <c r="K36" s="2" t="s">
        <v>304</v>
      </c>
      <c r="L36" s="2" t="s">
        <v>100</v>
      </c>
      <c r="M36" s="8" t="str">
        <f>HYPERLINK("http://slimages.macys.com/is/image/MCY/13043447 ")</f>
        <v xml:space="preserve">http://slimages.macys.com/is/image/MCY/13043447 </v>
      </c>
    </row>
    <row r="37" spans="1:13" ht="60" x14ac:dyDescent="0.25">
      <c r="A37" s="7" t="s">
        <v>8591</v>
      </c>
      <c r="B37" s="2" t="s">
        <v>8592</v>
      </c>
      <c r="C37" s="4">
        <v>1</v>
      </c>
      <c r="D37" s="5">
        <v>15.75</v>
      </c>
      <c r="E37" s="5">
        <v>35</v>
      </c>
      <c r="F37" s="4" t="s">
        <v>8593</v>
      </c>
      <c r="G37" s="2" t="s">
        <v>28</v>
      </c>
      <c r="H37" s="7"/>
      <c r="I37" s="2" t="s">
        <v>700</v>
      </c>
      <c r="J37" s="2" t="s">
        <v>74</v>
      </c>
      <c r="K37" s="2" t="s">
        <v>304</v>
      </c>
      <c r="L37" s="2" t="s">
        <v>8594</v>
      </c>
      <c r="M37" s="8" t="str">
        <f>HYPERLINK("http://slimages.macys.com/is/image/MCY/11949466 ")</f>
        <v xml:space="preserve">http://slimages.macys.com/is/image/MCY/11949466 </v>
      </c>
    </row>
    <row r="38" spans="1:13" ht="60" x14ac:dyDescent="0.25">
      <c r="A38" s="7" t="s">
        <v>8595</v>
      </c>
      <c r="B38" s="2" t="s">
        <v>5171</v>
      </c>
      <c r="C38" s="4">
        <v>1</v>
      </c>
      <c r="D38" s="5">
        <v>15.75</v>
      </c>
      <c r="E38" s="5">
        <v>35</v>
      </c>
      <c r="F38" s="4">
        <v>1330645</v>
      </c>
      <c r="G38" s="2" t="s">
        <v>41</v>
      </c>
      <c r="H38" s="7" t="s">
        <v>284</v>
      </c>
      <c r="I38" s="2" t="s">
        <v>173</v>
      </c>
      <c r="J38" s="2" t="s">
        <v>280</v>
      </c>
      <c r="K38" s="2" t="s">
        <v>304</v>
      </c>
      <c r="L38" s="2" t="s">
        <v>125</v>
      </c>
      <c r="M38" s="8" t="str">
        <f>HYPERLINK("http://slimages.macys.com/is/image/MCY/12738402 ")</f>
        <v xml:space="preserve">http://slimages.macys.com/is/image/MCY/12738402 </v>
      </c>
    </row>
    <row r="39" spans="1:13" ht="60" x14ac:dyDescent="0.25">
      <c r="A39" s="7" t="s">
        <v>8596</v>
      </c>
      <c r="B39" s="2" t="s">
        <v>8592</v>
      </c>
      <c r="C39" s="4">
        <v>1</v>
      </c>
      <c r="D39" s="5">
        <v>15.75</v>
      </c>
      <c r="E39" s="5">
        <v>35</v>
      </c>
      <c r="F39" s="4" t="s">
        <v>8593</v>
      </c>
      <c r="G39" s="2" t="s">
        <v>28</v>
      </c>
      <c r="H39" s="7"/>
      <c r="I39" s="2" t="s">
        <v>700</v>
      </c>
      <c r="J39" s="2" t="s">
        <v>74</v>
      </c>
      <c r="K39" s="2" t="s">
        <v>8597</v>
      </c>
      <c r="L39" s="2" t="s">
        <v>8598</v>
      </c>
      <c r="M39" s="8" t="str">
        <f>HYPERLINK("http://images.bloomingdales.com/is/image/BLM/10279273 ")</f>
        <v xml:space="preserve">http://images.bloomingdales.com/is/image/BLM/10279273 </v>
      </c>
    </row>
    <row r="40" spans="1:13" ht="60" x14ac:dyDescent="0.25">
      <c r="A40" s="7" t="s">
        <v>8599</v>
      </c>
      <c r="B40" s="2" t="s">
        <v>8592</v>
      </c>
      <c r="C40" s="4">
        <v>1</v>
      </c>
      <c r="D40" s="5">
        <v>15.75</v>
      </c>
      <c r="E40" s="5">
        <v>35</v>
      </c>
      <c r="F40" s="4" t="s">
        <v>8593</v>
      </c>
      <c r="G40" s="2" t="s">
        <v>28</v>
      </c>
      <c r="H40" s="7"/>
      <c r="I40" s="2" t="s">
        <v>700</v>
      </c>
      <c r="J40" s="2" t="s">
        <v>74</v>
      </c>
      <c r="K40" s="2" t="s">
        <v>304</v>
      </c>
      <c r="L40" s="2" t="s">
        <v>8594</v>
      </c>
      <c r="M40" s="8" t="str">
        <f>HYPERLINK("http://slimages.macys.com/is/image/MCY/11949466 ")</f>
        <v xml:space="preserve">http://slimages.macys.com/is/image/MCY/11949466 </v>
      </c>
    </row>
    <row r="41" spans="1:13" ht="60" x14ac:dyDescent="0.25">
      <c r="A41" s="7" t="s">
        <v>8600</v>
      </c>
      <c r="B41" s="2" t="s">
        <v>8601</v>
      </c>
      <c r="C41" s="4">
        <v>1</v>
      </c>
      <c r="D41" s="5">
        <v>15.75</v>
      </c>
      <c r="E41" s="5">
        <v>30</v>
      </c>
      <c r="F41" s="4">
        <v>58935</v>
      </c>
      <c r="G41" s="2" t="s">
        <v>393</v>
      </c>
      <c r="H41" s="7" t="s">
        <v>394</v>
      </c>
      <c r="I41" s="2" t="s">
        <v>43</v>
      </c>
      <c r="J41" s="2" t="s">
        <v>395</v>
      </c>
      <c r="K41" s="2" t="s">
        <v>304</v>
      </c>
      <c r="L41" s="2" t="s">
        <v>125</v>
      </c>
      <c r="M41" s="8" t="str">
        <f>HYPERLINK("http://slimages.macys.com/is/image/MCY/8269743 ")</f>
        <v xml:space="preserve">http://slimages.macys.com/is/image/MCY/8269743 </v>
      </c>
    </row>
    <row r="42" spans="1:13" ht="60" x14ac:dyDescent="0.25">
      <c r="A42" s="7" t="s">
        <v>8602</v>
      </c>
      <c r="B42" s="2" t="s">
        <v>8603</v>
      </c>
      <c r="C42" s="4">
        <v>1</v>
      </c>
      <c r="D42" s="5">
        <v>15.73</v>
      </c>
      <c r="E42" s="5">
        <v>52</v>
      </c>
      <c r="F42" s="4" t="s">
        <v>8604</v>
      </c>
      <c r="G42" s="2"/>
      <c r="H42" s="7" t="s">
        <v>196</v>
      </c>
      <c r="I42" s="2" t="s">
        <v>173</v>
      </c>
      <c r="J42" s="2" t="s">
        <v>4672</v>
      </c>
      <c r="K42" s="2" t="s">
        <v>2746</v>
      </c>
      <c r="L42" s="2" t="s">
        <v>125</v>
      </c>
      <c r="M42" s="8" t="str">
        <f>HYPERLINK("http://images.bloomingdales.com/is/image/BLM/10284365 ")</f>
        <v xml:space="preserve">http://images.bloomingdales.com/is/image/BLM/10284365 </v>
      </c>
    </row>
    <row r="43" spans="1:13" ht="60" x14ac:dyDescent="0.25">
      <c r="A43" s="7" t="s">
        <v>8605</v>
      </c>
      <c r="B43" s="2" t="s">
        <v>8606</v>
      </c>
      <c r="C43" s="4">
        <v>1</v>
      </c>
      <c r="D43" s="5">
        <v>15.72</v>
      </c>
      <c r="E43" s="5">
        <v>42.5</v>
      </c>
      <c r="F43" s="4" t="s">
        <v>8607</v>
      </c>
      <c r="G43" s="2" t="s">
        <v>86</v>
      </c>
      <c r="H43" s="7" t="s">
        <v>123</v>
      </c>
      <c r="I43" s="2" t="s">
        <v>690</v>
      </c>
      <c r="J43" s="2" t="s">
        <v>58</v>
      </c>
      <c r="K43" s="2" t="s">
        <v>304</v>
      </c>
      <c r="L43" s="2" t="s">
        <v>38</v>
      </c>
      <c r="M43" s="8" t="str">
        <f>HYPERLINK("http://slimages.macys.com/is/image/MCY/10225577 ")</f>
        <v xml:space="preserve">http://slimages.macys.com/is/image/MCY/10225577 </v>
      </c>
    </row>
    <row r="44" spans="1:13" ht="60" x14ac:dyDescent="0.25">
      <c r="A44" s="7" t="s">
        <v>8608</v>
      </c>
      <c r="B44" s="2" t="s">
        <v>8609</v>
      </c>
      <c r="C44" s="4">
        <v>1</v>
      </c>
      <c r="D44" s="5">
        <v>15.68</v>
      </c>
      <c r="E44" s="5">
        <v>49</v>
      </c>
      <c r="F44" s="4" t="s">
        <v>8610</v>
      </c>
      <c r="G44" s="2" t="s">
        <v>892</v>
      </c>
      <c r="H44" s="7"/>
      <c r="I44" s="2" t="s">
        <v>3685</v>
      </c>
      <c r="J44" s="2" t="s">
        <v>3686</v>
      </c>
      <c r="K44" s="2" t="s">
        <v>304</v>
      </c>
      <c r="L44" s="2" t="s">
        <v>596</v>
      </c>
      <c r="M44" s="8" t="str">
        <f>HYPERLINK("http://slimages.macys.com/is/image/MCY/13384405 ")</f>
        <v xml:space="preserve">http://slimages.macys.com/is/image/MCY/13384405 </v>
      </c>
    </row>
    <row r="45" spans="1:13" ht="60" x14ac:dyDescent="0.25">
      <c r="A45" s="7" t="s">
        <v>8611</v>
      </c>
      <c r="B45" s="2" t="s">
        <v>8612</v>
      </c>
      <c r="C45" s="4">
        <v>1</v>
      </c>
      <c r="D45" s="5">
        <v>15.2</v>
      </c>
      <c r="E45" s="5">
        <v>38</v>
      </c>
      <c r="F45" s="4" t="s">
        <v>8613</v>
      </c>
      <c r="G45" s="2" t="s">
        <v>41</v>
      </c>
      <c r="H45" s="7" t="s">
        <v>228</v>
      </c>
      <c r="I45" s="2" t="s">
        <v>173</v>
      </c>
      <c r="J45" s="2" t="s">
        <v>5132</v>
      </c>
      <c r="K45" s="2" t="s">
        <v>2752</v>
      </c>
      <c r="L45" s="2" t="s">
        <v>2873</v>
      </c>
      <c r="M45" s="8" t="str">
        <f>HYPERLINK("http://images.bloomingdales.com/is/image/BLM/10293118 ")</f>
        <v xml:space="preserve">http://images.bloomingdales.com/is/image/BLM/10293118 </v>
      </c>
    </row>
    <row r="46" spans="1:13" ht="60" x14ac:dyDescent="0.25">
      <c r="A46" s="7" t="s">
        <v>8614</v>
      </c>
      <c r="B46" s="2" t="s">
        <v>8615</v>
      </c>
      <c r="C46" s="4">
        <v>1</v>
      </c>
      <c r="D46" s="5">
        <v>15.2</v>
      </c>
      <c r="E46" s="5">
        <v>40</v>
      </c>
      <c r="F46" s="4" t="s">
        <v>8616</v>
      </c>
      <c r="G46" s="2" t="s">
        <v>892</v>
      </c>
      <c r="H46" s="7" t="s">
        <v>179</v>
      </c>
      <c r="I46" s="2" t="s">
        <v>700</v>
      </c>
      <c r="J46" s="2" t="s">
        <v>1721</v>
      </c>
      <c r="K46" s="2" t="s">
        <v>304</v>
      </c>
      <c r="L46" s="2" t="s">
        <v>3687</v>
      </c>
      <c r="M46" s="8" t="str">
        <f>HYPERLINK("http://slimages.macys.com/is/image/MCY/12878231 ")</f>
        <v xml:space="preserve">http://slimages.macys.com/is/image/MCY/12878231 </v>
      </c>
    </row>
    <row r="47" spans="1:13" ht="120" x14ac:dyDescent="0.25">
      <c r="A47" s="7" t="s">
        <v>8617</v>
      </c>
      <c r="B47" s="2" t="s">
        <v>8618</v>
      </c>
      <c r="C47" s="4">
        <v>1</v>
      </c>
      <c r="D47" s="5">
        <v>15</v>
      </c>
      <c r="E47" s="5">
        <v>40</v>
      </c>
      <c r="F47" s="4" t="s">
        <v>8619</v>
      </c>
      <c r="G47" s="2" t="s">
        <v>7036</v>
      </c>
      <c r="H47" s="7"/>
      <c r="I47" s="2" t="s">
        <v>173</v>
      </c>
      <c r="J47" s="2" t="s">
        <v>672</v>
      </c>
      <c r="K47" s="2" t="s">
        <v>2752</v>
      </c>
      <c r="L47" s="2" t="s">
        <v>8620</v>
      </c>
      <c r="M47" s="8" t="str">
        <f>HYPERLINK("http://images.bloomingdales.com/is/image/BLM/10364151 ")</f>
        <v xml:space="preserve">http://images.bloomingdales.com/is/image/BLM/10364151 </v>
      </c>
    </row>
    <row r="48" spans="1:13" ht="144" x14ac:dyDescent="0.25">
      <c r="A48" s="7" t="s">
        <v>4756</v>
      </c>
      <c r="B48" s="2" t="s">
        <v>4751</v>
      </c>
      <c r="C48" s="4">
        <v>1</v>
      </c>
      <c r="D48" s="5">
        <v>15</v>
      </c>
      <c r="E48" s="5">
        <v>48</v>
      </c>
      <c r="F48" s="4" t="s">
        <v>4752</v>
      </c>
      <c r="G48" s="2" t="s">
        <v>48</v>
      </c>
      <c r="H48" s="7" t="s">
        <v>159</v>
      </c>
      <c r="I48" s="2" t="s">
        <v>173</v>
      </c>
      <c r="J48" s="2" t="s">
        <v>4753</v>
      </c>
      <c r="K48" s="2" t="s">
        <v>2746</v>
      </c>
      <c r="L48" s="2" t="s">
        <v>4754</v>
      </c>
      <c r="M48" s="8" t="str">
        <f>HYPERLINK("http://images.bloomingdales.com/is/image/BLM/10339146 ")</f>
        <v xml:space="preserve">http://images.bloomingdales.com/is/image/BLM/10339146 </v>
      </c>
    </row>
    <row r="49" spans="1:13" ht="60" x14ac:dyDescent="0.25">
      <c r="A49" s="7" t="s">
        <v>8621</v>
      </c>
      <c r="B49" s="2" t="s">
        <v>8622</v>
      </c>
      <c r="C49" s="4">
        <v>1</v>
      </c>
      <c r="D49" s="5">
        <v>14.87</v>
      </c>
      <c r="E49" s="5">
        <v>36</v>
      </c>
      <c r="F49" s="4" t="s">
        <v>8623</v>
      </c>
      <c r="G49" s="2" t="s">
        <v>41</v>
      </c>
      <c r="H49" s="7" t="s">
        <v>8624</v>
      </c>
      <c r="I49" s="2" t="s">
        <v>173</v>
      </c>
      <c r="J49" s="2" t="s">
        <v>8543</v>
      </c>
      <c r="K49" s="2" t="s">
        <v>2746</v>
      </c>
      <c r="L49" s="2" t="s">
        <v>8625</v>
      </c>
      <c r="M49" s="8" t="str">
        <f>HYPERLINK("http://images.bloomingdales.com/is/image/BLM/10415615 ")</f>
        <v xml:space="preserve">http://images.bloomingdales.com/is/image/BLM/10415615 </v>
      </c>
    </row>
    <row r="50" spans="1:13" ht="60" x14ac:dyDescent="0.25">
      <c r="A50" s="7" t="s">
        <v>8626</v>
      </c>
      <c r="B50" s="2" t="s">
        <v>8627</v>
      </c>
      <c r="C50" s="4">
        <v>1</v>
      </c>
      <c r="D50" s="5">
        <v>14.62</v>
      </c>
      <c r="E50" s="5">
        <v>39.5</v>
      </c>
      <c r="F50" s="4" t="s">
        <v>8628</v>
      </c>
      <c r="G50" s="2" t="s">
        <v>195</v>
      </c>
      <c r="H50" s="7" t="s">
        <v>248</v>
      </c>
      <c r="I50" s="2" t="s">
        <v>880</v>
      </c>
      <c r="J50" s="2" t="s">
        <v>881</v>
      </c>
      <c r="K50" s="2" t="s">
        <v>304</v>
      </c>
      <c r="L50" s="2" t="s">
        <v>87</v>
      </c>
      <c r="M50" s="8" t="str">
        <f>HYPERLINK("http://slimages.macys.com/is/image/MCY/12051835 ")</f>
        <v xml:space="preserve">http://slimages.macys.com/is/image/MCY/12051835 </v>
      </c>
    </row>
    <row r="51" spans="1:13" ht="108" x14ac:dyDescent="0.25">
      <c r="A51" s="7" t="s">
        <v>8629</v>
      </c>
      <c r="B51" s="2" t="s">
        <v>8630</v>
      </c>
      <c r="C51" s="4">
        <v>1</v>
      </c>
      <c r="D51" s="5">
        <v>14.5</v>
      </c>
      <c r="E51" s="5">
        <v>39.99</v>
      </c>
      <c r="F51" s="4" t="s">
        <v>8631</v>
      </c>
      <c r="G51" s="2" t="s">
        <v>103</v>
      </c>
      <c r="H51" s="7" t="s">
        <v>590</v>
      </c>
      <c r="I51" s="2" t="s">
        <v>92</v>
      </c>
      <c r="J51" s="2" t="s">
        <v>65</v>
      </c>
      <c r="K51" s="2" t="s">
        <v>304</v>
      </c>
      <c r="L51" s="2" t="s">
        <v>8632</v>
      </c>
      <c r="M51" s="8" t="str">
        <f>HYPERLINK("http://slimages.macys.com/is/image/MCY/13965166 ")</f>
        <v xml:space="preserve">http://slimages.macys.com/is/image/MCY/13965166 </v>
      </c>
    </row>
    <row r="52" spans="1:13" ht="120" x14ac:dyDescent="0.25">
      <c r="A52" s="7" t="s">
        <v>8633</v>
      </c>
      <c r="B52" s="2" t="s">
        <v>8634</v>
      </c>
      <c r="C52" s="4">
        <v>1</v>
      </c>
      <c r="D52" s="5">
        <v>14</v>
      </c>
      <c r="E52" s="5">
        <v>40</v>
      </c>
      <c r="F52" s="4" t="s">
        <v>8635</v>
      </c>
      <c r="G52" s="2" t="s">
        <v>41</v>
      </c>
      <c r="H52" s="7" t="s">
        <v>708</v>
      </c>
      <c r="I52" s="2" t="s">
        <v>50</v>
      </c>
      <c r="J52" s="2" t="s">
        <v>901</v>
      </c>
      <c r="K52" s="2" t="s">
        <v>304</v>
      </c>
      <c r="L52" s="2" t="s">
        <v>8636</v>
      </c>
      <c r="M52" s="8" t="str">
        <f>HYPERLINK("http://slimages.macys.com/is/image/MCY/11722140 ")</f>
        <v xml:space="preserve">http://slimages.macys.com/is/image/MCY/11722140 </v>
      </c>
    </row>
    <row r="53" spans="1:13" ht="60" x14ac:dyDescent="0.25">
      <c r="A53" s="7" t="s">
        <v>8637</v>
      </c>
      <c r="B53" s="2" t="s">
        <v>8638</v>
      </c>
      <c r="C53" s="4">
        <v>1</v>
      </c>
      <c r="D53" s="5">
        <v>14</v>
      </c>
      <c r="E53" s="5">
        <v>48</v>
      </c>
      <c r="F53" s="4" t="s">
        <v>8639</v>
      </c>
      <c r="G53" s="2" t="s">
        <v>86</v>
      </c>
      <c r="H53" s="7" t="s">
        <v>320</v>
      </c>
      <c r="I53" s="2" t="s">
        <v>173</v>
      </c>
      <c r="J53" s="2" t="s">
        <v>4733</v>
      </c>
      <c r="K53" s="2" t="s">
        <v>2746</v>
      </c>
      <c r="L53" s="2" t="s">
        <v>8625</v>
      </c>
      <c r="M53" s="8" t="str">
        <f>HYPERLINK("http://images.bloomingdales.com/is/image/BLM/10311465 ")</f>
        <v xml:space="preserve">http://images.bloomingdales.com/is/image/BLM/10311465 </v>
      </c>
    </row>
    <row r="54" spans="1:13" ht="60" x14ac:dyDescent="0.25">
      <c r="A54" s="7" t="s">
        <v>8640</v>
      </c>
      <c r="B54" s="2" t="s">
        <v>8151</v>
      </c>
      <c r="C54" s="4">
        <v>1</v>
      </c>
      <c r="D54" s="5">
        <v>13.88</v>
      </c>
      <c r="E54" s="5">
        <v>37.5</v>
      </c>
      <c r="F54" s="4" t="s">
        <v>8152</v>
      </c>
      <c r="G54" s="2" t="s">
        <v>28</v>
      </c>
      <c r="H54" s="7" t="s">
        <v>311</v>
      </c>
      <c r="I54" s="2" t="s">
        <v>880</v>
      </c>
      <c r="J54" s="2" t="s">
        <v>881</v>
      </c>
      <c r="K54" s="2" t="s">
        <v>304</v>
      </c>
      <c r="L54" s="2" t="s">
        <v>206</v>
      </c>
      <c r="M54" s="8" t="str">
        <f t="shared" ref="M54:M60" si="0">HYPERLINK("http://slimages.macys.com/is/image/MCY/11437108 ")</f>
        <v xml:space="preserve">http://slimages.macys.com/is/image/MCY/11437108 </v>
      </c>
    </row>
    <row r="55" spans="1:13" ht="60" x14ac:dyDescent="0.25">
      <c r="A55" s="7" t="s">
        <v>8641</v>
      </c>
      <c r="B55" s="2" t="s">
        <v>8151</v>
      </c>
      <c r="C55" s="4">
        <v>2</v>
      </c>
      <c r="D55" s="5">
        <v>13.88</v>
      </c>
      <c r="E55" s="5">
        <v>37.5</v>
      </c>
      <c r="F55" s="4" t="s">
        <v>8152</v>
      </c>
      <c r="G55" s="2" t="s">
        <v>28</v>
      </c>
      <c r="H55" s="7" t="s">
        <v>209</v>
      </c>
      <c r="I55" s="2" t="s">
        <v>880</v>
      </c>
      <c r="J55" s="2" t="s">
        <v>881</v>
      </c>
      <c r="K55" s="2" t="s">
        <v>304</v>
      </c>
      <c r="L55" s="2" t="s">
        <v>38</v>
      </c>
      <c r="M55" s="8" t="str">
        <f t="shared" si="0"/>
        <v xml:space="preserve">http://slimages.macys.com/is/image/MCY/11437108 </v>
      </c>
    </row>
    <row r="56" spans="1:13" ht="60" x14ac:dyDescent="0.25">
      <c r="A56" s="7" t="s">
        <v>8642</v>
      </c>
      <c r="B56" s="2" t="s">
        <v>8151</v>
      </c>
      <c r="C56" s="4">
        <v>1</v>
      </c>
      <c r="D56" s="5">
        <v>13.88</v>
      </c>
      <c r="E56" s="5">
        <v>37.5</v>
      </c>
      <c r="F56" s="4" t="s">
        <v>8152</v>
      </c>
      <c r="G56" s="2" t="s">
        <v>28</v>
      </c>
      <c r="H56" s="7" t="s">
        <v>144</v>
      </c>
      <c r="I56" s="2" t="s">
        <v>880</v>
      </c>
      <c r="J56" s="2" t="s">
        <v>881</v>
      </c>
      <c r="K56" s="2" t="s">
        <v>304</v>
      </c>
      <c r="L56" s="2" t="s">
        <v>38</v>
      </c>
      <c r="M56" s="8" t="str">
        <f t="shared" si="0"/>
        <v xml:space="preserve">http://slimages.macys.com/is/image/MCY/11437108 </v>
      </c>
    </row>
    <row r="57" spans="1:13" ht="60" x14ac:dyDescent="0.25">
      <c r="A57" s="7" t="s">
        <v>8643</v>
      </c>
      <c r="B57" s="2" t="s">
        <v>8151</v>
      </c>
      <c r="C57" s="4">
        <v>1</v>
      </c>
      <c r="D57" s="5">
        <v>13.88</v>
      </c>
      <c r="E57" s="5">
        <v>37.5</v>
      </c>
      <c r="F57" s="4" t="s">
        <v>8152</v>
      </c>
      <c r="G57" s="2" t="s">
        <v>28</v>
      </c>
      <c r="H57" s="7" t="s">
        <v>68</v>
      </c>
      <c r="I57" s="2" t="s">
        <v>880</v>
      </c>
      <c r="J57" s="2" t="s">
        <v>881</v>
      </c>
      <c r="K57" s="2" t="s">
        <v>304</v>
      </c>
      <c r="L57" s="2" t="s">
        <v>38</v>
      </c>
      <c r="M57" s="8" t="str">
        <f t="shared" si="0"/>
        <v xml:space="preserve">http://slimages.macys.com/is/image/MCY/11437108 </v>
      </c>
    </row>
    <row r="58" spans="1:13" ht="60" x14ac:dyDescent="0.25">
      <c r="A58" s="7" t="s">
        <v>8644</v>
      </c>
      <c r="B58" s="2" t="s">
        <v>8151</v>
      </c>
      <c r="C58" s="4">
        <v>1</v>
      </c>
      <c r="D58" s="5">
        <v>13.88</v>
      </c>
      <c r="E58" s="5">
        <v>37.5</v>
      </c>
      <c r="F58" s="4" t="s">
        <v>8152</v>
      </c>
      <c r="G58" s="2" t="s">
        <v>582</v>
      </c>
      <c r="H58" s="7" t="s">
        <v>68</v>
      </c>
      <c r="I58" s="2" t="s">
        <v>880</v>
      </c>
      <c r="J58" s="2" t="s">
        <v>881</v>
      </c>
      <c r="K58" s="2" t="s">
        <v>304</v>
      </c>
      <c r="L58" s="2" t="s">
        <v>38</v>
      </c>
      <c r="M58" s="8" t="str">
        <f t="shared" si="0"/>
        <v xml:space="preserve">http://slimages.macys.com/is/image/MCY/11437108 </v>
      </c>
    </row>
    <row r="59" spans="1:13" ht="60" x14ac:dyDescent="0.25">
      <c r="A59" s="7" t="s">
        <v>8645</v>
      </c>
      <c r="B59" s="2" t="s">
        <v>8151</v>
      </c>
      <c r="C59" s="4">
        <v>1</v>
      </c>
      <c r="D59" s="5">
        <v>13.88</v>
      </c>
      <c r="E59" s="5">
        <v>37.5</v>
      </c>
      <c r="F59" s="4" t="s">
        <v>8152</v>
      </c>
      <c r="G59" s="2" t="s">
        <v>297</v>
      </c>
      <c r="H59" s="7" t="s">
        <v>123</v>
      </c>
      <c r="I59" s="2" t="s">
        <v>880</v>
      </c>
      <c r="J59" s="2" t="s">
        <v>881</v>
      </c>
      <c r="K59" s="2" t="s">
        <v>304</v>
      </c>
      <c r="L59" s="2" t="s">
        <v>206</v>
      </c>
      <c r="M59" s="8" t="str">
        <f t="shared" si="0"/>
        <v xml:space="preserve">http://slimages.macys.com/is/image/MCY/11437108 </v>
      </c>
    </row>
    <row r="60" spans="1:13" ht="60" x14ac:dyDescent="0.25">
      <c r="A60" s="7" t="s">
        <v>8646</v>
      </c>
      <c r="B60" s="2" t="s">
        <v>8151</v>
      </c>
      <c r="C60" s="4">
        <v>1</v>
      </c>
      <c r="D60" s="5">
        <v>13.88</v>
      </c>
      <c r="E60" s="5">
        <v>37.5</v>
      </c>
      <c r="F60" s="4" t="s">
        <v>8152</v>
      </c>
      <c r="G60" s="2" t="s">
        <v>582</v>
      </c>
      <c r="H60" s="7" t="s">
        <v>123</v>
      </c>
      <c r="I60" s="2" t="s">
        <v>880</v>
      </c>
      <c r="J60" s="2" t="s">
        <v>881</v>
      </c>
      <c r="K60" s="2" t="s">
        <v>304</v>
      </c>
      <c r="L60" s="2" t="s">
        <v>206</v>
      </c>
      <c r="M60" s="8" t="str">
        <f t="shared" si="0"/>
        <v xml:space="preserve">http://slimages.macys.com/is/image/MCY/11437108 </v>
      </c>
    </row>
    <row r="61" spans="1:13" ht="84" x14ac:dyDescent="0.25">
      <c r="A61" s="7" t="s">
        <v>8647</v>
      </c>
      <c r="B61" s="2" t="s">
        <v>1510</v>
      </c>
      <c r="C61" s="4">
        <v>1</v>
      </c>
      <c r="D61" s="5">
        <v>13.8</v>
      </c>
      <c r="E61" s="5">
        <v>33.99</v>
      </c>
      <c r="F61" s="4" t="s">
        <v>1511</v>
      </c>
      <c r="G61" s="2" t="s">
        <v>103</v>
      </c>
      <c r="H61" s="7" t="s">
        <v>196</v>
      </c>
      <c r="I61" s="2" t="s">
        <v>321</v>
      </c>
      <c r="J61" s="2" t="s">
        <v>1512</v>
      </c>
      <c r="K61" s="2" t="s">
        <v>304</v>
      </c>
      <c r="L61" s="2" t="s">
        <v>1117</v>
      </c>
      <c r="M61" s="8" t="str">
        <f>HYPERLINK("http://slimages.macys.com/is/image/MCY/10750360 ")</f>
        <v xml:space="preserve">http://slimages.macys.com/is/image/MCY/10750360 </v>
      </c>
    </row>
    <row r="62" spans="1:13" ht="84" x14ac:dyDescent="0.25">
      <c r="A62" s="7" t="s">
        <v>8648</v>
      </c>
      <c r="B62" s="2" t="s">
        <v>1510</v>
      </c>
      <c r="C62" s="4">
        <v>1</v>
      </c>
      <c r="D62" s="5">
        <v>13.8</v>
      </c>
      <c r="E62" s="5">
        <v>33.99</v>
      </c>
      <c r="F62" s="4" t="s">
        <v>1511</v>
      </c>
      <c r="G62" s="2" t="s">
        <v>698</v>
      </c>
      <c r="H62" s="7" t="s">
        <v>228</v>
      </c>
      <c r="I62" s="2" t="s">
        <v>321</v>
      </c>
      <c r="J62" s="2" t="s">
        <v>1512</v>
      </c>
      <c r="K62" s="2" t="s">
        <v>304</v>
      </c>
      <c r="L62" s="2" t="s">
        <v>1117</v>
      </c>
      <c r="M62" s="8" t="str">
        <f>HYPERLINK("http://slimages.macys.com/is/image/MCY/10750360 ")</f>
        <v xml:space="preserve">http://slimages.macys.com/is/image/MCY/10750360 </v>
      </c>
    </row>
    <row r="63" spans="1:13" ht="72" x14ac:dyDescent="0.25">
      <c r="A63" s="7" t="s">
        <v>8649</v>
      </c>
      <c r="B63" s="2" t="s">
        <v>8650</v>
      </c>
      <c r="C63" s="4">
        <v>6</v>
      </c>
      <c r="D63" s="5">
        <v>13.8</v>
      </c>
      <c r="E63" s="5">
        <v>33.99</v>
      </c>
      <c r="F63" s="4" t="s">
        <v>8651</v>
      </c>
      <c r="G63" s="2" t="s">
        <v>892</v>
      </c>
      <c r="H63" s="7" t="s">
        <v>196</v>
      </c>
      <c r="I63" s="2" t="s">
        <v>321</v>
      </c>
      <c r="J63" s="2" t="s">
        <v>1512</v>
      </c>
      <c r="K63" s="2" t="s">
        <v>304</v>
      </c>
      <c r="L63" s="2" t="s">
        <v>1520</v>
      </c>
      <c r="M63" s="8" t="str">
        <f>HYPERLINK("http://slimages.macys.com/is/image/MCY/10750351 ")</f>
        <v xml:space="preserve">http://slimages.macys.com/is/image/MCY/10750351 </v>
      </c>
    </row>
    <row r="64" spans="1:13" ht="72" x14ac:dyDescent="0.25">
      <c r="A64" s="7" t="s">
        <v>1517</v>
      </c>
      <c r="B64" s="2" t="s">
        <v>1518</v>
      </c>
      <c r="C64" s="4">
        <v>1</v>
      </c>
      <c r="D64" s="5">
        <v>13.8</v>
      </c>
      <c r="E64" s="5">
        <v>33.99</v>
      </c>
      <c r="F64" s="4" t="s">
        <v>1519</v>
      </c>
      <c r="G64" s="2" t="s">
        <v>62</v>
      </c>
      <c r="H64" s="7" t="s">
        <v>196</v>
      </c>
      <c r="I64" s="2" t="s">
        <v>321</v>
      </c>
      <c r="J64" s="2" t="s">
        <v>1512</v>
      </c>
      <c r="K64" s="2" t="s">
        <v>304</v>
      </c>
      <c r="L64" s="2" t="s">
        <v>1520</v>
      </c>
      <c r="M64" s="8" t="str">
        <f>HYPERLINK("http://slimages.macys.com/is/image/MCY/10750416 ")</f>
        <v xml:space="preserve">http://slimages.macys.com/is/image/MCY/10750416 </v>
      </c>
    </row>
    <row r="65" spans="1:13" ht="84" x14ac:dyDescent="0.25">
      <c r="A65" s="7" t="s">
        <v>8652</v>
      </c>
      <c r="B65" s="2" t="s">
        <v>1510</v>
      </c>
      <c r="C65" s="4">
        <v>1</v>
      </c>
      <c r="D65" s="5">
        <v>13.8</v>
      </c>
      <c r="E65" s="5">
        <v>33.99</v>
      </c>
      <c r="F65" s="4" t="s">
        <v>1511</v>
      </c>
      <c r="G65" s="2" t="s">
        <v>698</v>
      </c>
      <c r="H65" s="7" t="s">
        <v>196</v>
      </c>
      <c r="I65" s="2" t="s">
        <v>321</v>
      </c>
      <c r="J65" s="2" t="s">
        <v>1512</v>
      </c>
      <c r="K65" s="2" t="s">
        <v>304</v>
      </c>
      <c r="L65" s="2" t="s">
        <v>1117</v>
      </c>
      <c r="M65" s="8" t="str">
        <f>HYPERLINK("http://slimages.macys.com/is/image/MCY/10750360 ")</f>
        <v xml:space="preserve">http://slimages.macys.com/is/image/MCY/10750360 </v>
      </c>
    </row>
    <row r="66" spans="1:13" ht="60" x14ac:dyDescent="0.25">
      <c r="A66" s="7" t="s">
        <v>8653</v>
      </c>
      <c r="B66" s="2" t="s">
        <v>8654</v>
      </c>
      <c r="C66" s="4">
        <v>2</v>
      </c>
      <c r="D66" s="5">
        <v>13.5</v>
      </c>
      <c r="E66" s="5">
        <v>30</v>
      </c>
      <c r="F66" s="4">
        <v>1330642</v>
      </c>
      <c r="G66" s="2" t="s">
        <v>165</v>
      </c>
      <c r="H66" s="7" t="s">
        <v>159</v>
      </c>
      <c r="I66" s="2" t="s">
        <v>173</v>
      </c>
      <c r="J66" s="2" t="s">
        <v>280</v>
      </c>
      <c r="K66" s="2" t="s">
        <v>304</v>
      </c>
      <c r="L66" s="2" t="s">
        <v>125</v>
      </c>
      <c r="M66" s="8" t="str">
        <f>HYPERLINK("http://slimages.macys.com/is/image/MCY/12737659 ")</f>
        <v xml:space="preserve">http://slimages.macys.com/is/image/MCY/12737659 </v>
      </c>
    </row>
    <row r="67" spans="1:13" ht="60" x14ac:dyDescent="0.25">
      <c r="A67" s="7" t="s">
        <v>8655</v>
      </c>
      <c r="B67" s="2" t="s">
        <v>8654</v>
      </c>
      <c r="C67" s="4">
        <v>1</v>
      </c>
      <c r="D67" s="5">
        <v>13.5</v>
      </c>
      <c r="E67" s="5">
        <v>30</v>
      </c>
      <c r="F67" s="4">
        <v>1330642</v>
      </c>
      <c r="G67" s="2" t="s">
        <v>165</v>
      </c>
      <c r="H67" s="7" t="s">
        <v>228</v>
      </c>
      <c r="I67" s="2" t="s">
        <v>173</v>
      </c>
      <c r="J67" s="2" t="s">
        <v>280</v>
      </c>
      <c r="K67" s="2" t="s">
        <v>304</v>
      </c>
      <c r="L67" s="2" t="s">
        <v>125</v>
      </c>
      <c r="M67" s="8" t="str">
        <f>HYPERLINK("http://slimages.macys.com/is/image/MCY/12737659 ")</f>
        <v xml:space="preserve">http://slimages.macys.com/is/image/MCY/12737659 </v>
      </c>
    </row>
    <row r="68" spans="1:13" ht="72" x14ac:dyDescent="0.25">
      <c r="A68" s="7" t="s">
        <v>8656</v>
      </c>
      <c r="B68" s="2" t="s">
        <v>8657</v>
      </c>
      <c r="C68" s="4">
        <v>1</v>
      </c>
      <c r="D68" s="5">
        <v>13.5</v>
      </c>
      <c r="E68" s="5">
        <v>52</v>
      </c>
      <c r="F68" s="4" t="s">
        <v>8658</v>
      </c>
      <c r="G68" s="2" t="s">
        <v>62</v>
      </c>
      <c r="H68" s="7" t="s">
        <v>228</v>
      </c>
      <c r="I68" s="2" t="s">
        <v>173</v>
      </c>
      <c r="J68" s="2" t="s">
        <v>4753</v>
      </c>
      <c r="K68" s="2" t="s">
        <v>8659</v>
      </c>
      <c r="L68" s="2" t="s">
        <v>8660</v>
      </c>
      <c r="M68" s="8" t="str">
        <f>HYPERLINK("http://images.bloomingdales.com/is/image/BLM/10272869 ")</f>
        <v xml:space="preserve">http://images.bloomingdales.com/is/image/BLM/10272869 </v>
      </c>
    </row>
    <row r="69" spans="1:13" ht="60" x14ac:dyDescent="0.25">
      <c r="A69" s="7" t="s">
        <v>8661</v>
      </c>
      <c r="B69" s="2" t="s">
        <v>1530</v>
      </c>
      <c r="C69" s="4">
        <v>1</v>
      </c>
      <c r="D69" s="5">
        <v>13.44</v>
      </c>
      <c r="E69" s="5">
        <v>32</v>
      </c>
      <c r="F69" s="4" t="s">
        <v>8662</v>
      </c>
      <c r="G69" s="2" t="s">
        <v>134</v>
      </c>
      <c r="H69" s="7" t="s">
        <v>72</v>
      </c>
      <c r="I69" s="2" t="s">
        <v>73</v>
      </c>
      <c r="J69" s="2" t="s">
        <v>74</v>
      </c>
      <c r="K69" s="2" t="s">
        <v>304</v>
      </c>
      <c r="L69" s="2" t="s">
        <v>75</v>
      </c>
      <c r="M69" s="8" t="str">
        <f>HYPERLINK("http://slimages.macys.com/is/image/MCY/11646471 ")</f>
        <v xml:space="preserve">http://slimages.macys.com/is/image/MCY/11646471 </v>
      </c>
    </row>
    <row r="70" spans="1:13" ht="60" x14ac:dyDescent="0.25">
      <c r="A70" s="7" t="s">
        <v>8663</v>
      </c>
      <c r="B70" s="2" t="s">
        <v>8664</v>
      </c>
      <c r="C70" s="4">
        <v>1</v>
      </c>
      <c r="D70" s="5">
        <v>13.3</v>
      </c>
      <c r="E70" s="5">
        <v>27.99</v>
      </c>
      <c r="F70" s="4" t="s">
        <v>8665</v>
      </c>
      <c r="G70" s="2" t="s">
        <v>134</v>
      </c>
      <c r="H70" s="7" t="s">
        <v>166</v>
      </c>
      <c r="I70" s="2" t="s">
        <v>80</v>
      </c>
      <c r="J70" s="2" t="s">
        <v>167</v>
      </c>
      <c r="K70" s="2" t="s">
        <v>304</v>
      </c>
      <c r="L70" s="2" t="s">
        <v>358</v>
      </c>
      <c r="M70" s="8" t="str">
        <f>HYPERLINK("http://slimages.macys.com/is/image/MCY/10816125 ")</f>
        <v xml:space="preserve">http://slimages.macys.com/is/image/MCY/10816125 </v>
      </c>
    </row>
    <row r="71" spans="1:13" ht="60" x14ac:dyDescent="0.25">
      <c r="A71" s="7" t="s">
        <v>8666</v>
      </c>
      <c r="B71" s="2" t="s">
        <v>8667</v>
      </c>
      <c r="C71" s="4">
        <v>1</v>
      </c>
      <c r="D71" s="5">
        <v>13.28</v>
      </c>
      <c r="E71" s="5">
        <v>29.5</v>
      </c>
      <c r="F71" s="4">
        <v>322703632026</v>
      </c>
      <c r="G71" s="2" t="s">
        <v>107</v>
      </c>
      <c r="H71" s="7" t="s">
        <v>166</v>
      </c>
      <c r="I71" s="2" t="s">
        <v>204</v>
      </c>
      <c r="J71" s="2" t="s">
        <v>205</v>
      </c>
      <c r="K71" s="2" t="s">
        <v>304</v>
      </c>
      <c r="L71" s="2" t="s">
        <v>206</v>
      </c>
      <c r="M71" s="8" t="str">
        <f>HYPERLINK("http://slimages.macys.com/is/image/MCY/13586541 ")</f>
        <v xml:space="preserve">http://slimages.macys.com/is/image/MCY/13586541 </v>
      </c>
    </row>
    <row r="72" spans="1:13" ht="72" x14ac:dyDescent="0.25">
      <c r="A72" s="7" t="s">
        <v>8668</v>
      </c>
      <c r="B72" s="2" t="s">
        <v>8163</v>
      </c>
      <c r="C72" s="4">
        <v>2</v>
      </c>
      <c r="D72" s="5">
        <v>13.2</v>
      </c>
      <c r="E72" s="5">
        <v>33.99</v>
      </c>
      <c r="F72" s="4" t="s">
        <v>8164</v>
      </c>
      <c r="G72" s="2" t="s">
        <v>698</v>
      </c>
      <c r="H72" s="7" t="s">
        <v>196</v>
      </c>
      <c r="I72" s="2" t="s">
        <v>321</v>
      </c>
      <c r="J72" s="2" t="s">
        <v>1512</v>
      </c>
      <c r="K72" s="2" t="s">
        <v>304</v>
      </c>
      <c r="L72" s="2" t="s">
        <v>1520</v>
      </c>
      <c r="M72" s="8" t="str">
        <f>HYPERLINK("http://slimages.macys.com/is/image/MCY/10945450 ")</f>
        <v xml:space="preserve">http://slimages.macys.com/is/image/MCY/10945450 </v>
      </c>
    </row>
    <row r="73" spans="1:13" ht="72" x14ac:dyDescent="0.25">
      <c r="A73" s="7" t="s">
        <v>8669</v>
      </c>
      <c r="B73" s="2" t="s">
        <v>8163</v>
      </c>
      <c r="C73" s="4">
        <v>1</v>
      </c>
      <c r="D73" s="5">
        <v>13.2</v>
      </c>
      <c r="E73" s="5">
        <v>33.99</v>
      </c>
      <c r="F73" s="4" t="s">
        <v>8164</v>
      </c>
      <c r="G73" s="2" t="s">
        <v>698</v>
      </c>
      <c r="H73" s="7" t="s">
        <v>284</v>
      </c>
      <c r="I73" s="2" t="s">
        <v>321</v>
      </c>
      <c r="J73" s="2" t="s">
        <v>1512</v>
      </c>
      <c r="K73" s="2" t="s">
        <v>304</v>
      </c>
      <c r="L73" s="2" t="s">
        <v>1520</v>
      </c>
      <c r="M73" s="8" t="str">
        <f>HYPERLINK("http://slimages.macys.com/is/image/MCY/10945450 ")</f>
        <v xml:space="preserve">http://slimages.macys.com/is/image/MCY/10945450 </v>
      </c>
    </row>
    <row r="74" spans="1:13" ht="60" x14ac:dyDescent="0.25">
      <c r="A74" s="7" t="s">
        <v>8670</v>
      </c>
      <c r="B74" s="2" t="s">
        <v>8671</v>
      </c>
      <c r="C74" s="4">
        <v>1</v>
      </c>
      <c r="D74" s="5">
        <v>13</v>
      </c>
      <c r="E74" s="5">
        <v>62</v>
      </c>
      <c r="F74" s="4" t="s">
        <v>8672</v>
      </c>
      <c r="G74" s="2"/>
      <c r="H74" s="7" t="s">
        <v>320</v>
      </c>
      <c r="I74" s="2" t="s">
        <v>173</v>
      </c>
      <c r="J74" s="2" t="s">
        <v>4672</v>
      </c>
      <c r="K74" s="2" t="s">
        <v>2752</v>
      </c>
      <c r="L74" s="2" t="s">
        <v>8577</v>
      </c>
      <c r="M74" s="8" t="str">
        <f>HYPERLINK("http://images.bloomingdales.com/is/image/BLM/10406034 ")</f>
        <v xml:space="preserve">http://images.bloomingdales.com/is/image/BLM/10406034 </v>
      </c>
    </row>
    <row r="75" spans="1:13" ht="60" x14ac:dyDescent="0.25">
      <c r="A75" s="7" t="s">
        <v>8673</v>
      </c>
      <c r="B75" s="2" t="s">
        <v>8671</v>
      </c>
      <c r="C75" s="4">
        <v>1</v>
      </c>
      <c r="D75" s="5">
        <v>13</v>
      </c>
      <c r="E75" s="5">
        <v>62</v>
      </c>
      <c r="F75" s="4" t="s">
        <v>8672</v>
      </c>
      <c r="G75" s="2"/>
      <c r="H75" s="7" t="s">
        <v>1601</v>
      </c>
      <c r="I75" s="2" t="s">
        <v>173</v>
      </c>
      <c r="J75" s="2" t="s">
        <v>4672</v>
      </c>
      <c r="K75" s="2" t="s">
        <v>2752</v>
      </c>
      <c r="L75" s="2" t="s">
        <v>8577</v>
      </c>
      <c r="M75" s="8" t="str">
        <f>HYPERLINK("http://images.bloomingdales.com/is/image/BLM/10406034 ")</f>
        <v xml:space="preserve">http://images.bloomingdales.com/is/image/BLM/10406034 </v>
      </c>
    </row>
    <row r="76" spans="1:13" ht="60" x14ac:dyDescent="0.25">
      <c r="A76" s="7" t="s">
        <v>8674</v>
      </c>
      <c r="B76" s="2" t="s">
        <v>8675</v>
      </c>
      <c r="C76" s="4">
        <v>1</v>
      </c>
      <c r="D76" s="5">
        <v>13</v>
      </c>
      <c r="E76" s="5">
        <v>29.99</v>
      </c>
      <c r="F76" s="4" t="s">
        <v>8676</v>
      </c>
      <c r="G76" s="2" t="s">
        <v>262</v>
      </c>
      <c r="H76" s="7" t="s">
        <v>177</v>
      </c>
      <c r="I76" s="2" t="s">
        <v>30</v>
      </c>
      <c r="J76" s="2" t="s">
        <v>2986</v>
      </c>
      <c r="K76" s="2" t="s">
        <v>304</v>
      </c>
      <c r="L76" s="2" t="s">
        <v>100</v>
      </c>
      <c r="M76" s="8" t="str">
        <f>HYPERLINK("http://slimages.macys.com/is/image/MCY/11603247 ")</f>
        <v xml:space="preserve">http://slimages.macys.com/is/image/MCY/11603247 </v>
      </c>
    </row>
    <row r="77" spans="1:13" ht="60" x14ac:dyDescent="0.25">
      <c r="A77" s="7" t="s">
        <v>8677</v>
      </c>
      <c r="B77" s="2" t="s">
        <v>8678</v>
      </c>
      <c r="C77" s="4">
        <v>1</v>
      </c>
      <c r="D77" s="5">
        <v>13</v>
      </c>
      <c r="E77" s="5">
        <v>42</v>
      </c>
      <c r="F77" s="4" t="s">
        <v>8679</v>
      </c>
      <c r="G77" s="2"/>
      <c r="H77" s="7" t="s">
        <v>320</v>
      </c>
      <c r="I77" s="2" t="s">
        <v>173</v>
      </c>
      <c r="J77" s="2" t="s">
        <v>8680</v>
      </c>
      <c r="K77" s="2" t="s">
        <v>2786</v>
      </c>
      <c r="L77" s="2" t="s">
        <v>3687</v>
      </c>
      <c r="M77" s="8" t="str">
        <f>HYPERLINK("http://images.bloomingdales.com/is/image/BLM/10462538 ")</f>
        <v xml:space="preserve">http://images.bloomingdales.com/is/image/BLM/10462538 </v>
      </c>
    </row>
    <row r="78" spans="1:13" ht="60" x14ac:dyDescent="0.25">
      <c r="A78" s="7" t="s">
        <v>8681</v>
      </c>
      <c r="B78" s="2" t="s">
        <v>8678</v>
      </c>
      <c r="C78" s="4">
        <v>1</v>
      </c>
      <c r="D78" s="5">
        <v>13</v>
      </c>
      <c r="E78" s="5">
        <v>42</v>
      </c>
      <c r="F78" s="4" t="s">
        <v>8679</v>
      </c>
      <c r="G78" s="2"/>
      <c r="H78" s="7" t="s">
        <v>196</v>
      </c>
      <c r="I78" s="2" t="s">
        <v>173</v>
      </c>
      <c r="J78" s="2" t="s">
        <v>8680</v>
      </c>
      <c r="K78" s="2" t="s">
        <v>2786</v>
      </c>
      <c r="L78" s="2" t="s">
        <v>3687</v>
      </c>
      <c r="M78" s="8" t="str">
        <f>HYPERLINK("http://images.bloomingdales.com/is/image/BLM/10462538 ")</f>
        <v xml:space="preserve">http://images.bloomingdales.com/is/image/BLM/10462538 </v>
      </c>
    </row>
    <row r="79" spans="1:13" ht="72" x14ac:dyDescent="0.25">
      <c r="A79" s="7" t="s">
        <v>8682</v>
      </c>
      <c r="B79" s="2" t="s">
        <v>8683</v>
      </c>
      <c r="C79" s="4">
        <v>1</v>
      </c>
      <c r="D79" s="5">
        <v>13</v>
      </c>
      <c r="E79" s="5">
        <v>62</v>
      </c>
      <c r="F79" s="4" t="s">
        <v>8684</v>
      </c>
      <c r="G79" s="2" t="s">
        <v>653</v>
      </c>
      <c r="H79" s="7" t="s">
        <v>320</v>
      </c>
      <c r="I79" s="2" t="s">
        <v>173</v>
      </c>
      <c r="J79" s="2" t="s">
        <v>4672</v>
      </c>
      <c r="K79" s="2" t="s">
        <v>2746</v>
      </c>
      <c r="L79" s="2" t="s">
        <v>8685</v>
      </c>
      <c r="M79" s="8" t="str">
        <f>HYPERLINK("http://images.bloomingdales.com/is/image/BLM/10406042 ")</f>
        <v xml:space="preserve">http://images.bloomingdales.com/is/image/BLM/10406042 </v>
      </c>
    </row>
    <row r="80" spans="1:13" ht="132" x14ac:dyDescent="0.25">
      <c r="A80" s="7" t="s">
        <v>8686</v>
      </c>
      <c r="B80" s="2" t="s">
        <v>8687</v>
      </c>
      <c r="C80" s="4">
        <v>1</v>
      </c>
      <c r="D80" s="5">
        <v>12.5</v>
      </c>
      <c r="E80" s="5">
        <v>29.99</v>
      </c>
      <c r="F80" s="4" t="s">
        <v>8688</v>
      </c>
      <c r="G80" s="2" t="s">
        <v>41</v>
      </c>
      <c r="H80" s="7" t="s">
        <v>91</v>
      </c>
      <c r="I80" s="2" t="s">
        <v>135</v>
      </c>
      <c r="J80" s="2" t="s">
        <v>258</v>
      </c>
      <c r="K80" s="2" t="s">
        <v>304</v>
      </c>
      <c r="L80" s="2" t="s">
        <v>8689</v>
      </c>
      <c r="M80" s="8" t="str">
        <f>HYPERLINK("http://slimages.macys.com/is/image/MCY/11859050 ")</f>
        <v xml:space="preserve">http://slimages.macys.com/is/image/MCY/11859050 </v>
      </c>
    </row>
    <row r="81" spans="1:13" ht="120" x14ac:dyDescent="0.25">
      <c r="A81" s="7" t="s">
        <v>8690</v>
      </c>
      <c r="B81" s="2" t="s">
        <v>5307</v>
      </c>
      <c r="C81" s="4">
        <v>1</v>
      </c>
      <c r="D81" s="5">
        <v>12.46</v>
      </c>
      <c r="E81" s="5">
        <v>24.99</v>
      </c>
      <c r="F81" s="4" t="s">
        <v>1563</v>
      </c>
      <c r="G81" s="2" t="s">
        <v>297</v>
      </c>
      <c r="H81" s="7" t="s">
        <v>196</v>
      </c>
      <c r="I81" s="2" t="s">
        <v>73</v>
      </c>
      <c r="J81" s="2" t="s">
        <v>160</v>
      </c>
      <c r="K81" s="2" t="s">
        <v>304</v>
      </c>
      <c r="L81" s="2" t="s">
        <v>1564</v>
      </c>
      <c r="M81" s="8" t="str">
        <f>HYPERLINK("http://slimages.macys.com/is/image/MCY/11973367 ")</f>
        <v xml:space="preserve">http://slimages.macys.com/is/image/MCY/11973367 </v>
      </c>
    </row>
    <row r="82" spans="1:13" ht="60" x14ac:dyDescent="0.25">
      <c r="A82" s="7" t="s">
        <v>8691</v>
      </c>
      <c r="B82" s="2" t="s">
        <v>8692</v>
      </c>
      <c r="C82" s="4">
        <v>1</v>
      </c>
      <c r="D82" s="5">
        <v>12.3</v>
      </c>
      <c r="E82" s="5">
        <v>33</v>
      </c>
      <c r="F82" s="4" t="s">
        <v>8693</v>
      </c>
      <c r="G82" s="2" t="s">
        <v>1265</v>
      </c>
      <c r="H82" s="7" t="s">
        <v>961</v>
      </c>
      <c r="I82" s="2" t="s">
        <v>173</v>
      </c>
      <c r="J82" s="2" t="s">
        <v>5147</v>
      </c>
      <c r="K82" s="2" t="s">
        <v>2752</v>
      </c>
      <c r="L82" s="2" t="s">
        <v>2873</v>
      </c>
      <c r="M82" s="8" t="str">
        <f>HYPERLINK("http://images.bloomingdales.com/is/image/BLM/10199717 ")</f>
        <v xml:space="preserve">http://images.bloomingdales.com/is/image/BLM/10199717 </v>
      </c>
    </row>
    <row r="83" spans="1:13" ht="60" x14ac:dyDescent="0.25">
      <c r="A83" s="7" t="s">
        <v>8694</v>
      </c>
      <c r="B83" s="2" t="s">
        <v>8692</v>
      </c>
      <c r="C83" s="4">
        <v>1</v>
      </c>
      <c r="D83" s="5">
        <v>12.3</v>
      </c>
      <c r="E83" s="5">
        <v>33</v>
      </c>
      <c r="F83" s="4" t="s">
        <v>8693</v>
      </c>
      <c r="G83" s="2" t="s">
        <v>1265</v>
      </c>
      <c r="H83" s="7" t="s">
        <v>5187</v>
      </c>
      <c r="I83" s="2" t="s">
        <v>173</v>
      </c>
      <c r="J83" s="2" t="s">
        <v>5147</v>
      </c>
      <c r="K83" s="2" t="s">
        <v>2752</v>
      </c>
      <c r="L83" s="2" t="s">
        <v>2873</v>
      </c>
      <c r="M83" s="8" t="str">
        <f>HYPERLINK("http://images.bloomingdales.com/is/image/BLM/10199717 ")</f>
        <v xml:space="preserve">http://images.bloomingdales.com/is/image/BLM/10199717 </v>
      </c>
    </row>
    <row r="84" spans="1:13" ht="60" x14ac:dyDescent="0.25">
      <c r="A84" s="7" t="s">
        <v>8695</v>
      </c>
      <c r="B84" s="2" t="s">
        <v>6161</v>
      </c>
      <c r="C84" s="4">
        <v>1</v>
      </c>
      <c r="D84" s="5">
        <v>12</v>
      </c>
      <c r="E84" s="5">
        <v>27.99</v>
      </c>
      <c r="F84" s="4" t="s">
        <v>6162</v>
      </c>
      <c r="G84" s="2" t="s">
        <v>62</v>
      </c>
      <c r="H84" s="7" t="s">
        <v>228</v>
      </c>
      <c r="I84" s="2" t="s">
        <v>73</v>
      </c>
      <c r="J84" s="2" t="s">
        <v>223</v>
      </c>
      <c r="K84" s="2" t="s">
        <v>304</v>
      </c>
      <c r="L84" s="2" t="s">
        <v>125</v>
      </c>
      <c r="M84" s="8" t="str">
        <f>HYPERLINK("http://slimages.macys.com/is/image/MCY/13285779 ")</f>
        <v xml:space="preserve">http://slimages.macys.com/is/image/MCY/13285779 </v>
      </c>
    </row>
    <row r="85" spans="1:13" ht="60" x14ac:dyDescent="0.25">
      <c r="A85" s="7" t="s">
        <v>4823</v>
      </c>
      <c r="B85" s="2" t="s">
        <v>4824</v>
      </c>
      <c r="C85" s="4">
        <v>1</v>
      </c>
      <c r="D85" s="5">
        <v>11.75</v>
      </c>
      <c r="E85" s="5">
        <v>28.99</v>
      </c>
      <c r="F85" s="4" t="s">
        <v>4825</v>
      </c>
      <c r="G85" s="2" t="s">
        <v>129</v>
      </c>
      <c r="H85" s="7" t="s">
        <v>159</v>
      </c>
      <c r="I85" s="2" t="s">
        <v>321</v>
      </c>
      <c r="J85" s="2" t="s">
        <v>3099</v>
      </c>
      <c r="K85" s="2" t="s">
        <v>304</v>
      </c>
      <c r="L85" s="2" t="s">
        <v>125</v>
      </c>
      <c r="M85" s="8" t="str">
        <f>HYPERLINK("http://slimages.macys.com/is/image/MCY/11641256 ")</f>
        <v xml:space="preserve">http://slimages.macys.com/is/image/MCY/11641256 </v>
      </c>
    </row>
    <row r="86" spans="1:13" ht="60" x14ac:dyDescent="0.25">
      <c r="A86" s="7" t="s">
        <v>8696</v>
      </c>
      <c r="B86" s="2" t="s">
        <v>6752</v>
      </c>
      <c r="C86" s="4">
        <v>1</v>
      </c>
      <c r="D86" s="5">
        <v>11.72</v>
      </c>
      <c r="E86" s="5">
        <v>29.99</v>
      </c>
      <c r="F86" s="4" t="s">
        <v>6753</v>
      </c>
      <c r="G86" s="2" t="s">
        <v>41</v>
      </c>
      <c r="H86" s="7" t="s">
        <v>196</v>
      </c>
      <c r="I86" s="2" t="s">
        <v>389</v>
      </c>
      <c r="J86" s="2" t="s">
        <v>354</v>
      </c>
      <c r="K86" s="2" t="s">
        <v>304</v>
      </c>
      <c r="L86" s="2" t="s">
        <v>206</v>
      </c>
      <c r="M86" s="8" t="str">
        <f>HYPERLINK("http://slimages.macys.com/is/image/MCY/11374761 ")</f>
        <v xml:space="preserve">http://slimages.macys.com/is/image/MCY/11374761 </v>
      </c>
    </row>
    <row r="87" spans="1:13" ht="60" x14ac:dyDescent="0.25">
      <c r="A87" s="7" t="s">
        <v>8697</v>
      </c>
      <c r="B87" s="2" t="s">
        <v>8698</v>
      </c>
      <c r="C87" s="4">
        <v>1</v>
      </c>
      <c r="D87" s="5">
        <v>11.5</v>
      </c>
      <c r="E87" s="5">
        <v>25.99</v>
      </c>
      <c r="F87" s="4" t="s">
        <v>8699</v>
      </c>
      <c r="G87" s="2" t="s">
        <v>41</v>
      </c>
      <c r="H87" s="7" t="s">
        <v>159</v>
      </c>
      <c r="I87" s="2" t="s">
        <v>80</v>
      </c>
      <c r="J87" s="2" t="s">
        <v>694</v>
      </c>
      <c r="K87" s="2" t="s">
        <v>304</v>
      </c>
      <c r="L87" s="2" t="s">
        <v>224</v>
      </c>
      <c r="M87" s="8" t="str">
        <f>HYPERLINK("http://slimages.macys.com/is/image/MCY/11647393 ")</f>
        <v xml:space="preserve">http://slimages.macys.com/is/image/MCY/11647393 </v>
      </c>
    </row>
    <row r="88" spans="1:13" ht="60" x14ac:dyDescent="0.25">
      <c r="A88" s="7" t="s">
        <v>8700</v>
      </c>
      <c r="B88" s="2" t="s">
        <v>8701</v>
      </c>
      <c r="C88" s="4">
        <v>1</v>
      </c>
      <c r="D88" s="5">
        <v>11.5</v>
      </c>
      <c r="E88" s="5">
        <v>24.99</v>
      </c>
      <c r="F88" s="4" t="s">
        <v>8702</v>
      </c>
      <c r="G88" s="2" t="s">
        <v>28</v>
      </c>
      <c r="H88" s="7" t="s">
        <v>91</v>
      </c>
      <c r="I88" s="2" t="s">
        <v>135</v>
      </c>
      <c r="J88" s="2" t="s">
        <v>258</v>
      </c>
      <c r="K88" s="2" t="s">
        <v>304</v>
      </c>
      <c r="L88" s="2" t="s">
        <v>596</v>
      </c>
      <c r="M88" s="8" t="str">
        <f>HYPERLINK("http://slimages.macys.com/is/image/MCY/3115317 ")</f>
        <v xml:space="preserve">http://slimages.macys.com/is/image/MCY/3115317 </v>
      </c>
    </row>
    <row r="89" spans="1:13" ht="60" x14ac:dyDescent="0.25">
      <c r="A89" s="7" t="s">
        <v>8703</v>
      </c>
      <c r="B89" s="2" t="s">
        <v>8704</v>
      </c>
      <c r="C89" s="4">
        <v>1</v>
      </c>
      <c r="D89" s="5">
        <v>11.25</v>
      </c>
      <c r="E89" s="5">
        <v>25</v>
      </c>
      <c r="F89" s="4">
        <v>1327816</v>
      </c>
      <c r="G89" s="2" t="s">
        <v>41</v>
      </c>
      <c r="H89" s="7" t="s">
        <v>284</v>
      </c>
      <c r="I89" s="2" t="s">
        <v>173</v>
      </c>
      <c r="J89" s="2" t="s">
        <v>280</v>
      </c>
      <c r="K89" s="2" t="s">
        <v>304</v>
      </c>
      <c r="L89" s="2" t="s">
        <v>2873</v>
      </c>
      <c r="M89" s="8" t="str">
        <f>HYPERLINK("http://slimages.macys.com/is/image/MCY/12292379 ")</f>
        <v xml:space="preserve">http://slimages.macys.com/is/image/MCY/12292379 </v>
      </c>
    </row>
    <row r="90" spans="1:13" ht="60" x14ac:dyDescent="0.25">
      <c r="A90" s="7" t="s">
        <v>8705</v>
      </c>
      <c r="B90" s="2" t="s">
        <v>282</v>
      </c>
      <c r="C90" s="4">
        <v>1</v>
      </c>
      <c r="D90" s="5">
        <v>11.25</v>
      </c>
      <c r="E90" s="5">
        <v>25</v>
      </c>
      <c r="F90" s="4">
        <v>1329007</v>
      </c>
      <c r="G90" s="2" t="s">
        <v>86</v>
      </c>
      <c r="H90" s="7" t="s">
        <v>159</v>
      </c>
      <c r="I90" s="2" t="s">
        <v>700</v>
      </c>
      <c r="J90" s="2" t="s">
        <v>280</v>
      </c>
      <c r="K90" s="2" t="s">
        <v>304</v>
      </c>
      <c r="L90" s="2" t="s">
        <v>125</v>
      </c>
      <c r="M90" s="8" t="str">
        <f>HYPERLINK("http://slimages.macys.com/is/image/MCY/14888348 ")</f>
        <v xml:space="preserve">http://slimages.macys.com/is/image/MCY/14888348 </v>
      </c>
    </row>
    <row r="91" spans="1:13" ht="60" x14ac:dyDescent="0.25">
      <c r="A91" s="7" t="s">
        <v>8706</v>
      </c>
      <c r="B91" s="2" t="s">
        <v>8707</v>
      </c>
      <c r="C91" s="4">
        <v>1</v>
      </c>
      <c r="D91" s="5">
        <v>11.12</v>
      </c>
      <c r="E91" s="5">
        <v>22.99</v>
      </c>
      <c r="F91" s="4" t="s">
        <v>1584</v>
      </c>
      <c r="G91" s="2" t="s">
        <v>297</v>
      </c>
      <c r="H91" s="7" t="s">
        <v>159</v>
      </c>
      <c r="I91" s="2" t="s">
        <v>73</v>
      </c>
      <c r="J91" s="2" t="s">
        <v>160</v>
      </c>
      <c r="K91" s="2" t="s">
        <v>304</v>
      </c>
      <c r="L91" s="2" t="s">
        <v>125</v>
      </c>
      <c r="M91" s="8" t="str">
        <f>HYPERLINK("http://slimages.macys.com/is/image/MCY/12874624 ")</f>
        <v xml:space="preserve">http://slimages.macys.com/is/image/MCY/12874624 </v>
      </c>
    </row>
    <row r="92" spans="1:13" ht="72" x14ac:dyDescent="0.25">
      <c r="A92" s="7" t="s">
        <v>8708</v>
      </c>
      <c r="B92" s="2" t="s">
        <v>8709</v>
      </c>
      <c r="C92" s="4">
        <v>1</v>
      </c>
      <c r="D92" s="5">
        <v>11.03</v>
      </c>
      <c r="E92" s="5">
        <v>29.99</v>
      </c>
      <c r="F92" s="4" t="s">
        <v>8710</v>
      </c>
      <c r="G92" s="2" t="s">
        <v>28</v>
      </c>
      <c r="H92" s="7" t="s">
        <v>177</v>
      </c>
      <c r="I92" s="2" t="s">
        <v>389</v>
      </c>
      <c r="J92" s="2" t="s">
        <v>354</v>
      </c>
      <c r="K92" s="2" t="s">
        <v>304</v>
      </c>
      <c r="L92" s="2" t="s">
        <v>8711</v>
      </c>
      <c r="M92" s="8" t="str">
        <f>HYPERLINK("http://slimages.macys.com/is/image/MCY/9932748 ")</f>
        <v xml:space="preserve">http://slimages.macys.com/is/image/MCY/9932748 </v>
      </c>
    </row>
    <row r="93" spans="1:13" ht="72" x14ac:dyDescent="0.25">
      <c r="A93" s="7" t="s">
        <v>8712</v>
      </c>
      <c r="B93" s="2" t="s">
        <v>8709</v>
      </c>
      <c r="C93" s="4">
        <v>1</v>
      </c>
      <c r="D93" s="5">
        <v>11.03</v>
      </c>
      <c r="E93" s="5">
        <v>29.99</v>
      </c>
      <c r="F93" s="4" t="s">
        <v>8710</v>
      </c>
      <c r="G93" s="2" t="s">
        <v>28</v>
      </c>
      <c r="H93" s="7" t="s">
        <v>172</v>
      </c>
      <c r="I93" s="2" t="s">
        <v>389</v>
      </c>
      <c r="J93" s="2" t="s">
        <v>354</v>
      </c>
      <c r="K93" s="2" t="s">
        <v>304</v>
      </c>
      <c r="L93" s="2" t="s">
        <v>8711</v>
      </c>
      <c r="M93" s="8" t="str">
        <f>HYPERLINK("http://slimages.macys.com/is/image/MCY/9932748 ")</f>
        <v xml:space="preserve">http://slimages.macys.com/is/image/MCY/9932748 </v>
      </c>
    </row>
    <row r="94" spans="1:13" ht="72" x14ac:dyDescent="0.25">
      <c r="A94" s="7" t="s">
        <v>8713</v>
      </c>
      <c r="B94" s="2" t="s">
        <v>8709</v>
      </c>
      <c r="C94" s="4">
        <v>1</v>
      </c>
      <c r="D94" s="5">
        <v>11.03</v>
      </c>
      <c r="E94" s="5">
        <v>29.99</v>
      </c>
      <c r="F94" s="4" t="s">
        <v>8710</v>
      </c>
      <c r="G94" s="2" t="s">
        <v>28</v>
      </c>
      <c r="H94" s="7" t="s">
        <v>97</v>
      </c>
      <c r="I94" s="2" t="s">
        <v>389</v>
      </c>
      <c r="J94" s="2" t="s">
        <v>354</v>
      </c>
      <c r="K94" s="2" t="s">
        <v>304</v>
      </c>
      <c r="L94" s="2" t="s">
        <v>8711</v>
      </c>
      <c r="M94" s="8" t="str">
        <f>HYPERLINK("http://slimages.macys.com/is/image/MCY/9932748 ")</f>
        <v xml:space="preserve">http://slimages.macys.com/is/image/MCY/9932748 </v>
      </c>
    </row>
    <row r="95" spans="1:13" ht="60" x14ac:dyDescent="0.25">
      <c r="A95" s="7" t="s">
        <v>8714</v>
      </c>
      <c r="B95" s="2" t="s">
        <v>8715</v>
      </c>
      <c r="C95" s="4">
        <v>1</v>
      </c>
      <c r="D95" s="5">
        <v>10.92</v>
      </c>
      <c r="E95" s="5">
        <v>29.5</v>
      </c>
      <c r="F95" s="4" t="s">
        <v>8716</v>
      </c>
      <c r="G95" s="2" t="s">
        <v>28</v>
      </c>
      <c r="H95" s="7" t="s">
        <v>248</v>
      </c>
      <c r="I95" s="2" t="s">
        <v>880</v>
      </c>
      <c r="J95" s="2" t="s">
        <v>881</v>
      </c>
      <c r="K95" s="2" t="s">
        <v>304</v>
      </c>
      <c r="L95" s="2" t="s">
        <v>119</v>
      </c>
      <c r="M95" s="8" t="str">
        <f>HYPERLINK("http://slimages.macys.com/is/image/MCY/11502928 ")</f>
        <v xml:space="preserve">http://slimages.macys.com/is/image/MCY/11502928 </v>
      </c>
    </row>
    <row r="96" spans="1:13" ht="60" x14ac:dyDescent="0.25">
      <c r="A96" s="7" t="s">
        <v>8717</v>
      </c>
      <c r="B96" s="2" t="s">
        <v>843</v>
      </c>
      <c r="C96" s="4">
        <v>1</v>
      </c>
      <c r="D96" s="5">
        <v>10.57</v>
      </c>
      <c r="E96" s="5">
        <v>24.99</v>
      </c>
      <c r="F96" s="4" t="s">
        <v>5265</v>
      </c>
      <c r="G96" s="2" t="s">
        <v>62</v>
      </c>
      <c r="H96" s="7" t="s">
        <v>284</v>
      </c>
      <c r="I96" s="2" t="s">
        <v>515</v>
      </c>
      <c r="J96" s="2" t="s">
        <v>827</v>
      </c>
      <c r="K96" s="2" t="s">
        <v>304</v>
      </c>
      <c r="L96" s="2" t="s">
        <v>358</v>
      </c>
      <c r="M96" s="8" t="str">
        <f>HYPERLINK("http://slimages.macys.com/is/image/MCY/12687309 ")</f>
        <v xml:space="preserve">http://slimages.macys.com/is/image/MCY/12687309 </v>
      </c>
    </row>
    <row r="97" spans="1:13" ht="60" x14ac:dyDescent="0.25">
      <c r="A97" s="7" t="s">
        <v>7389</v>
      </c>
      <c r="B97" s="2" t="s">
        <v>255</v>
      </c>
      <c r="C97" s="4">
        <v>1</v>
      </c>
      <c r="D97" s="5">
        <v>10.5</v>
      </c>
      <c r="E97" s="5">
        <v>24.99</v>
      </c>
      <c r="F97" s="4" t="s">
        <v>256</v>
      </c>
      <c r="G97" s="2" t="s">
        <v>262</v>
      </c>
      <c r="H97" s="7" t="s">
        <v>2740</v>
      </c>
      <c r="I97" s="2" t="s">
        <v>257</v>
      </c>
      <c r="J97" s="2" t="s">
        <v>258</v>
      </c>
      <c r="K97" s="2" t="s">
        <v>304</v>
      </c>
      <c r="L97" s="2" t="s">
        <v>206</v>
      </c>
      <c r="M97" s="8" t="str">
        <f>HYPERLINK("http://slimages.macys.com/is/image/MCY/11722982 ")</f>
        <v xml:space="preserve">http://slimages.macys.com/is/image/MCY/11722982 </v>
      </c>
    </row>
    <row r="98" spans="1:13" ht="60" x14ac:dyDescent="0.25">
      <c r="A98" s="7" t="s">
        <v>821</v>
      </c>
      <c r="B98" s="2" t="s">
        <v>255</v>
      </c>
      <c r="C98" s="4">
        <v>1</v>
      </c>
      <c r="D98" s="5">
        <v>10.5</v>
      </c>
      <c r="E98" s="5">
        <v>24.99</v>
      </c>
      <c r="F98" s="4" t="s">
        <v>256</v>
      </c>
      <c r="G98" s="2" t="s">
        <v>262</v>
      </c>
      <c r="H98" s="7" t="s">
        <v>177</v>
      </c>
      <c r="I98" s="2" t="s">
        <v>257</v>
      </c>
      <c r="J98" s="2" t="s">
        <v>258</v>
      </c>
      <c r="K98" s="2" t="s">
        <v>304</v>
      </c>
      <c r="L98" s="2" t="s">
        <v>206</v>
      </c>
      <c r="M98" s="8" t="str">
        <f>HYPERLINK("http://slimages.macys.com/is/image/MCY/11722982 ")</f>
        <v xml:space="preserve">http://slimages.macys.com/is/image/MCY/11722982 </v>
      </c>
    </row>
    <row r="99" spans="1:13" ht="84" x14ac:dyDescent="0.25">
      <c r="A99" s="7" t="s">
        <v>8718</v>
      </c>
      <c r="B99" s="2" t="s">
        <v>8719</v>
      </c>
      <c r="C99" s="4">
        <v>1</v>
      </c>
      <c r="D99" s="5">
        <v>10.5</v>
      </c>
      <c r="E99" s="5">
        <v>19.989999999999998</v>
      </c>
      <c r="F99" s="4" t="s">
        <v>8720</v>
      </c>
      <c r="G99" s="2" t="s">
        <v>667</v>
      </c>
      <c r="H99" s="7" t="s">
        <v>442</v>
      </c>
      <c r="I99" s="2" t="s">
        <v>92</v>
      </c>
      <c r="J99" s="2" t="s">
        <v>778</v>
      </c>
      <c r="K99" s="2" t="s">
        <v>304</v>
      </c>
      <c r="L99" s="2" t="s">
        <v>8721</v>
      </c>
      <c r="M99" s="8" t="str">
        <f>HYPERLINK("http://slimages.macys.com/is/image/MCY/12953521 ")</f>
        <v xml:space="preserve">http://slimages.macys.com/is/image/MCY/12953521 </v>
      </c>
    </row>
    <row r="100" spans="1:13" ht="60" x14ac:dyDescent="0.25">
      <c r="A100" s="7" t="s">
        <v>8722</v>
      </c>
      <c r="B100" s="2" t="s">
        <v>7385</v>
      </c>
      <c r="C100" s="4">
        <v>1</v>
      </c>
      <c r="D100" s="5">
        <v>10.5</v>
      </c>
      <c r="E100" s="5">
        <v>23.99</v>
      </c>
      <c r="F100" s="4" t="s">
        <v>7386</v>
      </c>
      <c r="G100" s="2" t="s">
        <v>195</v>
      </c>
      <c r="H100" s="7" t="s">
        <v>159</v>
      </c>
      <c r="I100" s="2" t="s">
        <v>73</v>
      </c>
      <c r="J100" s="2" t="s">
        <v>223</v>
      </c>
      <c r="K100" s="2" t="s">
        <v>304</v>
      </c>
      <c r="L100" s="2" t="s">
        <v>119</v>
      </c>
      <c r="M100" s="8" t="str">
        <f>HYPERLINK("http://slimages.macys.com/is/image/MCY/12953055 ")</f>
        <v xml:space="preserve">http://slimages.macys.com/is/image/MCY/12953055 </v>
      </c>
    </row>
    <row r="101" spans="1:13" ht="60" x14ac:dyDescent="0.25">
      <c r="A101" s="7" t="s">
        <v>7387</v>
      </c>
      <c r="B101" s="2" t="s">
        <v>7385</v>
      </c>
      <c r="C101" s="4">
        <v>4</v>
      </c>
      <c r="D101" s="5">
        <v>10.5</v>
      </c>
      <c r="E101" s="5">
        <v>23.99</v>
      </c>
      <c r="F101" s="4" t="s">
        <v>7386</v>
      </c>
      <c r="G101" s="2" t="s">
        <v>195</v>
      </c>
      <c r="H101" s="7" t="s">
        <v>228</v>
      </c>
      <c r="I101" s="2" t="s">
        <v>73</v>
      </c>
      <c r="J101" s="2" t="s">
        <v>223</v>
      </c>
      <c r="K101" s="2" t="s">
        <v>304</v>
      </c>
      <c r="L101" s="2" t="s">
        <v>119</v>
      </c>
      <c r="M101" s="8" t="str">
        <f>HYPERLINK("http://slimages.macys.com/is/image/MCY/12953055 ")</f>
        <v xml:space="preserve">http://slimages.macys.com/is/image/MCY/12953055 </v>
      </c>
    </row>
    <row r="102" spans="1:13" ht="60" x14ac:dyDescent="0.25">
      <c r="A102" s="7" t="s">
        <v>8723</v>
      </c>
      <c r="B102" s="2" t="s">
        <v>8724</v>
      </c>
      <c r="C102" s="4">
        <v>1</v>
      </c>
      <c r="D102" s="5">
        <v>10.5</v>
      </c>
      <c r="E102" s="5">
        <v>19.989999999999998</v>
      </c>
      <c r="F102" s="4">
        <v>274150</v>
      </c>
      <c r="G102" s="2" t="s">
        <v>657</v>
      </c>
      <c r="H102" s="7" t="s">
        <v>394</v>
      </c>
      <c r="I102" s="2" t="s">
        <v>43</v>
      </c>
      <c r="J102" s="2" t="s">
        <v>3537</v>
      </c>
      <c r="K102" s="2" t="s">
        <v>304</v>
      </c>
      <c r="L102" s="2" t="s">
        <v>125</v>
      </c>
      <c r="M102" s="8" t="str">
        <f>HYPERLINK("http://slimages.macys.com/is/image/MCY/9479219 ")</f>
        <v xml:space="preserve">http://slimages.macys.com/is/image/MCY/9479219 </v>
      </c>
    </row>
    <row r="103" spans="1:13" ht="96" x14ac:dyDescent="0.25">
      <c r="A103" s="7" t="s">
        <v>8725</v>
      </c>
      <c r="B103" s="2" t="s">
        <v>3825</v>
      </c>
      <c r="C103" s="4">
        <v>1</v>
      </c>
      <c r="D103" s="5">
        <v>10.5</v>
      </c>
      <c r="E103" s="5">
        <v>26.5</v>
      </c>
      <c r="F103" s="4" t="s">
        <v>8726</v>
      </c>
      <c r="G103" s="2" t="s">
        <v>310</v>
      </c>
      <c r="H103" s="7" t="s">
        <v>166</v>
      </c>
      <c r="I103" s="2" t="s">
        <v>380</v>
      </c>
      <c r="J103" s="2" t="s">
        <v>99</v>
      </c>
      <c r="K103" s="2" t="s">
        <v>304</v>
      </c>
      <c r="L103" s="2" t="s">
        <v>3834</v>
      </c>
      <c r="M103" s="8" t="str">
        <f>HYPERLINK("http://slimages.macys.com/is/image/MCY/11451854 ")</f>
        <v xml:space="preserve">http://slimages.macys.com/is/image/MCY/11451854 </v>
      </c>
    </row>
    <row r="104" spans="1:13" ht="96" x14ac:dyDescent="0.25">
      <c r="A104" s="7" t="s">
        <v>8727</v>
      </c>
      <c r="B104" s="2" t="s">
        <v>3825</v>
      </c>
      <c r="C104" s="4">
        <v>1</v>
      </c>
      <c r="D104" s="5">
        <v>10.5</v>
      </c>
      <c r="E104" s="5">
        <v>26.5</v>
      </c>
      <c r="F104" s="4" t="s">
        <v>3833</v>
      </c>
      <c r="G104" s="2" t="s">
        <v>310</v>
      </c>
      <c r="H104" s="7" t="s">
        <v>123</v>
      </c>
      <c r="I104" s="2" t="s">
        <v>380</v>
      </c>
      <c r="J104" s="2" t="s">
        <v>99</v>
      </c>
      <c r="K104" s="2" t="s">
        <v>304</v>
      </c>
      <c r="L104" s="2" t="s">
        <v>3834</v>
      </c>
      <c r="M104" s="8" t="str">
        <f>HYPERLINK("http://slimages.macys.com/is/image/MCY/11446394 ")</f>
        <v xml:space="preserve">http://slimages.macys.com/is/image/MCY/11446394 </v>
      </c>
    </row>
    <row r="105" spans="1:13" ht="60" x14ac:dyDescent="0.25">
      <c r="A105" s="7" t="s">
        <v>8728</v>
      </c>
      <c r="B105" s="2" t="s">
        <v>4844</v>
      </c>
      <c r="C105" s="4">
        <v>1</v>
      </c>
      <c r="D105" s="5">
        <v>10.45</v>
      </c>
      <c r="E105" s="5">
        <v>25.99</v>
      </c>
      <c r="F105" s="4" t="s">
        <v>4845</v>
      </c>
      <c r="G105" s="2" t="s">
        <v>62</v>
      </c>
      <c r="H105" s="7" t="s">
        <v>179</v>
      </c>
      <c r="I105" s="2" t="s">
        <v>292</v>
      </c>
      <c r="J105" s="2" t="s">
        <v>293</v>
      </c>
      <c r="K105" s="2" t="s">
        <v>304</v>
      </c>
      <c r="L105" s="2" t="s">
        <v>596</v>
      </c>
      <c r="M105" s="8" t="str">
        <f>HYPERLINK("http://slimages.macys.com/is/image/MCY/15197668 ")</f>
        <v xml:space="preserve">http://slimages.macys.com/is/image/MCY/15197668 </v>
      </c>
    </row>
    <row r="106" spans="1:13" ht="60" x14ac:dyDescent="0.25">
      <c r="A106" s="7" t="s">
        <v>8729</v>
      </c>
      <c r="B106" s="2" t="s">
        <v>8730</v>
      </c>
      <c r="C106" s="4">
        <v>1</v>
      </c>
      <c r="D106" s="5">
        <v>10.43</v>
      </c>
      <c r="E106" s="5">
        <v>24.99</v>
      </c>
      <c r="F106" s="4" t="s">
        <v>8731</v>
      </c>
      <c r="G106" s="2" t="s">
        <v>62</v>
      </c>
      <c r="H106" s="7" t="s">
        <v>196</v>
      </c>
      <c r="I106" s="2" t="s">
        <v>515</v>
      </c>
      <c r="J106" s="2" t="s">
        <v>827</v>
      </c>
      <c r="K106" s="2" t="s">
        <v>304</v>
      </c>
      <c r="L106" s="2" t="s">
        <v>358</v>
      </c>
      <c r="M106" s="8" t="str">
        <f>HYPERLINK("http://slimages.macys.com/is/image/MCY/10745251 ")</f>
        <v xml:space="preserve">http://slimages.macys.com/is/image/MCY/10745251 </v>
      </c>
    </row>
    <row r="107" spans="1:13" ht="60" x14ac:dyDescent="0.25">
      <c r="A107" s="7" t="s">
        <v>8732</v>
      </c>
      <c r="B107" s="2" t="s">
        <v>8730</v>
      </c>
      <c r="C107" s="4">
        <v>3</v>
      </c>
      <c r="D107" s="5">
        <v>10.43</v>
      </c>
      <c r="E107" s="5">
        <v>24.99</v>
      </c>
      <c r="F107" s="4" t="s">
        <v>8731</v>
      </c>
      <c r="G107" s="2" t="s">
        <v>62</v>
      </c>
      <c r="H107" s="7" t="s">
        <v>159</v>
      </c>
      <c r="I107" s="2" t="s">
        <v>515</v>
      </c>
      <c r="J107" s="2" t="s">
        <v>827</v>
      </c>
      <c r="K107" s="2" t="s">
        <v>304</v>
      </c>
      <c r="L107" s="2" t="s">
        <v>358</v>
      </c>
      <c r="M107" s="8" t="str">
        <f>HYPERLINK("http://slimages.macys.com/is/image/MCY/10745251 ")</f>
        <v xml:space="preserve">http://slimages.macys.com/is/image/MCY/10745251 </v>
      </c>
    </row>
    <row r="108" spans="1:13" ht="60" x14ac:dyDescent="0.25">
      <c r="A108" s="7" t="s">
        <v>8733</v>
      </c>
      <c r="B108" s="2" t="s">
        <v>8730</v>
      </c>
      <c r="C108" s="4">
        <v>2</v>
      </c>
      <c r="D108" s="5">
        <v>10.43</v>
      </c>
      <c r="E108" s="5">
        <v>24.99</v>
      </c>
      <c r="F108" s="4" t="s">
        <v>8731</v>
      </c>
      <c r="G108" s="2" t="s">
        <v>62</v>
      </c>
      <c r="H108" s="7" t="s">
        <v>228</v>
      </c>
      <c r="I108" s="2" t="s">
        <v>515</v>
      </c>
      <c r="J108" s="2" t="s">
        <v>827</v>
      </c>
      <c r="K108" s="2" t="s">
        <v>304</v>
      </c>
      <c r="L108" s="2" t="s">
        <v>358</v>
      </c>
      <c r="M108" s="8" t="str">
        <f>HYPERLINK("http://slimages.macys.com/is/image/MCY/10745251 ")</f>
        <v xml:space="preserve">http://slimages.macys.com/is/image/MCY/10745251 </v>
      </c>
    </row>
    <row r="109" spans="1:13" ht="60" x14ac:dyDescent="0.25">
      <c r="A109" s="7" t="s">
        <v>5878</v>
      </c>
      <c r="B109" s="2" t="s">
        <v>5879</v>
      </c>
      <c r="C109" s="4">
        <v>1</v>
      </c>
      <c r="D109" s="5">
        <v>10.29</v>
      </c>
      <c r="E109" s="5">
        <v>22.99</v>
      </c>
      <c r="F109" s="4" t="s">
        <v>5880</v>
      </c>
      <c r="G109" s="2" t="s">
        <v>28</v>
      </c>
      <c r="H109" s="7" t="s">
        <v>217</v>
      </c>
      <c r="I109" s="2" t="s">
        <v>292</v>
      </c>
      <c r="J109" s="2" t="s">
        <v>293</v>
      </c>
      <c r="K109" s="2" t="s">
        <v>304</v>
      </c>
      <c r="L109" s="2" t="s">
        <v>596</v>
      </c>
      <c r="M109" s="8" t="str">
        <f>HYPERLINK("http://slimages.macys.com/is/image/MCY/11527671 ")</f>
        <v xml:space="preserve">http://slimages.macys.com/is/image/MCY/11527671 </v>
      </c>
    </row>
    <row r="110" spans="1:13" ht="60" x14ac:dyDescent="0.25">
      <c r="A110" s="7" t="s">
        <v>8734</v>
      </c>
      <c r="B110" s="2" t="s">
        <v>8735</v>
      </c>
      <c r="C110" s="4">
        <v>1</v>
      </c>
      <c r="D110" s="5">
        <v>10.25</v>
      </c>
      <c r="E110" s="5">
        <v>28.99</v>
      </c>
      <c r="F110" s="4" t="s">
        <v>8736</v>
      </c>
      <c r="G110" s="2" t="s">
        <v>310</v>
      </c>
      <c r="H110" s="7" t="s">
        <v>618</v>
      </c>
      <c r="I110" s="2" t="s">
        <v>312</v>
      </c>
      <c r="J110" s="2" t="s">
        <v>313</v>
      </c>
      <c r="K110" s="2" t="s">
        <v>304</v>
      </c>
      <c r="L110" s="2" t="s">
        <v>38</v>
      </c>
      <c r="M110" s="8" t="str">
        <f>HYPERLINK("http://slimages.macys.com/is/image/MCY/12291177 ")</f>
        <v xml:space="preserve">http://slimages.macys.com/is/image/MCY/12291177 </v>
      </c>
    </row>
    <row r="111" spans="1:13" ht="60" x14ac:dyDescent="0.25">
      <c r="A111" s="7" t="s">
        <v>8737</v>
      </c>
      <c r="B111" s="2" t="s">
        <v>825</v>
      </c>
      <c r="C111" s="4">
        <v>1</v>
      </c>
      <c r="D111" s="5">
        <v>10.18</v>
      </c>
      <c r="E111" s="5">
        <v>23.99</v>
      </c>
      <c r="F111" s="4" t="s">
        <v>826</v>
      </c>
      <c r="G111" s="2" t="s">
        <v>62</v>
      </c>
      <c r="H111" s="7" t="s">
        <v>284</v>
      </c>
      <c r="I111" s="2" t="s">
        <v>515</v>
      </c>
      <c r="J111" s="2" t="s">
        <v>827</v>
      </c>
      <c r="K111" s="2" t="s">
        <v>304</v>
      </c>
      <c r="L111" s="2" t="s">
        <v>358</v>
      </c>
      <c r="M111" s="8" t="str">
        <f>HYPERLINK("http://slimages.macys.com/is/image/MCY/13121087 ")</f>
        <v xml:space="preserve">http://slimages.macys.com/is/image/MCY/13121087 </v>
      </c>
    </row>
    <row r="112" spans="1:13" ht="204" x14ac:dyDescent="0.25">
      <c r="A112" s="7" t="s">
        <v>8738</v>
      </c>
      <c r="B112" s="2" t="s">
        <v>8739</v>
      </c>
      <c r="C112" s="4">
        <v>1</v>
      </c>
      <c r="D112" s="5">
        <v>10.16</v>
      </c>
      <c r="E112" s="5">
        <v>27</v>
      </c>
      <c r="F112" s="4" t="s">
        <v>8740</v>
      </c>
      <c r="G112" s="2" t="s">
        <v>41</v>
      </c>
      <c r="H112" s="7" t="s">
        <v>42</v>
      </c>
      <c r="I112" s="2" t="s">
        <v>483</v>
      </c>
      <c r="J112" s="2" t="s">
        <v>536</v>
      </c>
      <c r="K112" s="2" t="s">
        <v>304</v>
      </c>
      <c r="L112" s="2" t="s">
        <v>8741</v>
      </c>
      <c r="M112" s="8" t="str">
        <f>HYPERLINK("http://slimages.macys.com/is/image/MCY/12644530 ")</f>
        <v xml:space="preserve">http://slimages.macys.com/is/image/MCY/12644530 </v>
      </c>
    </row>
    <row r="113" spans="1:13" ht="60" x14ac:dyDescent="0.25">
      <c r="A113" s="7" t="s">
        <v>8742</v>
      </c>
      <c r="B113" s="2" t="s">
        <v>8743</v>
      </c>
      <c r="C113" s="4">
        <v>1</v>
      </c>
      <c r="D113" s="5">
        <v>10.08</v>
      </c>
      <c r="E113" s="5">
        <v>24</v>
      </c>
      <c r="F113" s="4" t="s">
        <v>8744</v>
      </c>
      <c r="G113" s="2" t="s">
        <v>262</v>
      </c>
      <c r="H113" s="7" t="s">
        <v>123</v>
      </c>
      <c r="I113" s="2" t="s">
        <v>700</v>
      </c>
      <c r="J113" s="2" t="s">
        <v>3247</v>
      </c>
      <c r="K113" s="2" t="s">
        <v>4808</v>
      </c>
      <c r="L113" s="2" t="s">
        <v>4809</v>
      </c>
      <c r="M113" s="8" t="str">
        <f>HYPERLINK("http://images.bloomingdales.com/is/image/BLM/10330270 ")</f>
        <v xml:space="preserve">http://images.bloomingdales.com/is/image/BLM/10330270 </v>
      </c>
    </row>
    <row r="114" spans="1:13" ht="60" x14ac:dyDescent="0.25">
      <c r="A114" s="7" t="s">
        <v>8745</v>
      </c>
      <c r="B114" s="2" t="s">
        <v>1620</v>
      </c>
      <c r="C114" s="4">
        <v>1</v>
      </c>
      <c r="D114" s="5">
        <v>10.06</v>
      </c>
      <c r="E114" s="5">
        <v>22.99</v>
      </c>
      <c r="F114" s="4" t="s">
        <v>1621</v>
      </c>
      <c r="G114" s="2" t="s">
        <v>171</v>
      </c>
      <c r="H114" s="7" t="s">
        <v>1151</v>
      </c>
      <c r="I114" s="2" t="s">
        <v>515</v>
      </c>
      <c r="J114" s="2" t="s">
        <v>516</v>
      </c>
      <c r="K114" s="2" t="s">
        <v>304</v>
      </c>
      <c r="L114" s="2" t="s">
        <v>358</v>
      </c>
      <c r="M114" s="8" t="str">
        <f>HYPERLINK("http://slimages.macys.com/is/image/MCY/11606059 ")</f>
        <v xml:space="preserve">http://slimages.macys.com/is/image/MCY/11606059 </v>
      </c>
    </row>
    <row r="115" spans="1:13" ht="60" x14ac:dyDescent="0.25">
      <c r="A115" s="7" t="s">
        <v>8746</v>
      </c>
      <c r="B115" s="2" t="s">
        <v>8747</v>
      </c>
      <c r="C115" s="4">
        <v>1</v>
      </c>
      <c r="D115" s="5">
        <v>10.01</v>
      </c>
      <c r="E115" s="5">
        <v>22.99</v>
      </c>
      <c r="F115" s="4" t="s">
        <v>8748</v>
      </c>
      <c r="G115" s="2" t="s">
        <v>698</v>
      </c>
      <c r="H115" s="7" t="s">
        <v>217</v>
      </c>
      <c r="I115" s="2" t="s">
        <v>80</v>
      </c>
      <c r="J115" s="2" t="s">
        <v>160</v>
      </c>
      <c r="K115" s="2" t="s">
        <v>304</v>
      </c>
      <c r="L115" s="2" t="s">
        <v>119</v>
      </c>
      <c r="M115" s="8" t="str">
        <f>HYPERLINK("http://slimages.macys.com/is/image/MCY/11486854 ")</f>
        <v xml:space="preserve">http://slimages.macys.com/is/image/MCY/11486854 </v>
      </c>
    </row>
    <row r="116" spans="1:13" ht="60" x14ac:dyDescent="0.25">
      <c r="A116" s="7" t="s">
        <v>8749</v>
      </c>
      <c r="B116" s="2" t="s">
        <v>8750</v>
      </c>
      <c r="C116" s="4">
        <v>2</v>
      </c>
      <c r="D116" s="5">
        <v>9.9</v>
      </c>
      <c r="E116" s="5">
        <v>22</v>
      </c>
      <c r="F116" s="4">
        <v>1305726</v>
      </c>
      <c r="G116" s="2"/>
      <c r="H116" s="7" t="s">
        <v>159</v>
      </c>
      <c r="I116" s="2" t="s">
        <v>73</v>
      </c>
      <c r="J116" s="2" t="s">
        <v>280</v>
      </c>
      <c r="K116" s="2" t="s">
        <v>304</v>
      </c>
      <c r="L116" s="2" t="s">
        <v>224</v>
      </c>
      <c r="M116" s="8" t="str">
        <f>HYPERLINK("http://slimages.macys.com/is/image/MCY/9254633 ")</f>
        <v xml:space="preserve">http://slimages.macys.com/is/image/MCY/9254633 </v>
      </c>
    </row>
    <row r="117" spans="1:13" ht="60" x14ac:dyDescent="0.25">
      <c r="A117" s="7" t="s">
        <v>8751</v>
      </c>
      <c r="B117" s="2" t="s">
        <v>4853</v>
      </c>
      <c r="C117" s="4">
        <v>1</v>
      </c>
      <c r="D117" s="5">
        <v>9.8000000000000007</v>
      </c>
      <c r="E117" s="5">
        <v>24.5</v>
      </c>
      <c r="F117" s="4" t="s">
        <v>4854</v>
      </c>
      <c r="G117" s="2" t="s">
        <v>86</v>
      </c>
      <c r="H117" s="7"/>
      <c r="I117" s="2" t="s">
        <v>57</v>
      </c>
      <c r="J117" s="2" t="s">
        <v>58</v>
      </c>
      <c r="K117" s="2" t="s">
        <v>304</v>
      </c>
      <c r="L117" s="2" t="s">
        <v>38</v>
      </c>
      <c r="M117" s="8" t="str">
        <f>HYPERLINK("http://slimages.macys.com/is/image/MCY/13049176 ")</f>
        <v xml:space="preserve">http://slimages.macys.com/is/image/MCY/13049176 </v>
      </c>
    </row>
    <row r="118" spans="1:13" ht="96" x14ac:dyDescent="0.25">
      <c r="A118" s="7" t="s">
        <v>8752</v>
      </c>
      <c r="B118" s="2" t="s">
        <v>8753</v>
      </c>
      <c r="C118" s="4">
        <v>4</v>
      </c>
      <c r="D118" s="5">
        <v>9.75</v>
      </c>
      <c r="E118" s="5">
        <v>24.99</v>
      </c>
      <c r="F118" s="4" t="s">
        <v>8754</v>
      </c>
      <c r="G118" s="2" t="s">
        <v>28</v>
      </c>
      <c r="H118" s="7" t="s">
        <v>266</v>
      </c>
      <c r="I118" s="2" t="s">
        <v>321</v>
      </c>
      <c r="J118" s="2" t="s">
        <v>1631</v>
      </c>
      <c r="K118" s="2" t="s">
        <v>304</v>
      </c>
      <c r="L118" s="2" t="s">
        <v>1516</v>
      </c>
      <c r="M118" s="8" t="str">
        <f>HYPERLINK("http://slimages.macys.com/is/image/MCY/11545194 ")</f>
        <v xml:space="preserve">http://slimages.macys.com/is/image/MCY/11545194 </v>
      </c>
    </row>
    <row r="119" spans="1:13" ht="96" x14ac:dyDescent="0.25">
      <c r="A119" s="7" t="s">
        <v>8755</v>
      </c>
      <c r="B119" s="2" t="s">
        <v>8753</v>
      </c>
      <c r="C119" s="4">
        <v>1</v>
      </c>
      <c r="D119" s="5">
        <v>9.75</v>
      </c>
      <c r="E119" s="5">
        <v>24.99</v>
      </c>
      <c r="F119" s="4" t="s">
        <v>8754</v>
      </c>
      <c r="G119" s="2" t="s">
        <v>28</v>
      </c>
      <c r="H119" s="7" t="s">
        <v>166</v>
      </c>
      <c r="I119" s="2" t="s">
        <v>321</v>
      </c>
      <c r="J119" s="2" t="s">
        <v>1631</v>
      </c>
      <c r="K119" s="2" t="s">
        <v>304</v>
      </c>
      <c r="L119" s="2" t="s">
        <v>1516</v>
      </c>
      <c r="M119" s="8" t="str">
        <f>HYPERLINK("http://slimages.macys.com/is/image/MCY/11545194 ")</f>
        <v xml:space="preserve">http://slimages.macys.com/is/image/MCY/11545194 </v>
      </c>
    </row>
    <row r="120" spans="1:13" ht="96" x14ac:dyDescent="0.25">
      <c r="A120" s="7" t="s">
        <v>8756</v>
      </c>
      <c r="B120" s="2" t="s">
        <v>8753</v>
      </c>
      <c r="C120" s="4">
        <v>1</v>
      </c>
      <c r="D120" s="5">
        <v>9.75</v>
      </c>
      <c r="E120" s="5">
        <v>24.99</v>
      </c>
      <c r="F120" s="4" t="s">
        <v>8754</v>
      </c>
      <c r="G120" s="2" t="s">
        <v>28</v>
      </c>
      <c r="H120" s="7" t="s">
        <v>248</v>
      </c>
      <c r="I120" s="2" t="s">
        <v>321</v>
      </c>
      <c r="J120" s="2" t="s">
        <v>1631</v>
      </c>
      <c r="K120" s="2" t="s">
        <v>304</v>
      </c>
      <c r="L120" s="2" t="s">
        <v>1516</v>
      </c>
      <c r="M120" s="8" t="str">
        <f>HYPERLINK("http://slimages.macys.com/is/image/MCY/11545194 ")</f>
        <v xml:space="preserve">http://slimages.macys.com/is/image/MCY/11545194 </v>
      </c>
    </row>
    <row r="121" spans="1:13" ht="96" x14ac:dyDescent="0.25">
      <c r="A121" s="7" t="s">
        <v>1628</v>
      </c>
      <c r="B121" s="2" t="s">
        <v>1629</v>
      </c>
      <c r="C121" s="4">
        <v>1</v>
      </c>
      <c r="D121" s="5">
        <v>9.75</v>
      </c>
      <c r="E121" s="5">
        <v>24.99</v>
      </c>
      <c r="F121" s="4" t="s">
        <v>1630</v>
      </c>
      <c r="G121" s="2" t="s">
        <v>41</v>
      </c>
      <c r="H121" s="7" t="s">
        <v>248</v>
      </c>
      <c r="I121" s="2" t="s">
        <v>321</v>
      </c>
      <c r="J121" s="2" t="s">
        <v>1631</v>
      </c>
      <c r="K121" s="2" t="s">
        <v>304</v>
      </c>
      <c r="L121" s="2" t="s">
        <v>1516</v>
      </c>
      <c r="M121" s="8" t="str">
        <f>HYPERLINK("http://slimages.macys.com/is/image/MCY/11545084 ")</f>
        <v xml:space="preserve">http://slimages.macys.com/is/image/MCY/11545084 </v>
      </c>
    </row>
    <row r="122" spans="1:13" ht="96" x14ac:dyDescent="0.25">
      <c r="A122" s="7" t="s">
        <v>8757</v>
      </c>
      <c r="B122" s="2" t="s">
        <v>8758</v>
      </c>
      <c r="C122" s="4">
        <v>1</v>
      </c>
      <c r="D122" s="5">
        <v>9.75</v>
      </c>
      <c r="E122" s="5">
        <v>24.99</v>
      </c>
      <c r="F122" s="4" t="s">
        <v>8759</v>
      </c>
      <c r="G122" s="2" t="s">
        <v>892</v>
      </c>
      <c r="H122" s="7" t="s">
        <v>248</v>
      </c>
      <c r="I122" s="2" t="s">
        <v>321</v>
      </c>
      <c r="J122" s="2" t="s">
        <v>1631</v>
      </c>
      <c r="K122" s="2" t="s">
        <v>304</v>
      </c>
      <c r="L122" s="2" t="s">
        <v>1516</v>
      </c>
      <c r="M122" s="8" t="str">
        <f>HYPERLINK("http://slimages.macys.com/is/image/MCY/11545091 ")</f>
        <v xml:space="preserve">http://slimages.macys.com/is/image/MCY/11545091 </v>
      </c>
    </row>
    <row r="123" spans="1:13" ht="96" x14ac:dyDescent="0.25">
      <c r="A123" s="7" t="s">
        <v>8760</v>
      </c>
      <c r="B123" s="2" t="s">
        <v>1629</v>
      </c>
      <c r="C123" s="4">
        <v>1</v>
      </c>
      <c r="D123" s="5">
        <v>9.75</v>
      </c>
      <c r="E123" s="5">
        <v>24.99</v>
      </c>
      <c r="F123" s="4" t="s">
        <v>1630</v>
      </c>
      <c r="G123" s="2" t="s">
        <v>41</v>
      </c>
      <c r="H123" s="7" t="s">
        <v>172</v>
      </c>
      <c r="I123" s="2" t="s">
        <v>321</v>
      </c>
      <c r="J123" s="2" t="s">
        <v>1631</v>
      </c>
      <c r="K123" s="2" t="s">
        <v>304</v>
      </c>
      <c r="L123" s="2" t="s">
        <v>1516</v>
      </c>
      <c r="M123" s="8" t="str">
        <f>HYPERLINK("http://slimages.macys.com/is/image/MCY/11545084 ")</f>
        <v xml:space="preserve">http://slimages.macys.com/is/image/MCY/11545084 </v>
      </c>
    </row>
    <row r="124" spans="1:13" ht="84" x14ac:dyDescent="0.25">
      <c r="A124" s="7" t="s">
        <v>8761</v>
      </c>
      <c r="B124" s="2" t="s">
        <v>8762</v>
      </c>
      <c r="C124" s="4">
        <v>1</v>
      </c>
      <c r="D124" s="5">
        <v>9.75</v>
      </c>
      <c r="E124" s="5">
        <v>24.99</v>
      </c>
      <c r="F124" s="4" t="s">
        <v>8763</v>
      </c>
      <c r="G124" s="2" t="s">
        <v>653</v>
      </c>
      <c r="H124" s="7" t="s">
        <v>248</v>
      </c>
      <c r="I124" s="2" t="s">
        <v>321</v>
      </c>
      <c r="J124" s="2" t="s">
        <v>8764</v>
      </c>
      <c r="K124" s="2" t="s">
        <v>304</v>
      </c>
      <c r="L124" s="2" t="s">
        <v>1117</v>
      </c>
      <c r="M124" s="8" t="str">
        <f>HYPERLINK("http://slimages.macys.com/is/image/MCY/11724581 ")</f>
        <v xml:space="preserve">http://slimages.macys.com/is/image/MCY/11724581 </v>
      </c>
    </row>
    <row r="125" spans="1:13" ht="60" x14ac:dyDescent="0.25">
      <c r="A125" s="7" t="s">
        <v>4865</v>
      </c>
      <c r="B125" s="2" t="s">
        <v>4866</v>
      </c>
      <c r="C125" s="4">
        <v>1</v>
      </c>
      <c r="D125" s="5">
        <v>9.6</v>
      </c>
      <c r="E125" s="5">
        <v>23.99</v>
      </c>
      <c r="F125" s="4" t="s">
        <v>4867</v>
      </c>
      <c r="G125" s="2" t="s">
        <v>171</v>
      </c>
      <c r="H125" s="7" t="s">
        <v>177</v>
      </c>
      <c r="I125" s="2" t="s">
        <v>173</v>
      </c>
      <c r="J125" s="2" t="s">
        <v>174</v>
      </c>
      <c r="K125" s="2" t="s">
        <v>304</v>
      </c>
      <c r="L125" s="2" t="s">
        <v>75</v>
      </c>
      <c r="M125" s="8" t="str">
        <f>HYPERLINK("http://slimages.macys.com/is/image/MCY/13314630 ")</f>
        <v xml:space="preserve">http://slimages.macys.com/is/image/MCY/13314630 </v>
      </c>
    </row>
    <row r="126" spans="1:13" ht="72" x14ac:dyDescent="0.25">
      <c r="A126" s="7" t="s">
        <v>8765</v>
      </c>
      <c r="B126" s="2" t="s">
        <v>3219</v>
      </c>
      <c r="C126" s="4">
        <v>1</v>
      </c>
      <c r="D126" s="5">
        <v>9.6</v>
      </c>
      <c r="E126" s="5">
        <v>23.99</v>
      </c>
      <c r="F126" s="4" t="s">
        <v>3874</v>
      </c>
      <c r="G126" s="2" t="s">
        <v>171</v>
      </c>
      <c r="H126" s="7" t="s">
        <v>172</v>
      </c>
      <c r="I126" s="2" t="s">
        <v>173</v>
      </c>
      <c r="J126" s="2" t="s">
        <v>174</v>
      </c>
      <c r="K126" s="2" t="s">
        <v>304</v>
      </c>
      <c r="L126" s="2" t="s">
        <v>2540</v>
      </c>
      <c r="M126" s="8" t="str">
        <f>HYPERLINK("http://slimages.macys.com/is/image/MCY/12726096 ")</f>
        <v xml:space="preserve">http://slimages.macys.com/is/image/MCY/12726096 </v>
      </c>
    </row>
    <row r="127" spans="1:13" ht="60" x14ac:dyDescent="0.25">
      <c r="A127" s="7" t="s">
        <v>8766</v>
      </c>
      <c r="B127" s="2" t="s">
        <v>8767</v>
      </c>
      <c r="C127" s="4">
        <v>1</v>
      </c>
      <c r="D127" s="5">
        <v>9.6</v>
      </c>
      <c r="E127" s="5">
        <v>18.670000000000002</v>
      </c>
      <c r="F127" s="4" t="s">
        <v>8768</v>
      </c>
      <c r="G127" s="2" t="s">
        <v>41</v>
      </c>
      <c r="H127" s="7" t="s">
        <v>228</v>
      </c>
      <c r="I127" s="2" t="s">
        <v>468</v>
      </c>
      <c r="J127" s="2" t="s">
        <v>2468</v>
      </c>
      <c r="K127" s="2" t="s">
        <v>304</v>
      </c>
      <c r="L127" s="2" t="s">
        <v>119</v>
      </c>
      <c r="M127" s="8" t="str">
        <f>HYPERLINK("http://slimages.macys.com/is/image/MCY/12672250 ")</f>
        <v xml:space="preserve">http://slimages.macys.com/is/image/MCY/12672250 </v>
      </c>
    </row>
    <row r="128" spans="1:13" ht="60" x14ac:dyDescent="0.25">
      <c r="A128" s="7" t="s">
        <v>8769</v>
      </c>
      <c r="B128" s="2" t="s">
        <v>8767</v>
      </c>
      <c r="C128" s="4">
        <v>1</v>
      </c>
      <c r="D128" s="5">
        <v>9.6</v>
      </c>
      <c r="E128" s="5">
        <v>18.670000000000002</v>
      </c>
      <c r="F128" s="4" t="s">
        <v>8768</v>
      </c>
      <c r="G128" s="2" t="s">
        <v>41</v>
      </c>
      <c r="H128" s="7" t="s">
        <v>159</v>
      </c>
      <c r="I128" s="2" t="s">
        <v>468</v>
      </c>
      <c r="J128" s="2" t="s">
        <v>2468</v>
      </c>
      <c r="K128" s="2" t="s">
        <v>304</v>
      </c>
      <c r="L128" s="2" t="s">
        <v>119</v>
      </c>
      <c r="M128" s="8" t="str">
        <f>HYPERLINK("http://slimages.macys.com/is/image/MCY/12672250 ")</f>
        <v xml:space="preserve">http://slimages.macys.com/is/image/MCY/12672250 </v>
      </c>
    </row>
    <row r="129" spans="1:13" ht="60" x14ac:dyDescent="0.25">
      <c r="A129" s="7" t="s">
        <v>8770</v>
      </c>
      <c r="B129" s="2" t="s">
        <v>7413</v>
      </c>
      <c r="C129" s="4">
        <v>1</v>
      </c>
      <c r="D129" s="5">
        <v>9.5</v>
      </c>
      <c r="E129" s="5">
        <v>21.99</v>
      </c>
      <c r="F129" s="4" t="s">
        <v>7414</v>
      </c>
      <c r="G129" s="2" t="s">
        <v>892</v>
      </c>
      <c r="H129" s="7"/>
      <c r="I129" s="2" t="s">
        <v>321</v>
      </c>
      <c r="J129" s="2" t="s">
        <v>1671</v>
      </c>
      <c r="K129" s="2" t="s">
        <v>304</v>
      </c>
      <c r="L129" s="2" t="s">
        <v>125</v>
      </c>
      <c r="M129" s="8" t="str">
        <f>HYPERLINK("http://slimages.macys.com/is/image/MCY/11647208 ")</f>
        <v xml:space="preserve">http://slimages.macys.com/is/image/MCY/11647208 </v>
      </c>
    </row>
    <row r="130" spans="1:13" ht="60" x14ac:dyDescent="0.25">
      <c r="A130" s="7" t="s">
        <v>8771</v>
      </c>
      <c r="B130" s="2" t="s">
        <v>8772</v>
      </c>
      <c r="C130" s="4">
        <v>2</v>
      </c>
      <c r="D130" s="5">
        <v>9.36</v>
      </c>
      <c r="E130" s="5">
        <v>18.989999999999998</v>
      </c>
      <c r="F130" s="4" t="s">
        <v>8773</v>
      </c>
      <c r="G130" s="2" t="s">
        <v>653</v>
      </c>
      <c r="H130" s="7"/>
      <c r="I130" s="2" t="s">
        <v>515</v>
      </c>
      <c r="J130" s="2" t="s">
        <v>827</v>
      </c>
      <c r="K130" s="2" t="s">
        <v>304</v>
      </c>
      <c r="L130" s="2" t="s">
        <v>358</v>
      </c>
      <c r="M130" s="8" t="str">
        <f>HYPERLINK("http://slimages.macys.com/is/image/MCY/9977192 ")</f>
        <v xml:space="preserve">http://slimages.macys.com/is/image/MCY/9977192 </v>
      </c>
    </row>
    <row r="131" spans="1:13" ht="60" x14ac:dyDescent="0.25">
      <c r="A131" s="7" t="s">
        <v>8774</v>
      </c>
      <c r="B131" s="2" t="s">
        <v>8775</v>
      </c>
      <c r="C131" s="4">
        <v>1</v>
      </c>
      <c r="D131" s="5">
        <v>9.2799999999999994</v>
      </c>
      <c r="E131" s="5">
        <v>22.99</v>
      </c>
      <c r="F131" s="4" t="s">
        <v>8776</v>
      </c>
      <c r="G131" s="2" t="s">
        <v>62</v>
      </c>
      <c r="H131" s="7" t="s">
        <v>266</v>
      </c>
      <c r="I131" s="2" t="s">
        <v>73</v>
      </c>
      <c r="J131" s="2" t="s">
        <v>249</v>
      </c>
      <c r="K131" s="2" t="s">
        <v>304</v>
      </c>
      <c r="L131" s="2" t="s">
        <v>7432</v>
      </c>
      <c r="M131" s="8" t="str">
        <f>HYPERLINK("http://slimages.macys.com/is/image/MCY/13330311 ")</f>
        <v xml:space="preserve">http://slimages.macys.com/is/image/MCY/13330311 </v>
      </c>
    </row>
    <row r="132" spans="1:13" ht="60" x14ac:dyDescent="0.25">
      <c r="A132" s="7" t="s">
        <v>8777</v>
      </c>
      <c r="B132" s="2" t="s">
        <v>8778</v>
      </c>
      <c r="C132" s="4">
        <v>2</v>
      </c>
      <c r="D132" s="5">
        <v>9.14</v>
      </c>
      <c r="E132" s="5">
        <v>24.99</v>
      </c>
      <c r="F132" s="4" t="s">
        <v>8779</v>
      </c>
      <c r="G132" s="2" t="s">
        <v>86</v>
      </c>
      <c r="H132" s="7" t="s">
        <v>172</v>
      </c>
      <c r="I132" s="2" t="s">
        <v>389</v>
      </c>
      <c r="J132" s="2" t="s">
        <v>354</v>
      </c>
      <c r="K132" s="2" t="s">
        <v>304</v>
      </c>
      <c r="L132" s="2" t="s">
        <v>206</v>
      </c>
      <c r="M132" s="8" t="str">
        <f>HYPERLINK("http://slimages.macys.com/is/image/MCY/11777007 ")</f>
        <v xml:space="preserve">http://slimages.macys.com/is/image/MCY/11777007 </v>
      </c>
    </row>
    <row r="133" spans="1:13" ht="60" x14ac:dyDescent="0.25">
      <c r="A133" s="7" t="s">
        <v>8780</v>
      </c>
      <c r="B133" s="2" t="s">
        <v>4853</v>
      </c>
      <c r="C133" s="4">
        <v>1</v>
      </c>
      <c r="D133" s="5">
        <v>9</v>
      </c>
      <c r="E133" s="5">
        <v>22.5</v>
      </c>
      <c r="F133" s="4" t="s">
        <v>8781</v>
      </c>
      <c r="G133" s="2" t="s">
        <v>86</v>
      </c>
      <c r="H133" s="7" t="s">
        <v>166</v>
      </c>
      <c r="I133" s="2" t="s">
        <v>690</v>
      </c>
      <c r="J133" s="2" t="s">
        <v>58</v>
      </c>
      <c r="K133" s="2" t="s">
        <v>304</v>
      </c>
      <c r="L133" s="2" t="s">
        <v>38</v>
      </c>
      <c r="M133" s="8" t="str">
        <f>HYPERLINK("http://slimages.macys.com/is/image/MCY/13049176 ")</f>
        <v xml:space="preserve">http://slimages.macys.com/is/image/MCY/13049176 </v>
      </c>
    </row>
    <row r="134" spans="1:13" ht="60" x14ac:dyDescent="0.25">
      <c r="A134" s="7" t="s">
        <v>8782</v>
      </c>
      <c r="B134" s="2" t="s">
        <v>8783</v>
      </c>
      <c r="C134" s="4">
        <v>2</v>
      </c>
      <c r="D134" s="5">
        <v>9</v>
      </c>
      <c r="E134" s="5">
        <v>22.5</v>
      </c>
      <c r="F134" s="4" t="s">
        <v>8784</v>
      </c>
      <c r="G134" s="2" t="s">
        <v>476</v>
      </c>
      <c r="H134" s="7" t="s">
        <v>317</v>
      </c>
      <c r="I134" s="2" t="s">
        <v>690</v>
      </c>
      <c r="J134" s="2" t="s">
        <v>58</v>
      </c>
      <c r="K134" s="2" t="s">
        <v>304</v>
      </c>
      <c r="L134" s="2" t="s">
        <v>38</v>
      </c>
      <c r="M134" s="8" t="str">
        <f>HYPERLINK("http://slimages.macys.com/is/image/MCY/13787159 ")</f>
        <v xml:space="preserve">http://slimages.macys.com/is/image/MCY/13787159 </v>
      </c>
    </row>
    <row r="135" spans="1:13" ht="108" x14ac:dyDescent="0.25">
      <c r="A135" s="7" t="s">
        <v>6208</v>
      </c>
      <c r="B135" s="2" t="s">
        <v>6209</v>
      </c>
      <c r="C135" s="4">
        <v>1</v>
      </c>
      <c r="D135" s="5">
        <v>9</v>
      </c>
      <c r="E135" s="5">
        <v>21.99</v>
      </c>
      <c r="F135" s="4" t="s">
        <v>6210</v>
      </c>
      <c r="G135" s="2" t="s">
        <v>41</v>
      </c>
      <c r="H135" s="7" t="s">
        <v>317</v>
      </c>
      <c r="I135" s="2" t="s">
        <v>342</v>
      </c>
      <c r="J135" s="2" t="s">
        <v>343</v>
      </c>
      <c r="K135" s="2" t="s">
        <v>304</v>
      </c>
      <c r="L135" s="2" t="s">
        <v>6211</v>
      </c>
      <c r="M135" s="8" t="str">
        <f>HYPERLINK("http://slimages.macys.com/is/image/MCY/12237641 ")</f>
        <v xml:space="preserve">http://slimages.macys.com/is/image/MCY/12237641 </v>
      </c>
    </row>
    <row r="136" spans="1:13" ht="60" x14ac:dyDescent="0.25">
      <c r="A136" s="7" t="s">
        <v>8785</v>
      </c>
      <c r="B136" s="2" t="s">
        <v>8783</v>
      </c>
      <c r="C136" s="4">
        <v>2</v>
      </c>
      <c r="D136" s="5">
        <v>9</v>
      </c>
      <c r="E136" s="5">
        <v>22.5</v>
      </c>
      <c r="F136" s="4" t="s">
        <v>8784</v>
      </c>
      <c r="G136" s="2" t="s">
        <v>476</v>
      </c>
      <c r="H136" s="7" t="s">
        <v>123</v>
      </c>
      <c r="I136" s="2" t="s">
        <v>690</v>
      </c>
      <c r="J136" s="2" t="s">
        <v>58</v>
      </c>
      <c r="K136" s="2" t="s">
        <v>304</v>
      </c>
      <c r="L136" s="2" t="s">
        <v>38</v>
      </c>
      <c r="M136" s="8" t="str">
        <f>HYPERLINK("http://slimages.macys.com/is/image/MCY/13787159 ")</f>
        <v xml:space="preserve">http://slimages.macys.com/is/image/MCY/13787159 </v>
      </c>
    </row>
    <row r="137" spans="1:13" ht="60" x14ac:dyDescent="0.25">
      <c r="A137" s="7" t="s">
        <v>8786</v>
      </c>
      <c r="B137" s="2" t="s">
        <v>6807</v>
      </c>
      <c r="C137" s="4">
        <v>1</v>
      </c>
      <c r="D137" s="5">
        <v>8.92</v>
      </c>
      <c r="E137" s="5">
        <v>22.99</v>
      </c>
      <c r="F137" s="4" t="s">
        <v>6808</v>
      </c>
      <c r="G137" s="2" t="s">
        <v>62</v>
      </c>
      <c r="H137" s="7"/>
      <c r="I137" s="2" t="s">
        <v>389</v>
      </c>
      <c r="J137" s="2" t="s">
        <v>354</v>
      </c>
      <c r="K137" s="2" t="s">
        <v>304</v>
      </c>
      <c r="L137" s="2" t="s">
        <v>38</v>
      </c>
      <c r="M137" s="8" t="str">
        <f>HYPERLINK("http://slimages.macys.com/is/image/MCY/11855480 ")</f>
        <v xml:space="preserve">http://slimages.macys.com/is/image/MCY/11855480 </v>
      </c>
    </row>
    <row r="138" spans="1:13" ht="60" x14ac:dyDescent="0.25">
      <c r="A138" s="7" t="s">
        <v>8787</v>
      </c>
      <c r="B138" s="2" t="s">
        <v>3954</v>
      </c>
      <c r="C138" s="4">
        <v>1</v>
      </c>
      <c r="D138" s="5">
        <v>8.7799999999999994</v>
      </c>
      <c r="E138" s="5">
        <v>19.5</v>
      </c>
      <c r="F138" s="4">
        <v>323703638011</v>
      </c>
      <c r="G138" s="2" t="s">
        <v>200</v>
      </c>
      <c r="H138" s="7" t="s">
        <v>284</v>
      </c>
      <c r="I138" s="2" t="s">
        <v>204</v>
      </c>
      <c r="J138" s="2" t="s">
        <v>205</v>
      </c>
      <c r="K138" s="2" t="s">
        <v>304</v>
      </c>
      <c r="L138" s="2" t="s">
        <v>206</v>
      </c>
      <c r="M138" s="8" t="str">
        <f>HYPERLINK("http://slimages.macys.com/is/image/MCY/11421029 ")</f>
        <v xml:space="preserve">http://slimages.macys.com/is/image/MCY/11421029 </v>
      </c>
    </row>
    <row r="139" spans="1:13" ht="60" x14ac:dyDescent="0.25">
      <c r="A139" s="7" t="s">
        <v>8788</v>
      </c>
      <c r="B139" s="2" t="s">
        <v>8789</v>
      </c>
      <c r="C139" s="4">
        <v>1</v>
      </c>
      <c r="D139" s="5">
        <v>8.75</v>
      </c>
      <c r="E139" s="5">
        <v>18.989999999999998</v>
      </c>
      <c r="F139" s="4" t="s">
        <v>8790</v>
      </c>
      <c r="G139" s="2" t="s">
        <v>165</v>
      </c>
      <c r="H139" s="7" t="s">
        <v>159</v>
      </c>
      <c r="I139" s="2" t="s">
        <v>173</v>
      </c>
      <c r="J139" s="2" t="s">
        <v>174</v>
      </c>
      <c r="K139" s="2" t="s">
        <v>304</v>
      </c>
      <c r="L139" s="2" t="s">
        <v>1004</v>
      </c>
      <c r="M139" s="8" t="str">
        <f>HYPERLINK("http://slimages.macys.com/is/image/MCY/9944847 ")</f>
        <v xml:space="preserve">http://slimages.macys.com/is/image/MCY/9944847 </v>
      </c>
    </row>
    <row r="140" spans="1:13" ht="60" x14ac:dyDescent="0.25">
      <c r="A140" s="7" t="s">
        <v>8791</v>
      </c>
      <c r="B140" s="2" t="s">
        <v>8792</v>
      </c>
      <c r="C140" s="4">
        <v>1</v>
      </c>
      <c r="D140" s="5">
        <v>8.65</v>
      </c>
      <c r="E140" s="5">
        <v>22.99</v>
      </c>
      <c r="F140" s="4">
        <v>103390</v>
      </c>
      <c r="G140" s="2"/>
      <c r="H140" s="7" t="s">
        <v>177</v>
      </c>
      <c r="I140" s="2" t="s">
        <v>321</v>
      </c>
      <c r="J140" s="2" t="s">
        <v>322</v>
      </c>
      <c r="K140" s="2" t="s">
        <v>304</v>
      </c>
      <c r="L140" s="2" t="s">
        <v>323</v>
      </c>
      <c r="M140" s="8" t="str">
        <f>HYPERLINK("http://slimages.macys.com/is/image/MCY/10628369 ")</f>
        <v xml:space="preserve">http://slimages.macys.com/is/image/MCY/10628369 </v>
      </c>
    </row>
    <row r="141" spans="1:13" ht="60" x14ac:dyDescent="0.25">
      <c r="A141" s="7" t="s">
        <v>5344</v>
      </c>
      <c r="B141" s="2" t="s">
        <v>5345</v>
      </c>
      <c r="C141" s="4">
        <v>1</v>
      </c>
      <c r="D141" s="5">
        <v>8.65</v>
      </c>
      <c r="E141" s="5">
        <v>22.99</v>
      </c>
      <c r="F141" s="4">
        <v>103387</v>
      </c>
      <c r="G141" s="2" t="s">
        <v>79</v>
      </c>
      <c r="H141" s="7" t="s">
        <v>172</v>
      </c>
      <c r="I141" s="2" t="s">
        <v>321</v>
      </c>
      <c r="J141" s="2" t="s">
        <v>322</v>
      </c>
      <c r="K141" s="2" t="s">
        <v>304</v>
      </c>
      <c r="L141" s="2" t="s">
        <v>323</v>
      </c>
      <c r="M141" s="8" t="str">
        <f>HYPERLINK("http://slimages.macys.com/is/image/MCY/11178859 ")</f>
        <v xml:space="preserve">http://slimages.macys.com/is/image/MCY/11178859 </v>
      </c>
    </row>
    <row r="142" spans="1:13" ht="84" x14ac:dyDescent="0.25">
      <c r="A142" s="7" t="s">
        <v>8793</v>
      </c>
      <c r="B142" s="2" t="s">
        <v>1667</v>
      </c>
      <c r="C142" s="4">
        <v>1</v>
      </c>
      <c r="D142" s="5">
        <v>8.65</v>
      </c>
      <c r="E142" s="5">
        <v>22.99</v>
      </c>
      <c r="F142" s="4">
        <v>103404</v>
      </c>
      <c r="G142" s="2" t="s">
        <v>79</v>
      </c>
      <c r="H142" s="7" t="s">
        <v>97</v>
      </c>
      <c r="I142" s="2" t="s">
        <v>321</v>
      </c>
      <c r="J142" s="2" t="s">
        <v>322</v>
      </c>
      <c r="K142" s="2" t="s">
        <v>304</v>
      </c>
      <c r="L142" s="2" t="s">
        <v>1460</v>
      </c>
      <c r="M142" s="8" t="str">
        <f>HYPERLINK("http://slimages.macys.com/is/image/MCY/12037896 ")</f>
        <v xml:space="preserve">http://slimages.macys.com/is/image/MCY/12037896 </v>
      </c>
    </row>
    <row r="143" spans="1:13" ht="84" x14ac:dyDescent="0.25">
      <c r="A143" s="7" t="s">
        <v>8794</v>
      </c>
      <c r="B143" s="2" t="s">
        <v>8795</v>
      </c>
      <c r="C143" s="4">
        <v>1</v>
      </c>
      <c r="D143" s="5">
        <v>8.65</v>
      </c>
      <c r="E143" s="5">
        <v>22.99</v>
      </c>
      <c r="F143" s="4">
        <v>103405</v>
      </c>
      <c r="G143" s="2" t="s">
        <v>79</v>
      </c>
      <c r="H143" s="7" t="s">
        <v>177</v>
      </c>
      <c r="I143" s="2" t="s">
        <v>321</v>
      </c>
      <c r="J143" s="2" t="s">
        <v>322</v>
      </c>
      <c r="K143" s="2" t="s">
        <v>304</v>
      </c>
      <c r="L143" s="2" t="s">
        <v>1460</v>
      </c>
      <c r="M143" s="8" t="str">
        <f>HYPERLINK("http://slimages.macys.com/is/image/MCY/12045181 ")</f>
        <v xml:space="preserve">http://slimages.macys.com/is/image/MCY/12045181 </v>
      </c>
    </row>
    <row r="144" spans="1:13" ht="60" x14ac:dyDescent="0.25">
      <c r="A144" s="7" t="s">
        <v>8796</v>
      </c>
      <c r="B144" s="2" t="s">
        <v>8797</v>
      </c>
      <c r="C144" s="4">
        <v>1</v>
      </c>
      <c r="D144" s="5">
        <v>8.58</v>
      </c>
      <c r="E144" s="5">
        <v>24.5</v>
      </c>
      <c r="F144" s="4" t="s">
        <v>8798</v>
      </c>
      <c r="G144" s="2" t="s">
        <v>2107</v>
      </c>
      <c r="H144" s="7" t="s">
        <v>266</v>
      </c>
      <c r="I144" s="2" t="s">
        <v>298</v>
      </c>
      <c r="J144" s="2" t="s">
        <v>99</v>
      </c>
      <c r="K144" s="2" t="s">
        <v>304</v>
      </c>
      <c r="L144" s="2" t="s">
        <v>335</v>
      </c>
      <c r="M144" s="8" t="str">
        <f>HYPERLINK("http://slimages.macys.com/is/image/MCY/13801779 ")</f>
        <v xml:space="preserve">http://slimages.macys.com/is/image/MCY/13801779 </v>
      </c>
    </row>
    <row r="145" spans="1:13" ht="60" x14ac:dyDescent="0.25">
      <c r="A145" s="7" t="s">
        <v>8799</v>
      </c>
      <c r="B145" s="2" t="s">
        <v>8800</v>
      </c>
      <c r="C145" s="4">
        <v>1</v>
      </c>
      <c r="D145" s="5">
        <v>8.5500000000000007</v>
      </c>
      <c r="E145" s="5">
        <v>17.100000000000001</v>
      </c>
      <c r="F145" s="4" t="s">
        <v>8801</v>
      </c>
      <c r="G145" s="2" t="s">
        <v>297</v>
      </c>
      <c r="H145" s="7" t="s">
        <v>68</v>
      </c>
      <c r="I145" s="2" t="s">
        <v>487</v>
      </c>
      <c r="J145" s="2" t="s">
        <v>488</v>
      </c>
      <c r="K145" s="2" t="s">
        <v>304</v>
      </c>
      <c r="L145" s="2" t="s">
        <v>119</v>
      </c>
      <c r="M145" s="8" t="str">
        <f>HYPERLINK("http://slimages.macys.com/is/image/MCY/12051971 ")</f>
        <v xml:space="preserve">http://slimages.macys.com/is/image/MCY/12051971 </v>
      </c>
    </row>
    <row r="146" spans="1:13" ht="60" x14ac:dyDescent="0.25">
      <c r="A146" s="7" t="s">
        <v>8802</v>
      </c>
      <c r="B146" s="2" t="s">
        <v>8803</v>
      </c>
      <c r="C146" s="4">
        <v>1</v>
      </c>
      <c r="D146" s="5">
        <v>8.5</v>
      </c>
      <c r="E146" s="5">
        <v>21.99</v>
      </c>
      <c r="F146" s="4" t="s">
        <v>8804</v>
      </c>
      <c r="G146" s="2" t="s">
        <v>4019</v>
      </c>
      <c r="H146" s="7" t="s">
        <v>317</v>
      </c>
      <c r="I146" s="2" t="s">
        <v>342</v>
      </c>
      <c r="J146" s="2" t="s">
        <v>343</v>
      </c>
      <c r="K146" s="2" t="s">
        <v>304</v>
      </c>
      <c r="L146" s="2" t="s">
        <v>125</v>
      </c>
      <c r="M146" s="8" t="str">
        <f>HYPERLINK("http://slimages.macys.com/is/image/MCY/12237748 ")</f>
        <v xml:space="preserve">http://slimages.macys.com/is/image/MCY/12237748 </v>
      </c>
    </row>
    <row r="147" spans="1:13" ht="60" x14ac:dyDescent="0.25">
      <c r="A147" s="7" t="s">
        <v>8805</v>
      </c>
      <c r="B147" s="2" t="s">
        <v>5364</v>
      </c>
      <c r="C147" s="4">
        <v>1</v>
      </c>
      <c r="D147" s="5">
        <v>8.5</v>
      </c>
      <c r="E147" s="5">
        <v>21.99</v>
      </c>
      <c r="F147" s="4" t="s">
        <v>5365</v>
      </c>
      <c r="G147" s="2" t="s">
        <v>28</v>
      </c>
      <c r="H147" s="7"/>
      <c r="I147" s="2" t="s">
        <v>321</v>
      </c>
      <c r="J147" s="2" t="s">
        <v>1671</v>
      </c>
      <c r="K147" s="2" t="s">
        <v>304</v>
      </c>
      <c r="L147" s="2" t="s">
        <v>125</v>
      </c>
      <c r="M147" s="8" t="str">
        <f>HYPERLINK("http://slimages.macys.com/is/image/MCY/11647239 ")</f>
        <v xml:space="preserve">http://slimages.macys.com/is/image/MCY/11647239 </v>
      </c>
    </row>
    <row r="148" spans="1:13" ht="60" x14ac:dyDescent="0.25">
      <c r="A148" s="7" t="s">
        <v>8806</v>
      </c>
      <c r="B148" s="2" t="s">
        <v>8807</v>
      </c>
      <c r="C148" s="4">
        <v>1</v>
      </c>
      <c r="D148" s="5">
        <v>8.5</v>
      </c>
      <c r="E148" s="5">
        <v>22</v>
      </c>
      <c r="F148" s="4" t="s">
        <v>8808</v>
      </c>
      <c r="G148" s="2"/>
      <c r="H148" s="7" t="s">
        <v>177</v>
      </c>
      <c r="I148" s="2" t="s">
        <v>321</v>
      </c>
      <c r="J148" s="2" t="s">
        <v>2557</v>
      </c>
      <c r="K148" s="2" t="s">
        <v>304</v>
      </c>
      <c r="L148" s="2" t="s">
        <v>5362</v>
      </c>
      <c r="M148" s="8" t="str">
        <f>HYPERLINK("http://slimages.macys.com/is/image/MCY/10749608 ")</f>
        <v xml:space="preserve">http://slimages.macys.com/is/image/MCY/10749608 </v>
      </c>
    </row>
    <row r="149" spans="1:13" ht="60" x14ac:dyDescent="0.25">
      <c r="A149" s="7" t="s">
        <v>8809</v>
      </c>
      <c r="B149" s="2" t="s">
        <v>2555</v>
      </c>
      <c r="C149" s="4">
        <v>1</v>
      </c>
      <c r="D149" s="5">
        <v>8.5</v>
      </c>
      <c r="E149" s="5">
        <v>22</v>
      </c>
      <c r="F149" s="4" t="s">
        <v>2556</v>
      </c>
      <c r="G149" s="2"/>
      <c r="H149" s="7" t="s">
        <v>177</v>
      </c>
      <c r="I149" s="2" t="s">
        <v>321</v>
      </c>
      <c r="J149" s="2" t="s">
        <v>2557</v>
      </c>
      <c r="K149" s="2" t="s">
        <v>304</v>
      </c>
      <c r="L149" s="2" t="s">
        <v>2558</v>
      </c>
      <c r="M149" s="8" t="str">
        <f>HYPERLINK("http://slimages.macys.com/is/image/MCY/10631504 ")</f>
        <v xml:space="preserve">http://slimages.macys.com/is/image/MCY/10631504 </v>
      </c>
    </row>
    <row r="150" spans="1:13" ht="60" x14ac:dyDescent="0.25">
      <c r="A150" s="7" t="s">
        <v>8810</v>
      </c>
      <c r="B150" s="2" t="s">
        <v>2555</v>
      </c>
      <c r="C150" s="4">
        <v>1</v>
      </c>
      <c r="D150" s="5">
        <v>8.5</v>
      </c>
      <c r="E150" s="5">
        <v>22</v>
      </c>
      <c r="F150" s="4" t="s">
        <v>2556</v>
      </c>
      <c r="G150" s="2"/>
      <c r="H150" s="7" t="s">
        <v>172</v>
      </c>
      <c r="I150" s="2" t="s">
        <v>321</v>
      </c>
      <c r="J150" s="2" t="s">
        <v>2557</v>
      </c>
      <c r="K150" s="2" t="s">
        <v>304</v>
      </c>
      <c r="L150" s="2" t="s">
        <v>2558</v>
      </c>
      <c r="M150" s="8" t="str">
        <f>HYPERLINK("http://slimages.macys.com/is/image/MCY/10631504 ")</f>
        <v xml:space="preserve">http://slimages.macys.com/is/image/MCY/10631504 </v>
      </c>
    </row>
    <row r="151" spans="1:13" ht="60" x14ac:dyDescent="0.25">
      <c r="A151" s="7" t="s">
        <v>2559</v>
      </c>
      <c r="B151" s="2" t="s">
        <v>2560</v>
      </c>
      <c r="C151" s="4">
        <v>3</v>
      </c>
      <c r="D151" s="5">
        <v>8.49</v>
      </c>
      <c r="E151" s="5">
        <v>21.99</v>
      </c>
      <c r="F151" s="4" t="s">
        <v>2561</v>
      </c>
      <c r="G151" s="2" t="s">
        <v>86</v>
      </c>
      <c r="H151" s="7" t="s">
        <v>196</v>
      </c>
      <c r="I151" s="2" t="s">
        <v>389</v>
      </c>
      <c r="J151" s="2" t="s">
        <v>354</v>
      </c>
      <c r="K151" s="2" t="s">
        <v>304</v>
      </c>
      <c r="L151" s="2" t="s">
        <v>2562</v>
      </c>
      <c r="M151" s="8" t="str">
        <f>HYPERLINK("http://slimages.macys.com/is/image/MCY/12121700 ")</f>
        <v xml:space="preserve">http://slimages.macys.com/is/image/MCY/12121700 </v>
      </c>
    </row>
    <row r="152" spans="1:13" ht="60" x14ac:dyDescent="0.25">
      <c r="A152" s="7" t="s">
        <v>1678</v>
      </c>
      <c r="B152" s="2" t="s">
        <v>1673</v>
      </c>
      <c r="C152" s="4">
        <v>1</v>
      </c>
      <c r="D152" s="5">
        <v>8.4499999999999993</v>
      </c>
      <c r="E152" s="5">
        <v>16.989999999999998</v>
      </c>
      <c r="F152" s="4" t="s">
        <v>1674</v>
      </c>
      <c r="G152" s="2" t="s">
        <v>62</v>
      </c>
      <c r="H152" s="7" t="s">
        <v>228</v>
      </c>
      <c r="I152" s="2" t="s">
        <v>515</v>
      </c>
      <c r="J152" s="2" t="s">
        <v>827</v>
      </c>
      <c r="K152" s="2" t="s">
        <v>304</v>
      </c>
      <c r="L152" s="2" t="s">
        <v>358</v>
      </c>
      <c r="M152" s="8" t="str">
        <f t="shared" ref="M152:M157" si="1">HYPERLINK("http://slimages.macys.com/is/image/MCY/12688126 ")</f>
        <v xml:space="preserve">http://slimages.macys.com/is/image/MCY/12688126 </v>
      </c>
    </row>
    <row r="153" spans="1:13" ht="60" x14ac:dyDescent="0.25">
      <c r="A153" s="7" t="s">
        <v>1675</v>
      </c>
      <c r="B153" s="2" t="s">
        <v>1673</v>
      </c>
      <c r="C153" s="4">
        <v>1</v>
      </c>
      <c r="D153" s="5">
        <v>8.4499999999999993</v>
      </c>
      <c r="E153" s="5">
        <v>16.989999999999998</v>
      </c>
      <c r="F153" s="4" t="s">
        <v>1674</v>
      </c>
      <c r="G153" s="2" t="s">
        <v>48</v>
      </c>
      <c r="H153" s="7" t="s">
        <v>196</v>
      </c>
      <c r="I153" s="2" t="s">
        <v>515</v>
      </c>
      <c r="J153" s="2" t="s">
        <v>827</v>
      </c>
      <c r="K153" s="2" t="s">
        <v>304</v>
      </c>
      <c r="L153" s="2" t="s">
        <v>358</v>
      </c>
      <c r="M153" s="8" t="str">
        <f t="shared" si="1"/>
        <v xml:space="preserve">http://slimages.macys.com/is/image/MCY/12688126 </v>
      </c>
    </row>
    <row r="154" spans="1:13" ht="60" x14ac:dyDescent="0.25">
      <c r="A154" s="7" t="s">
        <v>1677</v>
      </c>
      <c r="B154" s="2" t="s">
        <v>1673</v>
      </c>
      <c r="C154" s="4">
        <v>2</v>
      </c>
      <c r="D154" s="5">
        <v>8.4499999999999993</v>
      </c>
      <c r="E154" s="5">
        <v>16.989999999999998</v>
      </c>
      <c r="F154" s="4" t="s">
        <v>1674</v>
      </c>
      <c r="G154" s="2" t="s">
        <v>48</v>
      </c>
      <c r="H154" s="7" t="s">
        <v>159</v>
      </c>
      <c r="I154" s="2" t="s">
        <v>515</v>
      </c>
      <c r="J154" s="2" t="s">
        <v>827</v>
      </c>
      <c r="K154" s="2" t="s">
        <v>304</v>
      </c>
      <c r="L154" s="2" t="s">
        <v>358</v>
      </c>
      <c r="M154" s="8" t="str">
        <f t="shared" si="1"/>
        <v xml:space="preserve">http://slimages.macys.com/is/image/MCY/12688126 </v>
      </c>
    </row>
    <row r="155" spans="1:13" ht="60" x14ac:dyDescent="0.25">
      <c r="A155" s="7" t="s">
        <v>1679</v>
      </c>
      <c r="B155" s="2" t="s">
        <v>1673</v>
      </c>
      <c r="C155" s="4">
        <v>1</v>
      </c>
      <c r="D155" s="5">
        <v>8.4499999999999993</v>
      </c>
      <c r="E155" s="5">
        <v>16.989999999999998</v>
      </c>
      <c r="F155" s="4" t="s">
        <v>1674</v>
      </c>
      <c r="G155" s="2" t="s">
        <v>62</v>
      </c>
      <c r="H155" s="7" t="s">
        <v>284</v>
      </c>
      <c r="I155" s="2" t="s">
        <v>515</v>
      </c>
      <c r="J155" s="2" t="s">
        <v>827</v>
      </c>
      <c r="K155" s="2" t="s">
        <v>304</v>
      </c>
      <c r="L155" s="2" t="s">
        <v>358</v>
      </c>
      <c r="M155" s="8" t="str">
        <f t="shared" si="1"/>
        <v xml:space="preserve">http://slimages.macys.com/is/image/MCY/12688126 </v>
      </c>
    </row>
    <row r="156" spans="1:13" ht="60" x14ac:dyDescent="0.25">
      <c r="A156" s="7" t="s">
        <v>1676</v>
      </c>
      <c r="B156" s="2" t="s">
        <v>1673</v>
      </c>
      <c r="C156" s="4">
        <v>2</v>
      </c>
      <c r="D156" s="5">
        <v>8.4499999999999993</v>
      </c>
      <c r="E156" s="5">
        <v>16.989999999999998</v>
      </c>
      <c r="F156" s="4" t="s">
        <v>1674</v>
      </c>
      <c r="G156" s="2" t="s">
        <v>62</v>
      </c>
      <c r="H156" s="7" t="s">
        <v>159</v>
      </c>
      <c r="I156" s="2" t="s">
        <v>515</v>
      </c>
      <c r="J156" s="2" t="s">
        <v>827</v>
      </c>
      <c r="K156" s="2" t="s">
        <v>304</v>
      </c>
      <c r="L156" s="2" t="s">
        <v>358</v>
      </c>
      <c r="M156" s="8" t="str">
        <f t="shared" si="1"/>
        <v xml:space="preserve">http://slimages.macys.com/is/image/MCY/12688126 </v>
      </c>
    </row>
    <row r="157" spans="1:13" ht="60" x14ac:dyDescent="0.25">
      <c r="A157" s="7" t="s">
        <v>6222</v>
      </c>
      <c r="B157" s="2" t="s">
        <v>1673</v>
      </c>
      <c r="C157" s="4">
        <v>1</v>
      </c>
      <c r="D157" s="5">
        <v>8.4499999999999993</v>
      </c>
      <c r="E157" s="5">
        <v>16.989999999999998</v>
      </c>
      <c r="F157" s="4" t="s">
        <v>1674</v>
      </c>
      <c r="G157" s="2" t="s">
        <v>48</v>
      </c>
      <c r="H157" s="7" t="s">
        <v>228</v>
      </c>
      <c r="I157" s="2" t="s">
        <v>515</v>
      </c>
      <c r="J157" s="2" t="s">
        <v>827</v>
      </c>
      <c r="K157" s="2" t="s">
        <v>304</v>
      </c>
      <c r="L157" s="2" t="s">
        <v>358</v>
      </c>
      <c r="M157" s="8" t="str">
        <f t="shared" si="1"/>
        <v xml:space="preserve">http://slimages.macys.com/is/image/MCY/12688126 </v>
      </c>
    </row>
    <row r="158" spans="1:13" ht="60" x14ac:dyDescent="0.25">
      <c r="A158" s="7" t="s">
        <v>8811</v>
      </c>
      <c r="B158" s="2" t="s">
        <v>8812</v>
      </c>
      <c r="C158" s="4">
        <v>1</v>
      </c>
      <c r="D158" s="5">
        <v>8.3800000000000008</v>
      </c>
      <c r="E158" s="5">
        <v>19.989999999999998</v>
      </c>
      <c r="F158" s="4" t="s">
        <v>8813</v>
      </c>
      <c r="G158" s="2" t="s">
        <v>582</v>
      </c>
      <c r="H158" s="7" t="s">
        <v>311</v>
      </c>
      <c r="I158" s="2" t="s">
        <v>1689</v>
      </c>
      <c r="J158" s="2" t="s">
        <v>354</v>
      </c>
      <c r="K158" s="2" t="s">
        <v>304</v>
      </c>
      <c r="L158" s="2" t="s">
        <v>38</v>
      </c>
      <c r="M158" s="8" t="str">
        <f>HYPERLINK("http://slimages.macys.com/is/image/MCY/12507127 ")</f>
        <v xml:space="preserve">http://slimages.macys.com/is/image/MCY/12507127 </v>
      </c>
    </row>
    <row r="159" spans="1:13" ht="60" x14ac:dyDescent="0.25">
      <c r="A159" s="7" t="s">
        <v>8814</v>
      </c>
      <c r="B159" s="2" t="s">
        <v>8815</v>
      </c>
      <c r="C159" s="4">
        <v>1</v>
      </c>
      <c r="D159" s="5">
        <v>8.3000000000000007</v>
      </c>
      <c r="E159" s="5">
        <v>19.88</v>
      </c>
      <c r="F159" s="4">
        <v>18395710</v>
      </c>
      <c r="G159" s="2"/>
      <c r="H159" s="7" t="s">
        <v>675</v>
      </c>
      <c r="I159" s="2" t="s">
        <v>153</v>
      </c>
      <c r="J159" s="2" t="s">
        <v>154</v>
      </c>
      <c r="K159" s="2" t="s">
        <v>304</v>
      </c>
      <c r="L159" s="2" t="s">
        <v>8816</v>
      </c>
      <c r="M159" s="8" t="str">
        <f>HYPERLINK("http://slimages.macys.com/is/image/MCY/14662058 ")</f>
        <v xml:space="preserve">http://slimages.macys.com/is/image/MCY/14662058 </v>
      </c>
    </row>
    <row r="160" spans="1:13" ht="60" x14ac:dyDescent="0.25">
      <c r="A160" s="7" t="s">
        <v>8817</v>
      </c>
      <c r="B160" s="2" t="s">
        <v>8818</v>
      </c>
      <c r="C160" s="4">
        <v>1</v>
      </c>
      <c r="D160" s="5">
        <v>8.2100000000000009</v>
      </c>
      <c r="E160" s="5">
        <v>19.989999999999998</v>
      </c>
      <c r="F160" s="4" t="s">
        <v>8819</v>
      </c>
      <c r="G160" s="2" t="s">
        <v>86</v>
      </c>
      <c r="H160" s="7" t="s">
        <v>514</v>
      </c>
      <c r="I160" s="2" t="s">
        <v>1689</v>
      </c>
      <c r="J160" s="2" t="s">
        <v>354</v>
      </c>
      <c r="K160" s="2" t="s">
        <v>304</v>
      </c>
      <c r="L160" s="2" t="s">
        <v>390</v>
      </c>
      <c r="M160" s="8" t="str">
        <f>HYPERLINK("http://slimages.macys.com/is/image/MCY/12101713 ")</f>
        <v xml:space="preserve">http://slimages.macys.com/is/image/MCY/12101713 </v>
      </c>
    </row>
    <row r="161" spans="1:13" ht="60" x14ac:dyDescent="0.25">
      <c r="A161" s="7" t="s">
        <v>8820</v>
      </c>
      <c r="B161" s="2" t="s">
        <v>3940</v>
      </c>
      <c r="C161" s="4">
        <v>1</v>
      </c>
      <c r="D161" s="5">
        <v>8.2100000000000009</v>
      </c>
      <c r="E161" s="5">
        <v>19.989999999999998</v>
      </c>
      <c r="F161" s="4" t="s">
        <v>3941</v>
      </c>
      <c r="G161" s="2" t="s">
        <v>657</v>
      </c>
      <c r="H161" s="7" t="s">
        <v>217</v>
      </c>
      <c r="I161" s="2" t="s">
        <v>292</v>
      </c>
      <c r="J161" s="2" t="s">
        <v>293</v>
      </c>
      <c r="K161" s="2" t="s">
        <v>304</v>
      </c>
      <c r="L161" s="2" t="s">
        <v>119</v>
      </c>
      <c r="M161" s="8" t="str">
        <f>HYPERLINK("http://slimages.macys.com/is/image/MCY/15197620 ")</f>
        <v xml:space="preserve">http://slimages.macys.com/is/image/MCY/15197620 </v>
      </c>
    </row>
    <row r="162" spans="1:13" ht="60" x14ac:dyDescent="0.25">
      <c r="A162" s="7" t="s">
        <v>8821</v>
      </c>
      <c r="B162" s="2" t="s">
        <v>8822</v>
      </c>
      <c r="C162" s="4">
        <v>1</v>
      </c>
      <c r="D162" s="5">
        <v>8.2100000000000009</v>
      </c>
      <c r="E162" s="5">
        <v>17.989999999999998</v>
      </c>
      <c r="F162" s="4" t="s">
        <v>8823</v>
      </c>
      <c r="G162" s="2" t="s">
        <v>62</v>
      </c>
      <c r="H162" s="7" t="s">
        <v>317</v>
      </c>
      <c r="I162" s="2" t="s">
        <v>292</v>
      </c>
      <c r="J162" s="2" t="s">
        <v>354</v>
      </c>
      <c r="K162" s="2" t="s">
        <v>304</v>
      </c>
      <c r="L162" s="2" t="s">
        <v>596</v>
      </c>
      <c r="M162" s="8" t="str">
        <f>HYPERLINK("http://slimages.macys.com/is/image/MCY/12001049 ")</f>
        <v xml:space="preserve">http://slimages.macys.com/is/image/MCY/12001049 </v>
      </c>
    </row>
    <row r="163" spans="1:13" ht="60" x14ac:dyDescent="0.25">
      <c r="A163" s="7" t="s">
        <v>8824</v>
      </c>
      <c r="B163" s="2" t="s">
        <v>6232</v>
      </c>
      <c r="C163" s="4">
        <v>2</v>
      </c>
      <c r="D163" s="5">
        <v>8.16</v>
      </c>
      <c r="E163" s="5">
        <v>16.989999999999998</v>
      </c>
      <c r="F163" s="4" t="s">
        <v>6233</v>
      </c>
      <c r="G163" s="2" t="s">
        <v>48</v>
      </c>
      <c r="H163" s="7" t="s">
        <v>284</v>
      </c>
      <c r="I163" s="2" t="s">
        <v>515</v>
      </c>
      <c r="J163" s="2" t="s">
        <v>827</v>
      </c>
      <c r="K163" s="2" t="s">
        <v>304</v>
      </c>
      <c r="L163" s="2" t="s">
        <v>358</v>
      </c>
      <c r="M163" s="8" t="str">
        <f>HYPERLINK("http://slimages.macys.com/is/image/MCY/12507579 ")</f>
        <v xml:space="preserve">http://slimages.macys.com/is/image/MCY/12507579 </v>
      </c>
    </row>
    <row r="164" spans="1:13" ht="60" x14ac:dyDescent="0.25">
      <c r="A164" s="7" t="s">
        <v>6238</v>
      </c>
      <c r="B164" s="2" t="s">
        <v>885</v>
      </c>
      <c r="C164" s="4">
        <v>1</v>
      </c>
      <c r="D164" s="5">
        <v>8.1</v>
      </c>
      <c r="E164" s="5">
        <v>16.2</v>
      </c>
      <c r="F164" s="4">
        <v>27879410</v>
      </c>
      <c r="G164" s="2"/>
      <c r="H164" s="7" t="s">
        <v>68</v>
      </c>
      <c r="I164" s="2" t="s">
        <v>487</v>
      </c>
      <c r="J164" s="2" t="s">
        <v>488</v>
      </c>
      <c r="K164" s="2" t="s">
        <v>304</v>
      </c>
      <c r="L164" s="2" t="s">
        <v>38</v>
      </c>
      <c r="M164" s="8" t="str">
        <f>HYPERLINK("http://slimages.macys.com/is/image/MCY/13791568 ")</f>
        <v xml:space="preserve">http://slimages.macys.com/is/image/MCY/13791568 </v>
      </c>
    </row>
    <row r="165" spans="1:13" ht="72" x14ac:dyDescent="0.25">
      <c r="A165" s="7" t="s">
        <v>8825</v>
      </c>
      <c r="B165" s="2" t="s">
        <v>8826</v>
      </c>
      <c r="C165" s="4">
        <v>2</v>
      </c>
      <c r="D165" s="5">
        <v>8.08</v>
      </c>
      <c r="E165" s="5">
        <v>19.989999999999998</v>
      </c>
      <c r="F165" s="4" t="s">
        <v>8827</v>
      </c>
      <c r="G165" s="2" t="s">
        <v>36</v>
      </c>
      <c r="H165" s="7" t="s">
        <v>1720</v>
      </c>
      <c r="I165" s="2" t="s">
        <v>815</v>
      </c>
      <c r="J165" s="2" t="s">
        <v>8828</v>
      </c>
      <c r="K165" s="2" t="s">
        <v>304</v>
      </c>
      <c r="L165" s="2" t="s">
        <v>8829</v>
      </c>
      <c r="M165" s="8" t="str">
        <f>HYPERLINK("http://slimages.macys.com/is/image/MCY/12752944 ")</f>
        <v xml:space="preserve">http://slimages.macys.com/is/image/MCY/12752944 </v>
      </c>
    </row>
    <row r="166" spans="1:13" ht="60" x14ac:dyDescent="0.25">
      <c r="A166" s="7" t="s">
        <v>8830</v>
      </c>
      <c r="B166" s="2" t="s">
        <v>8831</v>
      </c>
      <c r="C166" s="4">
        <v>1</v>
      </c>
      <c r="D166" s="5">
        <v>8.0500000000000007</v>
      </c>
      <c r="E166" s="5">
        <v>14.36</v>
      </c>
      <c r="F166" s="4">
        <v>16849810</v>
      </c>
      <c r="G166" s="2"/>
      <c r="H166" s="7" t="s">
        <v>531</v>
      </c>
      <c r="I166" s="2" t="s">
        <v>153</v>
      </c>
      <c r="J166" s="2" t="s">
        <v>154</v>
      </c>
      <c r="K166" s="2" t="s">
        <v>304</v>
      </c>
      <c r="L166" s="2" t="s">
        <v>119</v>
      </c>
      <c r="M166" s="8" t="str">
        <f>HYPERLINK("http://slimages.macys.com/is/image/MCY/12875561 ")</f>
        <v xml:space="preserve">http://slimages.macys.com/is/image/MCY/12875561 </v>
      </c>
    </row>
    <row r="167" spans="1:13" ht="60" x14ac:dyDescent="0.25">
      <c r="A167" s="7" t="s">
        <v>8832</v>
      </c>
      <c r="B167" s="2" t="s">
        <v>1694</v>
      </c>
      <c r="C167" s="4">
        <v>1</v>
      </c>
      <c r="D167" s="5">
        <v>8.02</v>
      </c>
      <c r="E167" s="5">
        <v>21.99</v>
      </c>
      <c r="F167" s="4" t="s">
        <v>1695</v>
      </c>
      <c r="G167" s="2" t="s">
        <v>62</v>
      </c>
      <c r="H167" s="7" t="s">
        <v>284</v>
      </c>
      <c r="I167" s="2" t="s">
        <v>515</v>
      </c>
      <c r="J167" s="2" t="s">
        <v>827</v>
      </c>
      <c r="K167" s="2" t="s">
        <v>304</v>
      </c>
      <c r="L167" s="2" t="s">
        <v>125</v>
      </c>
      <c r="M167" s="8" t="str">
        <f>HYPERLINK("http://slimages.macys.com/is/image/MCY/12052339 ")</f>
        <v xml:space="preserve">http://slimages.macys.com/is/image/MCY/12052339 </v>
      </c>
    </row>
    <row r="168" spans="1:13" ht="60" x14ac:dyDescent="0.25">
      <c r="A168" s="7" t="s">
        <v>8833</v>
      </c>
      <c r="B168" s="2" t="s">
        <v>8834</v>
      </c>
      <c r="C168" s="4">
        <v>1</v>
      </c>
      <c r="D168" s="5">
        <v>8.01</v>
      </c>
      <c r="E168" s="5">
        <v>17.989999999999998</v>
      </c>
      <c r="F168" s="4" t="s">
        <v>8835</v>
      </c>
      <c r="G168" s="2" t="s">
        <v>165</v>
      </c>
      <c r="H168" s="7" t="s">
        <v>196</v>
      </c>
      <c r="I168" s="2" t="s">
        <v>73</v>
      </c>
      <c r="J168" s="2" t="s">
        <v>160</v>
      </c>
      <c r="K168" s="2" t="s">
        <v>304</v>
      </c>
      <c r="L168" s="2" t="s">
        <v>87</v>
      </c>
      <c r="M168" s="8" t="str">
        <f>HYPERLINK("http://slimages.macys.com/is/image/MCY/11975731 ")</f>
        <v xml:space="preserve">http://slimages.macys.com/is/image/MCY/11975731 </v>
      </c>
    </row>
    <row r="169" spans="1:13" ht="60" x14ac:dyDescent="0.25">
      <c r="A169" s="7" t="s">
        <v>8836</v>
      </c>
      <c r="B169" s="2" t="s">
        <v>8837</v>
      </c>
      <c r="C169" s="4">
        <v>1</v>
      </c>
      <c r="D169" s="5">
        <v>8</v>
      </c>
      <c r="E169" s="5">
        <v>18.989999999999998</v>
      </c>
      <c r="F169" s="4" t="s">
        <v>8838</v>
      </c>
      <c r="G169" s="2" t="s">
        <v>62</v>
      </c>
      <c r="H169" s="7" t="s">
        <v>284</v>
      </c>
      <c r="I169" s="2" t="s">
        <v>73</v>
      </c>
      <c r="J169" s="2" t="s">
        <v>223</v>
      </c>
      <c r="K169" s="2" t="s">
        <v>304</v>
      </c>
      <c r="L169" s="2" t="s">
        <v>224</v>
      </c>
      <c r="M169" s="8" t="str">
        <f>HYPERLINK("http://slimages.macys.com/is/image/MCY/9446174 ")</f>
        <v xml:space="preserve">http://slimages.macys.com/is/image/MCY/9446174 </v>
      </c>
    </row>
    <row r="170" spans="1:13" ht="60" x14ac:dyDescent="0.25">
      <c r="A170" s="7" t="s">
        <v>8839</v>
      </c>
      <c r="B170" s="2" t="s">
        <v>8840</v>
      </c>
      <c r="C170" s="4">
        <v>1</v>
      </c>
      <c r="D170" s="5">
        <v>8</v>
      </c>
      <c r="E170" s="5">
        <v>17.989999999999998</v>
      </c>
      <c r="F170" s="4" t="s">
        <v>8841</v>
      </c>
      <c r="G170" s="2" t="s">
        <v>262</v>
      </c>
      <c r="H170" s="7" t="s">
        <v>284</v>
      </c>
      <c r="I170" s="2" t="s">
        <v>73</v>
      </c>
      <c r="J170" s="2" t="s">
        <v>223</v>
      </c>
      <c r="K170" s="2" t="s">
        <v>304</v>
      </c>
      <c r="L170" s="2" t="s">
        <v>119</v>
      </c>
      <c r="M170" s="8" t="str">
        <f>HYPERLINK("http://slimages.macys.com/is/image/MCY/15396620 ")</f>
        <v xml:space="preserve">http://slimages.macys.com/is/image/MCY/15396620 </v>
      </c>
    </row>
    <row r="171" spans="1:13" ht="84" x14ac:dyDescent="0.25">
      <c r="A171" s="7" t="s">
        <v>8842</v>
      </c>
      <c r="B171" s="2" t="s">
        <v>4895</v>
      </c>
      <c r="C171" s="4">
        <v>1</v>
      </c>
      <c r="D171" s="5">
        <v>8</v>
      </c>
      <c r="E171" s="5">
        <v>20</v>
      </c>
      <c r="F171" s="4" t="s">
        <v>6828</v>
      </c>
      <c r="G171" s="2" t="s">
        <v>310</v>
      </c>
      <c r="H171" s="7" t="s">
        <v>311</v>
      </c>
      <c r="I171" s="2" t="s">
        <v>380</v>
      </c>
      <c r="J171" s="2" t="s">
        <v>896</v>
      </c>
      <c r="K171" s="2" t="s">
        <v>304</v>
      </c>
      <c r="L171" s="2" t="s">
        <v>6829</v>
      </c>
      <c r="M171" s="8" t="str">
        <f>HYPERLINK("http://slimages.macys.com/is/image/MCY/11860758 ")</f>
        <v xml:space="preserve">http://slimages.macys.com/is/image/MCY/11860758 </v>
      </c>
    </row>
    <row r="172" spans="1:13" ht="60" x14ac:dyDescent="0.25">
      <c r="A172" s="7" t="s">
        <v>8843</v>
      </c>
      <c r="B172" s="2" t="s">
        <v>3968</v>
      </c>
      <c r="C172" s="4">
        <v>1</v>
      </c>
      <c r="D172" s="5">
        <v>8</v>
      </c>
      <c r="E172" s="5">
        <v>17.989999999999998</v>
      </c>
      <c r="F172" s="4" t="s">
        <v>3969</v>
      </c>
      <c r="G172" s="2" t="s">
        <v>667</v>
      </c>
      <c r="H172" s="7" t="s">
        <v>228</v>
      </c>
      <c r="I172" s="2" t="s">
        <v>73</v>
      </c>
      <c r="J172" s="2" t="s">
        <v>223</v>
      </c>
      <c r="K172" s="2" t="s">
        <v>304</v>
      </c>
      <c r="L172" s="2" t="s">
        <v>224</v>
      </c>
      <c r="M172" s="8" t="str">
        <f>HYPERLINK("http://slimages.macys.com/is/image/MCY/11647469 ")</f>
        <v xml:space="preserve">http://slimages.macys.com/is/image/MCY/11647469 </v>
      </c>
    </row>
    <row r="173" spans="1:13" ht="60" x14ac:dyDescent="0.25">
      <c r="A173" s="7" t="s">
        <v>8226</v>
      </c>
      <c r="B173" s="2" t="s">
        <v>8227</v>
      </c>
      <c r="C173" s="4">
        <v>1</v>
      </c>
      <c r="D173" s="5">
        <v>7.94</v>
      </c>
      <c r="E173" s="5">
        <v>21.99</v>
      </c>
      <c r="F173" s="4" t="s">
        <v>8228</v>
      </c>
      <c r="G173" s="2" t="s">
        <v>303</v>
      </c>
      <c r="H173" s="7" t="s">
        <v>228</v>
      </c>
      <c r="I173" s="2" t="s">
        <v>389</v>
      </c>
      <c r="J173" s="2" t="s">
        <v>354</v>
      </c>
      <c r="K173" s="2" t="s">
        <v>304</v>
      </c>
      <c r="L173" s="2" t="s">
        <v>390</v>
      </c>
      <c r="M173" s="8" t="str">
        <f>HYPERLINK("http://slimages.macys.com/is/image/MCY/12121575 ")</f>
        <v xml:space="preserve">http://slimages.macys.com/is/image/MCY/12121575 </v>
      </c>
    </row>
    <row r="174" spans="1:13" ht="72" x14ac:dyDescent="0.25">
      <c r="A174" s="7" t="s">
        <v>8844</v>
      </c>
      <c r="B174" s="2" t="s">
        <v>8845</v>
      </c>
      <c r="C174" s="4">
        <v>2</v>
      </c>
      <c r="D174" s="5">
        <v>7.83</v>
      </c>
      <c r="E174" s="5">
        <v>19.989999999999998</v>
      </c>
      <c r="F174" s="4" t="s">
        <v>8846</v>
      </c>
      <c r="G174" s="2" t="s">
        <v>86</v>
      </c>
      <c r="H174" s="7" t="s">
        <v>172</v>
      </c>
      <c r="I174" s="2" t="s">
        <v>389</v>
      </c>
      <c r="J174" s="2" t="s">
        <v>354</v>
      </c>
      <c r="K174" s="2" t="s">
        <v>304</v>
      </c>
      <c r="L174" s="2" t="s">
        <v>3142</v>
      </c>
      <c r="M174" s="8" t="str">
        <f>HYPERLINK("http://slimages.macys.com/is/image/MCY/12001084 ")</f>
        <v xml:space="preserve">http://slimages.macys.com/is/image/MCY/12001084 </v>
      </c>
    </row>
    <row r="175" spans="1:13" ht="60" x14ac:dyDescent="0.25">
      <c r="A175" s="7" t="s">
        <v>8847</v>
      </c>
      <c r="B175" s="2" t="s">
        <v>8848</v>
      </c>
      <c r="C175" s="4">
        <v>1</v>
      </c>
      <c r="D175" s="5">
        <v>7.8</v>
      </c>
      <c r="E175" s="5">
        <v>14.99</v>
      </c>
      <c r="F175" s="4">
        <v>6131</v>
      </c>
      <c r="G175" s="2" t="s">
        <v>62</v>
      </c>
      <c r="H175" s="7" t="s">
        <v>159</v>
      </c>
      <c r="I175" s="2" t="s">
        <v>523</v>
      </c>
      <c r="J175" s="2" t="s">
        <v>969</v>
      </c>
      <c r="K175" s="2" t="s">
        <v>304</v>
      </c>
      <c r="L175" s="2" t="s">
        <v>970</v>
      </c>
      <c r="M175" s="8" t="str">
        <f>HYPERLINK("http://slimages.macys.com/is/image/MCY/14718492 ")</f>
        <v xml:space="preserve">http://slimages.macys.com/is/image/MCY/14718492 </v>
      </c>
    </row>
    <row r="176" spans="1:13" ht="60" x14ac:dyDescent="0.25">
      <c r="A176" s="7" t="s">
        <v>8849</v>
      </c>
      <c r="B176" s="2" t="s">
        <v>8848</v>
      </c>
      <c r="C176" s="4">
        <v>1</v>
      </c>
      <c r="D176" s="5">
        <v>7.8</v>
      </c>
      <c r="E176" s="5">
        <v>14.99</v>
      </c>
      <c r="F176" s="4">
        <v>6131</v>
      </c>
      <c r="G176" s="2" t="s">
        <v>62</v>
      </c>
      <c r="H176" s="7" t="s">
        <v>196</v>
      </c>
      <c r="I176" s="2" t="s">
        <v>523</v>
      </c>
      <c r="J176" s="2" t="s">
        <v>969</v>
      </c>
      <c r="K176" s="2" t="s">
        <v>304</v>
      </c>
      <c r="L176" s="2" t="s">
        <v>970</v>
      </c>
      <c r="M176" s="8" t="str">
        <f>HYPERLINK("http://slimages.macys.com/is/image/MCY/14718492 ")</f>
        <v xml:space="preserve">http://slimages.macys.com/is/image/MCY/14718492 </v>
      </c>
    </row>
    <row r="177" spans="1:13" ht="132" x14ac:dyDescent="0.25">
      <c r="A177" s="7" t="s">
        <v>8850</v>
      </c>
      <c r="B177" s="2" t="s">
        <v>8851</v>
      </c>
      <c r="C177" s="4">
        <v>1</v>
      </c>
      <c r="D177" s="5">
        <v>7.75</v>
      </c>
      <c r="E177" s="5">
        <v>19.989999999999998</v>
      </c>
      <c r="F177" s="4" t="s">
        <v>8852</v>
      </c>
      <c r="G177" s="2" t="s">
        <v>310</v>
      </c>
      <c r="H177" s="7" t="s">
        <v>91</v>
      </c>
      <c r="I177" s="2" t="s">
        <v>92</v>
      </c>
      <c r="J177" s="2" t="s">
        <v>430</v>
      </c>
      <c r="K177" s="2" t="s">
        <v>304</v>
      </c>
      <c r="L177" s="2" t="s">
        <v>363</v>
      </c>
      <c r="M177" s="8" t="str">
        <f>HYPERLINK("http://slimages.macys.com/is/image/MCY/14379426 ")</f>
        <v xml:space="preserve">http://slimages.macys.com/is/image/MCY/14379426 </v>
      </c>
    </row>
    <row r="178" spans="1:13" ht="60" x14ac:dyDescent="0.25">
      <c r="A178" s="7" t="s">
        <v>8853</v>
      </c>
      <c r="B178" s="2" t="s">
        <v>8854</v>
      </c>
      <c r="C178" s="4">
        <v>1</v>
      </c>
      <c r="D178" s="5">
        <v>7.7</v>
      </c>
      <c r="E178" s="5">
        <v>19.989999999999998</v>
      </c>
      <c r="F178" s="4" t="s">
        <v>8855</v>
      </c>
      <c r="G178" s="2" t="s">
        <v>310</v>
      </c>
      <c r="H178" s="7" t="s">
        <v>144</v>
      </c>
      <c r="I178" s="2" t="s">
        <v>312</v>
      </c>
      <c r="J178" s="2" t="s">
        <v>313</v>
      </c>
      <c r="K178" s="2" t="s">
        <v>304</v>
      </c>
      <c r="L178" s="2" t="s">
        <v>125</v>
      </c>
      <c r="M178" s="8" t="str">
        <f>HYPERLINK("http://slimages.macys.com/is/image/MCY/12291128 ")</f>
        <v xml:space="preserve">http://slimages.macys.com/is/image/MCY/12291128 </v>
      </c>
    </row>
    <row r="179" spans="1:13" ht="60" x14ac:dyDescent="0.25">
      <c r="A179" s="7" t="s">
        <v>8856</v>
      </c>
      <c r="B179" s="2" t="s">
        <v>920</v>
      </c>
      <c r="C179" s="4">
        <v>4</v>
      </c>
      <c r="D179" s="5">
        <v>7.65</v>
      </c>
      <c r="E179" s="5">
        <v>14.99</v>
      </c>
      <c r="F179" s="4">
        <v>4489</v>
      </c>
      <c r="G179" s="2" t="s">
        <v>28</v>
      </c>
      <c r="H179" s="7" t="s">
        <v>228</v>
      </c>
      <c r="I179" s="2" t="s">
        <v>523</v>
      </c>
      <c r="J179" s="2" t="s">
        <v>921</v>
      </c>
      <c r="K179" s="2" t="s">
        <v>304</v>
      </c>
      <c r="L179" s="2" t="s">
        <v>100</v>
      </c>
      <c r="M179" s="8" t="str">
        <f>HYPERLINK("http://slimages.macys.com/is/image/MCY/13050175 ")</f>
        <v xml:space="preserve">http://slimages.macys.com/is/image/MCY/13050175 </v>
      </c>
    </row>
    <row r="180" spans="1:13" ht="60" x14ac:dyDescent="0.25">
      <c r="A180" s="7" t="s">
        <v>8857</v>
      </c>
      <c r="B180" s="2" t="s">
        <v>920</v>
      </c>
      <c r="C180" s="4">
        <v>2</v>
      </c>
      <c r="D180" s="5">
        <v>7.65</v>
      </c>
      <c r="E180" s="5">
        <v>14.99</v>
      </c>
      <c r="F180" s="4">
        <v>4489</v>
      </c>
      <c r="G180" s="2" t="s">
        <v>28</v>
      </c>
      <c r="H180" s="7" t="s">
        <v>284</v>
      </c>
      <c r="I180" s="2" t="s">
        <v>523</v>
      </c>
      <c r="J180" s="2" t="s">
        <v>921</v>
      </c>
      <c r="K180" s="2" t="s">
        <v>304</v>
      </c>
      <c r="L180" s="2" t="s">
        <v>100</v>
      </c>
      <c r="M180" s="8" t="str">
        <f>HYPERLINK("http://slimages.macys.com/is/image/MCY/13050175 ")</f>
        <v xml:space="preserve">http://slimages.macys.com/is/image/MCY/13050175 </v>
      </c>
    </row>
    <row r="181" spans="1:13" ht="60" x14ac:dyDescent="0.25">
      <c r="A181" s="7" t="s">
        <v>919</v>
      </c>
      <c r="B181" s="2" t="s">
        <v>920</v>
      </c>
      <c r="C181" s="4">
        <v>3</v>
      </c>
      <c r="D181" s="5">
        <v>7.65</v>
      </c>
      <c r="E181" s="5">
        <v>14.99</v>
      </c>
      <c r="F181" s="4">
        <v>4489</v>
      </c>
      <c r="G181" s="2" t="s">
        <v>28</v>
      </c>
      <c r="H181" s="7" t="s">
        <v>196</v>
      </c>
      <c r="I181" s="2" t="s">
        <v>523</v>
      </c>
      <c r="J181" s="2" t="s">
        <v>921</v>
      </c>
      <c r="K181" s="2" t="s">
        <v>304</v>
      </c>
      <c r="L181" s="2" t="s">
        <v>100</v>
      </c>
      <c r="M181" s="8" t="str">
        <f>HYPERLINK("http://slimages.macys.com/is/image/MCY/13050175 ")</f>
        <v xml:space="preserve">http://slimages.macys.com/is/image/MCY/13050175 </v>
      </c>
    </row>
    <row r="182" spans="1:13" ht="60" x14ac:dyDescent="0.25">
      <c r="A182" s="7" t="s">
        <v>8858</v>
      </c>
      <c r="B182" s="2" t="s">
        <v>920</v>
      </c>
      <c r="C182" s="4">
        <v>3</v>
      </c>
      <c r="D182" s="5">
        <v>7.65</v>
      </c>
      <c r="E182" s="5">
        <v>14.99</v>
      </c>
      <c r="F182" s="4">
        <v>4489</v>
      </c>
      <c r="G182" s="2" t="s">
        <v>28</v>
      </c>
      <c r="H182" s="7" t="s">
        <v>159</v>
      </c>
      <c r="I182" s="2" t="s">
        <v>523</v>
      </c>
      <c r="J182" s="2" t="s">
        <v>921</v>
      </c>
      <c r="K182" s="2" t="s">
        <v>304</v>
      </c>
      <c r="L182" s="2" t="s">
        <v>100</v>
      </c>
      <c r="M182" s="8" t="str">
        <f>HYPERLINK("http://slimages.macys.com/is/image/MCY/13050175 ")</f>
        <v xml:space="preserve">http://slimages.macys.com/is/image/MCY/13050175 </v>
      </c>
    </row>
    <row r="183" spans="1:13" ht="60" x14ac:dyDescent="0.25">
      <c r="A183" s="7" t="s">
        <v>8859</v>
      </c>
      <c r="B183" s="2" t="s">
        <v>8860</v>
      </c>
      <c r="C183" s="4">
        <v>1</v>
      </c>
      <c r="D183" s="5">
        <v>7.6</v>
      </c>
      <c r="E183" s="5">
        <v>16.989999999999998</v>
      </c>
      <c r="F183" s="4" t="s">
        <v>8861</v>
      </c>
      <c r="G183" s="2" t="s">
        <v>62</v>
      </c>
      <c r="H183" s="7" t="s">
        <v>159</v>
      </c>
      <c r="I183" s="2" t="s">
        <v>515</v>
      </c>
      <c r="J183" s="2" t="s">
        <v>827</v>
      </c>
      <c r="K183" s="2" t="s">
        <v>304</v>
      </c>
      <c r="L183" s="2" t="s">
        <v>358</v>
      </c>
      <c r="M183" s="8" t="str">
        <f>HYPERLINK("http://slimages.macys.com/is/image/MCY/10410501 ")</f>
        <v xml:space="preserve">http://slimages.macys.com/is/image/MCY/10410501 </v>
      </c>
    </row>
    <row r="184" spans="1:13" ht="60" x14ac:dyDescent="0.25">
      <c r="A184" s="7" t="s">
        <v>8862</v>
      </c>
      <c r="B184" s="2" t="s">
        <v>8863</v>
      </c>
      <c r="C184" s="4">
        <v>1</v>
      </c>
      <c r="D184" s="5">
        <v>7.6</v>
      </c>
      <c r="E184" s="5">
        <v>19</v>
      </c>
      <c r="F184" s="4" t="s">
        <v>8864</v>
      </c>
      <c r="G184" s="2"/>
      <c r="H184" s="7" t="s">
        <v>8865</v>
      </c>
      <c r="I184" s="2" t="s">
        <v>523</v>
      </c>
      <c r="J184" s="2" t="s">
        <v>3991</v>
      </c>
      <c r="K184" s="2" t="s">
        <v>304</v>
      </c>
      <c r="L184" s="2" t="s">
        <v>596</v>
      </c>
      <c r="M184" s="8" t="str">
        <f>HYPERLINK("http://slimages.macys.com/is/image/MCY/10944093 ")</f>
        <v xml:space="preserve">http://slimages.macys.com/is/image/MCY/10944093 </v>
      </c>
    </row>
    <row r="185" spans="1:13" ht="96" x14ac:dyDescent="0.25">
      <c r="A185" s="7" t="s">
        <v>8866</v>
      </c>
      <c r="B185" s="2" t="s">
        <v>8867</v>
      </c>
      <c r="C185" s="4">
        <v>1</v>
      </c>
      <c r="D185" s="5">
        <v>7.6</v>
      </c>
      <c r="E185" s="5">
        <v>17.28</v>
      </c>
      <c r="F185" s="4">
        <v>18376410</v>
      </c>
      <c r="G185" s="2"/>
      <c r="H185" s="7" t="s">
        <v>438</v>
      </c>
      <c r="I185" s="2" t="s">
        <v>153</v>
      </c>
      <c r="J185" s="2" t="s">
        <v>154</v>
      </c>
      <c r="K185" s="2" t="s">
        <v>304</v>
      </c>
      <c r="L185" s="2" t="s">
        <v>439</v>
      </c>
      <c r="M185" s="8" t="str">
        <f>HYPERLINK("http://slimages.macys.com/is/image/MCY/14608340 ")</f>
        <v xml:space="preserve">http://slimages.macys.com/is/image/MCY/14608340 </v>
      </c>
    </row>
    <row r="186" spans="1:13" ht="60" x14ac:dyDescent="0.25">
      <c r="A186" s="7" t="s">
        <v>8868</v>
      </c>
      <c r="B186" s="2" t="s">
        <v>8869</v>
      </c>
      <c r="C186" s="4">
        <v>1</v>
      </c>
      <c r="D186" s="5">
        <v>7.5</v>
      </c>
      <c r="E186" s="5">
        <v>18.989999999999998</v>
      </c>
      <c r="F186" s="4" t="s">
        <v>8870</v>
      </c>
      <c r="G186" s="2" t="s">
        <v>643</v>
      </c>
      <c r="H186" s="7"/>
      <c r="I186" s="2" t="s">
        <v>312</v>
      </c>
      <c r="J186" s="2" t="s">
        <v>4111</v>
      </c>
      <c r="K186" s="2" t="s">
        <v>304</v>
      </c>
      <c r="L186" s="2" t="s">
        <v>125</v>
      </c>
      <c r="M186" s="8" t="str">
        <f>HYPERLINK("http://slimages.macys.com/is/image/MCY/11488813 ")</f>
        <v xml:space="preserve">http://slimages.macys.com/is/image/MCY/11488813 </v>
      </c>
    </row>
    <row r="187" spans="1:13" ht="60" x14ac:dyDescent="0.25">
      <c r="A187" s="7" t="s">
        <v>8871</v>
      </c>
      <c r="B187" s="2" t="s">
        <v>6855</v>
      </c>
      <c r="C187" s="4">
        <v>1</v>
      </c>
      <c r="D187" s="5">
        <v>7.25</v>
      </c>
      <c r="E187" s="5">
        <v>16.989999999999998</v>
      </c>
      <c r="F187" s="4" t="s">
        <v>6856</v>
      </c>
      <c r="G187" s="2" t="s">
        <v>28</v>
      </c>
      <c r="H187" s="7" t="s">
        <v>159</v>
      </c>
      <c r="I187" s="2" t="s">
        <v>173</v>
      </c>
      <c r="J187" s="2" t="s">
        <v>174</v>
      </c>
      <c r="K187" s="2" t="s">
        <v>304</v>
      </c>
      <c r="L187" s="2" t="s">
        <v>206</v>
      </c>
      <c r="M187" s="8" t="str">
        <f>HYPERLINK("http://slimages.macys.com/is/image/MCY/9944385 ")</f>
        <v xml:space="preserve">http://slimages.macys.com/is/image/MCY/9944385 </v>
      </c>
    </row>
    <row r="188" spans="1:13" ht="84" x14ac:dyDescent="0.25">
      <c r="A188" s="7" t="s">
        <v>8872</v>
      </c>
      <c r="B188" s="2" t="s">
        <v>8873</v>
      </c>
      <c r="C188" s="4">
        <v>1</v>
      </c>
      <c r="D188" s="5">
        <v>7.24</v>
      </c>
      <c r="E188" s="5">
        <v>16.989999999999998</v>
      </c>
      <c r="F188" s="4" t="s">
        <v>8874</v>
      </c>
      <c r="G188" s="2" t="s">
        <v>171</v>
      </c>
      <c r="H188" s="7" t="s">
        <v>228</v>
      </c>
      <c r="I188" s="2" t="s">
        <v>515</v>
      </c>
      <c r="J188" s="2" t="s">
        <v>827</v>
      </c>
      <c r="K188" s="2" t="s">
        <v>304</v>
      </c>
      <c r="L188" s="2" t="s">
        <v>1117</v>
      </c>
      <c r="M188" s="8" t="str">
        <f>HYPERLINK("http://slimages.macys.com/is/image/MCY/11483913 ")</f>
        <v xml:space="preserve">http://slimages.macys.com/is/image/MCY/11483913 </v>
      </c>
    </row>
    <row r="189" spans="1:13" ht="60" x14ac:dyDescent="0.25">
      <c r="A189" s="7" t="s">
        <v>8875</v>
      </c>
      <c r="B189" s="2" t="s">
        <v>4921</v>
      </c>
      <c r="C189" s="4">
        <v>1</v>
      </c>
      <c r="D189" s="5">
        <v>7.2</v>
      </c>
      <c r="E189" s="5">
        <v>16</v>
      </c>
      <c r="F189" s="4" t="s">
        <v>4922</v>
      </c>
      <c r="G189" s="2" t="s">
        <v>28</v>
      </c>
      <c r="H189" s="7" t="s">
        <v>228</v>
      </c>
      <c r="I189" s="2" t="s">
        <v>468</v>
      </c>
      <c r="J189" s="2" t="s">
        <v>2468</v>
      </c>
      <c r="K189" s="2" t="s">
        <v>304</v>
      </c>
      <c r="L189" s="2" t="s">
        <v>206</v>
      </c>
      <c r="M189" s="8" t="str">
        <f>HYPERLINK("http://slimages.macys.com/is/image/MCY/12672417 ")</f>
        <v xml:space="preserve">http://slimages.macys.com/is/image/MCY/12672417 </v>
      </c>
    </row>
    <row r="190" spans="1:13" ht="60" x14ac:dyDescent="0.25">
      <c r="A190" s="7" t="s">
        <v>8876</v>
      </c>
      <c r="B190" s="2" t="s">
        <v>4921</v>
      </c>
      <c r="C190" s="4">
        <v>1</v>
      </c>
      <c r="D190" s="5">
        <v>7.2</v>
      </c>
      <c r="E190" s="5">
        <v>16</v>
      </c>
      <c r="F190" s="4" t="s">
        <v>4922</v>
      </c>
      <c r="G190" s="2" t="s">
        <v>28</v>
      </c>
      <c r="H190" s="7" t="s">
        <v>159</v>
      </c>
      <c r="I190" s="2" t="s">
        <v>468</v>
      </c>
      <c r="J190" s="2" t="s">
        <v>2468</v>
      </c>
      <c r="K190" s="2" t="s">
        <v>304</v>
      </c>
      <c r="L190" s="2" t="s">
        <v>206</v>
      </c>
      <c r="M190" s="8" t="str">
        <f>HYPERLINK("http://slimages.macys.com/is/image/MCY/12672417 ")</f>
        <v xml:space="preserve">http://slimages.macys.com/is/image/MCY/12672417 </v>
      </c>
    </row>
    <row r="191" spans="1:13" ht="60" x14ac:dyDescent="0.25">
      <c r="A191" s="7" t="s">
        <v>8877</v>
      </c>
      <c r="B191" s="2" t="s">
        <v>4029</v>
      </c>
      <c r="C191" s="4">
        <v>3</v>
      </c>
      <c r="D191" s="5">
        <v>7.15</v>
      </c>
      <c r="E191" s="5">
        <v>14.99</v>
      </c>
      <c r="F191" s="4" t="s">
        <v>4030</v>
      </c>
      <c r="G191" s="2" t="s">
        <v>653</v>
      </c>
      <c r="H191" s="7" t="s">
        <v>284</v>
      </c>
      <c r="I191" s="2" t="s">
        <v>523</v>
      </c>
      <c r="J191" s="2" t="s">
        <v>921</v>
      </c>
      <c r="K191" s="2" t="s">
        <v>304</v>
      </c>
      <c r="L191" s="2" t="s">
        <v>323</v>
      </c>
      <c r="M191" s="8" t="str">
        <f>HYPERLINK("http://slimages.macys.com/is/image/MCY/12083637 ")</f>
        <v xml:space="preserve">http://slimages.macys.com/is/image/MCY/12083637 </v>
      </c>
    </row>
    <row r="192" spans="1:13" ht="60" x14ac:dyDescent="0.25">
      <c r="A192" s="7" t="s">
        <v>8878</v>
      </c>
      <c r="B192" s="2" t="s">
        <v>987</v>
      </c>
      <c r="C192" s="4">
        <v>1</v>
      </c>
      <c r="D192" s="5">
        <v>7.15</v>
      </c>
      <c r="E192" s="5">
        <v>10.99</v>
      </c>
      <c r="F192" s="4" t="s">
        <v>988</v>
      </c>
      <c r="G192" s="2" t="s">
        <v>582</v>
      </c>
      <c r="H192" s="7" t="s">
        <v>228</v>
      </c>
      <c r="I192" s="2" t="s">
        <v>523</v>
      </c>
      <c r="J192" s="2" t="s">
        <v>969</v>
      </c>
      <c r="K192" s="2" t="s">
        <v>304</v>
      </c>
      <c r="L192" s="2" t="s">
        <v>970</v>
      </c>
      <c r="M192" s="8" t="str">
        <f>HYPERLINK("http://slimages.macys.com/is/image/MCY/11646814 ")</f>
        <v xml:space="preserve">http://slimages.macys.com/is/image/MCY/11646814 </v>
      </c>
    </row>
    <row r="193" spans="1:13" ht="60" x14ac:dyDescent="0.25">
      <c r="A193" s="7" t="s">
        <v>8879</v>
      </c>
      <c r="B193" s="2" t="s">
        <v>987</v>
      </c>
      <c r="C193" s="4">
        <v>1</v>
      </c>
      <c r="D193" s="5">
        <v>7.15</v>
      </c>
      <c r="E193" s="5">
        <v>10.99</v>
      </c>
      <c r="F193" s="4" t="s">
        <v>988</v>
      </c>
      <c r="G193" s="2" t="s">
        <v>582</v>
      </c>
      <c r="H193" s="7" t="s">
        <v>284</v>
      </c>
      <c r="I193" s="2" t="s">
        <v>523</v>
      </c>
      <c r="J193" s="2" t="s">
        <v>969</v>
      </c>
      <c r="K193" s="2" t="s">
        <v>304</v>
      </c>
      <c r="L193" s="2" t="s">
        <v>970</v>
      </c>
      <c r="M193" s="8" t="str">
        <f>HYPERLINK("http://slimages.macys.com/is/image/MCY/11646814 ")</f>
        <v xml:space="preserve">http://slimages.macys.com/is/image/MCY/11646814 </v>
      </c>
    </row>
    <row r="194" spans="1:13" ht="60" x14ac:dyDescent="0.25">
      <c r="A194" s="7" t="s">
        <v>1737</v>
      </c>
      <c r="B194" s="2" t="s">
        <v>1738</v>
      </c>
      <c r="C194" s="4">
        <v>2</v>
      </c>
      <c r="D194" s="5">
        <v>7.12</v>
      </c>
      <c r="E194" s="5">
        <v>16.989999999999998</v>
      </c>
      <c r="F194" s="4" t="s">
        <v>1739</v>
      </c>
      <c r="G194" s="2" t="s">
        <v>297</v>
      </c>
      <c r="H194" s="7" t="s">
        <v>159</v>
      </c>
      <c r="I194" s="2" t="s">
        <v>218</v>
      </c>
      <c r="J194" s="2" t="s">
        <v>1740</v>
      </c>
      <c r="K194" s="2" t="s">
        <v>304</v>
      </c>
      <c r="L194" s="2" t="s">
        <v>125</v>
      </c>
      <c r="M194" s="8" t="str">
        <f>HYPERLINK("http://slimages.macys.com/is/image/MCY/12235404 ")</f>
        <v xml:space="preserve">http://slimages.macys.com/is/image/MCY/12235404 </v>
      </c>
    </row>
    <row r="195" spans="1:13" ht="60" x14ac:dyDescent="0.25">
      <c r="A195" s="7" t="s">
        <v>8880</v>
      </c>
      <c r="B195" s="2" t="s">
        <v>1742</v>
      </c>
      <c r="C195" s="4">
        <v>4</v>
      </c>
      <c r="D195" s="5">
        <v>7.05</v>
      </c>
      <c r="E195" s="5">
        <v>16.989999999999998</v>
      </c>
      <c r="F195" s="4" t="s">
        <v>1743</v>
      </c>
      <c r="G195" s="2" t="s">
        <v>103</v>
      </c>
      <c r="H195" s="7" t="s">
        <v>228</v>
      </c>
      <c r="I195" s="2" t="s">
        <v>515</v>
      </c>
      <c r="J195" s="2" t="s">
        <v>827</v>
      </c>
      <c r="K195" s="2" t="s">
        <v>304</v>
      </c>
      <c r="L195" s="2" t="s">
        <v>358</v>
      </c>
      <c r="M195" s="8" t="str">
        <f>HYPERLINK("http://slimages.macys.com/is/image/MCY/12507572 ")</f>
        <v xml:space="preserve">http://slimages.macys.com/is/image/MCY/12507572 </v>
      </c>
    </row>
    <row r="196" spans="1:13" ht="60" x14ac:dyDescent="0.25">
      <c r="A196" s="7" t="s">
        <v>8881</v>
      </c>
      <c r="B196" s="2" t="s">
        <v>1742</v>
      </c>
      <c r="C196" s="4">
        <v>4</v>
      </c>
      <c r="D196" s="5">
        <v>7.05</v>
      </c>
      <c r="E196" s="5">
        <v>16.989999999999998</v>
      </c>
      <c r="F196" s="4" t="s">
        <v>1743</v>
      </c>
      <c r="G196" s="2" t="s">
        <v>103</v>
      </c>
      <c r="H196" s="7" t="s">
        <v>284</v>
      </c>
      <c r="I196" s="2" t="s">
        <v>515</v>
      </c>
      <c r="J196" s="2" t="s">
        <v>827</v>
      </c>
      <c r="K196" s="2" t="s">
        <v>304</v>
      </c>
      <c r="L196" s="2" t="s">
        <v>358</v>
      </c>
      <c r="M196" s="8" t="str">
        <f>HYPERLINK("http://slimages.macys.com/is/image/MCY/12507572 ")</f>
        <v xml:space="preserve">http://slimages.macys.com/is/image/MCY/12507572 </v>
      </c>
    </row>
    <row r="197" spans="1:13" ht="60" x14ac:dyDescent="0.25">
      <c r="A197" s="7" t="s">
        <v>8882</v>
      </c>
      <c r="B197" s="2" t="s">
        <v>1742</v>
      </c>
      <c r="C197" s="4">
        <v>3</v>
      </c>
      <c r="D197" s="5">
        <v>7.05</v>
      </c>
      <c r="E197" s="5">
        <v>16.989999999999998</v>
      </c>
      <c r="F197" s="4" t="s">
        <v>1743</v>
      </c>
      <c r="G197" s="2" t="s">
        <v>103</v>
      </c>
      <c r="H197" s="7" t="s">
        <v>196</v>
      </c>
      <c r="I197" s="2" t="s">
        <v>515</v>
      </c>
      <c r="J197" s="2" t="s">
        <v>827</v>
      </c>
      <c r="K197" s="2" t="s">
        <v>304</v>
      </c>
      <c r="L197" s="2" t="s">
        <v>358</v>
      </c>
      <c r="M197" s="8" t="str">
        <f>HYPERLINK("http://slimages.macys.com/is/image/MCY/12507572 ")</f>
        <v xml:space="preserve">http://slimages.macys.com/is/image/MCY/12507572 </v>
      </c>
    </row>
    <row r="198" spans="1:13" ht="132" x14ac:dyDescent="0.25">
      <c r="A198" s="7" t="s">
        <v>8883</v>
      </c>
      <c r="B198" s="2" t="s">
        <v>8884</v>
      </c>
      <c r="C198" s="4">
        <v>1</v>
      </c>
      <c r="D198" s="5">
        <v>7.05</v>
      </c>
      <c r="E198" s="5">
        <v>15.99</v>
      </c>
      <c r="F198" s="4" t="s">
        <v>8885</v>
      </c>
      <c r="G198" s="2" t="s">
        <v>653</v>
      </c>
      <c r="H198" s="7" t="s">
        <v>438</v>
      </c>
      <c r="I198" s="2" t="s">
        <v>153</v>
      </c>
      <c r="J198" s="2" t="s">
        <v>154</v>
      </c>
      <c r="K198" s="2" t="s">
        <v>304</v>
      </c>
      <c r="L198" s="2" t="s">
        <v>8198</v>
      </c>
      <c r="M198" s="8" t="str">
        <f>HYPERLINK("http://slimages.macys.com/is/image/MCY/12158968 ")</f>
        <v xml:space="preserve">http://slimages.macys.com/is/image/MCY/12158968 </v>
      </c>
    </row>
    <row r="199" spans="1:13" ht="60" x14ac:dyDescent="0.25">
      <c r="A199" s="7" t="s">
        <v>7542</v>
      </c>
      <c r="B199" s="2" t="s">
        <v>1742</v>
      </c>
      <c r="C199" s="4">
        <v>4</v>
      </c>
      <c r="D199" s="5">
        <v>7.05</v>
      </c>
      <c r="E199" s="5">
        <v>16.989999999999998</v>
      </c>
      <c r="F199" s="4" t="s">
        <v>1743</v>
      </c>
      <c r="G199" s="2" t="s">
        <v>36</v>
      </c>
      <c r="H199" s="7" t="s">
        <v>228</v>
      </c>
      <c r="I199" s="2" t="s">
        <v>515</v>
      </c>
      <c r="J199" s="2" t="s">
        <v>827</v>
      </c>
      <c r="K199" s="2" t="s">
        <v>304</v>
      </c>
      <c r="L199" s="2" t="s">
        <v>358</v>
      </c>
      <c r="M199" s="8" t="str">
        <f>HYPERLINK("http://slimages.macys.com/is/image/MCY/12507572 ")</f>
        <v xml:space="preserve">http://slimages.macys.com/is/image/MCY/12507572 </v>
      </c>
    </row>
    <row r="200" spans="1:13" ht="96" x14ac:dyDescent="0.25">
      <c r="A200" s="7" t="s">
        <v>8886</v>
      </c>
      <c r="B200" s="2" t="s">
        <v>8887</v>
      </c>
      <c r="C200" s="4">
        <v>1</v>
      </c>
      <c r="D200" s="5">
        <v>7.05</v>
      </c>
      <c r="E200" s="5">
        <v>15.99</v>
      </c>
      <c r="F200" s="4" t="s">
        <v>8888</v>
      </c>
      <c r="G200" s="2"/>
      <c r="H200" s="7" t="s">
        <v>438</v>
      </c>
      <c r="I200" s="2" t="s">
        <v>153</v>
      </c>
      <c r="J200" s="2" t="s">
        <v>154</v>
      </c>
      <c r="K200" s="2" t="s">
        <v>304</v>
      </c>
      <c r="L200" s="2" t="s">
        <v>439</v>
      </c>
      <c r="M200" s="8" t="str">
        <f>HYPERLINK("http://slimages.macys.com/is/image/MCY/11867709 ")</f>
        <v xml:space="preserve">http://slimages.macys.com/is/image/MCY/11867709 </v>
      </c>
    </row>
    <row r="201" spans="1:13" ht="60" x14ac:dyDescent="0.25">
      <c r="A201" s="7" t="s">
        <v>8889</v>
      </c>
      <c r="B201" s="2" t="s">
        <v>4043</v>
      </c>
      <c r="C201" s="4">
        <v>1</v>
      </c>
      <c r="D201" s="5">
        <v>7.05</v>
      </c>
      <c r="E201" s="5">
        <v>12.99</v>
      </c>
      <c r="F201" s="4" t="s">
        <v>4044</v>
      </c>
      <c r="G201" s="2" t="s">
        <v>36</v>
      </c>
      <c r="H201" s="7" t="s">
        <v>675</v>
      </c>
      <c r="I201" s="2" t="s">
        <v>153</v>
      </c>
      <c r="J201" s="2" t="s">
        <v>154</v>
      </c>
      <c r="K201" s="2" t="s">
        <v>304</v>
      </c>
      <c r="L201" s="2" t="s">
        <v>206</v>
      </c>
      <c r="M201" s="8" t="str">
        <f>HYPERLINK("http://slimages.macys.com/is/image/MCY/9644672 ")</f>
        <v xml:space="preserve">http://slimages.macys.com/is/image/MCY/9644672 </v>
      </c>
    </row>
    <row r="202" spans="1:13" ht="60" x14ac:dyDescent="0.25">
      <c r="A202" s="7" t="s">
        <v>6281</v>
      </c>
      <c r="B202" s="2" t="s">
        <v>1742</v>
      </c>
      <c r="C202" s="4">
        <v>7</v>
      </c>
      <c r="D202" s="5">
        <v>7.05</v>
      </c>
      <c r="E202" s="5">
        <v>16.989999999999998</v>
      </c>
      <c r="F202" s="4" t="s">
        <v>1743</v>
      </c>
      <c r="G202" s="2" t="s">
        <v>103</v>
      </c>
      <c r="H202" s="7" t="s">
        <v>159</v>
      </c>
      <c r="I202" s="2" t="s">
        <v>515</v>
      </c>
      <c r="J202" s="2" t="s">
        <v>827</v>
      </c>
      <c r="K202" s="2" t="s">
        <v>304</v>
      </c>
      <c r="L202" s="2" t="s">
        <v>358</v>
      </c>
      <c r="M202" s="8" t="str">
        <f>HYPERLINK("http://slimages.macys.com/is/image/MCY/12507572 ")</f>
        <v xml:space="preserve">http://slimages.macys.com/is/image/MCY/12507572 </v>
      </c>
    </row>
    <row r="203" spans="1:13" ht="60" x14ac:dyDescent="0.25">
      <c r="A203" s="7" t="s">
        <v>7539</v>
      </c>
      <c r="B203" s="2" t="s">
        <v>1742</v>
      </c>
      <c r="C203" s="4">
        <v>7</v>
      </c>
      <c r="D203" s="5">
        <v>7.05</v>
      </c>
      <c r="E203" s="5">
        <v>16.989999999999998</v>
      </c>
      <c r="F203" s="4" t="s">
        <v>1743</v>
      </c>
      <c r="G203" s="2" t="s">
        <v>36</v>
      </c>
      <c r="H203" s="7" t="s">
        <v>159</v>
      </c>
      <c r="I203" s="2" t="s">
        <v>515</v>
      </c>
      <c r="J203" s="2" t="s">
        <v>827</v>
      </c>
      <c r="K203" s="2" t="s">
        <v>304</v>
      </c>
      <c r="L203" s="2" t="s">
        <v>358</v>
      </c>
      <c r="M203" s="8" t="str">
        <f>HYPERLINK("http://slimages.macys.com/is/image/MCY/12507572 ")</f>
        <v xml:space="preserve">http://slimages.macys.com/is/image/MCY/12507572 </v>
      </c>
    </row>
    <row r="204" spans="1:13" ht="60" x14ac:dyDescent="0.25">
      <c r="A204" s="7" t="s">
        <v>5396</v>
      </c>
      <c r="B204" s="2" t="s">
        <v>1742</v>
      </c>
      <c r="C204" s="4">
        <v>2</v>
      </c>
      <c r="D204" s="5">
        <v>7.05</v>
      </c>
      <c r="E204" s="5">
        <v>16.989999999999998</v>
      </c>
      <c r="F204" s="4" t="s">
        <v>1743</v>
      </c>
      <c r="G204" s="2" t="s">
        <v>36</v>
      </c>
      <c r="H204" s="7" t="s">
        <v>196</v>
      </c>
      <c r="I204" s="2" t="s">
        <v>515</v>
      </c>
      <c r="J204" s="2" t="s">
        <v>827</v>
      </c>
      <c r="K204" s="2" t="s">
        <v>304</v>
      </c>
      <c r="L204" s="2" t="s">
        <v>358</v>
      </c>
      <c r="M204" s="8" t="str">
        <f>HYPERLINK("http://slimages.macys.com/is/image/MCY/12507572 ")</f>
        <v xml:space="preserve">http://slimages.macys.com/is/image/MCY/12507572 </v>
      </c>
    </row>
    <row r="205" spans="1:13" ht="60" x14ac:dyDescent="0.25">
      <c r="A205" s="7" t="s">
        <v>1741</v>
      </c>
      <c r="B205" s="2" t="s">
        <v>1742</v>
      </c>
      <c r="C205" s="4">
        <v>1</v>
      </c>
      <c r="D205" s="5">
        <v>7.05</v>
      </c>
      <c r="E205" s="5">
        <v>16.989999999999998</v>
      </c>
      <c r="F205" s="4" t="s">
        <v>1743</v>
      </c>
      <c r="G205" s="2" t="s">
        <v>36</v>
      </c>
      <c r="H205" s="7" t="s">
        <v>284</v>
      </c>
      <c r="I205" s="2" t="s">
        <v>515</v>
      </c>
      <c r="J205" s="2" t="s">
        <v>827</v>
      </c>
      <c r="K205" s="2" t="s">
        <v>304</v>
      </c>
      <c r="L205" s="2" t="s">
        <v>358</v>
      </c>
      <c r="M205" s="8" t="str">
        <f>HYPERLINK("http://slimages.macys.com/is/image/MCY/12507572 ")</f>
        <v xml:space="preserve">http://slimages.macys.com/is/image/MCY/12507572 </v>
      </c>
    </row>
    <row r="206" spans="1:13" ht="108" x14ac:dyDescent="0.25">
      <c r="A206" s="7" t="s">
        <v>8890</v>
      </c>
      <c r="B206" s="2" t="s">
        <v>8891</v>
      </c>
      <c r="C206" s="4">
        <v>1</v>
      </c>
      <c r="D206" s="5">
        <v>7.05</v>
      </c>
      <c r="E206" s="5">
        <v>15.99</v>
      </c>
      <c r="F206" s="4" t="s">
        <v>8892</v>
      </c>
      <c r="G206" s="2" t="s">
        <v>643</v>
      </c>
      <c r="H206" s="7" t="s">
        <v>675</v>
      </c>
      <c r="I206" s="2" t="s">
        <v>153</v>
      </c>
      <c r="J206" s="2" t="s">
        <v>154</v>
      </c>
      <c r="K206" s="2" t="s">
        <v>304</v>
      </c>
      <c r="L206" s="2" t="s">
        <v>8893</v>
      </c>
      <c r="M206" s="8" t="str">
        <f>HYPERLINK("http://slimages.macys.com/is/image/MCY/12236282 ")</f>
        <v xml:space="preserve">http://slimages.macys.com/is/image/MCY/12236282 </v>
      </c>
    </row>
    <row r="207" spans="1:13" ht="84" x14ac:dyDescent="0.25">
      <c r="A207" s="7" t="s">
        <v>8894</v>
      </c>
      <c r="B207" s="2" t="s">
        <v>8895</v>
      </c>
      <c r="C207" s="4">
        <v>1</v>
      </c>
      <c r="D207" s="5">
        <v>7</v>
      </c>
      <c r="E207" s="5">
        <v>19.989999999999998</v>
      </c>
      <c r="F207" s="4" t="s">
        <v>8896</v>
      </c>
      <c r="G207" s="2" t="s">
        <v>1302</v>
      </c>
      <c r="H207" s="7" t="s">
        <v>5814</v>
      </c>
      <c r="I207" s="2" t="s">
        <v>483</v>
      </c>
      <c r="J207" s="2" t="s">
        <v>4858</v>
      </c>
      <c r="K207" s="2" t="s">
        <v>304</v>
      </c>
      <c r="L207" s="2" t="s">
        <v>8897</v>
      </c>
      <c r="M207" s="8" t="str">
        <f>HYPERLINK("http://slimages.macys.com/is/image/MCY/10276814 ")</f>
        <v xml:space="preserve">http://slimages.macys.com/is/image/MCY/10276814 </v>
      </c>
    </row>
    <row r="208" spans="1:13" ht="84" x14ac:dyDescent="0.25">
      <c r="A208" s="7" t="s">
        <v>8898</v>
      </c>
      <c r="B208" s="2" t="s">
        <v>8895</v>
      </c>
      <c r="C208" s="4">
        <v>2</v>
      </c>
      <c r="D208" s="5">
        <v>7</v>
      </c>
      <c r="E208" s="5">
        <v>19.989999999999998</v>
      </c>
      <c r="F208" s="4" t="s">
        <v>8896</v>
      </c>
      <c r="G208" s="2" t="s">
        <v>1302</v>
      </c>
      <c r="H208" s="7" t="s">
        <v>379</v>
      </c>
      <c r="I208" s="2" t="s">
        <v>483</v>
      </c>
      <c r="J208" s="2" t="s">
        <v>4858</v>
      </c>
      <c r="K208" s="2" t="s">
        <v>304</v>
      </c>
      <c r="L208" s="2" t="s">
        <v>8897</v>
      </c>
      <c r="M208" s="8" t="str">
        <f>HYPERLINK("http://slimages.macys.com/is/image/MCY/10276814 ")</f>
        <v xml:space="preserve">http://slimages.macys.com/is/image/MCY/10276814 </v>
      </c>
    </row>
    <row r="209" spans="1:13" ht="84" x14ac:dyDescent="0.25">
      <c r="A209" s="7" t="s">
        <v>8899</v>
      </c>
      <c r="B209" s="2" t="s">
        <v>8895</v>
      </c>
      <c r="C209" s="4">
        <v>1</v>
      </c>
      <c r="D209" s="5">
        <v>7</v>
      </c>
      <c r="E209" s="5">
        <v>19.989999999999998</v>
      </c>
      <c r="F209" s="4" t="s">
        <v>8896</v>
      </c>
      <c r="G209" s="2" t="s">
        <v>1302</v>
      </c>
      <c r="H209" s="7" t="s">
        <v>618</v>
      </c>
      <c r="I209" s="2" t="s">
        <v>483</v>
      </c>
      <c r="J209" s="2" t="s">
        <v>4858</v>
      </c>
      <c r="K209" s="2" t="s">
        <v>304</v>
      </c>
      <c r="L209" s="2" t="s">
        <v>8897</v>
      </c>
      <c r="M209" s="8" t="str">
        <f>HYPERLINK("http://slimages.macys.com/is/image/MCY/10276814 ")</f>
        <v xml:space="preserve">http://slimages.macys.com/is/image/MCY/10276814 </v>
      </c>
    </row>
    <row r="210" spans="1:13" ht="60" x14ac:dyDescent="0.25">
      <c r="A210" s="7" t="s">
        <v>8900</v>
      </c>
      <c r="B210" s="2" t="s">
        <v>8840</v>
      </c>
      <c r="C210" s="4">
        <v>1</v>
      </c>
      <c r="D210" s="5">
        <v>7</v>
      </c>
      <c r="E210" s="5">
        <v>15.99</v>
      </c>
      <c r="F210" s="4" t="s">
        <v>8841</v>
      </c>
      <c r="G210" s="2" t="s">
        <v>262</v>
      </c>
      <c r="H210" s="7" t="s">
        <v>123</v>
      </c>
      <c r="I210" s="2" t="s">
        <v>73</v>
      </c>
      <c r="J210" s="2" t="s">
        <v>464</v>
      </c>
      <c r="K210" s="2" t="s">
        <v>304</v>
      </c>
      <c r="L210" s="2" t="s">
        <v>119</v>
      </c>
      <c r="M210" s="8" t="str">
        <f>HYPERLINK("http://slimages.macys.com/is/image/MCY/14428002 ")</f>
        <v xml:space="preserve">http://slimages.macys.com/is/image/MCY/14428002 </v>
      </c>
    </row>
    <row r="211" spans="1:13" ht="60" x14ac:dyDescent="0.25">
      <c r="A211" s="7" t="s">
        <v>8901</v>
      </c>
      <c r="B211" s="2" t="s">
        <v>968</v>
      </c>
      <c r="C211" s="4">
        <v>1</v>
      </c>
      <c r="D211" s="5">
        <v>7</v>
      </c>
      <c r="E211" s="5">
        <v>14.99</v>
      </c>
      <c r="F211" s="4">
        <v>7135</v>
      </c>
      <c r="G211" s="2" t="s">
        <v>657</v>
      </c>
      <c r="H211" s="7" t="s">
        <v>196</v>
      </c>
      <c r="I211" s="2" t="s">
        <v>523</v>
      </c>
      <c r="J211" s="2" t="s">
        <v>969</v>
      </c>
      <c r="K211" s="2" t="s">
        <v>304</v>
      </c>
      <c r="L211" s="2" t="s">
        <v>970</v>
      </c>
      <c r="M211" s="8" t="str">
        <f>HYPERLINK("http://slimages.macys.com/is/image/MCY/13040252 ")</f>
        <v xml:space="preserve">http://slimages.macys.com/is/image/MCY/13040252 </v>
      </c>
    </row>
    <row r="212" spans="1:13" ht="60" x14ac:dyDescent="0.25">
      <c r="A212" s="7" t="s">
        <v>8267</v>
      </c>
      <c r="B212" s="2" t="s">
        <v>968</v>
      </c>
      <c r="C212" s="4">
        <v>2</v>
      </c>
      <c r="D212" s="5">
        <v>7</v>
      </c>
      <c r="E212" s="5">
        <v>14.99</v>
      </c>
      <c r="F212" s="4">
        <v>7135</v>
      </c>
      <c r="G212" s="2" t="s">
        <v>36</v>
      </c>
      <c r="H212" s="7" t="s">
        <v>284</v>
      </c>
      <c r="I212" s="2" t="s">
        <v>523</v>
      </c>
      <c r="J212" s="2" t="s">
        <v>969</v>
      </c>
      <c r="K212" s="2" t="s">
        <v>304</v>
      </c>
      <c r="L212" s="2" t="s">
        <v>970</v>
      </c>
      <c r="M212" s="8" t="str">
        <f>HYPERLINK("http://slimages.macys.com/is/image/MCY/13040275 ")</f>
        <v xml:space="preserve">http://slimages.macys.com/is/image/MCY/13040275 </v>
      </c>
    </row>
    <row r="213" spans="1:13" ht="60" x14ac:dyDescent="0.25">
      <c r="A213" s="7" t="s">
        <v>4055</v>
      </c>
      <c r="B213" s="2" t="s">
        <v>973</v>
      </c>
      <c r="C213" s="4">
        <v>1</v>
      </c>
      <c r="D213" s="5">
        <v>7</v>
      </c>
      <c r="E213" s="5">
        <v>14.99</v>
      </c>
      <c r="F213" s="4">
        <v>6137</v>
      </c>
      <c r="G213" s="2" t="s">
        <v>657</v>
      </c>
      <c r="H213" s="7" t="s">
        <v>159</v>
      </c>
      <c r="I213" s="2" t="s">
        <v>523</v>
      </c>
      <c r="J213" s="2" t="s">
        <v>969</v>
      </c>
      <c r="K213" s="2" t="s">
        <v>304</v>
      </c>
      <c r="L213" s="2" t="s">
        <v>100</v>
      </c>
      <c r="M213" s="8" t="str">
        <f>HYPERLINK("http://slimages.macys.com/is/image/MCY/13040214 ")</f>
        <v xml:space="preserve">http://slimages.macys.com/is/image/MCY/13040214 </v>
      </c>
    </row>
    <row r="214" spans="1:13" ht="60" x14ac:dyDescent="0.25">
      <c r="A214" s="7" t="s">
        <v>971</v>
      </c>
      <c r="B214" s="2" t="s">
        <v>968</v>
      </c>
      <c r="C214" s="4">
        <v>1</v>
      </c>
      <c r="D214" s="5">
        <v>7</v>
      </c>
      <c r="E214" s="5">
        <v>14.99</v>
      </c>
      <c r="F214" s="4">
        <v>7135</v>
      </c>
      <c r="G214" s="2" t="s">
        <v>657</v>
      </c>
      <c r="H214" s="7" t="s">
        <v>284</v>
      </c>
      <c r="I214" s="2" t="s">
        <v>523</v>
      </c>
      <c r="J214" s="2" t="s">
        <v>969</v>
      </c>
      <c r="K214" s="2" t="s">
        <v>304</v>
      </c>
      <c r="L214" s="2" t="s">
        <v>970</v>
      </c>
      <c r="M214" s="8" t="str">
        <f>HYPERLINK("http://slimages.macys.com/is/image/MCY/13040252 ")</f>
        <v xml:space="preserve">http://slimages.macys.com/is/image/MCY/13040252 </v>
      </c>
    </row>
    <row r="215" spans="1:13" ht="60" x14ac:dyDescent="0.25">
      <c r="A215" s="7" t="s">
        <v>3320</v>
      </c>
      <c r="B215" s="2" t="s">
        <v>968</v>
      </c>
      <c r="C215" s="4">
        <v>1</v>
      </c>
      <c r="D215" s="5">
        <v>7</v>
      </c>
      <c r="E215" s="5">
        <v>14.99</v>
      </c>
      <c r="F215" s="4">
        <v>7135</v>
      </c>
      <c r="G215" s="2" t="s">
        <v>36</v>
      </c>
      <c r="H215" s="7" t="s">
        <v>196</v>
      </c>
      <c r="I215" s="2" t="s">
        <v>523</v>
      </c>
      <c r="J215" s="2" t="s">
        <v>969</v>
      </c>
      <c r="K215" s="2" t="s">
        <v>304</v>
      </c>
      <c r="L215" s="2" t="s">
        <v>970</v>
      </c>
      <c r="M215" s="8" t="str">
        <f>HYPERLINK("http://slimages.macys.com/is/image/MCY/13040275 ")</f>
        <v xml:space="preserve">http://slimages.macys.com/is/image/MCY/13040275 </v>
      </c>
    </row>
    <row r="216" spans="1:13" ht="60" x14ac:dyDescent="0.25">
      <c r="A216" s="7" t="s">
        <v>4927</v>
      </c>
      <c r="B216" s="2" t="s">
        <v>968</v>
      </c>
      <c r="C216" s="4">
        <v>2</v>
      </c>
      <c r="D216" s="5">
        <v>7</v>
      </c>
      <c r="E216" s="5">
        <v>14.99</v>
      </c>
      <c r="F216" s="4">
        <v>7135</v>
      </c>
      <c r="G216" s="2" t="s">
        <v>657</v>
      </c>
      <c r="H216" s="7" t="s">
        <v>228</v>
      </c>
      <c r="I216" s="2" t="s">
        <v>523</v>
      </c>
      <c r="J216" s="2" t="s">
        <v>969</v>
      </c>
      <c r="K216" s="2" t="s">
        <v>304</v>
      </c>
      <c r="L216" s="2" t="s">
        <v>970</v>
      </c>
      <c r="M216" s="8" t="str">
        <f>HYPERLINK("http://slimages.macys.com/is/image/MCY/13040252 ")</f>
        <v xml:space="preserve">http://slimages.macys.com/is/image/MCY/13040252 </v>
      </c>
    </row>
    <row r="217" spans="1:13" ht="60" x14ac:dyDescent="0.25">
      <c r="A217" s="7" t="s">
        <v>8902</v>
      </c>
      <c r="B217" s="2" t="s">
        <v>973</v>
      </c>
      <c r="C217" s="4">
        <v>1</v>
      </c>
      <c r="D217" s="5">
        <v>7</v>
      </c>
      <c r="E217" s="5">
        <v>14.99</v>
      </c>
      <c r="F217" s="4">
        <v>6137</v>
      </c>
      <c r="G217" s="2" t="s">
        <v>657</v>
      </c>
      <c r="H217" s="7" t="s">
        <v>284</v>
      </c>
      <c r="I217" s="2" t="s">
        <v>523</v>
      </c>
      <c r="J217" s="2" t="s">
        <v>969</v>
      </c>
      <c r="K217" s="2" t="s">
        <v>304</v>
      </c>
      <c r="L217" s="2" t="s">
        <v>100</v>
      </c>
      <c r="M217" s="8" t="str">
        <f>HYPERLINK("http://slimages.macys.com/is/image/MCY/13040214 ")</f>
        <v xml:space="preserve">http://slimages.macys.com/is/image/MCY/13040214 </v>
      </c>
    </row>
    <row r="218" spans="1:13" ht="60" x14ac:dyDescent="0.25">
      <c r="A218" s="7" t="s">
        <v>967</v>
      </c>
      <c r="B218" s="2" t="s">
        <v>968</v>
      </c>
      <c r="C218" s="4">
        <v>2</v>
      </c>
      <c r="D218" s="5">
        <v>7</v>
      </c>
      <c r="E218" s="5">
        <v>14.99</v>
      </c>
      <c r="F218" s="4">
        <v>7135</v>
      </c>
      <c r="G218" s="2" t="s">
        <v>657</v>
      </c>
      <c r="H218" s="7" t="s">
        <v>159</v>
      </c>
      <c r="I218" s="2" t="s">
        <v>523</v>
      </c>
      <c r="J218" s="2" t="s">
        <v>969</v>
      </c>
      <c r="K218" s="2" t="s">
        <v>304</v>
      </c>
      <c r="L218" s="2" t="s">
        <v>970</v>
      </c>
      <c r="M218" s="8" t="str">
        <f>HYPERLINK("http://slimages.macys.com/is/image/MCY/13040252 ")</f>
        <v xml:space="preserve">http://slimages.macys.com/is/image/MCY/13040252 </v>
      </c>
    </row>
    <row r="219" spans="1:13" ht="60" x14ac:dyDescent="0.25">
      <c r="A219" s="7" t="s">
        <v>8903</v>
      </c>
      <c r="B219" s="2" t="s">
        <v>6283</v>
      </c>
      <c r="C219" s="4">
        <v>1</v>
      </c>
      <c r="D219" s="5">
        <v>6.98</v>
      </c>
      <c r="E219" s="5">
        <v>16.989999999999998</v>
      </c>
      <c r="F219" s="4" t="s">
        <v>6284</v>
      </c>
      <c r="G219" s="2" t="s">
        <v>62</v>
      </c>
      <c r="H219" s="7" t="s">
        <v>159</v>
      </c>
      <c r="I219" s="2" t="s">
        <v>515</v>
      </c>
      <c r="J219" s="2" t="s">
        <v>827</v>
      </c>
      <c r="K219" s="2" t="s">
        <v>304</v>
      </c>
      <c r="L219" s="2" t="s">
        <v>358</v>
      </c>
      <c r="M219" s="8" t="str">
        <f>HYPERLINK("http://slimages.macys.com/is/image/MCY/12687347 ")</f>
        <v xml:space="preserve">http://slimages.macys.com/is/image/MCY/12687347 </v>
      </c>
    </row>
    <row r="220" spans="1:13" ht="60" x14ac:dyDescent="0.25">
      <c r="A220" s="7" t="s">
        <v>8904</v>
      </c>
      <c r="B220" s="2" t="s">
        <v>2582</v>
      </c>
      <c r="C220" s="4">
        <v>1</v>
      </c>
      <c r="D220" s="5">
        <v>6.93</v>
      </c>
      <c r="E220" s="5">
        <v>19.5</v>
      </c>
      <c r="F220" s="4" t="s">
        <v>2583</v>
      </c>
      <c r="G220" s="2" t="s">
        <v>86</v>
      </c>
      <c r="H220" s="7"/>
      <c r="I220" s="2" t="s">
        <v>57</v>
      </c>
      <c r="J220" s="2" t="s">
        <v>58</v>
      </c>
      <c r="K220" s="2" t="s">
        <v>304</v>
      </c>
      <c r="L220" s="2" t="s">
        <v>87</v>
      </c>
      <c r="M220" s="8" t="str">
        <f>HYPERLINK("http://slimages.macys.com/is/image/MCY/8619272 ")</f>
        <v xml:space="preserve">http://slimages.macys.com/is/image/MCY/8619272 </v>
      </c>
    </row>
    <row r="221" spans="1:13" ht="84" x14ac:dyDescent="0.25">
      <c r="A221" s="7" t="s">
        <v>8905</v>
      </c>
      <c r="B221" s="2" t="s">
        <v>8906</v>
      </c>
      <c r="C221" s="4">
        <v>1</v>
      </c>
      <c r="D221" s="5">
        <v>6.9</v>
      </c>
      <c r="E221" s="5">
        <v>23</v>
      </c>
      <c r="F221" s="4" t="s">
        <v>8907</v>
      </c>
      <c r="G221" s="2"/>
      <c r="H221" s="7" t="s">
        <v>196</v>
      </c>
      <c r="I221" s="2" t="s">
        <v>173</v>
      </c>
      <c r="J221" s="2" t="s">
        <v>4911</v>
      </c>
      <c r="K221" s="2" t="s">
        <v>2811</v>
      </c>
      <c r="L221" s="2" t="s">
        <v>8908</v>
      </c>
      <c r="M221" s="8" t="str">
        <f>HYPERLINK("http://images.bloomingdales.com/is/image/BLM/10213583 ")</f>
        <v xml:space="preserve">http://images.bloomingdales.com/is/image/BLM/10213583 </v>
      </c>
    </row>
    <row r="222" spans="1:13" ht="60" x14ac:dyDescent="0.25">
      <c r="A222" s="7" t="s">
        <v>6863</v>
      </c>
      <c r="B222" s="2" t="s">
        <v>3325</v>
      </c>
      <c r="C222" s="4">
        <v>1</v>
      </c>
      <c r="D222" s="5">
        <v>6.9</v>
      </c>
      <c r="E222" s="5">
        <v>16.989999999999998</v>
      </c>
      <c r="F222" s="4" t="s">
        <v>3326</v>
      </c>
      <c r="G222" s="2" t="s">
        <v>86</v>
      </c>
      <c r="H222" s="7" t="s">
        <v>166</v>
      </c>
      <c r="I222" s="2" t="s">
        <v>292</v>
      </c>
      <c r="J222" s="2" t="s">
        <v>354</v>
      </c>
      <c r="K222" s="2" t="s">
        <v>304</v>
      </c>
      <c r="L222" s="2" t="s">
        <v>596</v>
      </c>
      <c r="M222" s="8" t="str">
        <f>HYPERLINK("http://slimages.macys.com/is/image/MCY/13893132 ")</f>
        <v xml:space="preserve">http://slimages.macys.com/is/image/MCY/13893132 </v>
      </c>
    </row>
    <row r="223" spans="1:13" ht="60" x14ac:dyDescent="0.25">
      <c r="A223" s="7" t="s">
        <v>8909</v>
      </c>
      <c r="B223" s="2" t="s">
        <v>5403</v>
      </c>
      <c r="C223" s="4">
        <v>1</v>
      </c>
      <c r="D223" s="5">
        <v>6.88</v>
      </c>
      <c r="E223" s="5">
        <v>16.989999999999998</v>
      </c>
      <c r="F223" s="4" t="s">
        <v>5404</v>
      </c>
      <c r="G223" s="2" t="s">
        <v>62</v>
      </c>
      <c r="H223" s="7" t="s">
        <v>159</v>
      </c>
      <c r="I223" s="2" t="s">
        <v>515</v>
      </c>
      <c r="J223" s="2" t="s">
        <v>827</v>
      </c>
      <c r="K223" s="2" t="s">
        <v>304</v>
      </c>
      <c r="L223" s="2" t="s">
        <v>5405</v>
      </c>
      <c r="M223" s="8" t="str">
        <f>HYPERLINK("http://slimages.macys.com/is/image/MCY/12507660 ")</f>
        <v xml:space="preserve">http://slimages.macys.com/is/image/MCY/12507660 </v>
      </c>
    </row>
    <row r="224" spans="1:13" ht="96" x14ac:dyDescent="0.25">
      <c r="A224" s="7" t="s">
        <v>8910</v>
      </c>
      <c r="B224" s="2" t="s">
        <v>1753</v>
      </c>
      <c r="C224" s="4">
        <v>1</v>
      </c>
      <c r="D224" s="5">
        <v>6.87</v>
      </c>
      <c r="E224" s="5">
        <v>16.989999999999998</v>
      </c>
      <c r="F224" s="4" t="s">
        <v>1754</v>
      </c>
      <c r="G224" s="2" t="s">
        <v>595</v>
      </c>
      <c r="H224" s="7" t="s">
        <v>159</v>
      </c>
      <c r="I224" s="2" t="s">
        <v>515</v>
      </c>
      <c r="J224" s="2" t="s">
        <v>827</v>
      </c>
      <c r="K224" s="2" t="s">
        <v>304</v>
      </c>
      <c r="L224" s="2" t="s">
        <v>1755</v>
      </c>
      <c r="M224" s="8" t="str">
        <f>HYPERLINK("http://slimages.macys.com/is/image/MCY/11860874 ")</f>
        <v xml:space="preserve">http://slimages.macys.com/is/image/MCY/11860874 </v>
      </c>
    </row>
    <row r="225" spans="1:13" ht="60" x14ac:dyDescent="0.25">
      <c r="A225" s="7" t="s">
        <v>8911</v>
      </c>
      <c r="B225" s="2" t="s">
        <v>466</v>
      </c>
      <c r="C225" s="4">
        <v>1</v>
      </c>
      <c r="D225" s="5">
        <v>6.85</v>
      </c>
      <c r="E225" s="5">
        <v>18</v>
      </c>
      <c r="F225" s="4" t="s">
        <v>467</v>
      </c>
      <c r="G225" s="2" t="s">
        <v>62</v>
      </c>
      <c r="H225" s="7" t="s">
        <v>56</v>
      </c>
      <c r="I225" s="2" t="s">
        <v>468</v>
      </c>
      <c r="J225" s="2" t="s">
        <v>469</v>
      </c>
      <c r="K225" s="2" t="s">
        <v>304</v>
      </c>
      <c r="L225" s="2" t="s">
        <v>206</v>
      </c>
      <c r="M225" s="8" t="str">
        <f>HYPERLINK("http://slimages.macys.com/is/image/MCY/11640093 ")</f>
        <v xml:space="preserve">http://slimages.macys.com/is/image/MCY/11640093 </v>
      </c>
    </row>
    <row r="226" spans="1:13" ht="60" x14ac:dyDescent="0.25">
      <c r="A226" s="7" t="s">
        <v>5406</v>
      </c>
      <c r="B226" s="2" t="s">
        <v>466</v>
      </c>
      <c r="C226" s="4">
        <v>1</v>
      </c>
      <c r="D226" s="5">
        <v>6.85</v>
      </c>
      <c r="E226" s="5">
        <v>18</v>
      </c>
      <c r="F226" s="4" t="s">
        <v>467</v>
      </c>
      <c r="G226" s="2" t="s">
        <v>62</v>
      </c>
      <c r="H226" s="7" t="s">
        <v>1411</v>
      </c>
      <c r="I226" s="2" t="s">
        <v>468</v>
      </c>
      <c r="J226" s="2" t="s">
        <v>469</v>
      </c>
      <c r="K226" s="2" t="s">
        <v>304</v>
      </c>
      <c r="L226" s="2" t="s">
        <v>206</v>
      </c>
      <c r="M226" s="8" t="str">
        <f>HYPERLINK("http://slimages.macys.com/is/image/MCY/11640093 ")</f>
        <v xml:space="preserve">http://slimages.macys.com/is/image/MCY/11640093 </v>
      </c>
    </row>
    <row r="227" spans="1:13" ht="60" x14ac:dyDescent="0.25">
      <c r="A227" s="7" t="s">
        <v>2584</v>
      </c>
      <c r="B227" s="2" t="s">
        <v>466</v>
      </c>
      <c r="C227" s="4">
        <v>1</v>
      </c>
      <c r="D227" s="5">
        <v>6.85</v>
      </c>
      <c r="E227" s="5">
        <v>18</v>
      </c>
      <c r="F227" s="4" t="s">
        <v>467</v>
      </c>
      <c r="G227" s="2" t="s">
        <v>62</v>
      </c>
      <c r="H227" s="7" t="s">
        <v>179</v>
      </c>
      <c r="I227" s="2" t="s">
        <v>468</v>
      </c>
      <c r="J227" s="2" t="s">
        <v>469</v>
      </c>
      <c r="K227" s="2" t="s">
        <v>304</v>
      </c>
      <c r="L227" s="2" t="s">
        <v>206</v>
      </c>
      <c r="M227" s="8" t="str">
        <f>HYPERLINK("http://slimages.macys.com/is/image/MCY/11640093 ")</f>
        <v xml:space="preserve">http://slimages.macys.com/is/image/MCY/11640093 </v>
      </c>
    </row>
    <row r="228" spans="1:13" ht="60" x14ac:dyDescent="0.25">
      <c r="A228" s="7" t="s">
        <v>8912</v>
      </c>
      <c r="B228" s="2" t="s">
        <v>466</v>
      </c>
      <c r="C228" s="4">
        <v>1</v>
      </c>
      <c r="D228" s="5">
        <v>6.85</v>
      </c>
      <c r="E228" s="5">
        <v>18</v>
      </c>
      <c r="F228" s="4" t="s">
        <v>467</v>
      </c>
      <c r="G228" s="2" t="s">
        <v>62</v>
      </c>
      <c r="H228" s="7" t="s">
        <v>177</v>
      </c>
      <c r="I228" s="2" t="s">
        <v>468</v>
      </c>
      <c r="J228" s="2" t="s">
        <v>469</v>
      </c>
      <c r="K228" s="2" t="s">
        <v>304</v>
      </c>
      <c r="L228" s="2" t="s">
        <v>206</v>
      </c>
      <c r="M228" s="8" t="str">
        <f>HYPERLINK("http://slimages.macys.com/is/image/MCY/11640093 ")</f>
        <v xml:space="preserve">http://slimages.macys.com/is/image/MCY/11640093 </v>
      </c>
    </row>
    <row r="229" spans="1:13" ht="60" x14ac:dyDescent="0.25">
      <c r="A229" s="7" t="s">
        <v>465</v>
      </c>
      <c r="B229" s="2" t="s">
        <v>466</v>
      </c>
      <c r="C229" s="4">
        <v>1</v>
      </c>
      <c r="D229" s="5">
        <v>6.85</v>
      </c>
      <c r="E229" s="5">
        <v>18</v>
      </c>
      <c r="F229" s="4" t="s">
        <v>467</v>
      </c>
      <c r="G229" s="2" t="s">
        <v>62</v>
      </c>
      <c r="H229" s="7" t="s">
        <v>172</v>
      </c>
      <c r="I229" s="2" t="s">
        <v>468</v>
      </c>
      <c r="J229" s="2" t="s">
        <v>469</v>
      </c>
      <c r="K229" s="2" t="s">
        <v>304</v>
      </c>
      <c r="L229" s="2" t="s">
        <v>206</v>
      </c>
      <c r="M229" s="8" t="str">
        <f>HYPERLINK("http://slimages.macys.com/is/image/MCY/11640093 ")</f>
        <v xml:space="preserve">http://slimages.macys.com/is/image/MCY/11640093 </v>
      </c>
    </row>
    <row r="230" spans="1:13" ht="60" x14ac:dyDescent="0.25">
      <c r="A230" s="7" t="s">
        <v>1767</v>
      </c>
      <c r="B230" s="2" t="s">
        <v>1768</v>
      </c>
      <c r="C230" s="4">
        <v>2</v>
      </c>
      <c r="D230" s="5">
        <v>6.85</v>
      </c>
      <c r="E230" s="5">
        <v>18</v>
      </c>
      <c r="F230" s="4" t="s">
        <v>1769</v>
      </c>
      <c r="G230" s="2" t="s">
        <v>48</v>
      </c>
      <c r="H230" s="7" t="s">
        <v>217</v>
      </c>
      <c r="I230" s="2" t="s">
        <v>468</v>
      </c>
      <c r="J230" s="2" t="s">
        <v>469</v>
      </c>
      <c r="K230" s="2" t="s">
        <v>304</v>
      </c>
      <c r="L230" s="2" t="s">
        <v>100</v>
      </c>
      <c r="M230" s="8" t="str">
        <f>HYPERLINK("http://slimages.macys.com/is/image/MCY/12809150 ")</f>
        <v xml:space="preserve">http://slimages.macys.com/is/image/MCY/12809150 </v>
      </c>
    </row>
    <row r="231" spans="1:13" ht="60" x14ac:dyDescent="0.25">
      <c r="A231" s="7" t="s">
        <v>1759</v>
      </c>
      <c r="B231" s="2" t="s">
        <v>993</v>
      </c>
      <c r="C231" s="4">
        <v>4</v>
      </c>
      <c r="D231" s="5">
        <v>6.85</v>
      </c>
      <c r="E231" s="5">
        <v>18</v>
      </c>
      <c r="F231" s="4" t="s">
        <v>994</v>
      </c>
      <c r="G231" s="2" t="s">
        <v>657</v>
      </c>
      <c r="H231" s="7" t="s">
        <v>284</v>
      </c>
      <c r="I231" s="2" t="s">
        <v>468</v>
      </c>
      <c r="J231" s="2" t="s">
        <v>469</v>
      </c>
      <c r="K231" s="2" t="s">
        <v>304</v>
      </c>
      <c r="L231" s="2" t="s">
        <v>537</v>
      </c>
      <c r="M231" s="8" t="str">
        <f>HYPERLINK("http://slimages.macys.com/is/image/MCY/13468835 ")</f>
        <v xml:space="preserve">http://slimages.macys.com/is/image/MCY/13468835 </v>
      </c>
    </row>
    <row r="232" spans="1:13" ht="60" x14ac:dyDescent="0.25">
      <c r="A232" s="7" t="s">
        <v>5413</v>
      </c>
      <c r="B232" s="2" t="s">
        <v>993</v>
      </c>
      <c r="C232" s="4">
        <v>4</v>
      </c>
      <c r="D232" s="5">
        <v>6.85</v>
      </c>
      <c r="E232" s="5">
        <v>18</v>
      </c>
      <c r="F232" s="4" t="s">
        <v>994</v>
      </c>
      <c r="G232" s="2" t="s">
        <v>657</v>
      </c>
      <c r="H232" s="7" t="s">
        <v>217</v>
      </c>
      <c r="I232" s="2" t="s">
        <v>468</v>
      </c>
      <c r="J232" s="2" t="s">
        <v>469</v>
      </c>
      <c r="K232" s="2" t="s">
        <v>304</v>
      </c>
      <c r="L232" s="2" t="s">
        <v>537</v>
      </c>
      <c r="M232" s="8" t="str">
        <f>HYPERLINK("http://slimages.macys.com/is/image/MCY/13468835 ")</f>
        <v xml:space="preserve">http://slimages.macys.com/is/image/MCY/13468835 </v>
      </c>
    </row>
    <row r="233" spans="1:13" ht="60" x14ac:dyDescent="0.25">
      <c r="A233" s="7" t="s">
        <v>992</v>
      </c>
      <c r="B233" s="2" t="s">
        <v>993</v>
      </c>
      <c r="C233" s="4">
        <v>1</v>
      </c>
      <c r="D233" s="5">
        <v>6.85</v>
      </c>
      <c r="E233" s="5">
        <v>18</v>
      </c>
      <c r="F233" s="4" t="s">
        <v>994</v>
      </c>
      <c r="G233" s="2" t="s">
        <v>657</v>
      </c>
      <c r="H233" s="7" t="s">
        <v>159</v>
      </c>
      <c r="I233" s="2" t="s">
        <v>468</v>
      </c>
      <c r="J233" s="2" t="s">
        <v>469</v>
      </c>
      <c r="K233" s="2" t="s">
        <v>304</v>
      </c>
      <c r="L233" s="2" t="s">
        <v>537</v>
      </c>
      <c r="M233" s="8" t="str">
        <f>HYPERLINK("http://slimages.macys.com/is/image/MCY/13468835 ")</f>
        <v xml:space="preserve">http://slimages.macys.com/is/image/MCY/13468835 </v>
      </c>
    </row>
    <row r="234" spans="1:13" ht="60" x14ac:dyDescent="0.25">
      <c r="A234" s="7" t="s">
        <v>8913</v>
      </c>
      <c r="B234" s="2" t="s">
        <v>1768</v>
      </c>
      <c r="C234" s="4">
        <v>2</v>
      </c>
      <c r="D234" s="5">
        <v>6.85</v>
      </c>
      <c r="E234" s="5">
        <v>18</v>
      </c>
      <c r="F234" s="4" t="s">
        <v>1769</v>
      </c>
      <c r="G234" s="2" t="s">
        <v>62</v>
      </c>
      <c r="H234" s="7" t="s">
        <v>159</v>
      </c>
      <c r="I234" s="2" t="s">
        <v>468</v>
      </c>
      <c r="J234" s="2" t="s">
        <v>469</v>
      </c>
      <c r="K234" s="2" t="s">
        <v>304</v>
      </c>
      <c r="L234" s="2" t="s">
        <v>100</v>
      </c>
      <c r="M234" s="8" t="str">
        <f>HYPERLINK("http://slimages.macys.com/is/image/MCY/12809150 ")</f>
        <v xml:space="preserve">http://slimages.macys.com/is/image/MCY/12809150 </v>
      </c>
    </row>
    <row r="235" spans="1:13" ht="60" x14ac:dyDescent="0.25">
      <c r="A235" s="7" t="s">
        <v>8914</v>
      </c>
      <c r="B235" s="2" t="s">
        <v>1768</v>
      </c>
      <c r="C235" s="4">
        <v>2</v>
      </c>
      <c r="D235" s="5">
        <v>6.85</v>
      </c>
      <c r="E235" s="5">
        <v>18</v>
      </c>
      <c r="F235" s="4" t="s">
        <v>1769</v>
      </c>
      <c r="G235" s="2" t="s">
        <v>62</v>
      </c>
      <c r="H235" s="7" t="s">
        <v>284</v>
      </c>
      <c r="I235" s="2" t="s">
        <v>468</v>
      </c>
      <c r="J235" s="2" t="s">
        <v>469</v>
      </c>
      <c r="K235" s="2" t="s">
        <v>304</v>
      </c>
      <c r="L235" s="2" t="s">
        <v>100</v>
      </c>
      <c r="M235" s="8" t="str">
        <f>HYPERLINK("http://slimages.macys.com/is/image/MCY/12809150 ")</f>
        <v xml:space="preserve">http://slimages.macys.com/is/image/MCY/12809150 </v>
      </c>
    </row>
    <row r="236" spans="1:13" ht="60" x14ac:dyDescent="0.25">
      <c r="A236" s="7" t="s">
        <v>1760</v>
      </c>
      <c r="B236" s="2" t="s">
        <v>993</v>
      </c>
      <c r="C236" s="4">
        <v>2</v>
      </c>
      <c r="D236" s="5">
        <v>6.85</v>
      </c>
      <c r="E236" s="5">
        <v>18</v>
      </c>
      <c r="F236" s="4" t="s">
        <v>994</v>
      </c>
      <c r="G236" s="2" t="s">
        <v>657</v>
      </c>
      <c r="H236" s="7" t="s">
        <v>228</v>
      </c>
      <c r="I236" s="2" t="s">
        <v>468</v>
      </c>
      <c r="J236" s="2" t="s">
        <v>469</v>
      </c>
      <c r="K236" s="2" t="s">
        <v>304</v>
      </c>
      <c r="L236" s="2" t="s">
        <v>537</v>
      </c>
      <c r="M236" s="8" t="str">
        <f>HYPERLINK("http://slimages.macys.com/is/image/MCY/13468835 ")</f>
        <v xml:space="preserve">http://slimages.macys.com/is/image/MCY/13468835 </v>
      </c>
    </row>
    <row r="237" spans="1:13" ht="60" x14ac:dyDescent="0.25">
      <c r="A237" s="7" t="s">
        <v>1770</v>
      </c>
      <c r="B237" s="2" t="s">
        <v>1768</v>
      </c>
      <c r="C237" s="4">
        <v>4</v>
      </c>
      <c r="D237" s="5">
        <v>6.85</v>
      </c>
      <c r="E237" s="5">
        <v>18</v>
      </c>
      <c r="F237" s="4" t="s">
        <v>1769</v>
      </c>
      <c r="G237" s="2" t="s">
        <v>48</v>
      </c>
      <c r="H237" s="7" t="s">
        <v>228</v>
      </c>
      <c r="I237" s="2" t="s">
        <v>468</v>
      </c>
      <c r="J237" s="2" t="s">
        <v>469</v>
      </c>
      <c r="K237" s="2" t="s">
        <v>304</v>
      </c>
      <c r="L237" s="2" t="s">
        <v>100</v>
      </c>
      <c r="M237" s="8" t="str">
        <f>HYPERLINK("http://slimages.macys.com/is/image/MCY/12809150 ")</f>
        <v xml:space="preserve">http://slimages.macys.com/is/image/MCY/12809150 </v>
      </c>
    </row>
    <row r="238" spans="1:13" ht="60" x14ac:dyDescent="0.25">
      <c r="A238" s="7" t="s">
        <v>5407</v>
      </c>
      <c r="B238" s="2" t="s">
        <v>1768</v>
      </c>
      <c r="C238" s="4">
        <v>2</v>
      </c>
      <c r="D238" s="5">
        <v>6.85</v>
      </c>
      <c r="E238" s="5">
        <v>18</v>
      </c>
      <c r="F238" s="4" t="s">
        <v>1769</v>
      </c>
      <c r="G238" s="2" t="s">
        <v>48</v>
      </c>
      <c r="H238" s="7" t="s">
        <v>159</v>
      </c>
      <c r="I238" s="2" t="s">
        <v>468</v>
      </c>
      <c r="J238" s="2" t="s">
        <v>469</v>
      </c>
      <c r="K238" s="2" t="s">
        <v>304</v>
      </c>
      <c r="L238" s="2" t="s">
        <v>100</v>
      </c>
      <c r="M238" s="8" t="str">
        <f>HYPERLINK("http://slimages.macys.com/is/image/MCY/12809150 ")</f>
        <v xml:space="preserve">http://slimages.macys.com/is/image/MCY/12809150 </v>
      </c>
    </row>
    <row r="239" spans="1:13" ht="60" x14ac:dyDescent="0.25">
      <c r="A239" s="7" t="s">
        <v>6291</v>
      </c>
      <c r="B239" s="2" t="s">
        <v>2589</v>
      </c>
      <c r="C239" s="4">
        <v>2</v>
      </c>
      <c r="D239" s="5">
        <v>6.81</v>
      </c>
      <c r="E239" s="5">
        <v>16.989999999999998</v>
      </c>
      <c r="F239" s="4" t="s">
        <v>2590</v>
      </c>
      <c r="G239" s="2" t="s">
        <v>353</v>
      </c>
      <c r="H239" s="7" t="s">
        <v>284</v>
      </c>
      <c r="I239" s="2" t="s">
        <v>515</v>
      </c>
      <c r="J239" s="2" t="s">
        <v>827</v>
      </c>
      <c r="K239" s="2" t="s">
        <v>304</v>
      </c>
      <c r="L239" s="2" t="s">
        <v>358</v>
      </c>
      <c r="M239" s="8" t="str">
        <f t="shared" ref="M239:M248" si="2">HYPERLINK("http://slimages.macys.com/is/image/MCY/12507563 ")</f>
        <v xml:space="preserve">http://slimages.macys.com/is/image/MCY/12507563 </v>
      </c>
    </row>
    <row r="240" spans="1:13" ht="60" x14ac:dyDescent="0.25">
      <c r="A240" s="7" t="s">
        <v>8915</v>
      </c>
      <c r="B240" s="2" t="s">
        <v>2589</v>
      </c>
      <c r="C240" s="4">
        <v>2</v>
      </c>
      <c r="D240" s="5">
        <v>6.81</v>
      </c>
      <c r="E240" s="5">
        <v>16.989999999999998</v>
      </c>
      <c r="F240" s="4" t="s">
        <v>2590</v>
      </c>
      <c r="G240" s="2" t="s">
        <v>62</v>
      </c>
      <c r="H240" s="7" t="s">
        <v>196</v>
      </c>
      <c r="I240" s="2" t="s">
        <v>515</v>
      </c>
      <c r="J240" s="2" t="s">
        <v>827</v>
      </c>
      <c r="K240" s="2" t="s">
        <v>304</v>
      </c>
      <c r="L240" s="2" t="s">
        <v>358</v>
      </c>
      <c r="M240" s="8" t="str">
        <f t="shared" si="2"/>
        <v xml:space="preserve">http://slimages.macys.com/is/image/MCY/12507563 </v>
      </c>
    </row>
    <row r="241" spans="1:13" ht="60" x14ac:dyDescent="0.25">
      <c r="A241" s="7" t="s">
        <v>2588</v>
      </c>
      <c r="B241" s="2" t="s">
        <v>2589</v>
      </c>
      <c r="C241" s="4">
        <v>5</v>
      </c>
      <c r="D241" s="5">
        <v>6.81</v>
      </c>
      <c r="E241" s="5">
        <v>16.989999999999998</v>
      </c>
      <c r="F241" s="4" t="s">
        <v>2590</v>
      </c>
      <c r="G241" s="2" t="s">
        <v>62</v>
      </c>
      <c r="H241" s="7" t="s">
        <v>159</v>
      </c>
      <c r="I241" s="2" t="s">
        <v>515</v>
      </c>
      <c r="J241" s="2" t="s">
        <v>827</v>
      </c>
      <c r="K241" s="2" t="s">
        <v>304</v>
      </c>
      <c r="L241" s="2" t="s">
        <v>358</v>
      </c>
      <c r="M241" s="8" t="str">
        <f t="shared" si="2"/>
        <v xml:space="preserve">http://slimages.macys.com/is/image/MCY/12507563 </v>
      </c>
    </row>
    <row r="242" spans="1:13" ht="60" x14ac:dyDescent="0.25">
      <c r="A242" s="7" t="s">
        <v>7549</v>
      </c>
      <c r="B242" s="2" t="s">
        <v>2589</v>
      </c>
      <c r="C242" s="4">
        <v>6</v>
      </c>
      <c r="D242" s="5">
        <v>6.81</v>
      </c>
      <c r="E242" s="5">
        <v>16.989999999999998</v>
      </c>
      <c r="F242" s="4" t="s">
        <v>2590</v>
      </c>
      <c r="G242" s="2" t="s">
        <v>48</v>
      </c>
      <c r="H242" s="7" t="s">
        <v>159</v>
      </c>
      <c r="I242" s="2" t="s">
        <v>515</v>
      </c>
      <c r="J242" s="2" t="s">
        <v>827</v>
      </c>
      <c r="K242" s="2" t="s">
        <v>304</v>
      </c>
      <c r="L242" s="2" t="s">
        <v>358</v>
      </c>
      <c r="M242" s="8" t="str">
        <f t="shared" si="2"/>
        <v xml:space="preserve">http://slimages.macys.com/is/image/MCY/12507563 </v>
      </c>
    </row>
    <row r="243" spans="1:13" ht="60" x14ac:dyDescent="0.25">
      <c r="A243" s="7" t="s">
        <v>7550</v>
      </c>
      <c r="B243" s="2" t="s">
        <v>2589</v>
      </c>
      <c r="C243" s="4">
        <v>4</v>
      </c>
      <c r="D243" s="5">
        <v>6.81</v>
      </c>
      <c r="E243" s="5">
        <v>16.989999999999998</v>
      </c>
      <c r="F243" s="4" t="s">
        <v>2590</v>
      </c>
      <c r="G243" s="2" t="s">
        <v>48</v>
      </c>
      <c r="H243" s="7" t="s">
        <v>284</v>
      </c>
      <c r="I243" s="2" t="s">
        <v>515</v>
      </c>
      <c r="J243" s="2" t="s">
        <v>827</v>
      </c>
      <c r="K243" s="2" t="s">
        <v>304</v>
      </c>
      <c r="L243" s="2" t="s">
        <v>358</v>
      </c>
      <c r="M243" s="8" t="str">
        <f t="shared" si="2"/>
        <v xml:space="preserve">http://slimages.macys.com/is/image/MCY/12507563 </v>
      </c>
    </row>
    <row r="244" spans="1:13" ht="60" x14ac:dyDescent="0.25">
      <c r="A244" s="7" t="s">
        <v>5421</v>
      </c>
      <c r="B244" s="2" t="s">
        <v>2589</v>
      </c>
      <c r="C244" s="4">
        <v>2</v>
      </c>
      <c r="D244" s="5">
        <v>6.81</v>
      </c>
      <c r="E244" s="5">
        <v>16.989999999999998</v>
      </c>
      <c r="F244" s="4" t="s">
        <v>2590</v>
      </c>
      <c r="G244" s="2" t="s">
        <v>48</v>
      </c>
      <c r="H244" s="7" t="s">
        <v>196</v>
      </c>
      <c r="I244" s="2" t="s">
        <v>515</v>
      </c>
      <c r="J244" s="2" t="s">
        <v>827</v>
      </c>
      <c r="K244" s="2" t="s">
        <v>304</v>
      </c>
      <c r="L244" s="2" t="s">
        <v>358</v>
      </c>
      <c r="M244" s="8" t="str">
        <f t="shared" si="2"/>
        <v xml:space="preserve">http://slimages.macys.com/is/image/MCY/12507563 </v>
      </c>
    </row>
    <row r="245" spans="1:13" ht="60" x14ac:dyDescent="0.25">
      <c r="A245" s="7" t="s">
        <v>8916</v>
      </c>
      <c r="B245" s="2" t="s">
        <v>2589</v>
      </c>
      <c r="C245" s="4">
        <v>1</v>
      </c>
      <c r="D245" s="5">
        <v>6.81</v>
      </c>
      <c r="E245" s="5">
        <v>16.989999999999998</v>
      </c>
      <c r="F245" s="4" t="s">
        <v>2590</v>
      </c>
      <c r="G245" s="2" t="s">
        <v>36</v>
      </c>
      <c r="H245" s="7" t="s">
        <v>196</v>
      </c>
      <c r="I245" s="2" t="s">
        <v>515</v>
      </c>
      <c r="J245" s="2" t="s">
        <v>827</v>
      </c>
      <c r="K245" s="2" t="s">
        <v>304</v>
      </c>
      <c r="L245" s="2" t="s">
        <v>358</v>
      </c>
      <c r="M245" s="8" t="str">
        <f t="shared" si="2"/>
        <v xml:space="preserve">http://slimages.macys.com/is/image/MCY/12507563 </v>
      </c>
    </row>
    <row r="246" spans="1:13" ht="60" x14ac:dyDescent="0.25">
      <c r="A246" s="7" t="s">
        <v>8917</v>
      </c>
      <c r="B246" s="2" t="s">
        <v>2589</v>
      </c>
      <c r="C246" s="4">
        <v>3</v>
      </c>
      <c r="D246" s="5">
        <v>6.81</v>
      </c>
      <c r="E246" s="5">
        <v>16.989999999999998</v>
      </c>
      <c r="F246" s="4" t="s">
        <v>2590</v>
      </c>
      <c r="G246" s="2" t="s">
        <v>62</v>
      </c>
      <c r="H246" s="7" t="s">
        <v>228</v>
      </c>
      <c r="I246" s="2" t="s">
        <v>515</v>
      </c>
      <c r="J246" s="2" t="s">
        <v>827</v>
      </c>
      <c r="K246" s="2" t="s">
        <v>304</v>
      </c>
      <c r="L246" s="2" t="s">
        <v>358</v>
      </c>
      <c r="M246" s="8" t="str">
        <f t="shared" si="2"/>
        <v xml:space="preserve">http://slimages.macys.com/is/image/MCY/12507563 </v>
      </c>
    </row>
    <row r="247" spans="1:13" ht="60" x14ac:dyDescent="0.25">
      <c r="A247" s="7" t="s">
        <v>7548</v>
      </c>
      <c r="B247" s="2" t="s">
        <v>2589</v>
      </c>
      <c r="C247" s="4">
        <v>2</v>
      </c>
      <c r="D247" s="5">
        <v>6.81</v>
      </c>
      <c r="E247" s="5">
        <v>16.989999999999998</v>
      </c>
      <c r="F247" s="4" t="s">
        <v>2590</v>
      </c>
      <c r="G247" s="2" t="s">
        <v>48</v>
      </c>
      <c r="H247" s="7" t="s">
        <v>228</v>
      </c>
      <c r="I247" s="2" t="s">
        <v>515</v>
      </c>
      <c r="J247" s="2" t="s">
        <v>827</v>
      </c>
      <c r="K247" s="2" t="s">
        <v>304</v>
      </c>
      <c r="L247" s="2" t="s">
        <v>358</v>
      </c>
      <c r="M247" s="8" t="str">
        <f t="shared" si="2"/>
        <v xml:space="preserve">http://slimages.macys.com/is/image/MCY/12507563 </v>
      </c>
    </row>
    <row r="248" spans="1:13" ht="60" x14ac:dyDescent="0.25">
      <c r="A248" s="7" t="s">
        <v>8918</v>
      </c>
      <c r="B248" s="2" t="s">
        <v>2589</v>
      </c>
      <c r="C248" s="4">
        <v>3</v>
      </c>
      <c r="D248" s="5">
        <v>6.81</v>
      </c>
      <c r="E248" s="5">
        <v>16.989999999999998</v>
      </c>
      <c r="F248" s="4" t="s">
        <v>2590</v>
      </c>
      <c r="G248" s="2" t="s">
        <v>62</v>
      </c>
      <c r="H248" s="7" t="s">
        <v>284</v>
      </c>
      <c r="I248" s="2" t="s">
        <v>515</v>
      </c>
      <c r="J248" s="2" t="s">
        <v>827</v>
      </c>
      <c r="K248" s="2" t="s">
        <v>304</v>
      </c>
      <c r="L248" s="2" t="s">
        <v>358</v>
      </c>
      <c r="M248" s="8" t="str">
        <f t="shared" si="2"/>
        <v xml:space="preserve">http://slimages.macys.com/is/image/MCY/12507563 </v>
      </c>
    </row>
    <row r="249" spans="1:13" ht="60" x14ac:dyDescent="0.25">
      <c r="A249" s="7" t="s">
        <v>8919</v>
      </c>
      <c r="B249" s="2" t="s">
        <v>8920</v>
      </c>
      <c r="C249" s="4">
        <v>1</v>
      </c>
      <c r="D249" s="5">
        <v>6.77</v>
      </c>
      <c r="E249" s="5">
        <v>16.989999999999998</v>
      </c>
      <c r="F249" s="4" t="s">
        <v>8921</v>
      </c>
      <c r="G249" s="2" t="s">
        <v>62</v>
      </c>
      <c r="H249" s="7" t="s">
        <v>159</v>
      </c>
      <c r="I249" s="2" t="s">
        <v>515</v>
      </c>
      <c r="J249" s="2" t="s">
        <v>827</v>
      </c>
      <c r="K249" s="2" t="s">
        <v>304</v>
      </c>
      <c r="L249" s="2" t="s">
        <v>358</v>
      </c>
      <c r="M249" s="8" t="str">
        <f>HYPERLINK("http://slimages.macys.com/is/image/MCY/9978851 ")</f>
        <v xml:space="preserve">http://slimages.macys.com/is/image/MCY/9978851 </v>
      </c>
    </row>
    <row r="250" spans="1:13" ht="72" x14ac:dyDescent="0.25">
      <c r="A250" s="7" t="s">
        <v>6874</v>
      </c>
      <c r="B250" s="2" t="s">
        <v>4092</v>
      </c>
      <c r="C250" s="4">
        <v>1</v>
      </c>
      <c r="D250" s="5">
        <v>6.75</v>
      </c>
      <c r="E250" s="5">
        <v>14.99</v>
      </c>
      <c r="F250" s="4" t="s">
        <v>4093</v>
      </c>
      <c r="G250" s="2" t="s">
        <v>657</v>
      </c>
      <c r="H250" s="7" t="s">
        <v>159</v>
      </c>
      <c r="I250" s="2" t="s">
        <v>257</v>
      </c>
      <c r="J250" s="2" t="s">
        <v>4094</v>
      </c>
      <c r="K250" s="2" t="s">
        <v>304</v>
      </c>
      <c r="L250" s="2" t="s">
        <v>4095</v>
      </c>
      <c r="M250" s="8" t="str">
        <f>HYPERLINK("http://slimages.macys.com/is/image/MCY/12080168 ")</f>
        <v xml:space="preserve">http://slimages.macys.com/is/image/MCY/12080168 </v>
      </c>
    </row>
    <row r="251" spans="1:13" ht="60" x14ac:dyDescent="0.25">
      <c r="A251" s="7" t="s">
        <v>8922</v>
      </c>
      <c r="B251" s="2" t="s">
        <v>8923</v>
      </c>
      <c r="C251" s="4">
        <v>1</v>
      </c>
      <c r="D251" s="5">
        <v>6.75</v>
      </c>
      <c r="E251" s="5">
        <v>15.7</v>
      </c>
      <c r="F251" s="4">
        <v>18496910</v>
      </c>
      <c r="G251" s="2" t="s">
        <v>41</v>
      </c>
      <c r="H251" s="7" t="s">
        <v>233</v>
      </c>
      <c r="I251" s="2" t="s">
        <v>153</v>
      </c>
      <c r="J251" s="2" t="s">
        <v>154</v>
      </c>
      <c r="K251" s="2" t="s">
        <v>304</v>
      </c>
      <c r="L251" s="2" t="s">
        <v>38</v>
      </c>
      <c r="M251" s="8" t="str">
        <f>HYPERLINK("http://slimages.macys.com/is/image/MCY/14662114 ")</f>
        <v xml:space="preserve">http://slimages.macys.com/is/image/MCY/14662114 </v>
      </c>
    </row>
    <row r="252" spans="1:13" ht="60" x14ac:dyDescent="0.25">
      <c r="A252" s="7" t="s">
        <v>8924</v>
      </c>
      <c r="B252" s="2" t="s">
        <v>8925</v>
      </c>
      <c r="C252" s="4">
        <v>1</v>
      </c>
      <c r="D252" s="5">
        <v>6.75</v>
      </c>
      <c r="E252" s="5">
        <v>14.98</v>
      </c>
      <c r="F252" s="4" t="s">
        <v>8926</v>
      </c>
      <c r="G252" s="2" t="s">
        <v>1747</v>
      </c>
      <c r="H252" s="7" t="s">
        <v>159</v>
      </c>
      <c r="I252" s="2" t="s">
        <v>257</v>
      </c>
      <c r="J252" s="2" t="s">
        <v>4094</v>
      </c>
      <c r="K252" s="2" t="s">
        <v>304</v>
      </c>
      <c r="L252" s="2" t="s">
        <v>119</v>
      </c>
      <c r="M252" s="8" t="str">
        <f>HYPERLINK("http://slimages.macys.com/is/image/MCY/10125229 ")</f>
        <v xml:space="preserve">http://slimages.macys.com/is/image/MCY/10125229 </v>
      </c>
    </row>
    <row r="253" spans="1:13" ht="84" x14ac:dyDescent="0.25">
      <c r="A253" s="7" t="s">
        <v>8927</v>
      </c>
      <c r="B253" s="2" t="s">
        <v>8928</v>
      </c>
      <c r="C253" s="4">
        <v>2</v>
      </c>
      <c r="D253" s="5">
        <v>6.72</v>
      </c>
      <c r="E253" s="5">
        <v>17.989999999999998</v>
      </c>
      <c r="F253" s="4" t="s">
        <v>8929</v>
      </c>
      <c r="G253" s="2" t="s">
        <v>527</v>
      </c>
      <c r="H253" s="7" t="s">
        <v>159</v>
      </c>
      <c r="I253" s="2" t="s">
        <v>515</v>
      </c>
      <c r="J253" s="2" t="s">
        <v>827</v>
      </c>
      <c r="K253" s="2" t="s">
        <v>304</v>
      </c>
      <c r="L253" s="2" t="s">
        <v>1117</v>
      </c>
      <c r="M253" s="8" t="str">
        <f>HYPERLINK("http://slimages.macys.com/is/image/MCY/11605993 ")</f>
        <v xml:space="preserve">http://slimages.macys.com/is/image/MCY/11605993 </v>
      </c>
    </row>
    <row r="254" spans="1:13" ht="84" x14ac:dyDescent="0.25">
      <c r="A254" s="7" t="s">
        <v>8930</v>
      </c>
      <c r="B254" s="2" t="s">
        <v>2600</v>
      </c>
      <c r="C254" s="4">
        <v>1</v>
      </c>
      <c r="D254" s="5">
        <v>6.72</v>
      </c>
      <c r="E254" s="5">
        <v>17.989999999999998</v>
      </c>
      <c r="F254" s="4" t="s">
        <v>2601</v>
      </c>
      <c r="G254" s="2" t="s">
        <v>171</v>
      </c>
      <c r="H254" s="7" t="s">
        <v>196</v>
      </c>
      <c r="I254" s="2" t="s">
        <v>515</v>
      </c>
      <c r="J254" s="2" t="s">
        <v>827</v>
      </c>
      <c r="K254" s="2" t="s">
        <v>304</v>
      </c>
      <c r="L254" s="2" t="s">
        <v>1117</v>
      </c>
      <c r="M254" s="8" t="str">
        <f>HYPERLINK("http://slimages.macys.com/is/image/MCY/11605968 ")</f>
        <v xml:space="preserve">http://slimages.macys.com/is/image/MCY/11605968 </v>
      </c>
    </row>
    <row r="255" spans="1:13" ht="60" x14ac:dyDescent="0.25">
      <c r="A255" s="7" t="s">
        <v>1799</v>
      </c>
      <c r="B255" s="2" t="s">
        <v>1800</v>
      </c>
      <c r="C255" s="4">
        <v>2</v>
      </c>
      <c r="D255" s="5">
        <v>6.7</v>
      </c>
      <c r="E255" s="5">
        <v>16.989999999999998</v>
      </c>
      <c r="F255" s="4" t="s">
        <v>1801</v>
      </c>
      <c r="G255" s="2" t="s">
        <v>527</v>
      </c>
      <c r="H255" s="7" t="s">
        <v>159</v>
      </c>
      <c r="I255" s="2" t="s">
        <v>515</v>
      </c>
      <c r="J255" s="2" t="s">
        <v>827</v>
      </c>
      <c r="K255" s="2" t="s">
        <v>304</v>
      </c>
      <c r="L255" s="2" t="s">
        <v>358</v>
      </c>
      <c r="M255" s="8" t="str">
        <f>HYPERLINK("http://slimages.macys.com/is/image/MCY/12052318 ")</f>
        <v xml:space="preserve">http://slimages.macys.com/is/image/MCY/12052318 </v>
      </c>
    </row>
    <row r="256" spans="1:13" ht="60" x14ac:dyDescent="0.25">
      <c r="A256" s="7" t="s">
        <v>8931</v>
      </c>
      <c r="B256" s="2" t="s">
        <v>8932</v>
      </c>
      <c r="C256" s="4">
        <v>1</v>
      </c>
      <c r="D256" s="5">
        <v>6.7</v>
      </c>
      <c r="E256" s="5">
        <v>16.989999999999998</v>
      </c>
      <c r="F256" s="4">
        <v>26508910</v>
      </c>
      <c r="G256" s="2"/>
      <c r="H256" s="7" t="s">
        <v>68</v>
      </c>
      <c r="I256" s="2" t="s">
        <v>321</v>
      </c>
      <c r="J256" s="2" t="s">
        <v>4958</v>
      </c>
      <c r="K256" s="2" t="s">
        <v>304</v>
      </c>
      <c r="L256" s="2" t="s">
        <v>224</v>
      </c>
      <c r="M256" s="8" t="str">
        <f>HYPERLINK("http://slimages.macys.com/is/image/MCY/11954634 ")</f>
        <v xml:space="preserve">http://slimages.macys.com/is/image/MCY/11954634 </v>
      </c>
    </row>
    <row r="257" spans="1:13" ht="60" x14ac:dyDescent="0.25">
      <c r="A257" s="7" t="s">
        <v>1805</v>
      </c>
      <c r="B257" s="2" t="s">
        <v>1025</v>
      </c>
      <c r="C257" s="4">
        <v>1</v>
      </c>
      <c r="D257" s="5">
        <v>6.67</v>
      </c>
      <c r="E257" s="5">
        <v>16.989999999999998</v>
      </c>
      <c r="F257" s="4" t="s">
        <v>1804</v>
      </c>
      <c r="G257" s="2" t="s">
        <v>62</v>
      </c>
      <c r="H257" s="7" t="s">
        <v>228</v>
      </c>
      <c r="I257" s="2" t="s">
        <v>515</v>
      </c>
      <c r="J257" s="2" t="s">
        <v>827</v>
      </c>
      <c r="K257" s="2" t="s">
        <v>304</v>
      </c>
      <c r="L257" s="2" t="s">
        <v>358</v>
      </c>
      <c r="M257" s="8" t="str">
        <f>HYPERLINK("http://slimages.macys.com/is/image/MCY/12687279 ")</f>
        <v xml:space="preserve">http://slimages.macys.com/is/image/MCY/12687279 </v>
      </c>
    </row>
    <row r="258" spans="1:13" ht="60" x14ac:dyDescent="0.25">
      <c r="A258" s="7" t="s">
        <v>1803</v>
      </c>
      <c r="B258" s="2" t="s">
        <v>1025</v>
      </c>
      <c r="C258" s="4">
        <v>2</v>
      </c>
      <c r="D258" s="5">
        <v>6.67</v>
      </c>
      <c r="E258" s="5">
        <v>16.989999999999998</v>
      </c>
      <c r="F258" s="4" t="s">
        <v>1804</v>
      </c>
      <c r="G258" s="2" t="s">
        <v>62</v>
      </c>
      <c r="H258" s="7" t="s">
        <v>284</v>
      </c>
      <c r="I258" s="2" t="s">
        <v>515</v>
      </c>
      <c r="J258" s="2" t="s">
        <v>827</v>
      </c>
      <c r="K258" s="2" t="s">
        <v>304</v>
      </c>
      <c r="L258" s="2" t="s">
        <v>358</v>
      </c>
      <c r="M258" s="8" t="str">
        <f>HYPERLINK("http://slimages.macys.com/is/image/MCY/12687279 ")</f>
        <v xml:space="preserve">http://slimages.macys.com/is/image/MCY/12687279 </v>
      </c>
    </row>
    <row r="259" spans="1:13" ht="60" x14ac:dyDescent="0.25">
      <c r="A259" s="7" t="s">
        <v>4936</v>
      </c>
      <c r="B259" s="2" t="s">
        <v>1025</v>
      </c>
      <c r="C259" s="4">
        <v>1</v>
      </c>
      <c r="D259" s="5">
        <v>6.67</v>
      </c>
      <c r="E259" s="5">
        <v>16.989999999999998</v>
      </c>
      <c r="F259" s="4" t="s">
        <v>1804</v>
      </c>
      <c r="G259" s="2" t="s">
        <v>62</v>
      </c>
      <c r="H259" s="7" t="s">
        <v>159</v>
      </c>
      <c r="I259" s="2" t="s">
        <v>515</v>
      </c>
      <c r="J259" s="2" t="s">
        <v>827</v>
      </c>
      <c r="K259" s="2" t="s">
        <v>304</v>
      </c>
      <c r="L259" s="2" t="s">
        <v>358</v>
      </c>
      <c r="M259" s="8" t="str">
        <f>HYPERLINK("http://slimages.macys.com/is/image/MCY/12687279 ")</f>
        <v xml:space="preserve">http://slimages.macys.com/is/image/MCY/12687279 </v>
      </c>
    </row>
    <row r="260" spans="1:13" ht="60" x14ac:dyDescent="0.25">
      <c r="A260" s="7" t="s">
        <v>6292</v>
      </c>
      <c r="B260" s="2" t="s">
        <v>1025</v>
      </c>
      <c r="C260" s="4">
        <v>2</v>
      </c>
      <c r="D260" s="5">
        <v>6.67</v>
      </c>
      <c r="E260" s="5">
        <v>16.989999999999998</v>
      </c>
      <c r="F260" s="4" t="s">
        <v>1804</v>
      </c>
      <c r="G260" s="2" t="s">
        <v>62</v>
      </c>
      <c r="H260" s="7" t="s">
        <v>228</v>
      </c>
      <c r="I260" s="2" t="s">
        <v>515</v>
      </c>
      <c r="J260" s="2" t="s">
        <v>827</v>
      </c>
      <c r="K260" s="2" t="s">
        <v>304</v>
      </c>
      <c r="L260" s="2" t="s">
        <v>358</v>
      </c>
      <c r="M260" s="8" t="str">
        <f>HYPERLINK("http://slimages.macys.com/is/image/MCY/12687279 ")</f>
        <v xml:space="preserve">http://slimages.macys.com/is/image/MCY/12687279 </v>
      </c>
    </row>
    <row r="261" spans="1:13" ht="120" x14ac:dyDescent="0.25">
      <c r="A261" s="7" t="s">
        <v>8933</v>
      </c>
      <c r="B261" s="2" t="s">
        <v>1807</v>
      </c>
      <c r="C261" s="4">
        <v>1</v>
      </c>
      <c r="D261" s="5">
        <v>6.63</v>
      </c>
      <c r="E261" s="5">
        <v>17.989999999999998</v>
      </c>
      <c r="F261" s="4" t="s">
        <v>8934</v>
      </c>
      <c r="G261" s="2" t="s">
        <v>297</v>
      </c>
      <c r="H261" s="7"/>
      <c r="I261" s="2" t="s">
        <v>483</v>
      </c>
      <c r="J261" s="2" t="s">
        <v>536</v>
      </c>
      <c r="K261" s="2" t="s">
        <v>304</v>
      </c>
      <c r="L261" s="2" t="s">
        <v>8935</v>
      </c>
      <c r="M261" s="8" t="str">
        <f>HYPERLINK("http://slimages.macys.com/is/image/MCY/11954870 ")</f>
        <v xml:space="preserve">http://slimages.macys.com/is/image/MCY/11954870 </v>
      </c>
    </row>
    <row r="262" spans="1:13" ht="60" x14ac:dyDescent="0.25">
      <c r="A262" s="7" t="s">
        <v>8936</v>
      </c>
      <c r="B262" s="2" t="s">
        <v>8937</v>
      </c>
      <c r="C262" s="4">
        <v>1</v>
      </c>
      <c r="D262" s="5">
        <v>6.5</v>
      </c>
      <c r="E262" s="5">
        <v>16.989999999999998</v>
      </c>
      <c r="F262" s="4" t="s">
        <v>8938</v>
      </c>
      <c r="G262" s="2" t="s">
        <v>858</v>
      </c>
      <c r="H262" s="7" t="s">
        <v>618</v>
      </c>
      <c r="I262" s="2" t="s">
        <v>483</v>
      </c>
      <c r="J262" s="2" t="s">
        <v>4858</v>
      </c>
      <c r="K262" s="2" t="s">
        <v>304</v>
      </c>
      <c r="L262" s="2" t="s">
        <v>5447</v>
      </c>
      <c r="M262" s="8" t="str">
        <f>HYPERLINK("http://slimages.macys.com/is/image/MCY/10276820 ")</f>
        <v xml:space="preserve">http://slimages.macys.com/is/image/MCY/10276820 </v>
      </c>
    </row>
    <row r="263" spans="1:13" ht="60" x14ac:dyDescent="0.25">
      <c r="A263" s="7" t="s">
        <v>8939</v>
      </c>
      <c r="B263" s="2" t="s">
        <v>5457</v>
      </c>
      <c r="C263" s="4">
        <v>1</v>
      </c>
      <c r="D263" s="5">
        <v>6.46</v>
      </c>
      <c r="E263" s="5">
        <v>14.99</v>
      </c>
      <c r="F263" s="4" t="s">
        <v>5458</v>
      </c>
      <c r="G263" s="2" t="s">
        <v>41</v>
      </c>
      <c r="H263" s="7" t="s">
        <v>311</v>
      </c>
      <c r="I263" s="2" t="s">
        <v>292</v>
      </c>
      <c r="J263" s="2" t="s">
        <v>354</v>
      </c>
      <c r="K263" s="2" t="s">
        <v>304</v>
      </c>
      <c r="L263" s="2" t="s">
        <v>206</v>
      </c>
      <c r="M263" s="8" t="str">
        <f>HYPERLINK("http://slimages.macys.com/is/image/MCY/12951290 ")</f>
        <v xml:space="preserve">http://slimages.macys.com/is/image/MCY/12951290 </v>
      </c>
    </row>
    <row r="264" spans="1:13" ht="96" x14ac:dyDescent="0.25">
      <c r="A264" s="7" t="s">
        <v>8286</v>
      </c>
      <c r="B264" s="2" t="s">
        <v>1811</v>
      </c>
      <c r="C264" s="4">
        <v>2</v>
      </c>
      <c r="D264" s="5">
        <v>6.45</v>
      </c>
      <c r="E264" s="5">
        <v>16.989999999999998</v>
      </c>
      <c r="F264" s="4" t="s">
        <v>1812</v>
      </c>
      <c r="G264" s="2" t="s">
        <v>62</v>
      </c>
      <c r="H264" s="7" t="s">
        <v>159</v>
      </c>
      <c r="I264" s="2" t="s">
        <v>515</v>
      </c>
      <c r="J264" s="2" t="s">
        <v>827</v>
      </c>
      <c r="K264" s="2" t="s">
        <v>304</v>
      </c>
      <c r="L264" s="2" t="s">
        <v>1813</v>
      </c>
      <c r="M264" s="8" t="str">
        <f>HYPERLINK("http://slimages.macys.com/is/image/MCY/12686957 ")</f>
        <v xml:space="preserve">http://slimages.macys.com/is/image/MCY/12686957 </v>
      </c>
    </row>
    <row r="265" spans="1:13" ht="108" x14ac:dyDescent="0.25">
      <c r="A265" s="7" t="s">
        <v>8940</v>
      </c>
      <c r="B265" s="2" t="s">
        <v>8941</v>
      </c>
      <c r="C265" s="4">
        <v>2</v>
      </c>
      <c r="D265" s="5">
        <v>6.45</v>
      </c>
      <c r="E265" s="5">
        <v>16.989999999999998</v>
      </c>
      <c r="F265" s="4" t="s">
        <v>8942</v>
      </c>
      <c r="G265" s="2" t="s">
        <v>171</v>
      </c>
      <c r="H265" s="7" t="s">
        <v>196</v>
      </c>
      <c r="I265" s="2" t="s">
        <v>515</v>
      </c>
      <c r="J265" s="2" t="s">
        <v>827</v>
      </c>
      <c r="K265" s="2" t="s">
        <v>304</v>
      </c>
      <c r="L265" s="2" t="s">
        <v>8943</v>
      </c>
      <c r="M265" s="8" t="str">
        <f>HYPERLINK("http://slimages.macys.com/is/image/MCY/11860742 ")</f>
        <v xml:space="preserve">http://slimages.macys.com/is/image/MCY/11860742 </v>
      </c>
    </row>
    <row r="266" spans="1:13" ht="108" x14ac:dyDescent="0.25">
      <c r="A266" s="7" t="s">
        <v>8944</v>
      </c>
      <c r="B266" s="2" t="s">
        <v>8941</v>
      </c>
      <c r="C266" s="4">
        <v>1</v>
      </c>
      <c r="D266" s="5">
        <v>6.45</v>
      </c>
      <c r="E266" s="5">
        <v>16.989999999999998</v>
      </c>
      <c r="F266" s="4" t="s">
        <v>8942</v>
      </c>
      <c r="G266" s="2" t="s">
        <v>171</v>
      </c>
      <c r="H266" s="7" t="s">
        <v>159</v>
      </c>
      <c r="I266" s="2" t="s">
        <v>515</v>
      </c>
      <c r="J266" s="2" t="s">
        <v>827</v>
      </c>
      <c r="K266" s="2" t="s">
        <v>304</v>
      </c>
      <c r="L266" s="2" t="s">
        <v>8943</v>
      </c>
      <c r="M266" s="8" t="str">
        <f>HYPERLINK("http://slimages.macys.com/is/image/MCY/11860742 ")</f>
        <v xml:space="preserve">http://slimages.macys.com/is/image/MCY/11860742 </v>
      </c>
    </row>
    <row r="267" spans="1:13" ht="96" x14ac:dyDescent="0.25">
      <c r="A267" s="7" t="s">
        <v>7598</v>
      </c>
      <c r="B267" s="2" t="s">
        <v>1811</v>
      </c>
      <c r="C267" s="4">
        <v>1</v>
      </c>
      <c r="D267" s="5">
        <v>6.45</v>
      </c>
      <c r="E267" s="5">
        <v>16.989999999999998</v>
      </c>
      <c r="F267" s="4" t="s">
        <v>1812</v>
      </c>
      <c r="G267" s="2" t="s">
        <v>62</v>
      </c>
      <c r="H267" s="7" t="s">
        <v>284</v>
      </c>
      <c r="I267" s="2" t="s">
        <v>515</v>
      </c>
      <c r="J267" s="2" t="s">
        <v>827</v>
      </c>
      <c r="K267" s="2" t="s">
        <v>304</v>
      </c>
      <c r="L267" s="2" t="s">
        <v>1813</v>
      </c>
      <c r="M267" s="8" t="str">
        <f>HYPERLINK("http://slimages.macys.com/is/image/MCY/12686957 ")</f>
        <v xml:space="preserve">http://slimages.macys.com/is/image/MCY/12686957 </v>
      </c>
    </row>
    <row r="268" spans="1:13" ht="60" x14ac:dyDescent="0.25">
      <c r="A268" s="7" t="s">
        <v>6297</v>
      </c>
      <c r="B268" s="2" t="s">
        <v>1815</v>
      </c>
      <c r="C268" s="4">
        <v>1</v>
      </c>
      <c r="D268" s="5">
        <v>6.43</v>
      </c>
      <c r="E268" s="5">
        <v>16.989999999999998</v>
      </c>
      <c r="F268" s="4" t="s">
        <v>1816</v>
      </c>
      <c r="G268" s="2" t="s">
        <v>353</v>
      </c>
      <c r="H268" s="7" t="s">
        <v>196</v>
      </c>
      <c r="I268" s="2" t="s">
        <v>515</v>
      </c>
      <c r="J268" s="2" t="s">
        <v>827</v>
      </c>
      <c r="K268" s="2" t="s">
        <v>304</v>
      </c>
      <c r="L268" s="2" t="s">
        <v>358</v>
      </c>
      <c r="M268" s="8" t="str">
        <f t="shared" ref="M268:M274" si="3">HYPERLINK("http://slimages.macys.com/is/image/MCY/13118981 ")</f>
        <v xml:space="preserve">http://slimages.macys.com/is/image/MCY/13118981 </v>
      </c>
    </row>
    <row r="269" spans="1:13" ht="60" x14ac:dyDescent="0.25">
      <c r="A269" s="7" t="s">
        <v>1818</v>
      </c>
      <c r="B269" s="2" t="s">
        <v>1815</v>
      </c>
      <c r="C269" s="4">
        <v>2</v>
      </c>
      <c r="D269" s="5">
        <v>6.43</v>
      </c>
      <c r="E269" s="5">
        <v>16.989999999999998</v>
      </c>
      <c r="F269" s="4" t="s">
        <v>1816</v>
      </c>
      <c r="G269" s="2" t="s">
        <v>262</v>
      </c>
      <c r="H269" s="7" t="s">
        <v>284</v>
      </c>
      <c r="I269" s="2" t="s">
        <v>515</v>
      </c>
      <c r="J269" s="2" t="s">
        <v>827</v>
      </c>
      <c r="K269" s="2" t="s">
        <v>304</v>
      </c>
      <c r="L269" s="2" t="s">
        <v>358</v>
      </c>
      <c r="M269" s="8" t="str">
        <f t="shared" si="3"/>
        <v xml:space="preserve">http://slimages.macys.com/is/image/MCY/13118981 </v>
      </c>
    </row>
    <row r="270" spans="1:13" ht="60" x14ac:dyDescent="0.25">
      <c r="A270" s="7" t="s">
        <v>5935</v>
      </c>
      <c r="B270" s="2" t="s">
        <v>1815</v>
      </c>
      <c r="C270" s="4">
        <v>1</v>
      </c>
      <c r="D270" s="5">
        <v>6.43</v>
      </c>
      <c r="E270" s="5">
        <v>16.989999999999998</v>
      </c>
      <c r="F270" s="4" t="s">
        <v>1816</v>
      </c>
      <c r="G270" s="2" t="s">
        <v>353</v>
      </c>
      <c r="H270" s="7" t="s">
        <v>284</v>
      </c>
      <c r="I270" s="2" t="s">
        <v>515</v>
      </c>
      <c r="J270" s="2" t="s">
        <v>827</v>
      </c>
      <c r="K270" s="2" t="s">
        <v>304</v>
      </c>
      <c r="L270" s="2" t="s">
        <v>358</v>
      </c>
      <c r="M270" s="8" t="str">
        <f t="shared" si="3"/>
        <v xml:space="preserve">http://slimages.macys.com/is/image/MCY/13118981 </v>
      </c>
    </row>
    <row r="271" spans="1:13" ht="60" x14ac:dyDescent="0.25">
      <c r="A271" s="7" t="s">
        <v>1814</v>
      </c>
      <c r="B271" s="2" t="s">
        <v>1815</v>
      </c>
      <c r="C271" s="4">
        <v>2</v>
      </c>
      <c r="D271" s="5">
        <v>6.43</v>
      </c>
      <c r="E271" s="5">
        <v>16.989999999999998</v>
      </c>
      <c r="F271" s="4" t="s">
        <v>1816</v>
      </c>
      <c r="G271" s="2" t="s">
        <v>262</v>
      </c>
      <c r="H271" s="7" t="s">
        <v>159</v>
      </c>
      <c r="I271" s="2" t="s">
        <v>515</v>
      </c>
      <c r="J271" s="2" t="s">
        <v>827</v>
      </c>
      <c r="K271" s="2" t="s">
        <v>304</v>
      </c>
      <c r="L271" s="2" t="s">
        <v>358</v>
      </c>
      <c r="M271" s="8" t="str">
        <f t="shared" si="3"/>
        <v xml:space="preserve">http://slimages.macys.com/is/image/MCY/13118981 </v>
      </c>
    </row>
    <row r="272" spans="1:13" ht="60" x14ac:dyDescent="0.25">
      <c r="A272" s="7" t="s">
        <v>6298</v>
      </c>
      <c r="B272" s="2" t="s">
        <v>1815</v>
      </c>
      <c r="C272" s="4">
        <v>2</v>
      </c>
      <c r="D272" s="5">
        <v>6.43</v>
      </c>
      <c r="E272" s="5">
        <v>16.989999999999998</v>
      </c>
      <c r="F272" s="4" t="s">
        <v>1816</v>
      </c>
      <c r="G272" s="2" t="s">
        <v>353</v>
      </c>
      <c r="H272" s="7" t="s">
        <v>228</v>
      </c>
      <c r="I272" s="2" t="s">
        <v>515</v>
      </c>
      <c r="J272" s="2" t="s">
        <v>827</v>
      </c>
      <c r="K272" s="2" t="s">
        <v>304</v>
      </c>
      <c r="L272" s="2" t="s">
        <v>358</v>
      </c>
      <c r="M272" s="8" t="str">
        <f t="shared" si="3"/>
        <v xml:space="preserve">http://slimages.macys.com/is/image/MCY/13118981 </v>
      </c>
    </row>
    <row r="273" spans="1:13" ht="60" x14ac:dyDescent="0.25">
      <c r="A273" s="7" t="s">
        <v>6295</v>
      </c>
      <c r="B273" s="2" t="s">
        <v>1815</v>
      </c>
      <c r="C273" s="4">
        <v>2</v>
      </c>
      <c r="D273" s="5">
        <v>6.43</v>
      </c>
      <c r="E273" s="5">
        <v>16.989999999999998</v>
      </c>
      <c r="F273" s="4" t="s">
        <v>1816</v>
      </c>
      <c r="G273" s="2" t="s">
        <v>262</v>
      </c>
      <c r="H273" s="7" t="s">
        <v>228</v>
      </c>
      <c r="I273" s="2" t="s">
        <v>515</v>
      </c>
      <c r="J273" s="2" t="s">
        <v>827</v>
      </c>
      <c r="K273" s="2" t="s">
        <v>304</v>
      </c>
      <c r="L273" s="2" t="s">
        <v>358</v>
      </c>
      <c r="M273" s="8" t="str">
        <f t="shared" si="3"/>
        <v xml:space="preserve">http://slimages.macys.com/is/image/MCY/13118981 </v>
      </c>
    </row>
    <row r="274" spans="1:13" ht="60" x14ac:dyDescent="0.25">
      <c r="A274" s="7" t="s">
        <v>1817</v>
      </c>
      <c r="B274" s="2" t="s">
        <v>1815</v>
      </c>
      <c r="C274" s="4">
        <v>2</v>
      </c>
      <c r="D274" s="5">
        <v>6.43</v>
      </c>
      <c r="E274" s="5">
        <v>16.989999999999998</v>
      </c>
      <c r="F274" s="4" t="s">
        <v>1816</v>
      </c>
      <c r="G274" s="2" t="s">
        <v>262</v>
      </c>
      <c r="H274" s="7" t="s">
        <v>196</v>
      </c>
      <c r="I274" s="2" t="s">
        <v>515</v>
      </c>
      <c r="J274" s="2" t="s">
        <v>827</v>
      </c>
      <c r="K274" s="2" t="s">
        <v>304</v>
      </c>
      <c r="L274" s="2" t="s">
        <v>358</v>
      </c>
      <c r="M274" s="8" t="str">
        <f t="shared" si="3"/>
        <v xml:space="preserve">http://slimages.macys.com/is/image/MCY/13118981 </v>
      </c>
    </row>
    <row r="275" spans="1:13" ht="60" x14ac:dyDescent="0.25">
      <c r="A275" s="7" t="s">
        <v>1008</v>
      </c>
      <c r="B275" s="2" t="s">
        <v>1009</v>
      </c>
      <c r="C275" s="4">
        <v>1</v>
      </c>
      <c r="D275" s="5">
        <v>6.4</v>
      </c>
      <c r="E275" s="5">
        <v>16</v>
      </c>
      <c r="F275" s="4" t="s">
        <v>1010</v>
      </c>
      <c r="G275" s="2" t="s">
        <v>41</v>
      </c>
      <c r="H275" s="7"/>
      <c r="I275" s="2" t="s">
        <v>523</v>
      </c>
      <c r="J275" s="2" t="s">
        <v>937</v>
      </c>
      <c r="K275" s="2" t="s">
        <v>304</v>
      </c>
      <c r="L275" s="2" t="s">
        <v>944</v>
      </c>
      <c r="M275" s="8" t="str">
        <f>HYPERLINK("http://slimages.macys.com/is/image/MCY/10426067 ")</f>
        <v xml:space="preserve">http://slimages.macys.com/is/image/MCY/10426067 </v>
      </c>
    </row>
    <row r="276" spans="1:13" ht="120" x14ac:dyDescent="0.25">
      <c r="A276" s="7" t="s">
        <v>8945</v>
      </c>
      <c r="B276" s="2" t="s">
        <v>4624</v>
      </c>
      <c r="C276" s="4">
        <v>4</v>
      </c>
      <c r="D276" s="5">
        <v>6.4</v>
      </c>
      <c r="E276" s="5">
        <v>14.55</v>
      </c>
      <c r="F276" s="4">
        <v>17960310</v>
      </c>
      <c r="G276" s="2" t="s">
        <v>653</v>
      </c>
      <c r="H276" s="7" t="s">
        <v>91</v>
      </c>
      <c r="I276" s="2" t="s">
        <v>153</v>
      </c>
      <c r="J276" s="2" t="s">
        <v>154</v>
      </c>
      <c r="K276" s="2" t="s">
        <v>304</v>
      </c>
      <c r="L276" s="2" t="s">
        <v>4942</v>
      </c>
      <c r="M276" s="8" t="str">
        <f>HYPERLINK("http://slimages.macys.com/is/image/MCY/13341506 ")</f>
        <v xml:space="preserve">http://slimages.macys.com/is/image/MCY/13341506 </v>
      </c>
    </row>
    <row r="277" spans="1:13" ht="72" x14ac:dyDescent="0.25">
      <c r="A277" s="7" t="s">
        <v>4945</v>
      </c>
      <c r="B277" s="2" t="s">
        <v>4946</v>
      </c>
      <c r="C277" s="4">
        <v>1</v>
      </c>
      <c r="D277" s="5">
        <v>6.4</v>
      </c>
      <c r="E277" s="5">
        <v>16</v>
      </c>
      <c r="F277" s="4" t="s">
        <v>4947</v>
      </c>
      <c r="G277" s="2" t="s">
        <v>62</v>
      </c>
      <c r="H277" s="7"/>
      <c r="I277" s="2" t="s">
        <v>523</v>
      </c>
      <c r="J277" s="2" t="s">
        <v>937</v>
      </c>
      <c r="K277" s="2" t="s">
        <v>304</v>
      </c>
      <c r="L277" s="2" t="s">
        <v>938</v>
      </c>
      <c r="M277" s="8" t="str">
        <f>HYPERLINK("http://slimages.macys.com/is/image/MCY/9628116 ")</f>
        <v xml:space="preserve">http://slimages.macys.com/is/image/MCY/9628116 </v>
      </c>
    </row>
    <row r="278" spans="1:13" ht="84" x14ac:dyDescent="0.25">
      <c r="A278" s="7" t="s">
        <v>8946</v>
      </c>
      <c r="B278" s="2" t="s">
        <v>8947</v>
      </c>
      <c r="C278" s="4">
        <v>1</v>
      </c>
      <c r="D278" s="5">
        <v>6.3</v>
      </c>
      <c r="E278" s="5">
        <v>12.6</v>
      </c>
      <c r="F278" s="4" t="s">
        <v>8948</v>
      </c>
      <c r="G278" s="2" t="s">
        <v>297</v>
      </c>
      <c r="H278" s="7" t="s">
        <v>209</v>
      </c>
      <c r="I278" s="2" t="s">
        <v>487</v>
      </c>
      <c r="J278" s="2" t="s">
        <v>488</v>
      </c>
      <c r="K278" s="2" t="s">
        <v>304</v>
      </c>
      <c r="L278" s="2" t="s">
        <v>8949</v>
      </c>
      <c r="M278" s="8" t="str">
        <f>HYPERLINK("http://slimages.macys.com/is/image/MCY/12051881 ")</f>
        <v xml:space="preserve">http://slimages.macys.com/is/image/MCY/12051881 </v>
      </c>
    </row>
    <row r="279" spans="1:13" ht="60" x14ac:dyDescent="0.25">
      <c r="A279" s="7" t="s">
        <v>8950</v>
      </c>
      <c r="B279" s="2" t="s">
        <v>1025</v>
      </c>
      <c r="C279" s="4">
        <v>1</v>
      </c>
      <c r="D279" s="5">
        <v>6.25</v>
      </c>
      <c r="E279" s="5">
        <v>12.99</v>
      </c>
      <c r="F279" s="4" t="s">
        <v>1026</v>
      </c>
      <c r="G279" s="2" t="s">
        <v>48</v>
      </c>
      <c r="H279" s="7" t="s">
        <v>1151</v>
      </c>
      <c r="I279" s="2" t="s">
        <v>515</v>
      </c>
      <c r="J279" s="2" t="s">
        <v>516</v>
      </c>
      <c r="K279" s="2" t="s">
        <v>304</v>
      </c>
      <c r="L279" s="2" t="s">
        <v>358</v>
      </c>
      <c r="M279" s="8" t="str">
        <f>HYPERLINK("http://slimages.macys.com/is/image/MCY/12953213 ")</f>
        <v xml:space="preserve">http://slimages.macys.com/is/image/MCY/12953213 </v>
      </c>
    </row>
    <row r="280" spans="1:13" ht="60" x14ac:dyDescent="0.25">
      <c r="A280" s="7" t="s">
        <v>7626</v>
      </c>
      <c r="B280" s="2" t="s">
        <v>7622</v>
      </c>
      <c r="C280" s="4">
        <v>1</v>
      </c>
      <c r="D280" s="5">
        <v>6.19</v>
      </c>
      <c r="E280" s="5">
        <v>16.989999999999998</v>
      </c>
      <c r="F280" s="4" t="s">
        <v>7623</v>
      </c>
      <c r="G280" s="2" t="s">
        <v>653</v>
      </c>
      <c r="H280" s="7" t="s">
        <v>196</v>
      </c>
      <c r="I280" s="2" t="s">
        <v>515</v>
      </c>
      <c r="J280" s="2" t="s">
        <v>827</v>
      </c>
      <c r="K280" s="2" t="s">
        <v>304</v>
      </c>
      <c r="L280" s="2" t="s">
        <v>358</v>
      </c>
      <c r="M280" s="8" t="str">
        <f>HYPERLINK("http://slimages.macys.com/is/image/MCY/11860930 ")</f>
        <v xml:space="preserve">http://slimages.macys.com/is/image/MCY/11860930 </v>
      </c>
    </row>
    <row r="281" spans="1:13" ht="60" x14ac:dyDescent="0.25">
      <c r="A281" s="7" t="s">
        <v>8297</v>
      </c>
      <c r="B281" s="2" t="s">
        <v>1840</v>
      </c>
      <c r="C281" s="4">
        <v>1</v>
      </c>
      <c r="D281" s="5">
        <v>6.18</v>
      </c>
      <c r="E281" s="5">
        <v>16.989999999999998</v>
      </c>
      <c r="F281" s="4" t="s">
        <v>1841</v>
      </c>
      <c r="G281" s="2" t="s">
        <v>28</v>
      </c>
      <c r="H281" s="7" t="s">
        <v>284</v>
      </c>
      <c r="I281" s="2" t="s">
        <v>515</v>
      </c>
      <c r="J281" s="2" t="s">
        <v>827</v>
      </c>
      <c r="K281" s="2" t="s">
        <v>304</v>
      </c>
      <c r="L281" s="2" t="s">
        <v>358</v>
      </c>
      <c r="M281" s="8" t="str">
        <f>HYPERLINK("http://slimages.macys.com/is/image/MCY/11605971 ")</f>
        <v xml:space="preserve">http://slimages.macys.com/is/image/MCY/11605971 </v>
      </c>
    </row>
    <row r="282" spans="1:13" ht="84" x14ac:dyDescent="0.25">
      <c r="A282" s="7" t="s">
        <v>8951</v>
      </c>
      <c r="B282" s="2" t="s">
        <v>2600</v>
      </c>
      <c r="C282" s="4">
        <v>1</v>
      </c>
      <c r="D282" s="5">
        <v>6.18</v>
      </c>
      <c r="E282" s="5">
        <v>14.99</v>
      </c>
      <c r="F282" s="4" t="s">
        <v>7633</v>
      </c>
      <c r="G282" s="2" t="s">
        <v>28</v>
      </c>
      <c r="H282" s="7" t="s">
        <v>1151</v>
      </c>
      <c r="I282" s="2" t="s">
        <v>515</v>
      </c>
      <c r="J282" s="2" t="s">
        <v>516</v>
      </c>
      <c r="K282" s="2" t="s">
        <v>304</v>
      </c>
      <c r="L282" s="2" t="s">
        <v>1117</v>
      </c>
      <c r="M282" s="8" t="str">
        <f>HYPERLINK("http://slimages.macys.com/is/image/MCY/11606072 ")</f>
        <v xml:space="preserve">http://slimages.macys.com/is/image/MCY/11606072 </v>
      </c>
    </row>
    <row r="283" spans="1:13" ht="60" x14ac:dyDescent="0.25">
      <c r="A283" s="7" t="s">
        <v>7631</v>
      </c>
      <c r="B283" s="2" t="s">
        <v>1837</v>
      </c>
      <c r="C283" s="4">
        <v>1</v>
      </c>
      <c r="D283" s="5">
        <v>6.18</v>
      </c>
      <c r="E283" s="5">
        <v>16.989999999999998</v>
      </c>
      <c r="F283" s="4" t="s">
        <v>1838</v>
      </c>
      <c r="G283" s="2" t="s">
        <v>171</v>
      </c>
      <c r="H283" s="7" t="s">
        <v>284</v>
      </c>
      <c r="I283" s="2" t="s">
        <v>515</v>
      </c>
      <c r="J283" s="2" t="s">
        <v>827</v>
      </c>
      <c r="K283" s="2" t="s">
        <v>304</v>
      </c>
      <c r="L283" s="2" t="s">
        <v>358</v>
      </c>
      <c r="M283" s="8" t="str">
        <f>HYPERLINK("http://slimages.macys.com/is/image/MCY/11605899 ")</f>
        <v xml:space="preserve">http://slimages.macys.com/is/image/MCY/11605899 </v>
      </c>
    </row>
    <row r="284" spans="1:13" ht="60" x14ac:dyDescent="0.25">
      <c r="A284" s="7" t="s">
        <v>8952</v>
      </c>
      <c r="B284" s="2" t="s">
        <v>512</v>
      </c>
      <c r="C284" s="4">
        <v>1</v>
      </c>
      <c r="D284" s="5">
        <v>6.17</v>
      </c>
      <c r="E284" s="5">
        <v>14.99</v>
      </c>
      <c r="F284" s="4" t="s">
        <v>513</v>
      </c>
      <c r="G284" s="2" t="s">
        <v>303</v>
      </c>
      <c r="H284" s="7" t="s">
        <v>514</v>
      </c>
      <c r="I284" s="2" t="s">
        <v>515</v>
      </c>
      <c r="J284" s="2" t="s">
        <v>516</v>
      </c>
      <c r="K284" s="2" t="s">
        <v>304</v>
      </c>
      <c r="L284" s="2" t="s">
        <v>358</v>
      </c>
      <c r="M284" s="8" t="str">
        <f>HYPERLINK("http://slimages.macys.com/is/image/MCY/11464206 ")</f>
        <v xml:space="preserve">http://slimages.macys.com/is/image/MCY/11464206 </v>
      </c>
    </row>
    <row r="285" spans="1:13" ht="60" x14ac:dyDescent="0.25">
      <c r="A285" s="7" t="s">
        <v>8953</v>
      </c>
      <c r="B285" s="2" t="s">
        <v>8312</v>
      </c>
      <c r="C285" s="4">
        <v>2</v>
      </c>
      <c r="D285" s="5">
        <v>6.13</v>
      </c>
      <c r="E285" s="5">
        <v>16.989999999999998</v>
      </c>
      <c r="F285" s="4" t="s">
        <v>8954</v>
      </c>
      <c r="G285" s="2" t="s">
        <v>653</v>
      </c>
      <c r="H285" s="7" t="s">
        <v>196</v>
      </c>
      <c r="I285" s="2" t="s">
        <v>515</v>
      </c>
      <c r="J285" s="2" t="s">
        <v>827</v>
      </c>
      <c r="K285" s="2" t="s">
        <v>304</v>
      </c>
      <c r="L285" s="2" t="s">
        <v>358</v>
      </c>
      <c r="M285" s="8" t="str">
        <f>HYPERLINK("http://slimages.macys.com/is/image/MCY/11860803 ")</f>
        <v xml:space="preserve">http://slimages.macys.com/is/image/MCY/11860803 </v>
      </c>
    </row>
    <row r="286" spans="1:13" ht="60" x14ac:dyDescent="0.25">
      <c r="A286" s="7" t="s">
        <v>8955</v>
      </c>
      <c r="B286" s="2" t="s">
        <v>8956</v>
      </c>
      <c r="C286" s="4">
        <v>2</v>
      </c>
      <c r="D286" s="5">
        <v>6.13</v>
      </c>
      <c r="E286" s="5">
        <v>16.989999999999998</v>
      </c>
      <c r="F286" s="4" t="s">
        <v>8957</v>
      </c>
      <c r="G286" s="2" t="s">
        <v>36</v>
      </c>
      <c r="H286" s="7" t="s">
        <v>228</v>
      </c>
      <c r="I286" s="2" t="s">
        <v>515</v>
      </c>
      <c r="J286" s="2" t="s">
        <v>827</v>
      </c>
      <c r="K286" s="2" t="s">
        <v>304</v>
      </c>
      <c r="L286" s="2" t="s">
        <v>358</v>
      </c>
      <c r="M286" s="8" t="str">
        <f>HYPERLINK("http://slimages.macys.com/is/image/MCY/12284189 ")</f>
        <v xml:space="preserve">http://slimages.macys.com/is/image/MCY/12284189 </v>
      </c>
    </row>
    <row r="287" spans="1:13" ht="60" x14ac:dyDescent="0.25">
      <c r="A287" s="7" t="s">
        <v>6906</v>
      </c>
      <c r="B287" s="2" t="s">
        <v>6907</v>
      </c>
      <c r="C287" s="4">
        <v>1</v>
      </c>
      <c r="D287" s="5">
        <v>6.13</v>
      </c>
      <c r="E287" s="5">
        <v>16.989999999999998</v>
      </c>
      <c r="F287" s="4" t="s">
        <v>6908</v>
      </c>
      <c r="G287" s="2" t="s">
        <v>793</v>
      </c>
      <c r="H287" s="7" t="s">
        <v>196</v>
      </c>
      <c r="I287" s="2" t="s">
        <v>389</v>
      </c>
      <c r="J287" s="2" t="s">
        <v>354</v>
      </c>
      <c r="K287" s="2" t="s">
        <v>304</v>
      </c>
      <c r="L287" s="2" t="s">
        <v>119</v>
      </c>
      <c r="M287" s="8" t="str">
        <f>HYPERLINK("http://slimages.macys.com/is/image/MCY/12121666 ")</f>
        <v xml:space="preserve">http://slimages.macys.com/is/image/MCY/12121666 </v>
      </c>
    </row>
    <row r="288" spans="1:13" ht="96" x14ac:dyDescent="0.25">
      <c r="A288" s="7" t="s">
        <v>6905</v>
      </c>
      <c r="B288" s="2" t="s">
        <v>5468</v>
      </c>
      <c r="C288" s="4">
        <v>1</v>
      </c>
      <c r="D288" s="5">
        <v>6.13</v>
      </c>
      <c r="E288" s="5">
        <v>16.989999999999998</v>
      </c>
      <c r="F288" s="4" t="s">
        <v>5469</v>
      </c>
      <c r="G288" s="2" t="s">
        <v>62</v>
      </c>
      <c r="H288" s="7" t="s">
        <v>317</v>
      </c>
      <c r="I288" s="2" t="s">
        <v>483</v>
      </c>
      <c r="J288" s="2" t="s">
        <v>4858</v>
      </c>
      <c r="K288" s="2" t="s">
        <v>304</v>
      </c>
      <c r="L288" s="2" t="s">
        <v>5470</v>
      </c>
      <c r="M288" s="8" t="str">
        <f>HYPERLINK("http://slimages.macys.com/is/image/MCY/8256950 ")</f>
        <v xml:space="preserve">http://slimages.macys.com/is/image/MCY/8256950 </v>
      </c>
    </row>
    <row r="289" spans="1:13" ht="96" x14ac:dyDescent="0.25">
      <c r="A289" s="7" t="s">
        <v>8958</v>
      </c>
      <c r="B289" s="2" t="s">
        <v>1852</v>
      </c>
      <c r="C289" s="4">
        <v>1</v>
      </c>
      <c r="D289" s="5">
        <v>6.11</v>
      </c>
      <c r="E289" s="5">
        <v>16.989999999999998</v>
      </c>
      <c r="F289" s="4" t="s">
        <v>1853</v>
      </c>
      <c r="G289" s="2" t="s">
        <v>527</v>
      </c>
      <c r="H289" s="7" t="s">
        <v>159</v>
      </c>
      <c r="I289" s="2" t="s">
        <v>515</v>
      </c>
      <c r="J289" s="2" t="s">
        <v>827</v>
      </c>
      <c r="K289" s="2"/>
      <c r="L289" s="2" t="s">
        <v>1755</v>
      </c>
      <c r="M289" s="8" t="str">
        <f>HYPERLINK("http://slimages.macys.com/is/image/MCY/11483905 ")</f>
        <v xml:space="preserve">http://slimages.macys.com/is/image/MCY/11483905 </v>
      </c>
    </row>
    <row r="290" spans="1:13" ht="72" x14ac:dyDescent="0.25">
      <c r="A290" s="7" t="s">
        <v>8959</v>
      </c>
      <c r="B290" s="2" t="s">
        <v>8960</v>
      </c>
      <c r="C290" s="4">
        <v>1</v>
      </c>
      <c r="D290" s="5">
        <v>6.02</v>
      </c>
      <c r="E290" s="5">
        <v>15.99</v>
      </c>
      <c r="F290" s="4" t="s">
        <v>8961</v>
      </c>
      <c r="G290" s="2" t="s">
        <v>297</v>
      </c>
      <c r="H290" s="7" t="s">
        <v>442</v>
      </c>
      <c r="I290" s="2" t="s">
        <v>483</v>
      </c>
      <c r="J290" s="2" t="s">
        <v>5540</v>
      </c>
      <c r="K290" s="2" t="s">
        <v>304</v>
      </c>
      <c r="L290" s="2" t="s">
        <v>8962</v>
      </c>
      <c r="M290" s="8" t="str">
        <f>HYPERLINK("http://slimages.macys.com/is/image/MCY/11707745 ")</f>
        <v xml:space="preserve">http://slimages.macys.com/is/image/MCY/11707745 </v>
      </c>
    </row>
    <row r="291" spans="1:13" ht="60" x14ac:dyDescent="0.25">
      <c r="A291" s="7" t="s">
        <v>8963</v>
      </c>
      <c r="B291" s="2" t="s">
        <v>7534</v>
      </c>
      <c r="C291" s="4">
        <v>1</v>
      </c>
      <c r="D291" s="5">
        <v>6.02</v>
      </c>
      <c r="E291" s="5">
        <v>13.99</v>
      </c>
      <c r="F291" s="4" t="s">
        <v>7644</v>
      </c>
      <c r="G291" s="2" t="s">
        <v>62</v>
      </c>
      <c r="H291" s="7" t="s">
        <v>123</v>
      </c>
      <c r="I291" s="2" t="s">
        <v>218</v>
      </c>
      <c r="J291" s="2" t="s">
        <v>835</v>
      </c>
      <c r="K291" s="2" t="s">
        <v>304</v>
      </c>
      <c r="L291" s="2" t="s">
        <v>3629</v>
      </c>
      <c r="M291" s="8" t="str">
        <f>HYPERLINK("http://slimages.macys.com/is/image/MCY/12340443 ")</f>
        <v xml:space="preserve">http://slimages.macys.com/is/image/MCY/12340443 </v>
      </c>
    </row>
    <row r="292" spans="1:13" ht="60" x14ac:dyDescent="0.25">
      <c r="A292" s="7" t="s">
        <v>489</v>
      </c>
      <c r="B292" s="2" t="s">
        <v>490</v>
      </c>
      <c r="C292" s="4">
        <v>1</v>
      </c>
      <c r="D292" s="5">
        <v>6</v>
      </c>
      <c r="E292" s="5">
        <v>15.99</v>
      </c>
      <c r="F292" s="4" t="s">
        <v>491</v>
      </c>
      <c r="G292" s="2" t="s">
        <v>79</v>
      </c>
      <c r="H292" s="7"/>
      <c r="I292" s="2" t="s">
        <v>321</v>
      </c>
      <c r="J292" s="2" t="s">
        <v>492</v>
      </c>
      <c r="K292" s="2" t="s">
        <v>304</v>
      </c>
      <c r="L292" s="2" t="s">
        <v>493</v>
      </c>
      <c r="M292" s="8" t="str">
        <f>HYPERLINK("http://slimages.macys.com/is/image/MCY/11539243 ")</f>
        <v xml:space="preserve">http://slimages.macys.com/is/image/MCY/11539243 </v>
      </c>
    </row>
    <row r="293" spans="1:13" ht="72" x14ac:dyDescent="0.25">
      <c r="A293" s="7" t="s">
        <v>8964</v>
      </c>
      <c r="B293" s="2" t="s">
        <v>8965</v>
      </c>
      <c r="C293" s="4">
        <v>1</v>
      </c>
      <c r="D293" s="5">
        <v>6</v>
      </c>
      <c r="E293" s="5">
        <v>12.99</v>
      </c>
      <c r="F293" s="4">
        <v>6101</v>
      </c>
      <c r="G293" s="2" t="s">
        <v>310</v>
      </c>
      <c r="H293" s="7" t="s">
        <v>196</v>
      </c>
      <c r="I293" s="2" t="s">
        <v>523</v>
      </c>
      <c r="J293" s="2" t="s">
        <v>969</v>
      </c>
      <c r="K293" s="2" t="s">
        <v>304</v>
      </c>
      <c r="L293" s="2" t="s">
        <v>8966</v>
      </c>
      <c r="M293" s="8" t="str">
        <f>HYPERLINK("http://slimages.macys.com/is/image/MCY/14718558 ")</f>
        <v xml:space="preserve">http://slimages.macys.com/is/image/MCY/14718558 </v>
      </c>
    </row>
    <row r="294" spans="1:13" ht="72" x14ac:dyDescent="0.25">
      <c r="A294" s="7" t="s">
        <v>8967</v>
      </c>
      <c r="B294" s="2" t="s">
        <v>8965</v>
      </c>
      <c r="C294" s="4">
        <v>1</v>
      </c>
      <c r="D294" s="5">
        <v>6</v>
      </c>
      <c r="E294" s="5">
        <v>12.99</v>
      </c>
      <c r="F294" s="4">
        <v>6101</v>
      </c>
      <c r="G294" s="2" t="s">
        <v>310</v>
      </c>
      <c r="H294" s="7" t="s">
        <v>228</v>
      </c>
      <c r="I294" s="2" t="s">
        <v>523</v>
      </c>
      <c r="J294" s="2" t="s">
        <v>969</v>
      </c>
      <c r="K294" s="2" t="s">
        <v>304</v>
      </c>
      <c r="L294" s="2" t="s">
        <v>8966</v>
      </c>
      <c r="M294" s="8" t="str">
        <f>HYPERLINK("http://slimages.macys.com/is/image/MCY/14718558 ")</f>
        <v xml:space="preserve">http://slimages.macys.com/is/image/MCY/14718558 </v>
      </c>
    </row>
    <row r="295" spans="1:13" ht="60" x14ac:dyDescent="0.25">
      <c r="A295" s="7" t="s">
        <v>8968</v>
      </c>
      <c r="B295" s="2" t="s">
        <v>8969</v>
      </c>
      <c r="C295" s="4">
        <v>1</v>
      </c>
      <c r="D295" s="5">
        <v>6</v>
      </c>
      <c r="E295" s="5">
        <v>14.99</v>
      </c>
      <c r="F295" s="4" t="s">
        <v>8970</v>
      </c>
      <c r="G295" s="2" t="s">
        <v>165</v>
      </c>
      <c r="H295" s="7" t="s">
        <v>317</v>
      </c>
      <c r="I295" s="2" t="s">
        <v>80</v>
      </c>
      <c r="J295" s="2" t="s">
        <v>167</v>
      </c>
      <c r="K295" s="2" t="s">
        <v>304</v>
      </c>
      <c r="L295" s="2" t="s">
        <v>125</v>
      </c>
      <c r="M295" s="8" t="str">
        <f>HYPERLINK("http://slimages.macys.com/is/image/MCY/13117045 ")</f>
        <v xml:space="preserve">http://slimages.macys.com/is/image/MCY/13117045 </v>
      </c>
    </row>
    <row r="296" spans="1:13" ht="60" x14ac:dyDescent="0.25">
      <c r="A296" s="7" t="s">
        <v>8971</v>
      </c>
      <c r="B296" s="2" t="s">
        <v>8972</v>
      </c>
      <c r="C296" s="4">
        <v>3</v>
      </c>
      <c r="D296" s="5">
        <v>6</v>
      </c>
      <c r="E296" s="5">
        <v>15.99</v>
      </c>
      <c r="F296" s="4" t="s">
        <v>8973</v>
      </c>
      <c r="G296" s="2" t="s">
        <v>41</v>
      </c>
      <c r="H296" s="7" t="s">
        <v>531</v>
      </c>
      <c r="I296" s="2" t="s">
        <v>483</v>
      </c>
      <c r="J296" s="2" t="s">
        <v>5540</v>
      </c>
      <c r="K296" s="2" t="s">
        <v>304</v>
      </c>
      <c r="L296" s="2" t="s">
        <v>206</v>
      </c>
      <c r="M296" s="8" t="str">
        <f>HYPERLINK("http://slimages.macys.com/is/image/MCY/9888489 ")</f>
        <v xml:space="preserve">http://slimages.macys.com/is/image/MCY/9888489 </v>
      </c>
    </row>
    <row r="297" spans="1:13" ht="156" x14ac:dyDescent="0.25">
      <c r="A297" s="7" t="s">
        <v>5952</v>
      </c>
      <c r="B297" s="2" t="s">
        <v>5945</v>
      </c>
      <c r="C297" s="4">
        <v>1</v>
      </c>
      <c r="D297" s="5">
        <v>6</v>
      </c>
      <c r="E297" s="5">
        <v>14</v>
      </c>
      <c r="F297" s="4" t="s">
        <v>5946</v>
      </c>
      <c r="G297" s="2" t="s">
        <v>62</v>
      </c>
      <c r="H297" s="7" t="s">
        <v>159</v>
      </c>
      <c r="I297" s="2" t="s">
        <v>468</v>
      </c>
      <c r="J297" s="2" t="s">
        <v>5947</v>
      </c>
      <c r="K297" s="2" t="s">
        <v>304</v>
      </c>
      <c r="L297" s="2" t="s">
        <v>5948</v>
      </c>
      <c r="M297" s="8" t="str">
        <f>HYPERLINK("http://slimages.macys.com/is/image/MCY/13936126 ")</f>
        <v xml:space="preserve">http://slimages.macys.com/is/image/MCY/13936126 </v>
      </c>
    </row>
    <row r="298" spans="1:13" ht="60" x14ac:dyDescent="0.25">
      <c r="A298" s="7" t="s">
        <v>8974</v>
      </c>
      <c r="B298" s="2" t="s">
        <v>4969</v>
      </c>
      <c r="C298" s="4">
        <v>1</v>
      </c>
      <c r="D298" s="5">
        <v>6</v>
      </c>
      <c r="E298" s="5">
        <v>10.99</v>
      </c>
      <c r="F298" s="4" t="s">
        <v>4970</v>
      </c>
      <c r="G298" s="2" t="s">
        <v>48</v>
      </c>
      <c r="H298" s="7" t="s">
        <v>123</v>
      </c>
      <c r="I298" s="2" t="s">
        <v>80</v>
      </c>
      <c r="J298" s="2" t="s">
        <v>1857</v>
      </c>
      <c r="K298" s="2" t="s">
        <v>304</v>
      </c>
      <c r="L298" s="2" t="s">
        <v>119</v>
      </c>
      <c r="M298" s="8" t="str">
        <f>HYPERLINK("http://slimages.macys.com/is/image/MCY/11207821 ")</f>
        <v xml:space="preserve">http://slimages.macys.com/is/image/MCY/11207821 </v>
      </c>
    </row>
    <row r="299" spans="1:13" ht="60" x14ac:dyDescent="0.25">
      <c r="A299" s="7" t="s">
        <v>8975</v>
      </c>
      <c r="B299" s="2" t="s">
        <v>4969</v>
      </c>
      <c r="C299" s="4">
        <v>2</v>
      </c>
      <c r="D299" s="5">
        <v>6</v>
      </c>
      <c r="E299" s="5">
        <v>10.99</v>
      </c>
      <c r="F299" s="4" t="s">
        <v>4970</v>
      </c>
      <c r="G299" s="2" t="s">
        <v>48</v>
      </c>
      <c r="H299" s="7" t="s">
        <v>317</v>
      </c>
      <c r="I299" s="2" t="s">
        <v>80</v>
      </c>
      <c r="J299" s="2" t="s">
        <v>1857</v>
      </c>
      <c r="K299" s="2" t="s">
        <v>304</v>
      </c>
      <c r="L299" s="2" t="s">
        <v>119</v>
      </c>
      <c r="M299" s="8" t="str">
        <f>HYPERLINK("http://slimages.macys.com/is/image/MCY/11207821 ")</f>
        <v xml:space="preserve">http://slimages.macys.com/is/image/MCY/11207821 </v>
      </c>
    </row>
    <row r="300" spans="1:13" ht="60" x14ac:dyDescent="0.25">
      <c r="A300" s="7" t="s">
        <v>8976</v>
      </c>
      <c r="B300" s="2" t="s">
        <v>4961</v>
      </c>
      <c r="C300" s="4">
        <v>1</v>
      </c>
      <c r="D300" s="5">
        <v>5.97</v>
      </c>
      <c r="E300" s="5">
        <v>12.99</v>
      </c>
      <c r="F300" s="4" t="s">
        <v>8977</v>
      </c>
      <c r="G300" s="2" t="s">
        <v>62</v>
      </c>
      <c r="H300" s="7" t="s">
        <v>123</v>
      </c>
      <c r="I300" s="2" t="s">
        <v>218</v>
      </c>
      <c r="J300" s="2" t="s">
        <v>835</v>
      </c>
      <c r="K300" s="2" t="s">
        <v>304</v>
      </c>
      <c r="L300" s="2" t="s">
        <v>358</v>
      </c>
      <c r="M300" s="8" t="str">
        <f>HYPERLINK("http://slimages.macys.com/is/image/MCY/12340448 ")</f>
        <v xml:space="preserve">http://slimages.macys.com/is/image/MCY/12340448 </v>
      </c>
    </row>
    <row r="301" spans="1:13" ht="60" x14ac:dyDescent="0.25">
      <c r="A301" s="7" t="s">
        <v>8978</v>
      </c>
      <c r="B301" s="2" t="s">
        <v>4997</v>
      </c>
      <c r="C301" s="4">
        <v>1</v>
      </c>
      <c r="D301" s="5">
        <v>5.94</v>
      </c>
      <c r="E301" s="5">
        <v>22</v>
      </c>
      <c r="F301" s="4" t="s">
        <v>4998</v>
      </c>
      <c r="G301" s="2" t="s">
        <v>28</v>
      </c>
      <c r="H301" s="7" t="s">
        <v>311</v>
      </c>
      <c r="I301" s="2" t="s">
        <v>173</v>
      </c>
      <c r="J301" s="2" t="s">
        <v>3242</v>
      </c>
      <c r="K301" s="2" t="s">
        <v>2752</v>
      </c>
      <c r="L301" s="2"/>
      <c r="M301" s="8" t="str">
        <f>HYPERLINK("http://images.bloomingdales.com/is/image/BLM/10248462 ")</f>
        <v xml:space="preserve">http://images.bloomingdales.com/is/image/BLM/10248462 </v>
      </c>
    </row>
    <row r="302" spans="1:13" ht="60" x14ac:dyDescent="0.25">
      <c r="A302" s="7" t="s">
        <v>8979</v>
      </c>
      <c r="B302" s="2" t="s">
        <v>5000</v>
      </c>
      <c r="C302" s="4">
        <v>1</v>
      </c>
      <c r="D302" s="5">
        <v>5.94</v>
      </c>
      <c r="E302" s="5">
        <v>22</v>
      </c>
      <c r="F302" s="4" t="s">
        <v>5001</v>
      </c>
      <c r="G302" s="2" t="s">
        <v>28</v>
      </c>
      <c r="H302" s="7" t="s">
        <v>311</v>
      </c>
      <c r="I302" s="2" t="s">
        <v>173</v>
      </c>
      <c r="J302" s="2" t="s">
        <v>3242</v>
      </c>
      <c r="K302" s="2" t="s">
        <v>2752</v>
      </c>
      <c r="L302" s="2"/>
      <c r="M302" s="8" t="str">
        <f>HYPERLINK("http://images.bloomingdales.com/is/image/BLM/10248475 ")</f>
        <v xml:space="preserve">http://images.bloomingdales.com/is/image/BLM/10248475 </v>
      </c>
    </row>
    <row r="303" spans="1:13" ht="60" x14ac:dyDescent="0.25">
      <c r="A303" s="7" t="s">
        <v>8980</v>
      </c>
      <c r="B303" s="2" t="s">
        <v>8981</v>
      </c>
      <c r="C303" s="4">
        <v>1</v>
      </c>
      <c r="D303" s="5">
        <v>5.91</v>
      </c>
      <c r="E303" s="5">
        <v>14.99</v>
      </c>
      <c r="F303" s="4" t="s">
        <v>8982</v>
      </c>
      <c r="G303" s="2" t="s">
        <v>62</v>
      </c>
      <c r="H303" s="7" t="s">
        <v>159</v>
      </c>
      <c r="I303" s="2" t="s">
        <v>515</v>
      </c>
      <c r="J303" s="2" t="s">
        <v>827</v>
      </c>
      <c r="K303" s="2" t="s">
        <v>304</v>
      </c>
      <c r="L303" s="2" t="s">
        <v>358</v>
      </c>
      <c r="M303" s="8" t="str">
        <f>HYPERLINK("http://slimages.macys.com/is/image/MCY/10410507 ")</f>
        <v xml:space="preserve">http://slimages.macys.com/is/image/MCY/10410507 </v>
      </c>
    </row>
    <row r="304" spans="1:13" ht="60" x14ac:dyDescent="0.25">
      <c r="A304" s="7" t="s">
        <v>8983</v>
      </c>
      <c r="B304" s="2" t="s">
        <v>8981</v>
      </c>
      <c r="C304" s="4">
        <v>1</v>
      </c>
      <c r="D304" s="5">
        <v>5.91</v>
      </c>
      <c r="E304" s="5">
        <v>14.99</v>
      </c>
      <c r="F304" s="4" t="s">
        <v>8982</v>
      </c>
      <c r="G304" s="2" t="s">
        <v>62</v>
      </c>
      <c r="H304" s="7" t="s">
        <v>228</v>
      </c>
      <c r="I304" s="2" t="s">
        <v>515</v>
      </c>
      <c r="J304" s="2" t="s">
        <v>827</v>
      </c>
      <c r="K304" s="2" t="s">
        <v>304</v>
      </c>
      <c r="L304" s="2" t="s">
        <v>358</v>
      </c>
      <c r="M304" s="8" t="str">
        <f>HYPERLINK("http://slimages.macys.com/is/image/MCY/10410507 ")</f>
        <v xml:space="preserve">http://slimages.macys.com/is/image/MCY/10410507 </v>
      </c>
    </row>
    <row r="305" spans="1:13" ht="60" x14ac:dyDescent="0.25">
      <c r="A305" s="7" t="s">
        <v>8984</v>
      </c>
      <c r="B305" s="2" t="s">
        <v>7652</v>
      </c>
      <c r="C305" s="4">
        <v>1</v>
      </c>
      <c r="D305" s="5">
        <v>5.91</v>
      </c>
      <c r="E305" s="5">
        <v>14.99</v>
      </c>
      <c r="F305" s="4" t="s">
        <v>7653</v>
      </c>
      <c r="G305" s="2" t="s">
        <v>1265</v>
      </c>
      <c r="H305" s="7" t="s">
        <v>284</v>
      </c>
      <c r="I305" s="2" t="s">
        <v>515</v>
      </c>
      <c r="J305" s="2" t="s">
        <v>827</v>
      </c>
      <c r="K305" s="2" t="s">
        <v>304</v>
      </c>
      <c r="L305" s="2" t="s">
        <v>358</v>
      </c>
      <c r="M305" s="8" t="str">
        <f>HYPERLINK("http://slimages.macys.com/is/image/MCY/10410452 ")</f>
        <v xml:space="preserve">http://slimages.macys.com/is/image/MCY/10410452 </v>
      </c>
    </row>
    <row r="306" spans="1:13" ht="60" x14ac:dyDescent="0.25">
      <c r="A306" s="7" t="s">
        <v>8985</v>
      </c>
      <c r="B306" s="2" t="s">
        <v>1034</v>
      </c>
      <c r="C306" s="4">
        <v>1</v>
      </c>
      <c r="D306" s="5">
        <v>5.9</v>
      </c>
      <c r="E306" s="5">
        <v>12.99</v>
      </c>
      <c r="F306" s="4" t="s">
        <v>1035</v>
      </c>
      <c r="G306" s="2" t="s">
        <v>653</v>
      </c>
      <c r="H306" s="7" t="s">
        <v>284</v>
      </c>
      <c r="I306" s="2" t="s">
        <v>523</v>
      </c>
      <c r="J306" s="2" t="s">
        <v>969</v>
      </c>
      <c r="K306" s="2" t="s">
        <v>304</v>
      </c>
      <c r="L306" s="2" t="s">
        <v>1036</v>
      </c>
      <c r="M306" s="8" t="str">
        <f>HYPERLINK("http://slimages.macys.com/is/image/MCY/11646999 ")</f>
        <v xml:space="preserve">http://slimages.macys.com/is/image/MCY/11646999 </v>
      </c>
    </row>
    <row r="307" spans="1:13" ht="60" x14ac:dyDescent="0.25">
      <c r="A307" s="7" t="s">
        <v>1033</v>
      </c>
      <c r="B307" s="2" t="s">
        <v>1034</v>
      </c>
      <c r="C307" s="4">
        <v>1</v>
      </c>
      <c r="D307" s="5">
        <v>5.9</v>
      </c>
      <c r="E307" s="5">
        <v>12.99</v>
      </c>
      <c r="F307" s="4" t="s">
        <v>1035</v>
      </c>
      <c r="G307" s="2" t="s">
        <v>653</v>
      </c>
      <c r="H307" s="7" t="s">
        <v>228</v>
      </c>
      <c r="I307" s="2" t="s">
        <v>523</v>
      </c>
      <c r="J307" s="2" t="s">
        <v>969</v>
      </c>
      <c r="K307" s="2" t="s">
        <v>304</v>
      </c>
      <c r="L307" s="2" t="s">
        <v>1036</v>
      </c>
      <c r="M307" s="8" t="str">
        <f>HYPERLINK("http://slimages.macys.com/is/image/MCY/11646999 ")</f>
        <v xml:space="preserve">http://slimages.macys.com/is/image/MCY/11646999 </v>
      </c>
    </row>
    <row r="308" spans="1:13" ht="60" x14ac:dyDescent="0.25">
      <c r="A308" s="7" t="s">
        <v>1044</v>
      </c>
      <c r="B308" s="2" t="s">
        <v>1045</v>
      </c>
      <c r="C308" s="4">
        <v>7</v>
      </c>
      <c r="D308" s="5">
        <v>5.87</v>
      </c>
      <c r="E308" s="5">
        <v>16</v>
      </c>
      <c r="F308" s="4" t="s">
        <v>1046</v>
      </c>
      <c r="G308" s="2" t="s">
        <v>1047</v>
      </c>
      <c r="H308" s="7" t="s">
        <v>789</v>
      </c>
      <c r="I308" s="2" t="s">
        <v>523</v>
      </c>
      <c r="J308" s="2" t="s">
        <v>1042</v>
      </c>
      <c r="K308" s="2" t="s">
        <v>304</v>
      </c>
      <c r="L308" s="2" t="s">
        <v>1043</v>
      </c>
      <c r="M308" s="8" t="str">
        <f>HYPERLINK("http://slimages.macys.com/is/image/MCY/11647571 ")</f>
        <v xml:space="preserve">http://slimages.macys.com/is/image/MCY/11647571 </v>
      </c>
    </row>
    <row r="309" spans="1:13" ht="72" x14ac:dyDescent="0.25">
      <c r="A309" s="7" t="s">
        <v>8986</v>
      </c>
      <c r="B309" s="2" t="s">
        <v>8987</v>
      </c>
      <c r="C309" s="4">
        <v>1</v>
      </c>
      <c r="D309" s="5">
        <v>5.86</v>
      </c>
      <c r="E309" s="5">
        <v>14.99</v>
      </c>
      <c r="F309" s="4" t="s">
        <v>8988</v>
      </c>
      <c r="G309" s="2" t="s">
        <v>62</v>
      </c>
      <c r="H309" s="7" t="s">
        <v>1151</v>
      </c>
      <c r="I309" s="2" t="s">
        <v>1689</v>
      </c>
      <c r="J309" s="2" t="s">
        <v>354</v>
      </c>
      <c r="K309" s="2" t="s">
        <v>304</v>
      </c>
      <c r="L309" s="2" t="s">
        <v>8989</v>
      </c>
      <c r="M309" s="8" t="str">
        <f>HYPERLINK("http://slimages.macys.com/is/image/MCY/10127626 ")</f>
        <v xml:space="preserve">http://slimages.macys.com/is/image/MCY/10127626 </v>
      </c>
    </row>
    <row r="310" spans="1:13" ht="60" x14ac:dyDescent="0.25">
      <c r="A310" s="7" t="s">
        <v>8990</v>
      </c>
      <c r="B310" s="2" t="s">
        <v>5003</v>
      </c>
      <c r="C310" s="4">
        <v>2</v>
      </c>
      <c r="D310" s="5">
        <v>5.86</v>
      </c>
      <c r="E310" s="5">
        <v>12.99</v>
      </c>
      <c r="F310" s="4" t="s">
        <v>5004</v>
      </c>
      <c r="G310" s="2" t="s">
        <v>28</v>
      </c>
      <c r="H310" s="7" t="s">
        <v>228</v>
      </c>
      <c r="I310" s="2" t="s">
        <v>218</v>
      </c>
      <c r="J310" s="2" t="s">
        <v>1740</v>
      </c>
      <c r="K310" s="2" t="s">
        <v>304</v>
      </c>
      <c r="L310" s="2" t="s">
        <v>358</v>
      </c>
      <c r="M310" s="8" t="str">
        <f>HYPERLINK("http://slimages.macys.com/is/image/MCY/12751326 ")</f>
        <v xml:space="preserve">http://slimages.macys.com/is/image/MCY/12751326 </v>
      </c>
    </row>
    <row r="311" spans="1:13" ht="60" x14ac:dyDescent="0.25">
      <c r="A311" s="7" t="s">
        <v>8991</v>
      </c>
      <c r="B311" s="2" t="s">
        <v>8992</v>
      </c>
      <c r="C311" s="4">
        <v>1</v>
      </c>
      <c r="D311" s="5">
        <v>5.85</v>
      </c>
      <c r="E311" s="5">
        <v>16.989999999999998</v>
      </c>
      <c r="F311" s="4" t="s">
        <v>8993</v>
      </c>
      <c r="G311" s="2" t="s">
        <v>62</v>
      </c>
      <c r="H311" s="7" t="s">
        <v>284</v>
      </c>
      <c r="I311" s="2" t="s">
        <v>468</v>
      </c>
      <c r="J311" s="2" t="s">
        <v>469</v>
      </c>
      <c r="K311" s="2" t="s">
        <v>304</v>
      </c>
      <c r="L311" s="2" t="s">
        <v>206</v>
      </c>
      <c r="M311" s="8" t="str">
        <f>HYPERLINK("http://slimages.macys.com/is/image/MCY/11959632 ")</f>
        <v xml:space="preserve">http://slimages.macys.com/is/image/MCY/11959632 </v>
      </c>
    </row>
    <row r="312" spans="1:13" ht="60" x14ac:dyDescent="0.25">
      <c r="A312" s="7" t="s">
        <v>8994</v>
      </c>
      <c r="B312" s="2" t="s">
        <v>1869</v>
      </c>
      <c r="C312" s="4">
        <v>1</v>
      </c>
      <c r="D312" s="5">
        <v>5.85</v>
      </c>
      <c r="E312" s="5">
        <v>15.99</v>
      </c>
      <c r="F312" s="4" t="s">
        <v>1870</v>
      </c>
      <c r="G312" s="2" t="s">
        <v>262</v>
      </c>
      <c r="H312" s="7" t="s">
        <v>8995</v>
      </c>
      <c r="I312" s="2" t="s">
        <v>342</v>
      </c>
      <c r="J312" s="2" t="s">
        <v>1872</v>
      </c>
      <c r="K312" s="2" t="s">
        <v>304</v>
      </c>
      <c r="L312" s="2" t="s">
        <v>390</v>
      </c>
      <c r="M312" s="8" t="str">
        <f>HYPERLINK("http://slimages.macys.com/is/image/MCY/11636026 ")</f>
        <v xml:space="preserve">http://slimages.macys.com/is/image/MCY/11636026 </v>
      </c>
    </row>
    <row r="313" spans="1:13" ht="60" x14ac:dyDescent="0.25">
      <c r="A313" s="7" t="s">
        <v>8996</v>
      </c>
      <c r="B313" s="2" t="s">
        <v>1877</v>
      </c>
      <c r="C313" s="4">
        <v>1</v>
      </c>
      <c r="D313" s="5">
        <v>5.8</v>
      </c>
      <c r="E313" s="5">
        <v>13.19</v>
      </c>
      <c r="F313" s="4">
        <v>18634010</v>
      </c>
      <c r="G313" s="2" t="s">
        <v>28</v>
      </c>
      <c r="H313" s="7" t="s">
        <v>233</v>
      </c>
      <c r="I313" s="2" t="s">
        <v>153</v>
      </c>
      <c r="J313" s="2" t="s">
        <v>154</v>
      </c>
      <c r="K313" s="2" t="s">
        <v>304</v>
      </c>
      <c r="L313" s="2" t="s">
        <v>38</v>
      </c>
      <c r="M313" s="8" t="str">
        <f>HYPERLINK("http://slimages.macys.com/is/image/MCY/13941917 ")</f>
        <v xml:space="preserve">http://slimages.macys.com/is/image/MCY/13941917 </v>
      </c>
    </row>
    <row r="314" spans="1:13" ht="60" x14ac:dyDescent="0.25">
      <c r="A314" s="7" t="s">
        <v>3392</v>
      </c>
      <c r="B314" s="2" t="s">
        <v>3393</v>
      </c>
      <c r="C314" s="4">
        <v>1</v>
      </c>
      <c r="D314" s="5">
        <v>5.8</v>
      </c>
      <c r="E314" s="5">
        <v>13.19</v>
      </c>
      <c r="F314" s="4">
        <v>17892010</v>
      </c>
      <c r="G314" s="2"/>
      <c r="H314" s="7" t="s">
        <v>233</v>
      </c>
      <c r="I314" s="2" t="s">
        <v>153</v>
      </c>
      <c r="J314" s="2" t="s">
        <v>154</v>
      </c>
      <c r="K314" s="2" t="s">
        <v>304</v>
      </c>
      <c r="L314" s="2" t="s">
        <v>38</v>
      </c>
      <c r="M314" s="8" t="str">
        <f>HYPERLINK("http://slimages.macys.com/is/image/MCY/13341121 ")</f>
        <v xml:space="preserve">http://slimages.macys.com/is/image/MCY/13341121 </v>
      </c>
    </row>
    <row r="315" spans="1:13" ht="60" x14ac:dyDescent="0.25">
      <c r="A315" s="7" t="s">
        <v>8997</v>
      </c>
      <c r="B315" s="2" t="s">
        <v>8998</v>
      </c>
      <c r="C315" s="4">
        <v>1</v>
      </c>
      <c r="D315" s="5">
        <v>5.8</v>
      </c>
      <c r="E315" s="5">
        <v>13.19</v>
      </c>
      <c r="F315" s="4">
        <v>17894210</v>
      </c>
      <c r="G315" s="2" t="s">
        <v>36</v>
      </c>
      <c r="H315" s="7" t="s">
        <v>675</v>
      </c>
      <c r="I315" s="2" t="s">
        <v>153</v>
      </c>
      <c r="J315" s="2" t="s">
        <v>154</v>
      </c>
      <c r="K315" s="2" t="s">
        <v>304</v>
      </c>
      <c r="L315" s="2" t="s">
        <v>38</v>
      </c>
      <c r="M315" s="8" t="str">
        <f>HYPERLINK("http://slimages.macys.com/is/image/MCY/13852867 ")</f>
        <v xml:space="preserve">http://slimages.macys.com/is/image/MCY/13852867 </v>
      </c>
    </row>
    <row r="316" spans="1:13" ht="60" x14ac:dyDescent="0.25">
      <c r="A316" s="7" t="s">
        <v>8999</v>
      </c>
      <c r="B316" s="2" t="s">
        <v>1877</v>
      </c>
      <c r="C316" s="4">
        <v>1</v>
      </c>
      <c r="D316" s="5">
        <v>5.8</v>
      </c>
      <c r="E316" s="5">
        <v>13.19</v>
      </c>
      <c r="F316" s="4">
        <v>18633810</v>
      </c>
      <c r="G316" s="2" t="s">
        <v>752</v>
      </c>
      <c r="H316" s="7" t="s">
        <v>438</v>
      </c>
      <c r="I316" s="2" t="s">
        <v>153</v>
      </c>
      <c r="J316" s="2" t="s">
        <v>154</v>
      </c>
      <c r="K316" s="2" t="s">
        <v>304</v>
      </c>
      <c r="L316" s="2" t="s">
        <v>38</v>
      </c>
      <c r="M316" s="8" t="str">
        <f>HYPERLINK("http://slimages.macys.com/is/image/MCY/13941918 ")</f>
        <v xml:space="preserve">http://slimages.macys.com/is/image/MCY/13941918 </v>
      </c>
    </row>
    <row r="317" spans="1:13" ht="60" x14ac:dyDescent="0.25">
      <c r="A317" s="7" t="s">
        <v>8303</v>
      </c>
      <c r="B317" s="2" t="s">
        <v>1880</v>
      </c>
      <c r="C317" s="4">
        <v>1</v>
      </c>
      <c r="D317" s="5">
        <v>5.8</v>
      </c>
      <c r="E317" s="5">
        <v>13.19</v>
      </c>
      <c r="F317" s="4">
        <v>17894010</v>
      </c>
      <c r="G317" s="2"/>
      <c r="H317" s="7" t="s">
        <v>675</v>
      </c>
      <c r="I317" s="2" t="s">
        <v>153</v>
      </c>
      <c r="J317" s="2" t="s">
        <v>154</v>
      </c>
      <c r="K317" s="2" t="s">
        <v>304</v>
      </c>
      <c r="L317" s="2" t="s">
        <v>38</v>
      </c>
      <c r="M317" s="8" t="str">
        <f>HYPERLINK("http://slimages.macys.com/is/image/MCY/13729099 ")</f>
        <v xml:space="preserve">http://slimages.macys.com/is/image/MCY/13729099 </v>
      </c>
    </row>
    <row r="318" spans="1:13" ht="60" x14ac:dyDescent="0.25">
      <c r="A318" s="7" t="s">
        <v>9000</v>
      </c>
      <c r="B318" s="2" t="s">
        <v>9001</v>
      </c>
      <c r="C318" s="4">
        <v>1</v>
      </c>
      <c r="D318" s="5">
        <v>5.8</v>
      </c>
      <c r="E318" s="5">
        <v>13.19</v>
      </c>
      <c r="F318" s="4">
        <v>17892610</v>
      </c>
      <c r="G318" s="2" t="s">
        <v>48</v>
      </c>
      <c r="H318" s="7" t="s">
        <v>482</v>
      </c>
      <c r="I318" s="2" t="s">
        <v>153</v>
      </c>
      <c r="J318" s="2" t="s">
        <v>154</v>
      </c>
      <c r="K318" s="2" t="s">
        <v>304</v>
      </c>
      <c r="L318" s="2" t="s">
        <v>206</v>
      </c>
      <c r="M318" s="8" t="str">
        <f>HYPERLINK("http://slimages.macys.com/is/image/MCY/13341116 ")</f>
        <v xml:space="preserve">http://slimages.macys.com/is/image/MCY/13341116 </v>
      </c>
    </row>
    <row r="319" spans="1:13" ht="60" x14ac:dyDescent="0.25">
      <c r="A319" s="7" t="s">
        <v>9002</v>
      </c>
      <c r="B319" s="2" t="s">
        <v>3389</v>
      </c>
      <c r="C319" s="4">
        <v>1</v>
      </c>
      <c r="D319" s="5">
        <v>5.8</v>
      </c>
      <c r="E319" s="5">
        <v>13.19</v>
      </c>
      <c r="F319" s="4">
        <v>17892410</v>
      </c>
      <c r="G319" s="2" t="s">
        <v>48</v>
      </c>
      <c r="H319" s="7" t="s">
        <v>91</v>
      </c>
      <c r="I319" s="2" t="s">
        <v>153</v>
      </c>
      <c r="J319" s="2" t="s">
        <v>154</v>
      </c>
      <c r="K319" s="2" t="s">
        <v>304</v>
      </c>
      <c r="L319" s="2" t="s">
        <v>38</v>
      </c>
      <c r="M319" s="8" t="str">
        <f>HYPERLINK("http://slimages.macys.com/is/image/MCY/13341369 ")</f>
        <v xml:space="preserve">http://slimages.macys.com/is/image/MCY/13341369 </v>
      </c>
    </row>
    <row r="320" spans="1:13" ht="60" x14ac:dyDescent="0.25">
      <c r="A320" s="7" t="s">
        <v>9003</v>
      </c>
      <c r="B320" s="2" t="s">
        <v>5961</v>
      </c>
      <c r="C320" s="4">
        <v>1</v>
      </c>
      <c r="D320" s="5">
        <v>5.8</v>
      </c>
      <c r="E320" s="5">
        <v>13.19</v>
      </c>
      <c r="F320" s="4">
        <v>17893810</v>
      </c>
      <c r="G320" s="2" t="s">
        <v>28</v>
      </c>
      <c r="H320" s="7" t="s">
        <v>675</v>
      </c>
      <c r="I320" s="2" t="s">
        <v>153</v>
      </c>
      <c r="J320" s="2" t="s">
        <v>154</v>
      </c>
      <c r="K320" s="2" t="s">
        <v>304</v>
      </c>
      <c r="L320" s="2" t="s">
        <v>38</v>
      </c>
      <c r="M320" s="8" t="str">
        <f>HYPERLINK("http://slimages.macys.com/is/image/MCY/13852866 ")</f>
        <v xml:space="preserve">http://slimages.macys.com/is/image/MCY/13852866 </v>
      </c>
    </row>
    <row r="321" spans="1:13" ht="60" x14ac:dyDescent="0.25">
      <c r="A321" s="7" t="s">
        <v>9004</v>
      </c>
      <c r="B321" s="2" t="s">
        <v>9005</v>
      </c>
      <c r="C321" s="4">
        <v>1</v>
      </c>
      <c r="D321" s="5">
        <v>5.75</v>
      </c>
      <c r="E321" s="5">
        <v>17.989999999999998</v>
      </c>
      <c r="F321" s="4" t="s">
        <v>9006</v>
      </c>
      <c r="G321" s="2" t="s">
        <v>353</v>
      </c>
      <c r="H321" s="7" t="s">
        <v>284</v>
      </c>
      <c r="I321" s="2" t="s">
        <v>342</v>
      </c>
      <c r="J321" s="2" t="s">
        <v>1834</v>
      </c>
      <c r="K321" s="2" t="s">
        <v>304</v>
      </c>
      <c r="L321" s="2" t="s">
        <v>335</v>
      </c>
      <c r="M321" s="8" t="str">
        <f>HYPERLINK("http://slimages.macys.com/is/image/MCY/12236911 ")</f>
        <v xml:space="preserve">http://slimages.macys.com/is/image/MCY/12236911 </v>
      </c>
    </row>
    <row r="322" spans="1:13" ht="60" x14ac:dyDescent="0.25">
      <c r="A322" s="7" t="s">
        <v>9007</v>
      </c>
      <c r="B322" s="2" t="s">
        <v>9005</v>
      </c>
      <c r="C322" s="4">
        <v>1</v>
      </c>
      <c r="D322" s="5">
        <v>5.75</v>
      </c>
      <c r="E322" s="5">
        <v>17.989999999999998</v>
      </c>
      <c r="F322" s="4" t="s">
        <v>9006</v>
      </c>
      <c r="G322" s="2" t="s">
        <v>353</v>
      </c>
      <c r="H322" s="7" t="s">
        <v>159</v>
      </c>
      <c r="I322" s="2" t="s">
        <v>342</v>
      </c>
      <c r="J322" s="2" t="s">
        <v>1834</v>
      </c>
      <c r="K322" s="2" t="s">
        <v>304</v>
      </c>
      <c r="L322" s="2" t="s">
        <v>335</v>
      </c>
      <c r="M322" s="8" t="str">
        <f>HYPERLINK("http://slimages.macys.com/is/image/MCY/12236911 ")</f>
        <v xml:space="preserve">http://slimages.macys.com/is/image/MCY/12236911 </v>
      </c>
    </row>
    <row r="323" spans="1:13" ht="60" x14ac:dyDescent="0.25">
      <c r="A323" s="7" t="s">
        <v>9008</v>
      </c>
      <c r="B323" s="2" t="s">
        <v>3399</v>
      </c>
      <c r="C323" s="4">
        <v>1</v>
      </c>
      <c r="D323" s="5">
        <v>5.75</v>
      </c>
      <c r="E323" s="5">
        <v>14.99</v>
      </c>
      <c r="F323" s="4" t="s">
        <v>3400</v>
      </c>
      <c r="G323" s="2" t="s">
        <v>476</v>
      </c>
      <c r="H323" s="7"/>
      <c r="I323" s="2" t="s">
        <v>30</v>
      </c>
      <c r="J323" s="2" t="s">
        <v>1890</v>
      </c>
      <c r="K323" s="2" t="s">
        <v>304</v>
      </c>
      <c r="L323" s="2" t="s">
        <v>416</v>
      </c>
      <c r="M323" s="8" t="str">
        <f>HYPERLINK("http://slimages.macys.com/is/image/MCY/12224316 ")</f>
        <v xml:space="preserve">http://slimages.macys.com/is/image/MCY/12224316 </v>
      </c>
    </row>
    <row r="324" spans="1:13" ht="60" x14ac:dyDescent="0.25">
      <c r="A324" s="7" t="s">
        <v>9009</v>
      </c>
      <c r="B324" s="2" t="s">
        <v>8305</v>
      </c>
      <c r="C324" s="4">
        <v>1</v>
      </c>
      <c r="D324" s="5">
        <v>5.75</v>
      </c>
      <c r="E324" s="5">
        <v>14.99</v>
      </c>
      <c r="F324" s="4" t="s">
        <v>8306</v>
      </c>
      <c r="G324" s="2" t="s">
        <v>353</v>
      </c>
      <c r="H324" s="7"/>
      <c r="I324" s="2" t="s">
        <v>30</v>
      </c>
      <c r="J324" s="2" t="s">
        <v>1890</v>
      </c>
      <c r="K324" s="2" t="s">
        <v>304</v>
      </c>
      <c r="L324" s="2" t="s">
        <v>416</v>
      </c>
      <c r="M324" s="8" t="str">
        <f>HYPERLINK("http://slimages.macys.com/is/image/MCY/12224270 ")</f>
        <v xml:space="preserve">http://slimages.macys.com/is/image/MCY/12224270 </v>
      </c>
    </row>
    <row r="325" spans="1:13" ht="60" x14ac:dyDescent="0.25">
      <c r="A325" s="7" t="s">
        <v>9010</v>
      </c>
      <c r="B325" s="2" t="s">
        <v>9011</v>
      </c>
      <c r="C325" s="4">
        <v>1</v>
      </c>
      <c r="D325" s="5">
        <v>5.75</v>
      </c>
      <c r="E325" s="5">
        <v>14.99</v>
      </c>
      <c r="F325" s="4" t="s">
        <v>9012</v>
      </c>
      <c r="G325" s="2" t="s">
        <v>653</v>
      </c>
      <c r="H325" s="7"/>
      <c r="I325" s="2" t="s">
        <v>30</v>
      </c>
      <c r="J325" s="2" t="s">
        <v>1890</v>
      </c>
      <c r="K325" s="2" t="s">
        <v>304</v>
      </c>
      <c r="L325" s="2" t="s">
        <v>416</v>
      </c>
      <c r="M325" s="8" t="str">
        <f>HYPERLINK("http://slimages.macys.com/is/image/MCY/12224276 ")</f>
        <v xml:space="preserve">http://slimages.macys.com/is/image/MCY/12224276 </v>
      </c>
    </row>
    <row r="326" spans="1:13" ht="60" x14ac:dyDescent="0.25">
      <c r="A326" s="7" t="s">
        <v>1052</v>
      </c>
      <c r="B326" s="2" t="s">
        <v>1050</v>
      </c>
      <c r="C326" s="4">
        <v>1</v>
      </c>
      <c r="D326" s="5">
        <v>5.75</v>
      </c>
      <c r="E326" s="5">
        <v>11.99</v>
      </c>
      <c r="F326" s="4">
        <v>2581</v>
      </c>
      <c r="G326" s="2" t="s">
        <v>36</v>
      </c>
      <c r="H326" s="7" t="s">
        <v>228</v>
      </c>
      <c r="I326" s="2" t="s">
        <v>523</v>
      </c>
      <c r="J326" s="2" t="s">
        <v>921</v>
      </c>
      <c r="K326" s="2" t="s">
        <v>304</v>
      </c>
      <c r="L326" s="2" t="s">
        <v>323</v>
      </c>
      <c r="M326" s="8" t="str">
        <f>HYPERLINK("http://slimages.macys.com/is/image/MCY/13050177 ")</f>
        <v xml:space="preserve">http://slimages.macys.com/is/image/MCY/13050177 </v>
      </c>
    </row>
    <row r="327" spans="1:13" ht="60" x14ac:dyDescent="0.25">
      <c r="A327" s="7" t="s">
        <v>1898</v>
      </c>
      <c r="B327" s="2" t="s">
        <v>1899</v>
      </c>
      <c r="C327" s="4">
        <v>1</v>
      </c>
      <c r="D327" s="5">
        <v>5.68</v>
      </c>
      <c r="E327" s="5">
        <v>16.989999999999998</v>
      </c>
      <c r="F327" s="4" t="s">
        <v>1900</v>
      </c>
      <c r="G327" s="2" t="s">
        <v>165</v>
      </c>
      <c r="H327" s="7" t="s">
        <v>159</v>
      </c>
      <c r="I327" s="2" t="s">
        <v>515</v>
      </c>
      <c r="J327" s="2" t="s">
        <v>827</v>
      </c>
      <c r="K327" s="2" t="s">
        <v>304</v>
      </c>
      <c r="L327" s="2" t="s">
        <v>358</v>
      </c>
      <c r="M327" s="8" t="str">
        <f>HYPERLINK("http://slimages.macys.com/is/image/MCY/3487948 ")</f>
        <v xml:space="preserve">http://slimages.macys.com/is/image/MCY/3487948 </v>
      </c>
    </row>
    <row r="328" spans="1:13" ht="60" x14ac:dyDescent="0.25">
      <c r="A328" s="7" t="s">
        <v>9013</v>
      </c>
      <c r="B328" s="2" t="s">
        <v>9014</v>
      </c>
      <c r="C328" s="4">
        <v>1</v>
      </c>
      <c r="D328" s="5">
        <v>5.65</v>
      </c>
      <c r="E328" s="5">
        <v>11.99</v>
      </c>
      <c r="F328" s="4" t="s">
        <v>9015</v>
      </c>
      <c r="G328" s="2" t="s">
        <v>41</v>
      </c>
      <c r="H328" s="7" t="s">
        <v>9016</v>
      </c>
      <c r="I328" s="2" t="s">
        <v>523</v>
      </c>
      <c r="J328" s="2" t="s">
        <v>921</v>
      </c>
      <c r="K328" s="2" t="s">
        <v>304</v>
      </c>
      <c r="L328" s="2" t="s">
        <v>323</v>
      </c>
      <c r="M328" s="8" t="str">
        <f>HYPERLINK("http://slimages.macys.com/is/image/MCY/11722351 ")</f>
        <v xml:space="preserve">http://slimages.macys.com/is/image/MCY/11722351 </v>
      </c>
    </row>
    <row r="329" spans="1:13" ht="60" x14ac:dyDescent="0.25">
      <c r="A329" s="7" t="s">
        <v>9017</v>
      </c>
      <c r="B329" s="2" t="s">
        <v>9018</v>
      </c>
      <c r="C329" s="4">
        <v>1</v>
      </c>
      <c r="D329" s="5">
        <v>5.65</v>
      </c>
      <c r="E329" s="5">
        <v>11.99</v>
      </c>
      <c r="F329" s="4" t="s">
        <v>9019</v>
      </c>
      <c r="G329" s="2" t="s">
        <v>698</v>
      </c>
      <c r="H329" s="7" t="s">
        <v>284</v>
      </c>
      <c r="I329" s="2" t="s">
        <v>30</v>
      </c>
      <c r="J329" s="2" t="s">
        <v>348</v>
      </c>
      <c r="K329" s="2" t="s">
        <v>304</v>
      </c>
      <c r="L329" s="2" t="s">
        <v>125</v>
      </c>
      <c r="M329" s="8" t="str">
        <f>HYPERLINK("http://slimages.macys.com/is/image/MCY/13987388 ")</f>
        <v xml:space="preserve">http://slimages.macys.com/is/image/MCY/13987388 </v>
      </c>
    </row>
    <row r="330" spans="1:13" ht="60" x14ac:dyDescent="0.25">
      <c r="A330" s="7" t="s">
        <v>5963</v>
      </c>
      <c r="B330" s="2" t="s">
        <v>3370</v>
      </c>
      <c r="C330" s="4">
        <v>1</v>
      </c>
      <c r="D330" s="5">
        <v>5.64</v>
      </c>
      <c r="E330" s="5">
        <v>12.99</v>
      </c>
      <c r="F330" s="4" t="s">
        <v>5964</v>
      </c>
      <c r="G330" s="2" t="s">
        <v>62</v>
      </c>
      <c r="H330" s="7" t="s">
        <v>166</v>
      </c>
      <c r="I330" s="2" t="s">
        <v>218</v>
      </c>
      <c r="J330" s="2" t="s">
        <v>2008</v>
      </c>
      <c r="K330" s="2" t="s">
        <v>304</v>
      </c>
      <c r="L330" s="2" t="s">
        <v>125</v>
      </c>
      <c r="M330" s="8" t="str">
        <f>HYPERLINK("http://slimages.macys.com/is/image/MCY/12742409 ")</f>
        <v xml:space="preserve">http://slimages.macys.com/is/image/MCY/12742409 </v>
      </c>
    </row>
    <row r="331" spans="1:13" ht="60" x14ac:dyDescent="0.25">
      <c r="A331" s="7" t="s">
        <v>9020</v>
      </c>
      <c r="B331" s="2" t="s">
        <v>3370</v>
      </c>
      <c r="C331" s="4">
        <v>1</v>
      </c>
      <c r="D331" s="5">
        <v>5.64</v>
      </c>
      <c r="E331" s="5">
        <v>12.99</v>
      </c>
      <c r="F331" s="4" t="s">
        <v>5964</v>
      </c>
      <c r="G331" s="2" t="s">
        <v>62</v>
      </c>
      <c r="H331" s="7" t="s">
        <v>209</v>
      </c>
      <c r="I331" s="2" t="s">
        <v>218</v>
      </c>
      <c r="J331" s="2" t="s">
        <v>2008</v>
      </c>
      <c r="K331" s="2" t="s">
        <v>304</v>
      </c>
      <c r="L331" s="2" t="s">
        <v>125</v>
      </c>
      <c r="M331" s="8" t="str">
        <f>HYPERLINK("http://slimages.macys.com/is/image/MCY/12742409 ")</f>
        <v xml:space="preserve">http://slimages.macys.com/is/image/MCY/12742409 </v>
      </c>
    </row>
    <row r="332" spans="1:13" ht="60" x14ac:dyDescent="0.25">
      <c r="A332" s="7" t="s">
        <v>9021</v>
      </c>
      <c r="B332" s="2" t="s">
        <v>3370</v>
      </c>
      <c r="C332" s="4">
        <v>1</v>
      </c>
      <c r="D332" s="5">
        <v>5.64</v>
      </c>
      <c r="E332" s="5">
        <v>12.99</v>
      </c>
      <c r="F332" s="4" t="s">
        <v>5964</v>
      </c>
      <c r="G332" s="2" t="s">
        <v>62</v>
      </c>
      <c r="H332" s="7" t="s">
        <v>1151</v>
      </c>
      <c r="I332" s="2" t="s">
        <v>218</v>
      </c>
      <c r="J332" s="2" t="s">
        <v>2008</v>
      </c>
      <c r="K332" s="2" t="s">
        <v>304</v>
      </c>
      <c r="L332" s="2" t="s">
        <v>125</v>
      </c>
      <c r="M332" s="8" t="str">
        <f>HYPERLINK("http://slimages.macys.com/is/image/MCY/12742409 ")</f>
        <v xml:space="preserve">http://slimages.macys.com/is/image/MCY/12742409 </v>
      </c>
    </row>
    <row r="333" spans="1:13" ht="60" x14ac:dyDescent="0.25">
      <c r="A333" s="7" t="s">
        <v>1066</v>
      </c>
      <c r="B333" s="2" t="s">
        <v>1055</v>
      </c>
      <c r="C333" s="4">
        <v>2</v>
      </c>
      <c r="D333" s="5">
        <v>5.6</v>
      </c>
      <c r="E333" s="5">
        <v>14</v>
      </c>
      <c r="F333" s="4" t="s">
        <v>1067</v>
      </c>
      <c r="G333" s="2" t="s">
        <v>41</v>
      </c>
      <c r="H333" s="7"/>
      <c r="I333" s="2" t="s">
        <v>523</v>
      </c>
      <c r="J333" s="2" t="s">
        <v>937</v>
      </c>
      <c r="K333" s="2" t="s">
        <v>304</v>
      </c>
      <c r="L333" s="2" t="s">
        <v>263</v>
      </c>
      <c r="M333" s="8" t="str">
        <f>HYPERLINK("http://slimages.macys.com/is/image/MCY/12038119 ")</f>
        <v xml:space="preserve">http://slimages.macys.com/is/image/MCY/12038119 </v>
      </c>
    </row>
    <row r="334" spans="1:13" ht="60" x14ac:dyDescent="0.25">
      <c r="A334" s="7" t="s">
        <v>1068</v>
      </c>
      <c r="B334" s="2" t="s">
        <v>1069</v>
      </c>
      <c r="C334" s="4">
        <v>1</v>
      </c>
      <c r="D334" s="5">
        <v>5.6</v>
      </c>
      <c r="E334" s="5">
        <v>14</v>
      </c>
      <c r="F334" s="4" t="s">
        <v>1070</v>
      </c>
      <c r="G334" s="2" t="s">
        <v>165</v>
      </c>
      <c r="H334" s="7"/>
      <c r="I334" s="2" t="s">
        <v>523</v>
      </c>
      <c r="J334" s="2" t="s">
        <v>937</v>
      </c>
      <c r="K334" s="2" t="s">
        <v>304</v>
      </c>
      <c r="L334" s="2" t="s">
        <v>224</v>
      </c>
      <c r="M334" s="8" t="str">
        <f>HYPERLINK("http://slimages.macys.com/is/image/MCY/11954954 ")</f>
        <v xml:space="preserve">http://slimages.macys.com/is/image/MCY/11954954 </v>
      </c>
    </row>
    <row r="335" spans="1:13" ht="96" x14ac:dyDescent="0.25">
      <c r="A335" s="7" t="s">
        <v>1908</v>
      </c>
      <c r="B335" s="2" t="s">
        <v>1909</v>
      </c>
      <c r="C335" s="4">
        <v>2</v>
      </c>
      <c r="D335" s="5">
        <v>5.57</v>
      </c>
      <c r="E335" s="5">
        <v>16.989999999999998</v>
      </c>
      <c r="F335" s="4" t="s">
        <v>1910</v>
      </c>
      <c r="G335" s="2" t="s">
        <v>171</v>
      </c>
      <c r="H335" s="7" t="s">
        <v>284</v>
      </c>
      <c r="I335" s="2" t="s">
        <v>515</v>
      </c>
      <c r="J335" s="2" t="s">
        <v>827</v>
      </c>
      <c r="K335" s="2" t="s">
        <v>304</v>
      </c>
      <c r="L335" s="2" t="s">
        <v>1911</v>
      </c>
      <c r="M335" s="8" t="str">
        <f>HYPERLINK("http://slimages.macys.com/is/image/MCY/11606037 ")</f>
        <v xml:space="preserve">http://slimages.macys.com/is/image/MCY/11606037 </v>
      </c>
    </row>
    <row r="336" spans="1:13" ht="96" x14ac:dyDescent="0.25">
      <c r="A336" s="7" t="s">
        <v>9022</v>
      </c>
      <c r="B336" s="2" t="s">
        <v>1909</v>
      </c>
      <c r="C336" s="4">
        <v>4</v>
      </c>
      <c r="D336" s="5">
        <v>5.57</v>
      </c>
      <c r="E336" s="5">
        <v>16.989999999999998</v>
      </c>
      <c r="F336" s="4" t="s">
        <v>1910</v>
      </c>
      <c r="G336" s="2" t="s">
        <v>171</v>
      </c>
      <c r="H336" s="7" t="s">
        <v>159</v>
      </c>
      <c r="I336" s="2" t="s">
        <v>515</v>
      </c>
      <c r="J336" s="2" t="s">
        <v>827</v>
      </c>
      <c r="K336" s="2" t="s">
        <v>304</v>
      </c>
      <c r="L336" s="2" t="s">
        <v>1911</v>
      </c>
      <c r="M336" s="8" t="str">
        <f>HYPERLINK("http://slimages.macys.com/is/image/MCY/11606037 ")</f>
        <v xml:space="preserve">http://slimages.macys.com/is/image/MCY/11606037 </v>
      </c>
    </row>
    <row r="337" spans="1:13" ht="96" x14ac:dyDescent="0.25">
      <c r="A337" s="7" t="s">
        <v>9023</v>
      </c>
      <c r="B337" s="2" t="s">
        <v>1909</v>
      </c>
      <c r="C337" s="4">
        <v>3</v>
      </c>
      <c r="D337" s="5">
        <v>5.57</v>
      </c>
      <c r="E337" s="5">
        <v>16.989999999999998</v>
      </c>
      <c r="F337" s="4" t="s">
        <v>1910</v>
      </c>
      <c r="G337" s="2" t="s">
        <v>171</v>
      </c>
      <c r="H337" s="7" t="s">
        <v>228</v>
      </c>
      <c r="I337" s="2" t="s">
        <v>515</v>
      </c>
      <c r="J337" s="2" t="s">
        <v>827</v>
      </c>
      <c r="K337" s="2" t="s">
        <v>304</v>
      </c>
      <c r="L337" s="2" t="s">
        <v>1911</v>
      </c>
      <c r="M337" s="8" t="str">
        <f>HYPERLINK("http://slimages.macys.com/is/image/MCY/11606037 ")</f>
        <v xml:space="preserve">http://slimages.macys.com/is/image/MCY/11606037 </v>
      </c>
    </row>
    <row r="338" spans="1:13" ht="96" x14ac:dyDescent="0.25">
      <c r="A338" s="7" t="s">
        <v>6331</v>
      </c>
      <c r="B338" s="2" t="s">
        <v>1909</v>
      </c>
      <c r="C338" s="4">
        <v>1</v>
      </c>
      <c r="D338" s="5">
        <v>5.57</v>
      </c>
      <c r="E338" s="5">
        <v>16.989999999999998</v>
      </c>
      <c r="F338" s="4" t="s">
        <v>1910</v>
      </c>
      <c r="G338" s="2" t="s">
        <v>171</v>
      </c>
      <c r="H338" s="7" t="s">
        <v>196</v>
      </c>
      <c r="I338" s="2" t="s">
        <v>515</v>
      </c>
      <c r="J338" s="2" t="s">
        <v>827</v>
      </c>
      <c r="K338" s="2" t="s">
        <v>304</v>
      </c>
      <c r="L338" s="2" t="s">
        <v>1911</v>
      </c>
      <c r="M338" s="8" t="str">
        <f>HYPERLINK("http://slimages.macys.com/is/image/MCY/11606037 ")</f>
        <v xml:space="preserve">http://slimages.macys.com/is/image/MCY/11606037 </v>
      </c>
    </row>
    <row r="339" spans="1:13" ht="192" x14ac:dyDescent="0.25">
      <c r="A339" s="7" t="s">
        <v>4166</v>
      </c>
      <c r="B339" s="2" t="s">
        <v>4167</v>
      </c>
      <c r="C339" s="4">
        <v>1</v>
      </c>
      <c r="D339" s="5">
        <v>5.5</v>
      </c>
      <c r="E339" s="5">
        <v>12.99</v>
      </c>
      <c r="F339" s="4" t="s">
        <v>4168</v>
      </c>
      <c r="G339" s="2" t="s">
        <v>28</v>
      </c>
      <c r="H339" s="7" t="s">
        <v>91</v>
      </c>
      <c r="I339" s="2" t="s">
        <v>92</v>
      </c>
      <c r="J339" s="2" t="s">
        <v>1076</v>
      </c>
      <c r="K339" s="2" t="s">
        <v>304</v>
      </c>
      <c r="L339" s="2" t="s">
        <v>2647</v>
      </c>
      <c r="M339" s="8" t="str">
        <f>HYPERLINK("http://slimages.macys.com/is/image/MCY/15654443 ")</f>
        <v xml:space="preserve">http://slimages.macys.com/is/image/MCY/15654443 </v>
      </c>
    </row>
    <row r="340" spans="1:13" ht="60" x14ac:dyDescent="0.25">
      <c r="A340" s="7" t="s">
        <v>1913</v>
      </c>
      <c r="B340" s="2" t="s">
        <v>1074</v>
      </c>
      <c r="C340" s="4">
        <v>2</v>
      </c>
      <c r="D340" s="5">
        <v>5.5</v>
      </c>
      <c r="E340" s="5">
        <v>12.99</v>
      </c>
      <c r="F340" s="4" t="s">
        <v>1075</v>
      </c>
      <c r="G340" s="2"/>
      <c r="H340" s="7" t="s">
        <v>91</v>
      </c>
      <c r="I340" s="2" t="s">
        <v>92</v>
      </c>
      <c r="J340" s="2" t="s">
        <v>1076</v>
      </c>
      <c r="K340" s="2" t="s">
        <v>304</v>
      </c>
      <c r="L340" s="2" t="s">
        <v>100</v>
      </c>
      <c r="M340" s="8" t="str">
        <f>HYPERLINK("http://slimages.macys.com/is/image/MCY/15654522 ")</f>
        <v xml:space="preserve">http://slimages.macys.com/is/image/MCY/15654522 </v>
      </c>
    </row>
    <row r="341" spans="1:13" ht="168" x14ac:dyDescent="0.25">
      <c r="A341" s="7" t="s">
        <v>5016</v>
      </c>
      <c r="B341" s="2" t="s">
        <v>5017</v>
      </c>
      <c r="C341" s="4">
        <v>1</v>
      </c>
      <c r="D341" s="5">
        <v>5.5</v>
      </c>
      <c r="E341" s="5">
        <v>12.99</v>
      </c>
      <c r="F341" s="4" t="s">
        <v>5018</v>
      </c>
      <c r="G341" s="2" t="s">
        <v>129</v>
      </c>
      <c r="H341" s="7" t="s">
        <v>442</v>
      </c>
      <c r="I341" s="2" t="s">
        <v>92</v>
      </c>
      <c r="J341" s="2" t="s">
        <v>1076</v>
      </c>
      <c r="K341" s="2" t="s">
        <v>304</v>
      </c>
      <c r="L341" s="2" t="s">
        <v>5019</v>
      </c>
      <c r="M341" s="8" t="str">
        <f>HYPERLINK("http://slimages.macys.com/is/image/MCY/15654556 ")</f>
        <v xml:space="preserve">http://slimages.macys.com/is/image/MCY/15654556 </v>
      </c>
    </row>
    <row r="342" spans="1:13" ht="60" x14ac:dyDescent="0.25">
      <c r="A342" s="7" t="s">
        <v>9024</v>
      </c>
      <c r="B342" s="2" t="s">
        <v>1915</v>
      </c>
      <c r="C342" s="4">
        <v>1</v>
      </c>
      <c r="D342" s="5">
        <v>5.5</v>
      </c>
      <c r="E342" s="5">
        <v>10.99</v>
      </c>
      <c r="F342" s="4" t="s">
        <v>1916</v>
      </c>
      <c r="G342" s="2" t="s">
        <v>36</v>
      </c>
      <c r="H342" s="7" t="s">
        <v>159</v>
      </c>
      <c r="I342" s="2" t="s">
        <v>73</v>
      </c>
      <c r="J342" s="2" t="s">
        <v>1917</v>
      </c>
      <c r="K342" s="2" t="s">
        <v>304</v>
      </c>
      <c r="L342" s="2" t="s">
        <v>125</v>
      </c>
      <c r="M342" s="8" t="str">
        <f>HYPERLINK("http://slimages.macys.com/is/image/MCY/12235600 ")</f>
        <v xml:space="preserve">http://slimages.macys.com/is/image/MCY/12235600 </v>
      </c>
    </row>
    <row r="343" spans="1:13" ht="60" x14ac:dyDescent="0.25">
      <c r="A343" s="7" t="s">
        <v>5497</v>
      </c>
      <c r="B343" s="2" t="s">
        <v>1915</v>
      </c>
      <c r="C343" s="4">
        <v>1</v>
      </c>
      <c r="D343" s="5">
        <v>5.5</v>
      </c>
      <c r="E343" s="5">
        <v>10.99</v>
      </c>
      <c r="F343" s="4" t="s">
        <v>1916</v>
      </c>
      <c r="G343" s="2" t="s">
        <v>41</v>
      </c>
      <c r="H343" s="7" t="s">
        <v>196</v>
      </c>
      <c r="I343" s="2" t="s">
        <v>73</v>
      </c>
      <c r="J343" s="2" t="s">
        <v>1917</v>
      </c>
      <c r="K343" s="2" t="s">
        <v>304</v>
      </c>
      <c r="L343" s="2" t="s">
        <v>125</v>
      </c>
      <c r="M343" s="8" t="str">
        <f>HYPERLINK("http://slimages.macys.com/is/image/MCY/12235600 ")</f>
        <v xml:space="preserve">http://slimages.macys.com/is/image/MCY/12235600 </v>
      </c>
    </row>
    <row r="344" spans="1:13" ht="60" x14ac:dyDescent="0.25">
      <c r="A344" s="7" t="s">
        <v>9025</v>
      </c>
      <c r="B344" s="2" t="s">
        <v>1078</v>
      </c>
      <c r="C344" s="4">
        <v>1</v>
      </c>
      <c r="D344" s="5">
        <v>5.5</v>
      </c>
      <c r="E344" s="5">
        <v>12.99</v>
      </c>
      <c r="F344" s="4">
        <v>6133</v>
      </c>
      <c r="G344" s="2" t="s">
        <v>28</v>
      </c>
      <c r="H344" s="7" t="s">
        <v>228</v>
      </c>
      <c r="I344" s="2" t="s">
        <v>523</v>
      </c>
      <c r="J344" s="2" t="s">
        <v>969</v>
      </c>
      <c r="K344" s="2" t="s">
        <v>304</v>
      </c>
      <c r="L344" s="2" t="s">
        <v>1036</v>
      </c>
      <c r="M344" s="8" t="str">
        <f>HYPERLINK("http://slimages.macys.com/is/image/MCY/13403932 ")</f>
        <v xml:space="preserve">http://slimages.macys.com/is/image/MCY/13403932 </v>
      </c>
    </row>
    <row r="345" spans="1:13" ht="60" x14ac:dyDescent="0.25">
      <c r="A345" s="7" t="s">
        <v>1079</v>
      </c>
      <c r="B345" s="2" t="s">
        <v>1078</v>
      </c>
      <c r="C345" s="4">
        <v>1</v>
      </c>
      <c r="D345" s="5">
        <v>5.5</v>
      </c>
      <c r="E345" s="5">
        <v>12.99</v>
      </c>
      <c r="F345" s="4">
        <v>6133</v>
      </c>
      <c r="G345" s="2" t="s">
        <v>36</v>
      </c>
      <c r="H345" s="7" t="s">
        <v>196</v>
      </c>
      <c r="I345" s="2" t="s">
        <v>523</v>
      </c>
      <c r="J345" s="2" t="s">
        <v>969</v>
      </c>
      <c r="K345" s="2" t="s">
        <v>304</v>
      </c>
      <c r="L345" s="2" t="s">
        <v>1036</v>
      </c>
      <c r="M345" s="8" t="str">
        <f>HYPERLINK("http://slimages.macys.com/is/image/MCY/13403932 ")</f>
        <v xml:space="preserve">http://slimages.macys.com/is/image/MCY/13403932 </v>
      </c>
    </row>
    <row r="346" spans="1:13" ht="60" x14ac:dyDescent="0.25">
      <c r="A346" s="7" t="s">
        <v>1077</v>
      </c>
      <c r="B346" s="2" t="s">
        <v>1078</v>
      </c>
      <c r="C346" s="4">
        <v>2</v>
      </c>
      <c r="D346" s="5">
        <v>5.5</v>
      </c>
      <c r="E346" s="5">
        <v>12.99</v>
      </c>
      <c r="F346" s="4">
        <v>6133</v>
      </c>
      <c r="G346" s="2" t="s">
        <v>28</v>
      </c>
      <c r="H346" s="7" t="s">
        <v>196</v>
      </c>
      <c r="I346" s="2" t="s">
        <v>523</v>
      </c>
      <c r="J346" s="2" t="s">
        <v>969</v>
      </c>
      <c r="K346" s="2" t="s">
        <v>304</v>
      </c>
      <c r="L346" s="2" t="s">
        <v>1036</v>
      </c>
      <c r="M346" s="8" t="str">
        <f>HYPERLINK("http://slimages.macys.com/is/image/MCY/13403932 ")</f>
        <v xml:space="preserve">http://slimages.macys.com/is/image/MCY/13403932 </v>
      </c>
    </row>
    <row r="347" spans="1:13" ht="108" x14ac:dyDescent="0.25">
      <c r="A347" s="7" t="s">
        <v>9026</v>
      </c>
      <c r="B347" s="2" t="s">
        <v>9027</v>
      </c>
      <c r="C347" s="4">
        <v>1</v>
      </c>
      <c r="D347" s="5">
        <v>5.46</v>
      </c>
      <c r="E347" s="5">
        <v>12.99</v>
      </c>
      <c r="F347" s="4" t="s">
        <v>9028</v>
      </c>
      <c r="G347" s="2" t="s">
        <v>48</v>
      </c>
      <c r="H347" s="7" t="s">
        <v>123</v>
      </c>
      <c r="I347" s="2" t="s">
        <v>515</v>
      </c>
      <c r="J347" s="2" t="s">
        <v>516</v>
      </c>
      <c r="K347" s="2" t="s">
        <v>304</v>
      </c>
      <c r="L347" s="2" t="s">
        <v>9029</v>
      </c>
      <c r="M347" s="8" t="str">
        <f>HYPERLINK("http://slimages.macys.com/is/image/MCY/12236308 ")</f>
        <v xml:space="preserve">http://slimages.macys.com/is/image/MCY/12236308 </v>
      </c>
    </row>
    <row r="348" spans="1:13" ht="60" x14ac:dyDescent="0.25">
      <c r="A348" s="7" t="s">
        <v>9030</v>
      </c>
      <c r="B348" s="2" t="s">
        <v>5499</v>
      </c>
      <c r="C348" s="4">
        <v>1</v>
      </c>
      <c r="D348" s="5">
        <v>5.42</v>
      </c>
      <c r="E348" s="5">
        <v>12.99</v>
      </c>
      <c r="F348" s="4" t="s">
        <v>5500</v>
      </c>
      <c r="G348" s="2" t="s">
        <v>41</v>
      </c>
      <c r="H348" s="7" t="s">
        <v>284</v>
      </c>
      <c r="I348" s="2" t="s">
        <v>218</v>
      </c>
      <c r="J348" s="2" t="s">
        <v>1740</v>
      </c>
      <c r="K348" s="2" t="s">
        <v>304</v>
      </c>
      <c r="L348" s="2" t="s">
        <v>358</v>
      </c>
      <c r="M348" s="8" t="str">
        <f>HYPERLINK("http://slimages.macys.com/is/image/MCY/11952909 ")</f>
        <v xml:space="preserve">http://slimages.macys.com/is/image/MCY/11952909 </v>
      </c>
    </row>
    <row r="349" spans="1:13" ht="60" x14ac:dyDescent="0.25">
      <c r="A349" s="7" t="s">
        <v>9031</v>
      </c>
      <c r="B349" s="2" t="s">
        <v>3360</v>
      </c>
      <c r="C349" s="4">
        <v>2</v>
      </c>
      <c r="D349" s="5">
        <v>5.42</v>
      </c>
      <c r="E349" s="5">
        <v>12.99</v>
      </c>
      <c r="F349" s="4" t="s">
        <v>9032</v>
      </c>
      <c r="G349" s="2" t="s">
        <v>353</v>
      </c>
      <c r="H349" s="7" t="s">
        <v>123</v>
      </c>
      <c r="I349" s="2" t="s">
        <v>218</v>
      </c>
      <c r="J349" s="2" t="s">
        <v>2008</v>
      </c>
      <c r="K349" s="2" t="s">
        <v>304</v>
      </c>
      <c r="L349" s="2" t="s">
        <v>125</v>
      </c>
      <c r="M349" s="8" t="str">
        <f>HYPERLINK("http://slimages.macys.com/is/image/MCY/12742410 ")</f>
        <v xml:space="preserve">http://slimages.macys.com/is/image/MCY/12742410 </v>
      </c>
    </row>
    <row r="350" spans="1:13" ht="60" x14ac:dyDescent="0.25">
      <c r="A350" s="7" t="s">
        <v>9033</v>
      </c>
      <c r="B350" s="2" t="s">
        <v>5499</v>
      </c>
      <c r="C350" s="4">
        <v>1</v>
      </c>
      <c r="D350" s="5">
        <v>5.42</v>
      </c>
      <c r="E350" s="5">
        <v>12.99</v>
      </c>
      <c r="F350" s="4" t="s">
        <v>5500</v>
      </c>
      <c r="G350" s="2" t="s">
        <v>41</v>
      </c>
      <c r="H350" s="7" t="s">
        <v>217</v>
      </c>
      <c r="I350" s="2" t="s">
        <v>218</v>
      </c>
      <c r="J350" s="2" t="s">
        <v>1740</v>
      </c>
      <c r="K350" s="2" t="s">
        <v>304</v>
      </c>
      <c r="L350" s="2" t="s">
        <v>358</v>
      </c>
      <c r="M350" s="8" t="str">
        <f>HYPERLINK("http://slimages.macys.com/is/image/MCY/11952909 ")</f>
        <v xml:space="preserve">http://slimages.macys.com/is/image/MCY/11952909 </v>
      </c>
    </row>
    <row r="351" spans="1:13" ht="60" x14ac:dyDescent="0.25">
      <c r="A351" s="7" t="s">
        <v>9034</v>
      </c>
      <c r="B351" s="2" t="s">
        <v>9035</v>
      </c>
      <c r="C351" s="4">
        <v>1</v>
      </c>
      <c r="D351" s="5">
        <v>5.41</v>
      </c>
      <c r="E351" s="5">
        <v>13.99</v>
      </c>
      <c r="F351" s="4" t="s">
        <v>9036</v>
      </c>
      <c r="G351" s="2" t="s">
        <v>793</v>
      </c>
      <c r="H351" s="7" t="s">
        <v>196</v>
      </c>
      <c r="I351" s="2" t="s">
        <v>389</v>
      </c>
      <c r="J351" s="2" t="s">
        <v>354</v>
      </c>
      <c r="K351" s="2" t="s">
        <v>304</v>
      </c>
      <c r="L351" s="2" t="s">
        <v>358</v>
      </c>
      <c r="M351" s="8" t="str">
        <f>HYPERLINK("http://slimages.macys.com/is/image/MCY/11855390 ")</f>
        <v xml:space="preserve">http://slimages.macys.com/is/image/MCY/11855390 </v>
      </c>
    </row>
    <row r="352" spans="1:13" ht="84" x14ac:dyDescent="0.25">
      <c r="A352" s="7" t="s">
        <v>1923</v>
      </c>
      <c r="B352" s="2" t="s">
        <v>1924</v>
      </c>
      <c r="C352" s="4">
        <v>1</v>
      </c>
      <c r="D352" s="5">
        <v>5.41</v>
      </c>
      <c r="E352" s="5">
        <v>16.989999999999998</v>
      </c>
      <c r="F352" s="4" t="s">
        <v>1925</v>
      </c>
      <c r="G352" s="2" t="s">
        <v>86</v>
      </c>
      <c r="H352" s="7" t="s">
        <v>159</v>
      </c>
      <c r="I352" s="2" t="s">
        <v>515</v>
      </c>
      <c r="J352" s="2" t="s">
        <v>827</v>
      </c>
      <c r="K352" s="2" t="s">
        <v>304</v>
      </c>
      <c r="L352" s="2" t="s">
        <v>1117</v>
      </c>
      <c r="M352" s="8" t="str">
        <f>HYPERLINK("http://slimages.macys.com/is/image/MCY/11605918 ")</f>
        <v xml:space="preserve">http://slimages.macys.com/is/image/MCY/11605918 </v>
      </c>
    </row>
    <row r="353" spans="1:13" ht="84" x14ac:dyDescent="0.25">
      <c r="A353" s="7" t="s">
        <v>9037</v>
      </c>
      <c r="B353" s="2" t="s">
        <v>1924</v>
      </c>
      <c r="C353" s="4">
        <v>1</v>
      </c>
      <c r="D353" s="5">
        <v>5.41</v>
      </c>
      <c r="E353" s="5">
        <v>16.989999999999998</v>
      </c>
      <c r="F353" s="4" t="s">
        <v>1925</v>
      </c>
      <c r="G353" s="2" t="s">
        <v>86</v>
      </c>
      <c r="H353" s="7" t="s">
        <v>196</v>
      </c>
      <c r="I353" s="2" t="s">
        <v>515</v>
      </c>
      <c r="J353" s="2" t="s">
        <v>827</v>
      </c>
      <c r="K353" s="2" t="s">
        <v>304</v>
      </c>
      <c r="L353" s="2" t="s">
        <v>1117</v>
      </c>
      <c r="M353" s="8" t="str">
        <f>HYPERLINK("http://slimages.macys.com/is/image/MCY/11605918 ")</f>
        <v xml:space="preserve">http://slimages.macys.com/is/image/MCY/11605918 </v>
      </c>
    </row>
    <row r="354" spans="1:13" ht="60" x14ac:dyDescent="0.25">
      <c r="A354" s="7" t="s">
        <v>9038</v>
      </c>
      <c r="B354" s="2" t="s">
        <v>9039</v>
      </c>
      <c r="C354" s="4">
        <v>1</v>
      </c>
      <c r="D354" s="5">
        <v>5.26</v>
      </c>
      <c r="E354" s="5">
        <v>12.99</v>
      </c>
      <c r="F354" s="4" t="s">
        <v>9040</v>
      </c>
      <c r="G354" s="2" t="s">
        <v>86</v>
      </c>
      <c r="H354" s="7" t="s">
        <v>196</v>
      </c>
      <c r="I354" s="2" t="s">
        <v>389</v>
      </c>
      <c r="J354" s="2" t="s">
        <v>354</v>
      </c>
      <c r="K354" s="2" t="s">
        <v>304</v>
      </c>
      <c r="L354" s="2" t="s">
        <v>358</v>
      </c>
      <c r="M354" s="8" t="str">
        <f>HYPERLINK("http://slimages.macys.com/is/image/MCY/12654973 ")</f>
        <v xml:space="preserve">http://slimages.macys.com/is/image/MCY/12654973 </v>
      </c>
    </row>
    <row r="355" spans="1:13" ht="60" x14ac:dyDescent="0.25">
      <c r="A355" s="7" t="s">
        <v>9041</v>
      </c>
      <c r="B355" s="2" t="s">
        <v>9042</v>
      </c>
      <c r="C355" s="4">
        <v>1</v>
      </c>
      <c r="D355" s="5">
        <v>5.25</v>
      </c>
      <c r="E355" s="5">
        <v>14.99</v>
      </c>
      <c r="F355" s="4" t="s">
        <v>9043</v>
      </c>
      <c r="G355" s="2" t="s">
        <v>657</v>
      </c>
      <c r="H355" s="7" t="s">
        <v>228</v>
      </c>
      <c r="I355" s="2" t="s">
        <v>523</v>
      </c>
      <c r="J355" s="2" t="s">
        <v>921</v>
      </c>
      <c r="K355" s="2" t="s">
        <v>304</v>
      </c>
      <c r="L355" s="2" t="s">
        <v>87</v>
      </c>
      <c r="M355" s="8" t="str">
        <f>HYPERLINK("http://slimages.macys.com/is/image/MCY/1284546 ")</f>
        <v xml:space="preserve">http://slimages.macys.com/is/image/MCY/1284546 </v>
      </c>
    </row>
    <row r="356" spans="1:13" ht="96" x14ac:dyDescent="0.25">
      <c r="A356" s="7" t="s">
        <v>1945</v>
      </c>
      <c r="B356" s="2" t="s">
        <v>1946</v>
      </c>
      <c r="C356" s="4">
        <v>1</v>
      </c>
      <c r="D356" s="5">
        <v>5.25</v>
      </c>
      <c r="E356" s="5">
        <v>14.99</v>
      </c>
      <c r="F356" s="4" t="s">
        <v>1947</v>
      </c>
      <c r="G356" s="2"/>
      <c r="H356" s="7" t="s">
        <v>144</v>
      </c>
      <c r="I356" s="2" t="s">
        <v>92</v>
      </c>
      <c r="J356" s="2" t="s">
        <v>1076</v>
      </c>
      <c r="K356" s="2" t="s">
        <v>304</v>
      </c>
      <c r="L356" s="2" t="s">
        <v>1948</v>
      </c>
      <c r="M356" s="8" t="str">
        <f>HYPERLINK("http://slimages.macys.com/is/image/MCY/15654526 ")</f>
        <v xml:space="preserve">http://slimages.macys.com/is/image/MCY/15654526 </v>
      </c>
    </row>
    <row r="357" spans="1:13" ht="96" x14ac:dyDescent="0.25">
      <c r="A357" s="7" t="s">
        <v>1952</v>
      </c>
      <c r="B357" s="2" t="s">
        <v>1950</v>
      </c>
      <c r="C357" s="4">
        <v>2</v>
      </c>
      <c r="D357" s="5">
        <v>5.25</v>
      </c>
      <c r="E357" s="5">
        <v>14.99</v>
      </c>
      <c r="F357" s="4" t="s">
        <v>1951</v>
      </c>
      <c r="G357" s="2" t="s">
        <v>129</v>
      </c>
      <c r="H357" s="7" t="s">
        <v>91</v>
      </c>
      <c r="I357" s="2" t="s">
        <v>92</v>
      </c>
      <c r="J357" s="2" t="s">
        <v>1076</v>
      </c>
      <c r="K357" s="2" t="s">
        <v>304</v>
      </c>
      <c r="L357" s="2" t="s">
        <v>1948</v>
      </c>
      <c r="M357" s="8" t="str">
        <f>HYPERLINK("http://slimages.macys.com/is/image/MCY/15654553 ")</f>
        <v xml:space="preserve">http://slimages.macys.com/is/image/MCY/15654553 </v>
      </c>
    </row>
    <row r="358" spans="1:13" ht="60" x14ac:dyDescent="0.25">
      <c r="A358" s="7" t="s">
        <v>1085</v>
      </c>
      <c r="B358" s="2" t="s">
        <v>1086</v>
      </c>
      <c r="C358" s="4">
        <v>1</v>
      </c>
      <c r="D358" s="5">
        <v>5.15</v>
      </c>
      <c r="E358" s="5">
        <v>11.99</v>
      </c>
      <c r="F358" s="4">
        <v>4217</v>
      </c>
      <c r="G358" s="2" t="s">
        <v>653</v>
      </c>
      <c r="H358" s="7" t="s">
        <v>159</v>
      </c>
      <c r="I358" s="2" t="s">
        <v>523</v>
      </c>
      <c r="J358" s="2" t="s">
        <v>921</v>
      </c>
      <c r="K358" s="2" t="s">
        <v>304</v>
      </c>
      <c r="L358" s="2" t="s">
        <v>323</v>
      </c>
      <c r="M358" s="8" t="str">
        <f>HYPERLINK("http://slimages.macys.com/is/image/MCY/13050187 ")</f>
        <v xml:space="preserve">http://slimages.macys.com/is/image/MCY/13050187 </v>
      </c>
    </row>
    <row r="359" spans="1:13" ht="60" x14ac:dyDescent="0.25">
      <c r="A359" s="7" t="s">
        <v>9044</v>
      </c>
      <c r="B359" s="2" t="s">
        <v>1086</v>
      </c>
      <c r="C359" s="4">
        <v>1</v>
      </c>
      <c r="D359" s="5">
        <v>5.15</v>
      </c>
      <c r="E359" s="5">
        <v>11.99</v>
      </c>
      <c r="F359" s="4">
        <v>4217</v>
      </c>
      <c r="G359" s="2" t="s">
        <v>653</v>
      </c>
      <c r="H359" s="7" t="s">
        <v>284</v>
      </c>
      <c r="I359" s="2" t="s">
        <v>523</v>
      </c>
      <c r="J359" s="2" t="s">
        <v>921</v>
      </c>
      <c r="K359" s="2" t="s">
        <v>304</v>
      </c>
      <c r="L359" s="2" t="s">
        <v>323</v>
      </c>
      <c r="M359" s="8" t="str">
        <f>HYPERLINK("http://slimages.macys.com/is/image/MCY/13050187 ")</f>
        <v xml:space="preserve">http://slimages.macys.com/is/image/MCY/13050187 </v>
      </c>
    </row>
    <row r="360" spans="1:13" ht="60" x14ac:dyDescent="0.25">
      <c r="A360" s="7" t="s">
        <v>8319</v>
      </c>
      <c r="B360" s="2" t="s">
        <v>1086</v>
      </c>
      <c r="C360" s="4">
        <v>1</v>
      </c>
      <c r="D360" s="5">
        <v>5.15</v>
      </c>
      <c r="E360" s="5">
        <v>11.99</v>
      </c>
      <c r="F360" s="4">
        <v>4217</v>
      </c>
      <c r="G360" s="2" t="s">
        <v>653</v>
      </c>
      <c r="H360" s="7" t="s">
        <v>196</v>
      </c>
      <c r="I360" s="2" t="s">
        <v>523</v>
      </c>
      <c r="J360" s="2" t="s">
        <v>921</v>
      </c>
      <c r="K360" s="2" t="s">
        <v>304</v>
      </c>
      <c r="L360" s="2" t="s">
        <v>323</v>
      </c>
      <c r="M360" s="8" t="str">
        <f>HYPERLINK("http://slimages.macys.com/is/image/MCY/13050187 ")</f>
        <v xml:space="preserve">http://slimages.macys.com/is/image/MCY/13050187 </v>
      </c>
    </row>
    <row r="361" spans="1:13" ht="60" x14ac:dyDescent="0.25">
      <c r="A361" s="7" t="s">
        <v>9045</v>
      </c>
      <c r="B361" s="2" t="s">
        <v>9046</v>
      </c>
      <c r="C361" s="4">
        <v>1</v>
      </c>
      <c r="D361" s="5">
        <v>5.1100000000000003</v>
      </c>
      <c r="E361" s="5">
        <v>12.99</v>
      </c>
      <c r="F361" s="4" t="s">
        <v>9047</v>
      </c>
      <c r="G361" s="2" t="s">
        <v>41</v>
      </c>
      <c r="H361" s="7" t="s">
        <v>442</v>
      </c>
      <c r="I361" s="2" t="s">
        <v>483</v>
      </c>
      <c r="J361" s="2" t="s">
        <v>536</v>
      </c>
      <c r="K361" s="2" t="s">
        <v>304</v>
      </c>
      <c r="L361" s="2" t="s">
        <v>119</v>
      </c>
      <c r="M361" s="8" t="str">
        <f>HYPERLINK("http://slimages.macys.com/is/image/MCY/11524630 ")</f>
        <v xml:space="preserve">http://slimages.macys.com/is/image/MCY/11524630 </v>
      </c>
    </row>
    <row r="362" spans="1:13" ht="84" x14ac:dyDescent="0.25">
      <c r="A362" s="7" t="s">
        <v>9048</v>
      </c>
      <c r="B362" s="2" t="s">
        <v>9049</v>
      </c>
      <c r="C362" s="4">
        <v>1</v>
      </c>
      <c r="D362" s="5">
        <v>5.08</v>
      </c>
      <c r="E362" s="5">
        <v>12.99</v>
      </c>
      <c r="F362" s="4" t="s">
        <v>9050</v>
      </c>
      <c r="G362" s="2" t="s">
        <v>527</v>
      </c>
      <c r="H362" s="7" t="s">
        <v>228</v>
      </c>
      <c r="I362" s="2" t="s">
        <v>515</v>
      </c>
      <c r="J362" s="2" t="s">
        <v>827</v>
      </c>
      <c r="K362" s="2" t="s">
        <v>304</v>
      </c>
      <c r="L362" s="2" t="s">
        <v>1117</v>
      </c>
      <c r="M362" s="8" t="str">
        <f>HYPERLINK("http://slimages.macys.com/is/image/MCY/11606025 ")</f>
        <v xml:space="preserve">http://slimages.macys.com/is/image/MCY/11606025 </v>
      </c>
    </row>
    <row r="363" spans="1:13" ht="84" x14ac:dyDescent="0.25">
      <c r="A363" s="7" t="s">
        <v>9051</v>
      </c>
      <c r="B363" s="2" t="s">
        <v>3429</v>
      </c>
      <c r="C363" s="4">
        <v>1</v>
      </c>
      <c r="D363" s="5">
        <v>5.08</v>
      </c>
      <c r="E363" s="5">
        <v>12.99</v>
      </c>
      <c r="F363" s="4" t="s">
        <v>3430</v>
      </c>
      <c r="G363" s="2" t="s">
        <v>28</v>
      </c>
      <c r="H363" s="7" t="s">
        <v>159</v>
      </c>
      <c r="I363" s="2" t="s">
        <v>515</v>
      </c>
      <c r="J363" s="2" t="s">
        <v>827</v>
      </c>
      <c r="K363" s="2" t="s">
        <v>304</v>
      </c>
      <c r="L363" s="2" t="s">
        <v>1117</v>
      </c>
      <c r="M363" s="8" t="str">
        <f>HYPERLINK("http://slimages.macys.com/is/image/MCY/11605984 ")</f>
        <v xml:space="preserve">http://slimages.macys.com/is/image/MCY/11605984 </v>
      </c>
    </row>
    <row r="364" spans="1:13" ht="84" x14ac:dyDescent="0.25">
      <c r="A364" s="7" t="s">
        <v>9052</v>
      </c>
      <c r="B364" s="2" t="s">
        <v>3429</v>
      </c>
      <c r="C364" s="4">
        <v>1</v>
      </c>
      <c r="D364" s="5">
        <v>5.08</v>
      </c>
      <c r="E364" s="5">
        <v>12.99</v>
      </c>
      <c r="F364" s="4" t="s">
        <v>3430</v>
      </c>
      <c r="G364" s="2" t="s">
        <v>28</v>
      </c>
      <c r="H364" s="7" t="s">
        <v>228</v>
      </c>
      <c r="I364" s="2" t="s">
        <v>515</v>
      </c>
      <c r="J364" s="2" t="s">
        <v>827</v>
      </c>
      <c r="K364" s="2" t="s">
        <v>304</v>
      </c>
      <c r="L364" s="2" t="s">
        <v>1117</v>
      </c>
      <c r="M364" s="8" t="str">
        <f>HYPERLINK("http://slimages.macys.com/is/image/MCY/11605984 ")</f>
        <v xml:space="preserve">http://slimages.macys.com/is/image/MCY/11605984 </v>
      </c>
    </row>
    <row r="365" spans="1:13" ht="60" x14ac:dyDescent="0.25">
      <c r="A365" s="7" t="s">
        <v>9053</v>
      </c>
      <c r="B365" s="2" t="s">
        <v>9054</v>
      </c>
      <c r="C365" s="4">
        <v>1</v>
      </c>
      <c r="D365" s="5">
        <v>5.05</v>
      </c>
      <c r="E365" s="5">
        <v>11.74</v>
      </c>
      <c r="F365" s="4" t="s">
        <v>9055</v>
      </c>
      <c r="G365" s="2" t="s">
        <v>36</v>
      </c>
      <c r="H365" s="7" t="s">
        <v>91</v>
      </c>
      <c r="I365" s="2" t="s">
        <v>153</v>
      </c>
      <c r="J365" s="2" t="s">
        <v>154</v>
      </c>
      <c r="K365" s="2" t="s">
        <v>304</v>
      </c>
      <c r="L365" s="2" t="s">
        <v>5206</v>
      </c>
      <c r="M365" s="8" t="str">
        <f>HYPERLINK("http://slimages.macys.com/is/image/MCY/10380769 ")</f>
        <v xml:space="preserve">http://slimages.macys.com/is/image/MCY/10380769 </v>
      </c>
    </row>
    <row r="366" spans="1:13" ht="96" x14ac:dyDescent="0.25">
      <c r="A366" s="7" t="s">
        <v>9056</v>
      </c>
      <c r="B366" s="2" t="s">
        <v>9057</v>
      </c>
      <c r="C366" s="4">
        <v>1</v>
      </c>
      <c r="D366" s="5">
        <v>5.05</v>
      </c>
      <c r="E366" s="5">
        <v>9.99</v>
      </c>
      <c r="F366" s="4" t="s">
        <v>9058</v>
      </c>
      <c r="G366" s="2" t="s">
        <v>858</v>
      </c>
      <c r="H366" s="7"/>
      <c r="I366" s="2" t="s">
        <v>483</v>
      </c>
      <c r="J366" s="2" t="s">
        <v>2710</v>
      </c>
      <c r="K366" s="2" t="s">
        <v>304</v>
      </c>
      <c r="L366" s="2" t="s">
        <v>9059</v>
      </c>
      <c r="M366" s="8" t="str">
        <f>HYPERLINK("http://slimages.macys.com/is/image/MCY/10276836 ")</f>
        <v xml:space="preserve">http://slimages.macys.com/is/image/MCY/10276836 </v>
      </c>
    </row>
    <row r="367" spans="1:13" ht="96" x14ac:dyDescent="0.25">
      <c r="A367" s="7" t="s">
        <v>9060</v>
      </c>
      <c r="B367" s="2" t="s">
        <v>9061</v>
      </c>
      <c r="C367" s="4">
        <v>1</v>
      </c>
      <c r="D367" s="5">
        <v>5.04</v>
      </c>
      <c r="E367" s="5">
        <v>12.99</v>
      </c>
      <c r="F367" s="4" t="s">
        <v>9062</v>
      </c>
      <c r="G367" s="2" t="s">
        <v>297</v>
      </c>
      <c r="H367" s="7" t="s">
        <v>159</v>
      </c>
      <c r="I367" s="2" t="s">
        <v>515</v>
      </c>
      <c r="J367" s="2" t="s">
        <v>827</v>
      </c>
      <c r="K367" s="2" t="s">
        <v>304</v>
      </c>
      <c r="L367" s="2" t="s">
        <v>1516</v>
      </c>
      <c r="M367" s="8" t="str">
        <f>HYPERLINK("http://slimages.macys.com/is/image/MCY/12284279 ")</f>
        <v xml:space="preserve">http://slimages.macys.com/is/image/MCY/12284279 </v>
      </c>
    </row>
    <row r="368" spans="1:13" ht="96" x14ac:dyDescent="0.25">
      <c r="A368" s="7" t="s">
        <v>9063</v>
      </c>
      <c r="B368" s="2" t="s">
        <v>9061</v>
      </c>
      <c r="C368" s="4">
        <v>2</v>
      </c>
      <c r="D368" s="5">
        <v>5.04</v>
      </c>
      <c r="E368" s="5">
        <v>12.99</v>
      </c>
      <c r="F368" s="4" t="s">
        <v>9062</v>
      </c>
      <c r="G368" s="2" t="s">
        <v>297</v>
      </c>
      <c r="H368" s="7" t="s">
        <v>196</v>
      </c>
      <c r="I368" s="2" t="s">
        <v>515</v>
      </c>
      <c r="J368" s="2" t="s">
        <v>827</v>
      </c>
      <c r="K368" s="2" t="s">
        <v>304</v>
      </c>
      <c r="L368" s="2" t="s">
        <v>1516</v>
      </c>
      <c r="M368" s="8" t="str">
        <f>HYPERLINK("http://slimages.macys.com/is/image/MCY/12284279 ")</f>
        <v xml:space="preserve">http://slimages.macys.com/is/image/MCY/12284279 </v>
      </c>
    </row>
    <row r="369" spans="1:13" ht="96" x14ac:dyDescent="0.25">
      <c r="A369" s="7" t="s">
        <v>9064</v>
      </c>
      <c r="B369" s="2" t="s">
        <v>9061</v>
      </c>
      <c r="C369" s="4">
        <v>4</v>
      </c>
      <c r="D369" s="5">
        <v>5.04</v>
      </c>
      <c r="E369" s="5">
        <v>12.99</v>
      </c>
      <c r="F369" s="4" t="s">
        <v>9062</v>
      </c>
      <c r="G369" s="2" t="s">
        <v>297</v>
      </c>
      <c r="H369" s="7" t="s">
        <v>228</v>
      </c>
      <c r="I369" s="2" t="s">
        <v>515</v>
      </c>
      <c r="J369" s="2" t="s">
        <v>827</v>
      </c>
      <c r="K369" s="2" t="s">
        <v>304</v>
      </c>
      <c r="L369" s="2" t="s">
        <v>1516</v>
      </c>
      <c r="M369" s="8" t="str">
        <f>HYPERLINK("http://slimages.macys.com/is/image/MCY/12284279 ")</f>
        <v xml:space="preserve">http://slimages.macys.com/is/image/MCY/12284279 </v>
      </c>
    </row>
    <row r="370" spans="1:13" ht="60" x14ac:dyDescent="0.25">
      <c r="A370" s="7" t="s">
        <v>9065</v>
      </c>
      <c r="B370" s="2" t="s">
        <v>9066</v>
      </c>
      <c r="C370" s="4">
        <v>1</v>
      </c>
      <c r="D370" s="5">
        <v>5.04</v>
      </c>
      <c r="E370" s="5">
        <v>12.99</v>
      </c>
      <c r="F370" s="4" t="s">
        <v>9067</v>
      </c>
      <c r="G370" s="2" t="s">
        <v>86</v>
      </c>
      <c r="H370" s="7" t="s">
        <v>618</v>
      </c>
      <c r="I370" s="2" t="s">
        <v>218</v>
      </c>
      <c r="J370" s="2" t="s">
        <v>2008</v>
      </c>
      <c r="K370" s="2" t="s">
        <v>304</v>
      </c>
      <c r="L370" s="2" t="s">
        <v>358</v>
      </c>
      <c r="M370" s="8" t="str">
        <f>HYPERLINK("http://slimages.macys.com/is/image/MCY/11947902 ")</f>
        <v xml:space="preserve">http://slimages.macys.com/is/image/MCY/11947902 </v>
      </c>
    </row>
    <row r="371" spans="1:13" ht="60" x14ac:dyDescent="0.25">
      <c r="A371" s="7" t="s">
        <v>9068</v>
      </c>
      <c r="B371" s="2" t="s">
        <v>9069</v>
      </c>
      <c r="C371" s="4">
        <v>1</v>
      </c>
      <c r="D371" s="5">
        <v>5.01</v>
      </c>
      <c r="E371" s="5">
        <v>12.99</v>
      </c>
      <c r="F371" s="4" t="s">
        <v>9070</v>
      </c>
      <c r="G371" s="2" t="s">
        <v>297</v>
      </c>
      <c r="H371" s="7" t="s">
        <v>42</v>
      </c>
      <c r="I371" s="2" t="s">
        <v>483</v>
      </c>
      <c r="J371" s="2" t="s">
        <v>536</v>
      </c>
      <c r="K371" s="2" t="s">
        <v>304</v>
      </c>
      <c r="L371" s="2" t="s">
        <v>358</v>
      </c>
      <c r="M371" s="8" t="str">
        <f>HYPERLINK("http://slimages.macys.com/is/image/MCY/11382198 ")</f>
        <v xml:space="preserve">http://slimages.macys.com/is/image/MCY/11382198 </v>
      </c>
    </row>
    <row r="372" spans="1:13" ht="60" x14ac:dyDescent="0.25">
      <c r="A372" s="7" t="s">
        <v>1100</v>
      </c>
      <c r="B372" s="2" t="s">
        <v>1099</v>
      </c>
      <c r="C372" s="4">
        <v>1</v>
      </c>
      <c r="D372" s="5">
        <v>5</v>
      </c>
      <c r="E372" s="5">
        <v>11.99</v>
      </c>
      <c r="F372" s="4">
        <v>2581</v>
      </c>
      <c r="G372" s="2" t="s">
        <v>28</v>
      </c>
      <c r="H372" s="7" t="s">
        <v>228</v>
      </c>
      <c r="I372" s="2" t="s">
        <v>523</v>
      </c>
      <c r="J372" s="2" t="s">
        <v>921</v>
      </c>
      <c r="K372" s="2" t="s">
        <v>304</v>
      </c>
      <c r="L372" s="2" t="s">
        <v>323</v>
      </c>
      <c r="M372" s="8" t="str">
        <f>HYPERLINK("http://slimages.macys.com/is/image/MCY/13050178 ")</f>
        <v xml:space="preserve">http://slimages.macys.com/is/image/MCY/13050178 </v>
      </c>
    </row>
    <row r="373" spans="1:13" ht="60" x14ac:dyDescent="0.25">
      <c r="A373" s="7" t="s">
        <v>9071</v>
      </c>
      <c r="B373" s="2" t="s">
        <v>1099</v>
      </c>
      <c r="C373" s="4">
        <v>1</v>
      </c>
      <c r="D373" s="5">
        <v>5</v>
      </c>
      <c r="E373" s="5">
        <v>11.99</v>
      </c>
      <c r="F373" s="4">
        <v>2581</v>
      </c>
      <c r="G373" s="2" t="s">
        <v>28</v>
      </c>
      <c r="H373" s="7" t="s">
        <v>284</v>
      </c>
      <c r="I373" s="2" t="s">
        <v>523</v>
      </c>
      <c r="J373" s="2" t="s">
        <v>921</v>
      </c>
      <c r="K373" s="2" t="s">
        <v>304</v>
      </c>
      <c r="L373" s="2" t="s">
        <v>323</v>
      </c>
      <c r="M373" s="8" t="str">
        <f>HYPERLINK("http://slimages.macys.com/is/image/MCY/13050178 ")</f>
        <v xml:space="preserve">http://slimages.macys.com/is/image/MCY/13050178 </v>
      </c>
    </row>
    <row r="374" spans="1:13" ht="60" x14ac:dyDescent="0.25">
      <c r="A374" s="7" t="s">
        <v>1098</v>
      </c>
      <c r="B374" s="2" t="s">
        <v>1099</v>
      </c>
      <c r="C374" s="4">
        <v>2</v>
      </c>
      <c r="D374" s="5">
        <v>5</v>
      </c>
      <c r="E374" s="5">
        <v>11.99</v>
      </c>
      <c r="F374" s="4">
        <v>2581</v>
      </c>
      <c r="G374" s="2" t="s">
        <v>28</v>
      </c>
      <c r="H374" s="7" t="s">
        <v>196</v>
      </c>
      <c r="I374" s="2" t="s">
        <v>523</v>
      </c>
      <c r="J374" s="2" t="s">
        <v>921</v>
      </c>
      <c r="K374" s="2" t="s">
        <v>304</v>
      </c>
      <c r="L374" s="2" t="s">
        <v>323</v>
      </c>
      <c r="M374" s="8" t="str">
        <f>HYPERLINK("http://slimages.macys.com/is/image/MCY/13050178 ")</f>
        <v xml:space="preserve">http://slimages.macys.com/is/image/MCY/13050178 </v>
      </c>
    </row>
    <row r="375" spans="1:13" ht="60" x14ac:dyDescent="0.25">
      <c r="A375" s="7" t="s">
        <v>9072</v>
      </c>
      <c r="B375" s="2" t="s">
        <v>1099</v>
      </c>
      <c r="C375" s="4">
        <v>1</v>
      </c>
      <c r="D375" s="5">
        <v>5</v>
      </c>
      <c r="E375" s="5">
        <v>11.99</v>
      </c>
      <c r="F375" s="4">
        <v>2581</v>
      </c>
      <c r="G375" s="2" t="s">
        <v>28</v>
      </c>
      <c r="H375" s="7" t="s">
        <v>159</v>
      </c>
      <c r="I375" s="2" t="s">
        <v>523</v>
      </c>
      <c r="J375" s="2" t="s">
        <v>921</v>
      </c>
      <c r="K375" s="2" t="s">
        <v>304</v>
      </c>
      <c r="L375" s="2" t="s">
        <v>323</v>
      </c>
      <c r="M375" s="8" t="str">
        <f>HYPERLINK("http://slimages.macys.com/is/image/MCY/13050178 ")</f>
        <v xml:space="preserve">http://slimages.macys.com/is/image/MCY/13050178 </v>
      </c>
    </row>
    <row r="376" spans="1:13" ht="60" x14ac:dyDescent="0.25">
      <c r="A376" s="7" t="s">
        <v>9073</v>
      </c>
      <c r="B376" s="2" t="s">
        <v>9074</v>
      </c>
      <c r="C376" s="4">
        <v>2</v>
      </c>
      <c r="D376" s="5">
        <v>5</v>
      </c>
      <c r="E376" s="5">
        <v>8.99</v>
      </c>
      <c r="F376" s="4" t="s">
        <v>9075</v>
      </c>
      <c r="G376" s="2" t="s">
        <v>303</v>
      </c>
      <c r="H376" s="7" t="s">
        <v>196</v>
      </c>
      <c r="I376" s="2" t="s">
        <v>73</v>
      </c>
      <c r="J376" s="2" t="s">
        <v>1917</v>
      </c>
      <c r="K376" s="2" t="s">
        <v>304</v>
      </c>
      <c r="L376" s="2" t="s">
        <v>119</v>
      </c>
      <c r="M376" s="8" t="str">
        <f>HYPERLINK("http://slimages.macys.com/is/image/MCY/11282284 ")</f>
        <v xml:space="preserve">http://slimages.macys.com/is/image/MCY/11282284 </v>
      </c>
    </row>
    <row r="377" spans="1:13" ht="60" x14ac:dyDescent="0.25">
      <c r="A377" s="7" t="s">
        <v>9076</v>
      </c>
      <c r="B377" s="2" t="s">
        <v>1969</v>
      </c>
      <c r="C377" s="4">
        <v>1</v>
      </c>
      <c r="D377" s="5">
        <v>4.9800000000000004</v>
      </c>
      <c r="E377" s="5">
        <v>12.99</v>
      </c>
      <c r="F377" s="4" t="s">
        <v>1970</v>
      </c>
      <c r="G377" s="2" t="s">
        <v>262</v>
      </c>
      <c r="H377" s="7" t="s">
        <v>228</v>
      </c>
      <c r="I377" s="2" t="s">
        <v>515</v>
      </c>
      <c r="J377" s="2" t="s">
        <v>1971</v>
      </c>
      <c r="K377" s="2" t="s">
        <v>304</v>
      </c>
      <c r="L377" s="2" t="s">
        <v>119</v>
      </c>
      <c r="M377" s="8" t="str">
        <f>HYPERLINK("http://slimages.macys.com/is/image/MCY/13586213 ")</f>
        <v xml:space="preserve">http://slimages.macys.com/is/image/MCY/13586213 </v>
      </c>
    </row>
    <row r="378" spans="1:13" ht="60" x14ac:dyDescent="0.25">
      <c r="A378" s="7" t="s">
        <v>9077</v>
      </c>
      <c r="B378" s="2" t="s">
        <v>4194</v>
      </c>
      <c r="C378" s="4">
        <v>1</v>
      </c>
      <c r="D378" s="5">
        <v>4.93</v>
      </c>
      <c r="E378" s="5">
        <v>12.99</v>
      </c>
      <c r="F378" s="4" t="s">
        <v>4195</v>
      </c>
      <c r="G378" s="2" t="s">
        <v>527</v>
      </c>
      <c r="H378" s="7" t="s">
        <v>63</v>
      </c>
      <c r="I378" s="2" t="s">
        <v>515</v>
      </c>
      <c r="J378" s="2" t="s">
        <v>875</v>
      </c>
      <c r="K378" s="2" t="s">
        <v>304</v>
      </c>
      <c r="L378" s="2" t="s">
        <v>4196</v>
      </c>
      <c r="M378" s="8" t="str">
        <f>HYPERLINK("http://slimages.macys.com/is/image/MCY/11606116 ")</f>
        <v xml:space="preserve">http://slimages.macys.com/is/image/MCY/11606116 </v>
      </c>
    </row>
    <row r="379" spans="1:13" ht="72" x14ac:dyDescent="0.25">
      <c r="A379" s="7" t="s">
        <v>9078</v>
      </c>
      <c r="B379" s="2" t="s">
        <v>6349</v>
      </c>
      <c r="C379" s="4">
        <v>1</v>
      </c>
      <c r="D379" s="5">
        <v>4.8</v>
      </c>
      <c r="E379" s="5">
        <v>9.99</v>
      </c>
      <c r="F379" s="4" t="s">
        <v>6350</v>
      </c>
      <c r="G379" s="2" t="s">
        <v>2107</v>
      </c>
      <c r="H379" s="7" t="s">
        <v>233</v>
      </c>
      <c r="I379" s="2" t="s">
        <v>153</v>
      </c>
      <c r="J379" s="2" t="s">
        <v>154</v>
      </c>
      <c r="K379" s="2" t="s">
        <v>304</v>
      </c>
      <c r="L379" s="2" t="s">
        <v>6351</v>
      </c>
      <c r="M379" s="8" t="str">
        <f>HYPERLINK("http://slimages.macys.com/is/image/MCY/9857364 ")</f>
        <v xml:space="preserve">http://slimages.macys.com/is/image/MCY/9857364 </v>
      </c>
    </row>
    <row r="380" spans="1:13" ht="60" x14ac:dyDescent="0.25">
      <c r="A380" s="7" t="s">
        <v>9079</v>
      </c>
      <c r="B380" s="2" t="s">
        <v>9080</v>
      </c>
      <c r="C380" s="4">
        <v>1</v>
      </c>
      <c r="D380" s="5">
        <v>4.8</v>
      </c>
      <c r="E380" s="5">
        <v>9.99</v>
      </c>
      <c r="F380" s="4">
        <v>15927410</v>
      </c>
      <c r="G380" s="2"/>
      <c r="H380" s="7" t="s">
        <v>233</v>
      </c>
      <c r="I380" s="2" t="s">
        <v>153</v>
      </c>
      <c r="J380" s="2" t="s">
        <v>154</v>
      </c>
      <c r="K380" s="2" t="s">
        <v>304</v>
      </c>
      <c r="L380" s="2" t="s">
        <v>206</v>
      </c>
      <c r="M380" s="8" t="str">
        <f>HYPERLINK("http://slimages.macys.com/is/image/MCY/10705163 ")</f>
        <v xml:space="preserve">http://slimages.macys.com/is/image/MCY/10705163 </v>
      </c>
    </row>
    <row r="381" spans="1:13" ht="60" x14ac:dyDescent="0.25">
      <c r="A381" s="7" t="s">
        <v>9081</v>
      </c>
      <c r="B381" s="2" t="s">
        <v>1988</v>
      </c>
      <c r="C381" s="4">
        <v>3</v>
      </c>
      <c r="D381" s="5">
        <v>4.79</v>
      </c>
      <c r="E381" s="5">
        <v>12.99</v>
      </c>
      <c r="F381" s="4" t="s">
        <v>1989</v>
      </c>
      <c r="G381" s="2" t="s">
        <v>48</v>
      </c>
      <c r="H381" s="7" t="s">
        <v>228</v>
      </c>
      <c r="I381" s="2" t="s">
        <v>515</v>
      </c>
      <c r="J381" s="2" t="s">
        <v>1971</v>
      </c>
      <c r="K381" s="2" t="s">
        <v>304</v>
      </c>
      <c r="L381" s="2" t="s">
        <v>119</v>
      </c>
      <c r="M381" s="8" t="str">
        <f>HYPERLINK("http://slimages.macys.com/is/image/MCY/11530999 ")</f>
        <v xml:space="preserve">http://slimages.macys.com/is/image/MCY/11530999 </v>
      </c>
    </row>
    <row r="382" spans="1:13" ht="60" x14ac:dyDescent="0.25">
      <c r="A382" s="7" t="s">
        <v>1987</v>
      </c>
      <c r="B382" s="2" t="s">
        <v>1988</v>
      </c>
      <c r="C382" s="4">
        <v>3</v>
      </c>
      <c r="D382" s="5">
        <v>4.79</v>
      </c>
      <c r="E382" s="5">
        <v>12.99</v>
      </c>
      <c r="F382" s="4" t="s">
        <v>1989</v>
      </c>
      <c r="G382" s="2" t="s">
        <v>48</v>
      </c>
      <c r="H382" s="7" t="s">
        <v>196</v>
      </c>
      <c r="I382" s="2" t="s">
        <v>515</v>
      </c>
      <c r="J382" s="2" t="s">
        <v>1971</v>
      </c>
      <c r="K382" s="2" t="s">
        <v>304</v>
      </c>
      <c r="L382" s="2" t="s">
        <v>119</v>
      </c>
      <c r="M382" s="8" t="str">
        <f>HYPERLINK("http://slimages.macys.com/is/image/MCY/11530999 ")</f>
        <v xml:space="preserve">http://slimages.macys.com/is/image/MCY/11530999 </v>
      </c>
    </row>
    <row r="383" spans="1:13" ht="60" x14ac:dyDescent="0.25">
      <c r="A383" s="7" t="s">
        <v>8335</v>
      </c>
      <c r="B383" s="2" t="s">
        <v>1988</v>
      </c>
      <c r="C383" s="4">
        <v>3</v>
      </c>
      <c r="D383" s="5">
        <v>4.79</v>
      </c>
      <c r="E383" s="5">
        <v>12.99</v>
      </c>
      <c r="F383" s="4" t="s">
        <v>1989</v>
      </c>
      <c r="G383" s="2" t="s">
        <v>48</v>
      </c>
      <c r="H383" s="7" t="s">
        <v>159</v>
      </c>
      <c r="I383" s="2" t="s">
        <v>515</v>
      </c>
      <c r="J383" s="2" t="s">
        <v>1971</v>
      </c>
      <c r="K383" s="2" t="s">
        <v>304</v>
      </c>
      <c r="L383" s="2" t="s">
        <v>119</v>
      </c>
      <c r="M383" s="8" t="str">
        <f>HYPERLINK("http://slimages.macys.com/is/image/MCY/11530999 ")</f>
        <v xml:space="preserve">http://slimages.macys.com/is/image/MCY/11530999 </v>
      </c>
    </row>
    <row r="384" spans="1:13" ht="60" x14ac:dyDescent="0.25">
      <c r="A384" s="7" t="s">
        <v>9082</v>
      </c>
      <c r="B384" s="2" t="s">
        <v>1122</v>
      </c>
      <c r="C384" s="4">
        <v>1</v>
      </c>
      <c r="D384" s="5">
        <v>4.78</v>
      </c>
      <c r="E384" s="5">
        <v>11.99</v>
      </c>
      <c r="F384" s="4" t="s">
        <v>1123</v>
      </c>
      <c r="G384" s="2" t="s">
        <v>657</v>
      </c>
      <c r="H384" s="7" t="s">
        <v>284</v>
      </c>
      <c r="I384" s="2" t="s">
        <v>523</v>
      </c>
      <c r="J384" s="2" t="s">
        <v>921</v>
      </c>
      <c r="K384" s="2" t="s">
        <v>304</v>
      </c>
      <c r="L384" s="2" t="s">
        <v>1334</v>
      </c>
      <c r="M384" s="8" t="str">
        <f>HYPERLINK("http://slimages.macys.com/is/image/MCY/8345540 ")</f>
        <v xml:space="preserve">http://slimages.macys.com/is/image/MCY/8345540 </v>
      </c>
    </row>
    <row r="385" spans="1:13" ht="60" x14ac:dyDescent="0.25">
      <c r="A385" s="7" t="s">
        <v>9083</v>
      </c>
      <c r="B385" s="2" t="s">
        <v>9084</v>
      </c>
      <c r="C385" s="4">
        <v>1</v>
      </c>
      <c r="D385" s="5">
        <v>4.78</v>
      </c>
      <c r="E385" s="5">
        <v>10.99</v>
      </c>
      <c r="F385" s="4">
        <v>10002135900</v>
      </c>
      <c r="G385" s="2" t="s">
        <v>41</v>
      </c>
      <c r="H385" s="7" t="s">
        <v>586</v>
      </c>
      <c r="I385" s="2" t="s">
        <v>483</v>
      </c>
      <c r="J385" s="2" t="s">
        <v>5540</v>
      </c>
      <c r="K385" s="2" t="s">
        <v>304</v>
      </c>
      <c r="L385" s="2" t="s">
        <v>125</v>
      </c>
      <c r="M385" s="8" t="str">
        <f>HYPERLINK("http://slimages.macys.com/is/image/MCY/9967881 ")</f>
        <v xml:space="preserve">http://slimages.macys.com/is/image/MCY/9967881 </v>
      </c>
    </row>
    <row r="386" spans="1:13" ht="60" x14ac:dyDescent="0.25">
      <c r="A386" s="7" t="s">
        <v>9085</v>
      </c>
      <c r="B386" s="2" t="s">
        <v>9086</v>
      </c>
      <c r="C386" s="4">
        <v>1</v>
      </c>
      <c r="D386" s="5">
        <v>4.7699999999999996</v>
      </c>
      <c r="E386" s="5">
        <v>11.99</v>
      </c>
      <c r="F386" s="4" t="s">
        <v>9087</v>
      </c>
      <c r="G386" s="2" t="s">
        <v>86</v>
      </c>
      <c r="H386" s="7" t="s">
        <v>284</v>
      </c>
      <c r="I386" s="2" t="s">
        <v>523</v>
      </c>
      <c r="J386" s="2" t="s">
        <v>921</v>
      </c>
      <c r="K386" s="2" t="s">
        <v>304</v>
      </c>
      <c r="L386" s="2" t="s">
        <v>323</v>
      </c>
      <c r="M386" s="8" t="str">
        <f>HYPERLINK("http://slimages.macys.com/is/image/MCY/9186393 ")</f>
        <v xml:space="preserve">http://slimages.macys.com/is/image/MCY/9186393 </v>
      </c>
    </row>
    <row r="387" spans="1:13" ht="60" x14ac:dyDescent="0.25">
      <c r="A387" s="7" t="s">
        <v>9088</v>
      </c>
      <c r="B387" s="2" t="s">
        <v>4208</v>
      </c>
      <c r="C387" s="4">
        <v>1</v>
      </c>
      <c r="D387" s="5">
        <v>4.75</v>
      </c>
      <c r="E387" s="5">
        <v>11.99</v>
      </c>
      <c r="F387" s="4" t="s">
        <v>4209</v>
      </c>
      <c r="G387" s="2" t="s">
        <v>582</v>
      </c>
      <c r="H387" s="7" t="s">
        <v>159</v>
      </c>
      <c r="I387" s="2" t="s">
        <v>523</v>
      </c>
      <c r="J387" s="2" t="s">
        <v>921</v>
      </c>
      <c r="K387" s="2" t="s">
        <v>304</v>
      </c>
      <c r="L387" s="2" t="s">
        <v>323</v>
      </c>
      <c r="M387" s="8" t="str">
        <f>HYPERLINK("http://slimages.macys.com/is/image/MCY/2849778 ")</f>
        <v xml:space="preserve">http://slimages.macys.com/is/image/MCY/2849778 </v>
      </c>
    </row>
    <row r="388" spans="1:13" ht="60" x14ac:dyDescent="0.25">
      <c r="A388" s="7" t="s">
        <v>1110</v>
      </c>
      <c r="B388" s="2" t="s">
        <v>1086</v>
      </c>
      <c r="C388" s="4">
        <v>2</v>
      </c>
      <c r="D388" s="5">
        <v>4.75</v>
      </c>
      <c r="E388" s="5">
        <v>11.99</v>
      </c>
      <c r="F388" s="4">
        <v>4217</v>
      </c>
      <c r="G388" s="2" t="s">
        <v>41</v>
      </c>
      <c r="H388" s="7" t="s">
        <v>284</v>
      </c>
      <c r="I388" s="2" t="s">
        <v>523</v>
      </c>
      <c r="J388" s="2" t="s">
        <v>921</v>
      </c>
      <c r="K388" s="2" t="s">
        <v>304</v>
      </c>
      <c r="L388" s="2" t="s">
        <v>323</v>
      </c>
      <c r="M388" s="8" t="str">
        <f>HYPERLINK("http://slimages.macys.com/is/image/MCY/13050184 ")</f>
        <v xml:space="preserve">http://slimages.macys.com/is/image/MCY/13050184 </v>
      </c>
    </row>
    <row r="389" spans="1:13" ht="60" x14ac:dyDescent="0.25">
      <c r="A389" s="7" t="s">
        <v>1109</v>
      </c>
      <c r="B389" s="2" t="s">
        <v>1086</v>
      </c>
      <c r="C389" s="4">
        <v>1</v>
      </c>
      <c r="D389" s="5">
        <v>4.75</v>
      </c>
      <c r="E389" s="5">
        <v>11.99</v>
      </c>
      <c r="F389" s="4">
        <v>4217</v>
      </c>
      <c r="G389" s="2" t="s">
        <v>582</v>
      </c>
      <c r="H389" s="7" t="s">
        <v>284</v>
      </c>
      <c r="I389" s="2" t="s">
        <v>523</v>
      </c>
      <c r="J389" s="2" t="s">
        <v>921</v>
      </c>
      <c r="K389" s="2" t="s">
        <v>304</v>
      </c>
      <c r="L389" s="2" t="s">
        <v>323</v>
      </c>
      <c r="M389" s="8" t="str">
        <f>HYPERLINK("http://slimages.macys.com/is/image/MCY/13050181 ")</f>
        <v xml:space="preserve">http://slimages.macys.com/is/image/MCY/13050181 </v>
      </c>
    </row>
    <row r="390" spans="1:13" ht="60" x14ac:dyDescent="0.25">
      <c r="A390" s="7" t="s">
        <v>4210</v>
      </c>
      <c r="B390" s="2" t="s">
        <v>1086</v>
      </c>
      <c r="C390" s="4">
        <v>1</v>
      </c>
      <c r="D390" s="5">
        <v>4.75</v>
      </c>
      <c r="E390" s="5">
        <v>11.99</v>
      </c>
      <c r="F390" s="4">
        <v>4217</v>
      </c>
      <c r="G390" s="2" t="s">
        <v>582</v>
      </c>
      <c r="H390" s="7" t="s">
        <v>159</v>
      </c>
      <c r="I390" s="2" t="s">
        <v>523</v>
      </c>
      <c r="J390" s="2" t="s">
        <v>921</v>
      </c>
      <c r="K390" s="2" t="s">
        <v>304</v>
      </c>
      <c r="L390" s="2" t="s">
        <v>323</v>
      </c>
      <c r="M390" s="8" t="str">
        <f>HYPERLINK("http://slimages.macys.com/is/image/MCY/13050181 ")</f>
        <v xml:space="preserve">http://slimages.macys.com/is/image/MCY/13050181 </v>
      </c>
    </row>
    <row r="391" spans="1:13" ht="60" x14ac:dyDescent="0.25">
      <c r="A391" s="7" t="s">
        <v>9089</v>
      </c>
      <c r="B391" s="2" t="s">
        <v>5043</v>
      </c>
      <c r="C391" s="4">
        <v>1</v>
      </c>
      <c r="D391" s="5">
        <v>4.71</v>
      </c>
      <c r="E391" s="5">
        <v>12.99</v>
      </c>
      <c r="F391" s="4" t="s">
        <v>5044</v>
      </c>
      <c r="G391" s="2" t="s">
        <v>437</v>
      </c>
      <c r="H391" s="7" t="s">
        <v>578</v>
      </c>
      <c r="I391" s="2" t="s">
        <v>218</v>
      </c>
      <c r="J391" s="2" t="s">
        <v>2008</v>
      </c>
      <c r="K391" s="2" t="s">
        <v>304</v>
      </c>
      <c r="L391" s="2" t="s">
        <v>5045</v>
      </c>
      <c r="M391" s="8" t="str">
        <f>HYPERLINK("http://slimages.macys.com/is/image/MCY/12684319 ")</f>
        <v xml:space="preserve">http://slimages.macys.com/is/image/MCY/12684319 </v>
      </c>
    </row>
    <row r="392" spans="1:13" ht="60" x14ac:dyDescent="0.25">
      <c r="A392" s="7" t="s">
        <v>9090</v>
      </c>
      <c r="B392" s="2" t="s">
        <v>5043</v>
      </c>
      <c r="C392" s="4">
        <v>1</v>
      </c>
      <c r="D392" s="5">
        <v>4.71</v>
      </c>
      <c r="E392" s="5">
        <v>12.99</v>
      </c>
      <c r="F392" s="4" t="s">
        <v>5044</v>
      </c>
      <c r="G392" s="2" t="s">
        <v>48</v>
      </c>
      <c r="H392" s="7" t="s">
        <v>311</v>
      </c>
      <c r="I392" s="2" t="s">
        <v>218</v>
      </c>
      <c r="J392" s="2" t="s">
        <v>2008</v>
      </c>
      <c r="K392" s="2" t="s">
        <v>304</v>
      </c>
      <c r="L392" s="2" t="s">
        <v>5045</v>
      </c>
      <c r="M392" s="8" t="str">
        <f>HYPERLINK("http://slimages.macys.com/is/image/MCY/12684319 ")</f>
        <v xml:space="preserve">http://slimages.macys.com/is/image/MCY/12684319 </v>
      </c>
    </row>
    <row r="393" spans="1:13" ht="60" x14ac:dyDescent="0.25">
      <c r="A393" s="7" t="s">
        <v>9091</v>
      </c>
      <c r="B393" s="2" t="s">
        <v>5043</v>
      </c>
      <c r="C393" s="4">
        <v>1</v>
      </c>
      <c r="D393" s="5">
        <v>4.71</v>
      </c>
      <c r="E393" s="5">
        <v>12.99</v>
      </c>
      <c r="F393" s="4" t="s">
        <v>5044</v>
      </c>
      <c r="G393" s="2" t="s">
        <v>437</v>
      </c>
      <c r="H393" s="7" t="s">
        <v>166</v>
      </c>
      <c r="I393" s="2" t="s">
        <v>218</v>
      </c>
      <c r="J393" s="2" t="s">
        <v>2008</v>
      </c>
      <c r="K393" s="2" t="s">
        <v>304</v>
      </c>
      <c r="L393" s="2" t="s">
        <v>5045</v>
      </c>
      <c r="M393" s="8" t="str">
        <f>HYPERLINK("http://slimages.macys.com/is/image/MCY/12684319 ")</f>
        <v xml:space="preserve">http://slimages.macys.com/is/image/MCY/12684319 </v>
      </c>
    </row>
    <row r="394" spans="1:13" ht="60" x14ac:dyDescent="0.25">
      <c r="A394" s="7" t="s">
        <v>9092</v>
      </c>
      <c r="B394" s="2" t="s">
        <v>4336</v>
      </c>
      <c r="C394" s="4">
        <v>1</v>
      </c>
      <c r="D394" s="5">
        <v>4.7</v>
      </c>
      <c r="E394" s="5">
        <v>10.99</v>
      </c>
      <c r="F394" s="4" t="s">
        <v>9093</v>
      </c>
      <c r="G394" s="2" t="s">
        <v>793</v>
      </c>
      <c r="H394" s="7" t="s">
        <v>196</v>
      </c>
      <c r="I394" s="2" t="s">
        <v>389</v>
      </c>
      <c r="J394" s="2" t="s">
        <v>354</v>
      </c>
      <c r="K394" s="2" t="s">
        <v>304</v>
      </c>
      <c r="L394" s="2" t="s">
        <v>596</v>
      </c>
      <c r="M394" s="8" t="str">
        <f>HYPERLINK("http://slimages.macys.com/is/image/MCY/11777149 ")</f>
        <v xml:space="preserve">http://slimages.macys.com/is/image/MCY/11777149 </v>
      </c>
    </row>
    <row r="395" spans="1:13" ht="60" x14ac:dyDescent="0.25">
      <c r="A395" s="7" t="s">
        <v>9094</v>
      </c>
      <c r="B395" s="2" t="s">
        <v>9095</v>
      </c>
      <c r="C395" s="4">
        <v>2</v>
      </c>
      <c r="D395" s="5">
        <v>4.7</v>
      </c>
      <c r="E395" s="5">
        <v>10.99</v>
      </c>
      <c r="F395" s="4" t="s">
        <v>9096</v>
      </c>
      <c r="G395" s="2" t="s">
        <v>86</v>
      </c>
      <c r="H395" s="7" t="s">
        <v>159</v>
      </c>
      <c r="I395" s="2" t="s">
        <v>389</v>
      </c>
      <c r="J395" s="2" t="s">
        <v>354</v>
      </c>
      <c r="K395" s="2" t="s">
        <v>304</v>
      </c>
      <c r="L395" s="2" t="s">
        <v>100</v>
      </c>
      <c r="M395" s="8" t="str">
        <f>HYPERLINK("http://slimages.macys.com/is/image/MCY/11545355 ")</f>
        <v xml:space="preserve">http://slimages.macys.com/is/image/MCY/11545355 </v>
      </c>
    </row>
    <row r="396" spans="1:13" ht="60" x14ac:dyDescent="0.25">
      <c r="A396" s="7" t="s">
        <v>9097</v>
      </c>
      <c r="B396" s="2" t="s">
        <v>1112</v>
      </c>
      <c r="C396" s="4">
        <v>2</v>
      </c>
      <c r="D396" s="5">
        <v>4.7</v>
      </c>
      <c r="E396" s="5">
        <v>11.99</v>
      </c>
      <c r="F396" s="4" t="s">
        <v>1113</v>
      </c>
      <c r="G396" s="2" t="s">
        <v>28</v>
      </c>
      <c r="H396" s="7" t="s">
        <v>159</v>
      </c>
      <c r="I396" s="2" t="s">
        <v>523</v>
      </c>
      <c r="J396" s="2" t="s">
        <v>921</v>
      </c>
      <c r="K396" s="2" t="s">
        <v>304</v>
      </c>
      <c r="L396" s="2" t="s">
        <v>323</v>
      </c>
      <c r="M396" s="8" t="str">
        <f>HYPERLINK("http://slimages.macys.com/is/image/MCY/8345564 ")</f>
        <v xml:space="preserve">http://slimages.macys.com/is/image/MCY/8345564 </v>
      </c>
    </row>
    <row r="397" spans="1:13" ht="60" x14ac:dyDescent="0.25">
      <c r="A397" s="7" t="s">
        <v>5531</v>
      </c>
      <c r="B397" s="2" t="s">
        <v>2002</v>
      </c>
      <c r="C397" s="4">
        <v>1</v>
      </c>
      <c r="D397" s="5">
        <v>4.6500000000000004</v>
      </c>
      <c r="E397" s="5">
        <v>14.99</v>
      </c>
      <c r="F397" s="4" t="s">
        <v>2003</v>
      </c>
      <c r="G397" s="2" t="s">
        <v>657</v>
      </c>
      <c r="H397" s="7" t="s">
        <v>311</v>
      </c>
      <c r="I397" s="2" t="s">
        <v>292</v>
      </c>
      <c r="J397" s="2" t="s">
        <v>354</v>
      </c>
      <c r="K397" s="2" t="s">
        <v>304</v>
      </c>
      <c r="L397" s="2" t="s">
        <v>125</v>
      </c>
      <c r="M397" s="8" t="str">
        <f>HYPERLINK("http://slimages.macys.com/is/image/MCY/13893167 ")</f>
        <v xml:space="preserve">http://slimages.macys.com/is/image/MCY/13893167 </v>
      </c>
    </row>
    <row r="398" spans="1:13" ht="60" x14ac:dyDescent="0.25">
      <c r="A398" s="7" t="s">
        <v>9098</v>
      </c>
      <c r="B398" s="2" t="s">
        <v>7743</v>
      </c>
      <c r="C398" s="4">
        <v>1</v>
      </c>
      <c r="D398" s="5">
        <v>4.6500000000000004</v>
      </c>
      <c r="E398" s="5">
        <v>12.99</v>
      </c>
      <c r="F398" s="4" t="s">
        <v>7744</v>
      </c>
      <c r="G398" s="2" t="s">
        <v>238</v>
      </c>
      <c r="H398" s="7" t="s">
        <v>217</v>
      </c>
      <c r="I398" s="2" t="s">
        <v>218</v>
      </c>
      <c r="J398" s="2" t="s">
        <v>1740</v>
      </c>
      <c r="K398" s="2" t="s">
        <v>304</v>
      </c>
      <c r="L398" s="2" t="s">
        <v>119</v>
      </c>
      <c r="M398" s="8" t="str">
        <f>HYPERLINK("http://slimages.macys.com/is/image/MCY/11952741 ")</f>
        <v xml:space="preserve">http://slimages.macys.com/is/image/MCY/11952741 </v>
      </c>
    </row>
    <row r="399" spans="1:13" ht="60" x14ac:dyDescent="0.25">
      <c r="A399" s="7" t="s">
        <v>9099</v>
      </c>
      <c r="B399" s="2" t="s">
        <v>2138</v>
      </c>
      <c r="C399" s="4">
        <v>1</v>
      </c>
      <c r="D399" s="5">
        <v>4.5999999999999996</v>
      </c>
      <c r="E399" s="5">
        <v>10.99</v>
      </c>
      <c r="F399" s="4" t="s">
        <v>9100</v>
      </c>
      <c r="G399" s="2" t="s">
        <v>103</v>
      </c>
      <c r="H399" s="7" t="s">
        <v>196</v>
      </c>
      <c r="I399" s="2" t="s">
        <v>389</v>
      </c>
      <c r="J399" s="2" t="s">
        <v>354</v>
      </c>
      <c r="K399" s="2" t="s">
        <v>304</v>
      </c>
      <c r="L399" s="2" t="s">
        <v>119</v>
      </c>
      <c r="M399" s="8" t="str">
        <f>HYPERLINK("http://slimages.macys.com/is/image/MCY/10178268 ")</f>
        <v xml:space="preserve">http://slimages.macys.com/is/image/MCY/10178268 </v>
      </c>
    </row>
    <row r="400" spans="1:13" ht="60" x14ac:dyDescent="0.25">
      <c r="A400" s="7" t="s">
        <v>9101</v>
      </c>
      <c r="B400" s="2" t="s">
        <v>9102</v>
      </c>
      <c r="C400" s="4">
        <v>1</v>
      </c>
      <c r="D400" s="5">
        <v>4.5999999999999996</v>
      </c>
      <c r="E400" s="5">
        <v>14.99</v>
      </c>
      <c r="F400" s="4" t="s">
        <v>9103</v>
      </c>
      <c r="G400" s="2" t="s">
        <v>657</v>
      </c>
      <c r="H400" s="7" t="s">
        <v>228</v>
      </c>
      <c r="I400" s="2" t="s">
        <v>312</v>
      </c>
      <c r="J400" s="2" t="s">
        <v>9104</v>
      </c>
      <c r="K400" s="2" t="s">
        <v>304</v>
      </c>
      <c r="L400" s="2" t="s">
        <v>3452</v>
      </c>
      <c r="M400" s="8" t="str">
        <f>HYPERLINK("http://slimages.macys.com/is/image/MCY/3325504 ")</f>
        <v xml:space="preserve">http://slimages.macys.com/is/image/MCY/3325504 </v>
      </c>
    </row>
    <row r="401" spans="1:13" ht="84" x14ac:dyDescent="0.25">
      <c r="A401" s="7" t="s">
        <v>9105</v>
      </c>
      <c r="B401" s="2" t="s">
        <v>9106</v>
      </c>
      <c r="C401" s="4">
        <v>1</v>
      </c>
      <c r="D401" s="5">
        <v>4.59</v>
      </c>
      <c r="E401" s="5">
        <v>12.99</v>
      </c>
      <c r="F401" s="4" t="s">
        <v>9107</v>
      </c>
      <c r="G401" s="2" t="s">
        <v>28</v>
      </c>
      <c r="H401" s="7" t="s">
        <v>284</v>
      </c>
      <c r="I401" s="2" t="s">
        <v>515</v>
      </c>
      <c r="J401" s="2" t="s">
        <v>827</v>
      </c>
      <c r="K401" s="2" t="s">
        <v>304</v>
      </c>
      <c r="L401" s="2" t="s">
        <v>1117</v>
      </c>
      <c r="M401" s="8" t="str">
        <f>HYPERLINK("http://slimages.macys.com/is/image/MCY/11605907 ")</f>
        <v xml:space="preserve">http://slimages.macys.com/is/image/MCY/11605907 </v>
      </c>
    </row>
    <row r="402" spans="1:13" ht="84" x14ac:dyDescent="0.25">
      <c r="A402" s="7" t="s">
        <v>1114</v>
      </c>
      <c r="B402" s="2" t="s">
        <v>1115</v>
      </c>
      <c r="C402" s="4">
        <v>3</v>
      </c>
      <c r="D402" s="5">
        <v>4.59</v>
      </c>
      <c r="E402" s="5">
        <v>12.99</v>
      </c>
      <c r="F402" s="4" t="s">
        <v>1116</v>
      </c>
      <c r="G402" s="2" t="s">
        <v>28</v>
      </c>
      <c r="H402" s="7" t="s">
        <v>196</v>
      </c>
      <c r="I402" s="2" t="s">
        <v>515</v>
      </c>
      <c r="J402" s="2" t="s">
        <v>827</v>
      </c>
      <c r="K402" s="2" t="s">
        <v>304</v>
      </c>
      <c r="L402" s="2" t="s">
        <v>1117</v>
      </c>
      <c r="M402" s="8" t="str">
        <f>HYPERLINK("http://slimages.macys.com/is/image/MCY/11606022 ")</f>
        <v xml:space="preserve">http://slimages.macys.com/is/image/MCY/11606022 </v>
      </c>
    </row>
    <row r="403" spans="1:13" ht="84" x14ac:dyDescent="0.25">
      <c r="A403" s="7" t="s">
        <v>2010</v>
      </c>
      <c r="B403" s="2" t="s">
        <v>2011</v>
      </c>
      <c r="C403" s="4">
        <v>1</v>
      </c>
      <c r="D403" s="5">
        <v>4.59</v>
      </c>
      <c r="E403" s="5">
        <v>12.99</v>
      </c>
      <c r="F403" s="4" t="s">
        <v>2012</v>
      </c>
      <c r="G403" s="2" t="s">
        <v>28</v>
      </c>
      <c r="H403" s="7" t="s">
        <v>228</v>
      </c>
      <c r="I403" s="2" t="s">
        <v>515</v>
      </c>
      <c r="J403" s="2" t="s">
        <v>827</v>
      </c>
      <c r="K403" s="2" t="s">
        <v>304</v>
      </c>
      <c r="L403" s="2" t="s">
        <v>1117</v>
      </c>
      <c r="M403" s="8" t="str">
        <f>HYPERLINK("http://slimages.macys.com/is/image/MCY/11606013 ")</f>
        <v xml:space="preserve">http://slimages.macys.com/is/image/MCY/11606013 </v>
      </c>
    </row>
    <row r="404" spans="1:13" ht="84" x14ac:dyDescent="0.25">
      <c r="A404" s="7" t="s">
        <v>9108</v>
      </c>
      <c r="B404" s="2" t="s">
        <v>1115</v>
      </c>
      <c r="C404" s="4">
        <v>1</v>
      </c>
      <c r="D404" s="5">
        <v>4.59</v>
      </c>
      <c r="E404" s="5">
        <v>12.99</v>
      </c>
      <c r="F404" s="4" t="s">
        <v>1116</v>
      </c>
      <c r="G404" s="2" t="s">
        <v>28</v>
      </c>
      <c r="H404" s="7" t="s">
        <v>159</v>
      </c>
      <c r="I404" s="2" t="s">
        <v>515</v>
      </c>
      <c r="J404" s="2" t="s">
        <v>827</v>
      </c>
      <c r="K404" s="2" t="s">
        <v>304</v>
      </c>
      <c r="L404" s="2" t="s">
        <v>1117</v>
      </c>
      <c r="M404" s="8" t="str">
        <f>HYPERLINK("http://slimages.macys.com/is/image/MCY/11606022 ")</f>
        <v xml:space="preserve">http://slimages.macys.com/is/image/MCY/11606022 </v>
      </c>
    </row>
    <row r="405" spans="1:13" ht="84" x14ac:dyDescent="0.25">
      <c r="A405" s="7" t="s">
        <v>9109</v>
      </c>
      <c r="B405" s="2" t="s">
        <v>9110</v>
      </c>
      <c r="C405" s="4">
        <v>1</v>
      </c>
      <c r="D405" s="5">
        <v>4.59</v>
      </c>
      <c r="E405" s="5">
        <v>14.99</v>
      </c>
      <c r="F405" s="4" t="s">
        <v>9111</v>
      </c>
      <c r="G405" s="2" t="s">
        <v>36</v>
      </c>
      <c r="H405" s="7" t="s">
        <v>228</v>
      </c>
      <c r="I405" s="2" t="s">
        <v>523</v>
      </c>
      <c r="J405" s="2" t="s">
        <v>921</v>
      </c>
      <c r="K405" s="2" t="s">
        <v>304</v>
      </c>
      <c r="L405" s="2" t="s">
        <v>1132</v>
      </c>
      <c r="M405" s="8" t="str">
        <f>HYPERLINK("http://slimages.macys.com/is/image/MCY/9378108 ")</f>
        <v xml:space="preserve">http://slimages.macys.com/is/image/MCY/9378108 </v>
      </c>
    </row>
    <row r="406" spans="1:13" ht="96" x14ac:dyDescent="0.25">
      <c r="A406" s="7" t="s">
        <v>9112</v>
      </c>
      <c r="B406" s="2" t="s">
        <v>2017</v>
      </c>
      <c r="C406" s="4">
        <v>1</v>
      </c>
      <c r="D406" s="5">
        <v>4.54</v>
      </c>
      <c r="E406" s="5">
        <v>12.99</v>
      </c>
      <c r="F406" s="4" t="s">
        <v>2018</v>
      </c>
      <c r="G406" s="2" t="s">
        <v>36</v>
      </c>
      <c r="H406" s="7" t="s">
        <v>196</v>
      </c>
      <c r="I406" s="2" t="s">
        <v>515</v>
      </c>
      <c r="J406" s="2" t="s">
        <v>827</v>
      </c>
      <c r="K406" s="2" t="s">
        <v>304</v>
      </c>
      <c r="L406" s="2" t="s">
        <v>1516</v>
      </c>
      <c r="M406" s="8" t="str">
        <f>HYPERLINK("http://slimages.macys.com/is/image/MCY/12340587 ")</f>
        <v xml:space="preserve">http://slimages.macys.com/is/image/MCY/12340587 </v>
      </c>
    </row>
    <row r="407" spans="1:13" ht="96" x14ac:dyDescent="0.25">
      <c r="A407" s="7" t="s">
        <v>9113</v>
      </c>
      <c r="B407" s="2" t="s">
        <v>2017</v>
      </c>
      <c r="C407" s="4">
        <v>1</v>
      </c>
      <c r="D407" s="5">
        <v>4.54</v>
      </c>
      <c r="E407" s="5">
        <v>12.99</v>
      </c>
      <c r="F407" s="4" t="s">
        <v>2018</v>
      </c>
      <c r="G407" s="2" t="s">
        <v>36</v>
      </c>
      <c r="H407" s="7" t="s">
        <v>284</v>
      </c>
      <c r="I407" s="2" t="s">
        <v>515</v>
      </c>
      <c r="J407" s="2" t="s">
        <v>827</v>
      </c>
      <c r="K407" s="2" t="s">
        <v>304</v>
      </c>
      <c r="L407" s="2" t="s">
        <v>1516</v>
      </c>
      <c r="M407" s="8" t="str">
        <f>HYPERLINK("http://slimages.macys.com/is/image/MCY/12340587 ")</f>
        <v xml:space="preserve">http://slimages.macys.com/is/image/MCY/12340587 </v>
      </c>
    </row>
    <row r="408" spans="1:13" ht="96" x14ac:dyDescent="0.25">
      <c r="A408" s="7" t="s">
        <v>2016</v>
      </c>
      <c r="B408" s="2" t="s">
        <v>2017</v>
      </c>
      <c r="C408" s="4">
        <v>5</v>
      </c>
      <c r="D408" s="5">
        <v>4.54</v>
      </c>
      <c r="E408" s="5">
        <v>12.99</v>
      </c>
      <c r="F408" s="4" t="s">
        <v>2018</v>
      </c>
      <c r="G408" s="2" t="s">
        <v>36</v>
      </c>
      <c r="H408" s="7" t="s">
        <v>159</v>
      </c>
      <c r="I408" s="2" t="s">
        <v>515</v>
      </c>
      <c r="J408" s="2" t="s">
        <v>827</v>
      </c>
      <c r="K408" s="2" t="s">
        <v>304</v>
      </c>
      <c r="L408" s="2" t="s">
        <v>1516</v>
      </c>
      <c r="M408" s="8" t="str">
        <f>HYPERLINK("http://slimages.macys.com/is/image/MCY/12340587 ")</f>
        <v xml:space="preserve">http://slimages.macys.com/is/image/MCY/12340587 </v>
      </c>
    </row>
    <row r="409" spans="1:13" ht="96" x14ac:dyDescent="0.25">
      <c r="A409" s="7" t="s">
        <v>9114</v>
      </c>
      <c r="B409" s="2" t="s">
        <v>2017</v>
      </c>
      <c r="C409" s="4">
        <v>4</v>
      </c>
      <c r="D409" s="5">
        <v>4.54</v>
      </c>
      <c r="E409" s="5">
        <v>12.99</v>
      </c>
      <c r="F409" s="4" t="s">
        <v>2018</v>
      </c>
      <c r="G409" s="2" t="s">
        <v>36</v>
      </c>
      <c r="H409" s="7" t="s">
        <v>228</v>
      </c>
      <c r="I409" s="2" t="s">
        <v>515</v>
      </c>
      <c r="J409" s="2" t="s">
        <v>827</v>
      </c>
      <c r="K409" s="2" t="s">
        <v>304</v>
      </c>
      <c r="L409" s="2" t="s">
        <v>1516</v>
      </c>
      <c r="M409" s="8" t="str">
        <f>HYPERLINK("http://slimages.macys.com/is/image/MCY/12340587 ")</f>
        <v xml:space="preserve">http://slimages.macys.com/is/image/MCY/12340587 </v>
      </c>
    </row>
    <row r="410" spans="1:13" ht="60" x14ac:dyDescent="0.25">
      <c r="A410" s="7" t="s">
        <v>9115</v>
      </c>
      <c r="B410" s="2" t="s">
        <v>9116</v>
      </c>
      <c r="C410" s="4">
        <v>1</v>
      </c>
      <c r="D410" s="5">
        <v>4.5</v>
      </c>
      <c r="E410" s="5">
        <v>14.99</v>
      </c>
      <c r="F410" s="4" t="s">
        <v>9103</v>
      </c>
      <c r="G410" s="2" t="s">
        <v>200</v>
      </c>
      <c r="H410" s="7" t="s">
        <v>159</v>
      </c>
      <c r="I410" s="2" t="s">
        <v>312</v>
      </c>
      <c r="J410" s="2" t="s">
        <v>9104</v>
      </c>
      <c r="K410" s="2" t="s">
        <v>304</v>
      </c>
      <c r="L410" s="2" t="s">
        <v>3452</v>
      </c>
      <c r="M410" s="8" t="str">
        <f>HYPERLINK("http://slimages.macys.com/is/image/MCY/3325504 ")</f>
        <v xml:space="preserve">http://slimages.macys.com/is/image/MCY/3325504 </v>
      </c>
    </row>
    <row r="411" spans="1:13" ht="60" x14ac:dyDescent="0.25">
      <c r="A411" s="7" t="s">
        <v>9117</v>
      </c>
      <c r="B411" s="2" t="s">
        <v>9118</v>
      </c>
      <c r="C411" s="4">
        <v>1</v>
      </c>
      <c r="D411" s="5">
        <v>4.5</v>
      </c>
      <c r="E411" s="5">
        <v>10.99</v>
      </c>
      <c r="F411" s="4" t="s">
        <v>9119</v>
      </c>
      <c r="G411" s="2" t="s">
        <v>195</v>
      </c>
      <c r="H411" s="7"/>
      <c r="I411" s="2" t="s">
        <v>312</v>
      </c>
      <c r="J411" s="2" t="s">
        <v>2077</v>
      </c>
      <c r="K411" s="2" t="s">
        <v>304</v>
      </c>
      <c r="L411" s="2" t="s">
        <v>125</v>
      </c>
      <c r="M411" s="8" t="str">
        <f>HYPERLINK("http://slimages.macys.com/is/image/MCY/12045139 ")</f>
        <v xml:space="preserve">http://slimages.macys.com/is/image/MCY/12045139 </v>
      </c>
    </row>
    <row r="412" spans="1:13" ht="60" x14ac:dyDescent="0.25">
      <c r="A412" s="7" t="s">
        <v>9120</v>
      </c>
      <c r="B412" s="2" t="s">
        <v>3466</v>
      </c>
      <c r="C412" s="4">
        <v>2</v>
      </c>
      <c r="D412" s="5">
        <v>4.5</v>
      </c>
      <c r="E412" s="5">
        <v>10.99</v>
      </c>
      <c r="F412" s="4" t="s">
        <v>3467</v>
      </c>
      <c r="G412" s="2" t="s">
        <v>653</v>
      </c>
      <c r="H412" s="7" t="s">
        <v>159</v>
      </c>
      <c r="I412" s="2" t="s">
        <v>523</v>
      </c>
      <c r="J412" s="2" t="s">
        <v>921</v>
      </c>
      <c r="K412" s="2" t="s">
        <v>304</v>
      </c>
      <c r="L412" s="2" t="s">
        <v>3468</v>
      </c>
      <c r="M412" s="8" t="str">
        <f>HYPERLINK("http://slimages.macys.com/is/image/MCY/11247949 ")</f>
        <v xml:space="preserve">http://slimages.macys.com/is/image/MCY/11247949 </v>
      </c>
    </row>
    <row r="413" spans="1:13" ht="60" x14ac:dyDescent="0.25">
      <c r="A413" s="7" t="s">
        <v>9121</v>
      </c>
      <c r="B413" s="2" t="s">
        <v>9122</v>
      </c>
      <c r="C413" s="4">
        <v>1</v>
      </c>
      <c r="D413" s="5">
        <v>4.5</v>
      </c>
      <c r="E413" s="5">
        <v>7.99</v>
      </c>
      <c r="F413" s="4" t="s">
        <v>9123</v>
      </c>
      <c r="G413" s="2" t="s">
        <v>303</v>
      </c>
      <c r="H413" s="7" t="s">
        <v>311</v>
      </c>
      <c r="I413" s="2" t="s">
        <v>73</v>
      </c>
      <c r="J413" s="2" t="s">
        <v>1963</v>
      </c>
      <c r="K413" s="2" t="s">
        <v>304</v>
      </c>
      <c r="L413" s="2" t="s">
        <v>119</v>
      </c>
      <c r="M413" s="8" t="str">
        <f>HYPERLINK("http://slimages.macys.com/is/image/MCY/11282284 ")</f>
        <v xml:space="preserve">http://slimages.macys.com/is/image/MCY/11282284 </v>
      </c>
    </row>
    <row r="414" spans="1:13" ht="60" x14ac:dyDescent="0.25">
      <c r="A414" s="7" t="s">
        <v>9124</v>
      </c>
      <c r="B414" s="2" t="s">
        <v>2020</v>
      </c>
      <c r="C414" s="4">
        <v>3</v>
      </c>
      <c r="D414" s="5">
        <v>4.49</v>
      </c>
      <c r="E414" s="5">
        <v>12.99</v>
      </c>
      <c r="F414" s="4" t="s">
        <v>2021</v>
      </c>
      <c r="G414" s="2" t="s">
        <v>41</v>
      </c>
      <c r="H414" s="7" t="s">
        <v>196</v>
      </c>
      <c r="I414" s="2" t="s">
        <v>515</v>
      </c>
      <c r="J414" s="2" t="s">
        <v>1971</v>
      </c>
      <c r="K414" s="2" t="s">
        <v>304</v>
      </c>
      <c r="L414" s="2" t="s">
        <v>119</v>
      </c>
      <c r="M414" s="8" t="str">
        <f>HYPERLINK("http://slimages.macys.com/is/image/MCY/11860947 ")</f>
        <v xml:space="preserve">http://slimages.macys.com/is/image/MCY/11860947 </v>
      </c>
    </row>
    <row r="415" spans="1:13" ht="60" x14ac:dyDescent="0.25">
      <c r="A415" s="7" t="s">
        <v>2022</v>
      </c>
      <c r="B415" s="2" t="s">
        <v>2023</v>
      </c>
      <c r="C415" s="4">
        <v>6</v>
      </c>
      <c r="D415" s="5">
        <v>4.46</v>
      </c>
      <c r="E415" s="5">
        <v>12</v>
      </c>
      <c r="F415" s="4" t="s">
        <v>2024</v>
      </c>
      <c r="G415" s="2" t="s">
        <v>437</v>
      </c>
      <c r="H415" s="7" t="s">
        <v>586</v>
      </c>
      <c r="I415" s="2" t="s">
        <v>483</v>
      </c>
      <c r="J415" s="2" t="s">
        <v>536</v>
      </c>
      <c r="K415" s="2" t="s">
        <v>304</v>
      </c>
      <c r="L415" s="2" t="s">
        <v>1207</v>
      </c>
      <c r="M415" s="8" t="str">
        <f>HYPERLINK("http://slimages.macys.com/is/image/MCY/12466266 ")</f>
        <v xml:space="preserve">http://slimages.macys.com/is/image/MCY/12466266 </v>
      </c>
    </row>
    <row r="416" spans="1:13" ht="60" x14ac:dyDescent="0.25">
      <c r="A416" s="7" t="s">
        <v>2026</v>
      </c>
      <c r="B416" s="2" t="s">
        <v>2023</v>
      </c>
      <c r="C416" s="4">
        <v>1</v>
      </c>
      <c r="D416" s="5">
        <v>4.46</v>
      </c>
      <c r="E416" s="5">
        <v>12</v>
      </c>
      <c r="F416" s="4" t="s">
        <v>2024</v>
      </c>
      <c r="G416" s="2" t="s">
        <v>437</v>
      </c>
      <c r="H416" s="7" t="s">
        <v>604</v>
      </c>
      <c r="I416" s="2" t="s">
        <v>483</v>
      </c>
      <c r="J416" s="2" t="s">
        <v>536</v>
      </c>
      <c r="K416" s="2" t="s">
        <v>304</v>
      </c>
      <c r="L416" s="2" t="s">
        <v>1207</v>
      </c>
      <c r="M416" s="8" t="str">
        <f>HYPERLINK("http://slimages.macys.com/is/image/MCY/12466266 ")</f>
        <v xml:space="preserve">http://slimages.macys.com/is/image/MCY/12466266 </v>
      </c>
    </row>
    <row r="417" spans="1:13" ht="60" x14ac:dyDescent="0.25">
      <c r="A417" s="7" t="s">
        <v>9125</v>
      </c>
      <c r="B417" s="2" t="s">
        <v>9126</v>
      </c>
      <c r="C417" s="4">
        <v>1</v>
      </c>
      <c r="D417" s="5">
        <v>4.43</v>
      </c>
      <c r="E417" s="5">
        <v>10.99</v>
      </c>
      <c r="F417" s="4" t="s">
        <v>9127</v>
      </c>
      <c r="G417" s="2" t="s">
        <v>62</v>
      </c>
      <c r="H417" s="7" t="s">
        <v>618</v>
      </c>
      <c r="I417" s="2" t="s">
        <v>218</v>
      </c>
      <c r="J417" s="2" t="s">
        <v>2008</v>
      </c>
      <c r="K417" s="2" t="s">
        <v>304</v>
      </c>
      <c r="L417" s="2" t="s">
        <v>119</v>
      </c>
      <c r="M417" s="8" t="str">
        <f>HYPERLINK("http://slimages.macys.com/is/image/MCY/11953352 ")</f>
        <v xml:space="preserve">http://slimages.macys.com/is/image/MCY/11953352 </v>
      </c>
    </row>
    <row r="418" spans="1:13" ht="60" x14ac:dyDescent="0.25">
      <c r="A418" s="7" t="s">
        <v>9128</v>
      </c>
      <c r="B418" s="2" t="s">
        <v>9129</v>
      </c>
      <c r="C418" s="4">
        <v>1</v>
      </c>
      <c r="D418" s="5">
        <v>4.38</v>
      </c>
      <c r="E418" s="5">
        <v>10.99</v>
      </c>
      <c r="F418" s="4" t="s">
        <v>9130</v>
      </c>
      <c r="G418" s="2" t="s">
        <v>86</v>
      </c>
      <c r="H418" s="7" t="s">
        <v>228</v>
      </c>
      <c r="I418" s="2" t="s">
        <v>389</v>
      </c>
      <c r="J418" s="2" t="s">
        <v>354</v>
      </c>
      <c r="K418" s="2" t="s">
        <v>304</v>
      </c>
      <c r="L418" s="2" t="s">
        <v>390</v>
      </c>
      <c r="M418" s="8" t="str">
        <f>HYPERLINK("http://slimages.macys.com/is/image/MCY/12121955 ")</f>
        <v xml:space="preserve">http://slimages.macys.com/is/image/MCY/12121955 </v>
      </c>
    </row>
    <row r="419" spans="1:13" ht="60" x14ac:dyDescent="0.25">
      <c r="A419" s="7" t="s">
        <v>9131</v>
      </c>
      <c r="B419" s="2" t="s">
        <v>2044</v>
      </c>
      <c r="C419" s="4">
        <v>1</v>
      </c>
      <c r="D419" s="5">
        <v>4.37</v>
      </c>
      <c r="E419" s="5">
        <v>12.99</v>
      </c>
      <c r="F419" s="4" t="s">
        <v>2045</v>
      </c>
      <c r="G419" s="2" t="s">
        <v>297</v>
      </c>
      <c r="H419" s="7" t="s">
        <v>196</v>
      </c>
      <c r="I419" s="2" t="s">
        <v>515</v>
      </c>
      <c r="J419" s="2" t="s">
        <v>1971</v>
      </c>
      <c r="K419" s="2" t="s">
        <v>304</v>
      </c>
      <c r="L419" s="2" t="s">
        <v>119</v>
      </c>
      <c r="M419" s="8" t="str">
        <f>HYPERLINK("http://slimages.macys.com/is/image/MCY/12508210 ")</f>
        <v xml:space="preserve">http://slimages.macys.com/is/image/MCY/12508210 </v>
      </c>
    </row>
    <row r="420" spans="1:13" ht="60" x14ac:dyDescent="0.25">
      <c r="A420" s="7" t="s">
        <v>9132</v>
      </c>
      <c r="B420" s="2" t="s">
        <v>2044</v>
      </c>
      <c r="C420" s="4">
        <v>2</v>
      </c>
      <c r="D420" s="5">
        <v>4.37</v>
      </c>
      <c r="E420" s="5">
        <v>12.99</v>
      </c>
      <c r="F420" s="4" t="s">
        <v>2045</v>
      </c>
      <c r="G420" s="2" t="s">
        <v>437</v>
      </c>
      <c r="H420" s="7" t="s">
        <v>196</v>
      </c>
      <c r="I420" s="2" t="s">
        <v>515</v>
      </c>
      <c r="J420" s="2" t="s">
        <v>1971</v>
      </c>
      <c r="K420" s="2" t="s">
        <v>304</v>
      </c>
      <c r="L420" s="2" t="s">
        <v>119</v>
      </c>
      <c r="M420" s="8" t="str">
        <f>HYPERLINK("http://slimages.macys.com/is/image/MCY/12508210 ")</f>
        <v xml:space="preserve">http://slimages.macys.com/is/image/MCY/12508210 </v>
      </c>
    </row>
    <row r="421" spans="1:13" ht="60" x14ac:dyDescent="0.25">
      <c r="A421" s="7" t="s">
        <v>9133</v>
      </c>
      <c r="B421" s="2" t="s">
        <v>2044</v>
      </c>
      <c r="C421" s="4">
        <v>1</v>
      </c>
      <c r="D421" s="5">
        <v>4.37</v>
      </c>
      <c r="E421" s="5">
        <v>12.99</v>
      </c>
      <c r="F421" s="4" t="s">
        <v>2045</v>
      </c>
      <c r="G421" s="2" t="s">
        <v>437</v>
      </c>
      <c r="H421" s="7" t="s">
        <v>284</v>
      </c>
      <c r="I421" s="2" t="s">
        <v>515</v>
      </c>
      <c r="J421" s="2" t="s">
        <v>1971</v>
      </c>
      <c r="K421" s="2" t="s">
        <v>304</v>
      </c>
      <c r="L421" s="2" t="s">
        <v>119</v>
      </c>
      <c r="M421" s="8" t="str">
        <f>HYPERLINK("http://slimages.macys.com/is/image/MCY/12508210 ")</f>
        <v xml:space="preserve">http://slimages.macys.com/is/image/MCY/12508210 </v>
      </c>
    </row>
    <row r="422" spans="1:13" ht="60" x14ac:dyDescent="0.25">
      <c r="A422" s="7" t="s">
        <v>9134</v>
      </c>
      <c r="B422" s="2" t="s">
        <v>5993</v>
      </c>
      <c r="C422" s="4">
        <v>1</v>
      </c>
      <c r="D422" s="5">
        <v>4.2699999999999996</v>
      </c>
      <c r="E422" s="5">
        <v>10.99</v>
      </c>
      <c r="F422" s="4" t="s">
        <v>5994</v>
      </c>
      <c r="G422" s="2" t="s">
        <v>86</v>
      </c>
      <c r="H422" s="7" t="s">
        <v>578</v>
      </c>
      <c r="I422" s="2" t="s">
        <v>218</v>
      </c>
      <c r="J422" s="2" t="s">
        <v>2008</v>
      </c>
      <c r="K422" s="2" t="s">
        <v>304</v>
      </c>
      <c r="L422" s="2" t="s">
        <v>119</v>
      </c>
      <c r="M422" s="8" t="str">
        <f>HYPERLINK("http://slimages.macys.com/is/image/MCY/12684312 ")</f>
        <v xml:space="preserve">http://slimages.macys.com/is/image/MCY/12684312 </v>
      </c>
    </row>
    <row r="423" spans="1:13" ht="60" x14ac:dyDescent="0.25">
      <c r="A423" s="7" t="s">
        <v>9135</v>
      </c>
      <c r="B423" s="2" t="s">
        <v>5993</v>
      </c>
      <c r="C423" s="4">
        <v>1</v>
      </c>
      <c r="D423" s="5">
        <v>4.2699999999999996</v>
      </c>
      <c r="E423" s="5">
        <v>10.99</v>
      </c>
      <c r="F423" s="4" t="s">
        <v>5994</v>
      </c>
      <c r="G423" s="2" t="s">
        <v>28</v>
      </c>
      <c r="H423" s="7" t="s">
        <v>209</v>
      </c>
      <c r="I423" s="2" t="s">
        <v>218</v>
      </c>
      <c r="J423" s="2" t="s">
        <v>2008</v>
      </c>
      <c r="K423" s="2" t="s">
        <v>304</v>
      </c>
      <c r="L423" s="2" t="s">
        <v>119</v>
      </c>
      <c r="M423" s="8" t="str">
        <f>HYPERLINK("http://slimages.macys.com/is/image/MCY/12684312 ")</f>
        <v xml:space="preserve">http://slimages.macys.com/is/image/MCY/12684312 </v>
      </c>
    </row>
    <row r="424" spans="1:13" ht="60" x14ac:dyDescent="0.25">
      <c r="A424" s="7" t="s">
        <v>9136</v>
      </c>
      <c r="B424" s="2" t="s">
        <v>5993</v>
      </c>
      <c r="C424" s="4">
        <v>1</v>
      </c>
      <c r="D424" s="5">
        <v>4.2699999999999996</v>
      </c>
      <c r="E424" s="5">
        <v>10.99</v>
      </c>
      <c r="F424" s="4" t="s">
        <v>5994</v>
      </c>
      <c r="G424" s="2" t="s">
        <v>1360</v>
      </c>
      <c r="H424" s="7" t="s">
        <v>166</v>
      </c>
      <c r="I424" s="2" t="s">
        <v>218</v>
      </c>
      <c r="J424" s="2" t="s">
        <v>2008</v>
      </c>
      <c r="K424" s="2" t="s">
        <v>304</v>
      </c>
      <c r="L424" s="2" t="s">
        <v>119</v>
      </c>
      <c r="M424" s="8" t="str">
        <f>HYPERLINK("http://slimages.macys.com/is/image/MCY/12684312 ")</f>
        <v xml:space="preserve">http://slimages.macys.com/is/image/MCY/12684312 </v>
      </c>
    </row>
    <row r="425" spans="1:13" ht="60" x14ac:dyDescent="0.25">
      <c r="A425" s="7" t="s">
        <v>2066</v>
      </c>
      <c r="B425" s="2" t="s">
        <v>1991</v>
      </c>
      <c r="C425" s="4">
        <v>1</v>
      </c>
      <c r="D425" s="5">
        <v>4.25</v>
      </c>
      <c r="E425" s="5">
        <v>5.99</v>
      </c>
      <c r="F425" s="4" t="s">
        <v>2061</v>
      </c>
      <c r="G425" s="2" t="s">
        <v>653</v>
      </c>
      <c r="H425" s="7" t="s">
        <v>311</v>
      </c>
      <c r="I425" s="2" t="s">
        <v>73</v>
      </c>
      <c r="J425" s="2" t="s">
        <v>1963</v>
      </c>
      <c r="K425" s="2" t="s">
        <v>304</v>
      </c>
      <c r="L425" s="2" t="s">
        <v>125</v>
      </c>
      <c r="M425" s="8" t="str">
        <f>HYPERLINK("http://slimages.macys.com/is/image/MCY/13726811 ")</f>
        <v xml:space="preserve">http://slimages.macys.com/is/image/MCY/13726811 </v>
      </c>
    </row>
    <row r="426" spans="1:13" ht="60" x14ac:dyDescent="0.25">
      <c r="A426" s="7" t="s">
        <v>2065</v>
      </c>
      <c r="B426" s="2" t="s">
        <v>1991</v>
      </c>
      <c r="C426" s="4">
        <v>1</v>
      </c>
      <c r="D426" s="5">
        <v>4.25</v>
      </c>
      <c r="E426" s="5">
        <v>5.99</v>
      </c>
      <c r="F426" s="4" t="s">
        <v>2061</v>
      </c>
      <c r="G426" s="2" t="s">
        <v>653</v>
      </c>
      <c r="H426" s="7" t="s">
        <v>317</v>
      </c>
      <c r="I426" s="2" t="s">
        <v>73</v>
      </c>
      <c r="J426" s="2" t="s">
        <v>1963</v>
      </c>
      <c r="K426" s="2" t="s">
        <v>304</v>
      </c>
      <c r="L426" s="2" t="s">
        <v>125</v>
      </c>
      <c r="M426" s="8" t="str">
        <f>HYPERLINK("http://slimages.macys.com/is/image/MCY/13726811 ")</f>
        <v xml:space="preserve">http://slimages.macys.com/is/image/MCY/13726811 </v>
      </c>
    </row>
    <row r="427" spans="1:13" ht="60" x14ac:dyDescent="0.25">
      <c r="A427" s="7" t="s">
        <v>2073</v>
      </c>
      <c r="B427" s="2" t="s">
        <v>1991</v>
      </c>
      <c r="C427" s="4">
        <v>1</v>
      </c>
      <c r="D427" s="5">
        <v>4.25</v>
      </c>
      <c r="E427" s="5">
        <v>5.99</v>
      </c>
      <c r="F427" s="4" t="s">
        <v>2061</v>
      </c>
      <c r="G427" s="2" t="s">
        <v>653</v>
      </c>
      <c r="H427" s="7" t="s">
        <v>63</v>
      </c>
      <c r="I427" s="2" t="s">
        <v>73</v>
      </c>
      <c r="J427" s="2" t="s">
        <v>1963</v>
      </c>
      <c r="K427" s="2" t="s">
        <v>304</v>
      </c>
      <c r="L427" s="2" t="s">
        <v>125</v>
      </c>
      <c r="M427" s="8" t="str">
        <f>HYPERLINK("http://slimages.macys.com/is/image/MCY/13726811 ")</f>
        <v xml:space="preserve">http://slimages.macys.com/is/image/MCY/13726811 </v>
      </c>
    </row>
    <row r="428" spans="1:13" ht="60" x14ac:dyDescent="0.25">
      <c r="A428" s="7" t="s">
        <v>7014</v>
      </c>
      <c r="B428" s="2" t="s">
        <v>2071</v>
      </c>
      <c r="C428" s="4">
        <v>1</v>
      </c>
      <c r="D428" s="5">
        <v>4.25</v>
      </c>
      <c r="E428" s="5">
        <v>7.99</v>
      </c>
      <c r="F428" s="4" t="s">
        <v>2072</v>
      </c>
      <c r="G428" s="2" t="s">
        <v>41</v>
      </c>
      <c r="H428" s="7" t="s">
        <v>68</v>
      </c>
      <c r="I428" s="2" t="s">
        <v>73</v>
      </c>
      <c r="J428" s="2" t="s">
        <v>1963</v>
      </c>
      <c r="K428" s="2" t="s">
        <v>304</v>
      </c>
      <c r="L428" s="2" t="s">
        <v>119</v>
      </c>
      <c r="M428" s="8" t="str">
        <f>HYPERLINK("http://slimages.macys.com/is/image/MCY/12684273 ")</f>
        <v xml:space="preserve">http://slimages.macys.com/is/image/MCY/12684273 </v>
      </c>
    </row>
    <row r="429" spans="1:13" ht="60" x14ac:dyDescent="0.25">
      <c r="A429" s="7" t="s">
        <v>9137</v>
      </c>
      <c r="B429" s="2" t="s">
        <v>2071</v>
      </c>
      <c r="C429" s="4">
        <v>1</v>
      </c>
      <c r="D429" s="5">
        <v>4.25</v>
      </c>
      <c r="E429" s="5">
        <v>7.99</v>
      </c>
      <c r="F429" s="4" t="s">
        <v>2072</v>
      </c>
      <c r="G429" s="2" t="s">
        <v>36</v>
      </c>
      <c r="H429" s="7" t="s">
        <v>144</v>
      </c>
      <c r="I429" s="2" t="s">
        <v>73</v>
      </c>
      <c r="J429" s="2" t="s">
        <v>1963</v>
      </c>
      <c r="K429" s="2" t="s">
        <v>304</v>
      </c>
      <c r="L429" s="2" t="s">
        <v>119</v>
      </c>
      <c r="M429" s="8" t="str">
        <f>HYPERLINK("http://slimages.macys.com/is/image/MCY/12684273 ")</f>
        <v xml:space="preserve">http://slimages.macys.com/is/image/MCY/12684273 </v>
      </c>
    </row>
    <row r="430" spans="1:13" ht="60" x14ac:dyDescent="0.25">
      <c r="A430" s="7" t="s">
        <v>2060</v>
      </c>
      <c r="B430" s="2" t="s">
        <v>1991</v>
      </c>
      <c r="C430" s="4">
        <v>1</v>
      </c>
      <c r="D430" s="5">
        <v>4.25</v>
      </c>
      <c r="E430" s="5">
        <v>5.99</v>
      </c>
      <c r="F430" s="4" t="s">
        <v>2061</v>
      </c>
      <c r="G430" s="2" t="s">
        <v>653</v>
      </c>
      <c r="H430" s="7" t="s">
        <v>123</v>
      </c>
      <c r="I430" s="2" t="s">
        <v>73</v>
      </c>
      <c r="J430" s="2" t="s">
        <v>1963</v>
      </c>
      <c r="K430" s="2" t="s">
        <v>304</v>
      </c>
      <c r="L430" s="2" t="s">
        <v>125</v>
      </c>
      <c r="M430" s="8" t="str">
        <f>HYPERLINK("http://slimages.macys.com/is/image/MCY/13726811 ")</f>
        <v xml:space="preserve">http://slimages.macys.com/is/image/MCY/13726811 </v>
      </c>
    </row>
    <row r="431" spans="1:13" ht="60" x14ac:dyDescent="0.25">
      <c r="A431" s="7" t="s">
        <v>9138</v>
      </c>
      <c r="B431" s="2" t="s">
        <v>9139</v>
      </c>
      <c r="C431" s="4">
        <v>1</v>
      </c>
      <c r="D431" s="5">
        <v>4.1500000000000004</v>
      </c>
      <c r="E431" s="5">
        <v>9.99</v>
      </c>
      <c r="F431" s="4" t="s">
        <v>9140</v>
      </c>
      <c r="G431" s="2" t="s">
        <v>86</v>
      </c>
      <c r="H431" s="7" t="s">
        <v>284</v>
      </c>
      <c r="I431" s="2" t="s">
        <v>468</v>
      </c>
      <c r="J431" s="2" t="s">
        <v>469</v>
      </c>
      <c r="K431" s="2" t="s">
        <v>304</v>
      </c>
      <c r="L431" s="2" t="s">
        <v>119</v>
      </c>
      <c r="M431" s="8" t="str">
        <f>HYPERLINK("http://slimages.macys.com/is/image/MCY/11959639 ")</f>
        <v xml:space="preserve">http://slimages.macys.com/is/image/MCY/11959639 </v>
      </c>
    </row>
    <row r="432" spans="1:13" ht="60" x14ac:dyDescent="0.25">
      <c r="A432" s="7" t="s">
        <v>9141</v>
      </c>
      <c r="B432" s="2" t="s">
        <v>9142</v>
      </c>
      <c r="C432" s="4">
        <v>1</v>
      </c>
      <c r="D432" s="5">
        <v>4.1100000000000003</v>
      </c>
      <c r="E432" s="5">
        <v>10.99</v>
      </c>
      <c r="F432" s="4" t="s">
        <v>9143</v>
      </c>
      <c r="G432" s="2" t="s">
        <v>41</v>
      </c>
      <c r="H432" s="7" t="s">
        <v>284</v>
      </c>
      <c r="I432" s="2" t="s">
        <v>389</v>
      </c>
      <c r="J432" s="2" t="s">
        <v>354</v>
      </c>
      <c r="K432" s="2" t="s">
        <v>304</v>
      </c>
      <c r="L432" s="2" t="s">
        <v>119</v>
      </c>
      <c r="M432" s="8" t="str">
        <f>HYPERLINK("http://slimages.macys.com/is/image/MCY/12650599 ")</f>
        <v xml:space="preserve">http://slimages.macys.com/is/image/MCY/12650599 </v>
      </c>
    </row>
    <row r="433" spans="1:13" ht="60" x14ac:dyDescent="0.25">
      <c r="A433" s="7" t="s">
        <v>6005</v>
      </c>
      <c r="B433" s="2" t="s">
        <v>6006</v>
      </c>
      <c r="C433" s="4">
        <v>1</v>
      </c>
      <c r="D433" s="5">
        <v>4.05</v>
      </c>
      <c r="E433" s="5">
        <v>12.99</v>
      </c>
      <c r="F433" s="4" t="s">
        <v>6007</v>
      </c>
      <c r="G433" s="2" t="s">
        <v>437</v>
      </c>
      <c r="H433" s="7" t="s">
        <v>531</v>
      </c>
      <c r="I433" s="2" t="s">
        <v>483</v>
      </c>
      <c r="J433" s="2" t="s">
        <v>536</v>
      </c>
      <c r="K433" s="2" t="s">
        <v>304</v>
      </c>
      <c r="L433" s="2" t="s">
        <v>2711</v>
      </c>
      <c r="M433" s="8" t="str">
        <f>HYPERLINK("http://slimages.macys.com/is/image/MCY/12230704 ")</f>
        <v xml:space="preserve">http://slimages.macys.com/is/image/MCY/12230704 </v>
      </c>
    </row>
    <row r="434" spans="1:13" ht="84" x14ac:dyDescent="0.25">
      <c r="A434" s="7" t="s">
        <v>9144</v>
      </c>
      <c r="B434" s="2" t="s">
        <v>6375</v>
      </c>
      <c r="C434" s="4">
        <v>1</v>
      </c>
      <c r="D434" s="5">
        <v>4.05</v>
      </c>
      <c r="E434" s="5">
        <v>9.99</v>
      </c>
      <c r="F434" s="4" t="s">
        <v>6376</v>
      </c>
      <c r="G434" s="2" t="s">
        <v>103</v>
      </c>
      <c r="H434" s="7" t="s">
        <v>1151</v>
      </c>
      <c r="I434" s="2" t="s">
        <v>515</v>
      </c>
      <c r="J434" s="2" t="s">
        <v>875</v>
      </c>
      <c r="K434" s="2" t="s">
        <v>304</v>
      </c>
      <c r="L434" s="2" t="s">
        <v>6377</v>
      </c>
      <c r="M434" s="8" t="str">
        <f>HYPERLINK("http://slimages.macys.com/is/image/MCY/12953223 ")</f>
        <v xml:space="preserve">http://slimages.macys.com/is/image/MCY/12953223 </v>
      </c>
    </row>
    <row r="435" spans="1:13" ht="84" x14ac:dyDescent="0.25">
      <c r="A435" s="7" t="s">
        <v>9145</v>
      </c>
      <c r="B435" s="2" t="s">
        <v>6375</v>
      </c>
      <c r="C435" s="4">
        <v>1</v>
      </c>
      <c r="D435" s="5">
        <v>4.05</v>
      </c>
      <c r="E435" s="5">
        <v>9.99</v>
      </c>
      <c r="F435" s="4" t="s">
        <v>6376</v>
      </c>
      <c r="G435" s="2" t="s">
        <v>582</v>
      </c>
      <c r="H435" s="7" t="s">
        <v>63</v>
      </c>
      <c r="I435" s="2" t="s">
        <v>515</v>
      </c>
      <c r="J435" s="2" t="s">
        <v>875</v>
      </c>
      <c r="K435" s="2" t="s">
        <v>304</v>
      </c>
      <c r="L435" s="2" t="s">
        <v>8363</v>
      </c>
      <c r="M435" s="8" t="str">
        <f>HYPERLINK("http://slimages.macys.com/is/image/MCY/12953221 ")</f>
        <v xml:space="preserve">http://slimages.macys.com/is/image/MCY/12953221 </v>
      </c>
    </row>
    <row r="436" spans="1:13" ht="84" x14ac:dyDescent="0.25">
      <c r="A436" s="7" t="s">
        <v>9146</v>
      </c>
      <c r="B436" s="2" t="s">
        <v>6375</v>
      </c>
      <c r="C436" s="4">
        <v>2</v>
      </c>
      <c r="D436" s="5">
        <v>4.05</v>
      </c>
      <c r="E436" s="5">
        <v>9.99</v>
      </c>
      <c r="F436" s="4" t="s">
        <v>6376</v>
      </c>
      <c r="G436" s="2" t="s">
        <v>582</v>
      </c>
      <c r="H436" s="7" t="s">
        <v>311</v>
      </c>
      <c r="I436" s="2" t="s">
        <v>515</v>
      </c>
      <c r="J436" s="2" t="s">
        <v>875</v>
      </c>
      <c r="K436" s="2" t="s">
        <v>304</v>
      </c>
      <c r="L436" s="2" t="s">
        <v>8363</v>
      </c>
      <c r="M436" s="8" t="str">
        <f>HYPERLINK("http://slimages.macys.com/is/image/MCY/12953221 ")</f>
        <v xml:space="preserve">http://slimages.macys.com/is/image/MCY/12953221 </v>
      </c>
    </row>
    <row r="437" spans="1:13" ht="84" x14ac:dyDescent="0.25">
      <c r="A437" s="7" t="s">
        <v>9147</v>
      </c>
      <c r="B437" s="2" t="s">
        <v>6375</v>
      </c>
      <c r="C437" s="4">
        <v>1</v>
      </c>
      <c r="D437" s="5">
        <v>4.05</v>
      </c>
      <c r="E437" s="5">
        <v>9.99</v>
      </c>
      <c r="F437" s="4" t="s">
        <v>6376</v>
      </c>
      <c r="G437" s="2" t="s">
        <v>657</v>
      </c>
      <c r="H437" s="7" t="s">
        <v>1151</v>
      </c>
      <c r="I437" s="2" t="s">
        <v>515</v>
      </c>
      <c r="J437" s="2" t="s">
        <v>875</v>
      </c>
      <c r="K437" s="2" t="s">
        <v>304</v>
      </c>
      <c r="L437" s="2" t="s">
        <v>6377</v>
      </c>
      <c r="M437" s="8" t="str">
        <f>HYPERLINK("http://slimages.macys.com/is/image/MCY/12953223 ")</f>
        <v xml:space="preserve">http://slimages.macys.com/is/image/MCY/12953223 </v>
      </c>
    </row>
    <row r="438" spans="1:13" ht="60" x14ac:dyDescent="0.25">
      <c r="A438" s="7" t="s">
        <v>9148</v>
      </c>
      <c r="B438" s="2" t="s">
        <v>6430</v>
      </c>
      <c r="C438" s="4">
        <v>1</v>
      </c>
      <c r="D438" s="5">
        <v>4.04</v>
      </c>
      <c r="E438" s="5">
        <v>6.99</v>
      </c>
      <c r="F438" s="4" t="s">
        <v>9149</v>
      </c>
      <c r="G438" s="2" t="s">
        <v>303</v>
      </c>
      <c r="H438" s="7" t="s">
        <v>284</v>
      </c>
      <c r="I438" s="2" t="s">
        <v>73</v>
      </c>
      <c r="J438" s="2" t="s">
        <v>1917</v>
      </c>
      <c r="K438" s="2" t="s">
        <v>304</v>
      </c>
      <c r="L438" s="2" t="s">
        <v>119</v>
      </c>
      <c r="M438" s="8" t="str">
        <f>HYPERLINK("http://slimages.macys.com/is/image/MCY/12952993 ")</f>
        <v xml:space="preserve">http://slimages.macys.com/is/image/MCY/12952993 </v>
      </c>
    </row>
    <row r="439" spans="1:13" ht="84" x14ac:dyDescent="0.25">
      <c r="A439" s="7" t="s">
        <v>9150</v>
      </c>
      <c r="B439" s="2" t="s">
        <v>2673</v>
      </c>
      <c r="C439" s="4">
        <v>4</v>
      </c>
      <c r="D439" s="5">
        <v>4</v>
      </c>
      <c r="E439" s="5">
        <v>11.99</v>
      </c>
      <c r="F439" s="4" t="s">
        <v>1131</v>
      </c>
      <c r="G439" s="2" t="s">
        <v>200</v>
      </c>
      <c r="H439" s="7" t="s">
        <v>159</v>
      </c>
      <c r="I439" s="2" t="s">
        <v>523</v>
      </c>
      <c r="J439" s="2" t="s">
        <v>921</v>
      </c>
      <c r="K439" s="2" t="s">
        <v>304</v>
      </c>
      <c r="L439" s="2" t="s">
        <v>1132</v>
      </c>
      <c r="M439" s="8" t="str">
        <f>HYPERLINK("http://slimages.macys.com/is/image/MCY/9186402 ")</f>
        <v xml:space="preserve">http://slimages.macys.com/is/image/MCY/9186402 </v>
      </c>
    </row>
    <row r="440" spans="1:13" ht="60" x14ac:dyDescent="0.25">
      <c r="A440" s="7" t="s">
        <v>9151</v>
      </c>
      <c r="B440" s="2" t="s">
        <v>8366</v>
      </c>
      <c r="C440" s="4">
        <v>1</v>
      </c>
      <c r="D440" s="5">
        <v>4</v>
      </c>
      <c r="E440" s="5">
        <v>9.99</v>
      </c>
      <c r="F440" s="4" t="s">
        <v>8367</v>
      </c>
      <c r="G440" s="2" t="s">
        <v>62</v>
      </c>
      <c r="H440" s="7" t="s">
        <v>217</v>
      </c>
      <c r="I440" s="2" t="s">
        <v>468</v>
      </c>
      <c r="J440" s="2" t="s">
        <v>469</v>
      </c>
      <c r="K440" s="2" t="s">
        <v>304</v>
      </c>
      <c r="L440" s="2" t="s">
        <v>119</v>
      </c>
      <c r="M440" s="8" t="str">
        <f>HYPERLINK("http://slimages.macys.com/is/image/MCY/12506652 ")</f>
        <v xml:space="preserve">http://slimages.macys.com/is/image/MCY/12506652 </v>
      </c>
    </row>
    <row r="441" spans="1:13" ht="84" x14ac:dyDescent="0.25">
      <c r="A441" s="7" t="s">
        <v>9152</v>
      </c>
      <c r="B441" s="2" t="s">
        <v>2673</v>
      </c>
      <c r="C441" s="4">
        <v>2</v>
      </c>
      <c r="D441" s="5">
        <v>4</v>
      </c>
      <c r="E441" s="5">
        <v>11.99</v>
      </c>
      <c r="F441" s="4" t="s">
        <v>1131</v>
      </c>
      <c r="G441" s="2" t="s">
        <v>200</v>
      </c>
      <c r="H441" s="7" t="s">
        <v>284</v>
      </c>
      <c r="I441" s="2" t="s">
        <v>523</v>
      </c>
      <c r="J441" s="2" t="s">
        <v>921</v>
      </c>
      <c r="K441" s="2" t="s">
        <v>304</v>
      </c>
      <c r="L441" s="2" t="s">
        <v>1132</v>
      </c>
      <c r="M441" s="8" t="str">
        <f>HYPERLINK("http://slimages.macys.com/is/image/MCY/9186402 ")</f>
        <v xml:space="preserve">http://slimages.macys.com/is/image/MCY/9186402 </v>
      </c>
    </row>
    <row r="442" spans="1:13" ht="84" x14ac:dyDescent="0.25">
      <c r="A442" s="7" t="s">
        <v>9153</v>
      </c>
      <c r="B442" s="2" t="s">
        <v>2673</v>
      </c>
      <c r="C442" s="4">
        <v>3</v>
      </c>
      <c r="D442" s="5">
        <v>4</v>
      </c>
      <c r="E442" s="5">
        <v>11.99</v>
      </c>
      <c r="F442" s="4" t="s">
        <v>1131</v>
      </c>
      <c r="G442" s="2" t="s">
        <v>200</v>
      </c>
      <c r="H442" s="7" t="s">
        <v>196</v>
      </c>
      <c r="I442" s="2" t="s">
        <v>523</v>
      </c>
      <c r="J442" s="2" t="s">
        <v>921</v>
      </c>
      <c r="K442" s="2" t="s">
        <v>304</v>
      </c>
      <c r="L442" s="2" t="s">
        <v>1132</v>
      </c>
      <c r="M442" s="8" t="str">
        <f>HYPERLINK("http://slimages.macys.com/is/image/MCY/9186402 ")</f>
        <v xml:space="preserve">http://slimages.macys.com/is/image/MCY/9186402 </v>
      </c>
    </row>
    <row r="443" spans="1:13" ht="84" x14ac:dyDescent="0.25">
      <c r="A443" s="7" t="s">
        <v>9154</v>
      </c>
      <c r="B443" s="2" t="s">
        <v>2673</v>
      </c>
      <c r="C443" s="4">
        <v>1</v>
      </c>
      <c r="D443" s="5">
        <v>4</v>
      </c>
      <c r="E443" s="5">
        <v>11.99</v>
      </c>
      <c r="F443" s="4" t="s">
        <v>1131</v>
      </c>
      <c r="G443" s="2" t="s">
        <v>200</v>
      </c>
      <c r="H443" s="7" t="s">
        <v>228</v>
      </c>
      <c r="I443" s="2" t="s">
        <v>523</v>
      </c>
      <c r="J443" s="2" t="s">
        <v>921</v>
      </c>
      <c r="K443" s="2" t="s">
        <v>304</v>
      </c>
      <c r="L443" s="2" t="s">
        <v>1132</v>
      </c>
      <c r="M443" s="8" t="str">
        <f>HYPERLINK("http://slimages.macys.com/is/image/MCY/9186402 ")</f>
        <v xml:space="preserve">http://slimages.macys.com/is/image/MCY/9186402 </v>
      </c>
    </row>
    <row r="444" spans="1:13" ht="84" x14ac:dyDescent="0.25">
      <c r="A444" s="7" t="s">
        <v>9155</v>
      </c>
      <c r="B444" s="2" t="s">
        <v>2673</v>
      </c>
      <c r="C444" s="4">
        <v>1</v>
      </c>
      <c r="D444" s="5">
        <v>4</v>
      </c>
      <c r="E444" s="5">
        <v>11.99</v>
      </c>
      <c r="F444" s="4" t="s">
        <v>1131</v>
      </c>
      <c r="G444" s="2" t="s">
        <v>41</v>
      </c>
      <c r="H444" s="7" t="s">
        <v>228</v>
      </c>
      <c r="I444" s="2" t="s">
        <v>523</v>
      </c>
      <c r="J444" s="2" t="s">
        <v>921</v>
      </c>
      <c r="K444" s="2" t="s">
        <v>304</v>
      </c>
      <c r="L444" s="2" t="s">
        <v>1132</v>
      </c>
      <c r="M444" s="8" t="str">
        <f>HYPERLINK("http://slimages.macys.com/is/image/MCY/9186402 ")</f>
        <v xml:space="preserve">http://slimages.macys.com/is/image/MCY/9186402 </v>
      </c>
    </row>
    <row r="445" spans="1:13" ht="60" x14ac:dyDescent="0.25">
      <c r="A445" s="7" t="s">
        <v>9156</v>
      </c>
      <c r="B445" s="2" t="s">
        <v>9157</v>
      </c>
      <c r="C445" s="4">
        <v>1</v>
      </c>
      <c r="D445" s="5">
        <v>4</v>
      </c>
      <c r="E445" s="5">
        <v>8.99</v>
      </c>
      <c r="F445" s="4">
        <v>18192410</v>
      </c>
      <c r="G445" s="2"/>
      <c r="H445" s="7" t="s">
        <v>233</v>
      </c>
      <c r="I445" s="2" t="s">
        <v>153</v>
      </c>
      <c r="J445" s="2" t="s">
        <v>154</v>
      </c>
      <c r="K445" s="2" t="s">
        <v>304</v>
      </c>
      <c r="L445" s="2" t="s">
        <v>38</v>
      </c>
      <c r="M445" s="8" t="str">
        <f>HYPERLINK("http://slimages.macys.com/is/image/MCY/13852976 ")</f>
        <v xml:space="preserve">http://slimages.macys.com/is/image/MCY/13852976 </v>
      </c>
    </row>
    <row r="446" spans="1:13" ht="60" x14ac:dyDescent="0.25">
      <c r="A446" s="7" t="s">
        <v>9158</v>
      </c>
      <c r="B446" s="2" t="s">
        <v>9159</v>
      </c>
      <c r="C446" s="4">
        <v>1</v>
      </c>
      <c r="D446" s="5">
        <v>3.75</v>
      </c>
      <c r="E446" s="5">
        <v>8.99</v>
      </c>
      <c r="F446" s="4" t="s">
        <v>9160</v>
      </c>
      <c r="G446" s="2" t="s">
        <v>28</v>
      </c>
      <c r="H446" s="7" t="s">
        <v>379</v>
      </c>
      <c r="I446" s="2" t="s">
        <v>380</v>
      </c>
      <c r="J446" s="2" t="s">
        <v>544</v>
      </c>
      <c r="K446" s="2" t="s">
        <v>304</v>
      </c>
      <c r="L446" s="2" t="s">
        <v>119</v>
      </c>
      <c r="M446" s="8" t="str">
        <f>HYPERLINK("http://slimages.macys.com/is/image/MCY/8365977 ")</f>
        <v xml:space="preserve">http://slimages.macys.com/is/image/MCY/8365977 </v>
      </c>
    </row>
    <row r="447" spans="1:13" ht="60" x14ac:dyDescent="0.25">
      <c r="A447" s="7" t="s">
        <v>9161</v>
      </c>
      <c r="B447" s="2" t="s">
        <v>9162</v>
      </c>
      <c r="C447" s="4">
        <v>1</v>
      </c>
      <c r="D447" s="5">
        <v>3.61</v>
      </c>
      <c r="E447" s="5">
        <v>10.99</v>
      </c>
      <c r="F447" s="4" t="s">
        <v>9163</v>
      </c>
      <c r="G447" s="2" t="s">
        <v>41</v>
      </c>
      <c r="H447" s="7" t="s">
        <v>42</v>
      </c>
      <c r="I447" s="2" t="s">
        <v>483</v>
      </c>
      <c r="J447" s="2" t="s">
        <v>536</v>
      </c>
      <c r="K447" s="2" t="s">
        <v>304</v>
      </c>
      <c r="L447" s="2" t="s">
        <v>206</v>
      </c>
      <c r="M447" s="8" t="str">
        <f>HYPERLINK("http://slimages.macys.com/is/image/MCY/11447776 ")</f>
        <v xml:space="preserve">http://slimages.macys.com/is/image/MCY/11447776 </v>
      </c>
    </row>
    <row r="448" spans="1:13" ht="60" x14ac:dyDescent="0.25">
      <c r="A448" s="7" t="s">
        <v>9164</v>
      </c>
      <c r="B448" s="2" t="s">
        <v>9165</v>
      </c>
      <c r="C448" s="4">
        <v>1</v>
      </c>
      <c r="D448" s="5">
        <v>3.61</v>
      </c>
      <c r="E448" s="5">
        <v>10.99</v>
      </c>
      <c r="F448" s="4" t="s">
        <v>9166</v>
      </c>
      <c r="G448" s="2" t="s">
        <v>262</v>
      </c>
      <c r="H448" s="7"/>
      <c r="I448" s="2" t="s">
        <v>483</v>
      </c>
      <c r="J448" s="2" t="s">
        <v>536</v>
      </c>
      <c r="K448" s="2" t="s">
        <v>304</v>
      </c>
      <c r="L448" s="2" t="s">
        <v>206</v>
      </c>
      <c r="M448" s="8" t="str">
        <f>HYPERLINK("http://slimages.macys.com/is/image/MCY/11953971 ")</f>
        <v xml:space="preserve">http://slimages.macys.com/is/image/MCY/11953971 </v>
      </c>
    </row>
    <row r="449" spans="1:13" ht="60" x14ac:dyDescent="0.25">
      <c r="A449" s="7" t="s">
        <v>2680</v>
      </c>
      <c r="B449" s="2" t="s">
        <v>2113</v>
      </c>
      <c r="C449" s="4">
        <v>1</v>
      </c>
      <c r="D449" s="5">
        <v>3.58</v>
      </c>
      <c r="E449" s="5">
        <v>8.99</v>
      </c>
      <c r="F449" s="4" t="s">
        <v>2114</v>
      </c>
      <c r="G449" s="2" t="s">
        <v>297</v>
      </c>
      <c r="H449" s="7" t="s">
        <v>482</v>
      </c>
      <c r="I449" s="2" t="s">
        <v>483</v>
      </c>
      <c r="J449" s="2" t="s">
        <v>536</v>
      </c>
      <c r="K449" s="2" t="s">
        <v>304</v>
      </c>
      <c r="L449" s="2" t="s">
        <v>119</v>
      </c>
      <c r="M449" s="8" t="str">
        <f>HYPERLINK("http://slimages.macys.com/is/image/MCY/13987501 ")</f>
        <v xml:space="preserve">http://slimages.macys.com/is/image/MCY/13987501 </v>
      </c>
    </row>
    <row r="450" spans="1:13" ht="60" x14ac:dyDescent="0.25">
      <c r="A450" s="7" t="s">
        <v>4309</v>
      </c>
      <c r="B450" s="2" t="s">
        <v>3446</v>
      </c>
      <c r="C450" s="4">
        <v>1</v>
      </c>
      <c r="D450" s="5">
        <v>3.49</v>
      </c>
      <c r="E450" s="5">
        <v>7.99</v>
      </c>
      <c r="F450" s="4" t="s">
        <v>4306</v>
      </c>
      <c r="G450" s="2" t="s">
        <v>129</v>
      </c>
      <c r="H450" s="7" t="s">
        <v>123</v>
      </c>
      <c r="I450" s="2" t="s">
        <v>292</v>
      </c>
      <c r="J450" s="2" t="s">
        <v>354</v>
      </c>
      <c r="K450" s="2" t="s">
        <v>304</v>
      </c>
      <c r="L450" s="2" t="s">
        <v>571</v>
      </c>
      <c r="M450" s="8" t="str">
        <f>HYPERLINK("http://slimages.macys.com/is/image/MCY/12951259 ")</f>
        <v xml:space="preserve">http://slimages.macys.com/is/image/MCY/12951259 </v>
      </c>
    </row>
    <row r="451" spans="1:13" ht="60" x14ac:dyDescent="0.25">
      <c r="A451" s="7" t="s">
        <v>6417</v>
      </c>
      <c r="B451" s="2" t="s">
        <v>4293</v>
      </c>
      <c r="C451" s="4">
        <v>1</v>
      </c>
      <c r="D451" s="5">
        <v>3.49</v>
      </c>
      <c r="E451" s="5">
        <v>7.99</v>
      </c>
      <c r="F451" s="4" t="s">
        <v>4294</v>
      </c>
      <c r="G451" s="2" t="s">
        <v>129</v>
      </c>
      <c r="H451" s="7" t="s">
        <v>311</v>
      </c>
      <c r="I451" s="2" t="s">
        <v>292</v>
      </c>
      <c r="J451" s="2" t="s">
        <v>354</v>
      </c>
      <c r="K451" s="2" t="s">
        <v>304</v>
      </c>
      <c r="L451" s="2" t="s">
        <v>119</v>
      </c>
      <c r="M451" s="8" t="str">
        <f>HYPERLINK("http://slimages.macys.com/is/image/MCY/13077248 ")</f>
        <v xml:space="preserve">http://slimages.macys.com/is/image/MCY/13077248 </v>
      </c>
    </row>
    <row r="452" spans="1:13" ht="60" x14ac:dyDescent="0.25">
      <c r="A452" s="7" t="s">
        <v>5609</v>
      </c>
      <c r="B452" s="2" t="s">
        <v>4316</v>
      </c>
      <c r="C452" s="4">
        <v>2</v>
      </c>
      <c r="D452" s="5">
        <v>3.49</v>
      </c>
      <c r="E452" s="5">
        <v>7.99</v>
      </c>
      <c r="F452" s="4" t="s">
        <v>4317</v>
      </c>
      <c r="G452" s="2" t="s">
        <v>103</v>
      </c>
      <c r="H452" s="7" t="s">
        <v>514</v>
      </c>
      <c r="I452" s="2" t="s">
        <v>1689</v>
      </c>
      <c r="J452" s="2" t="s">
        <v>354</v>
      </c>
      <c r="K452" s="2" t="s">
        <v>304</v>
      </c>
      <c r="L452" s="2" t="s">
        <v>596</v>
      </c>
      <c r="M452" s="8" t="str">
        <f>HYPERLINK("http://slimages.macys.com/is/image/MCY/12101731 ")</f>
        <v xml:space="preserve">http://slimages.macys.com/is/image/MCY/12101731 </v>
      </c>
    </row>
    <row r="453" spans="1:13" ht="60" x14ac:dyDescent="0.25">
      <c r="A453" s="7" t="s">
        <v>4308</v>
      </c>
      <c r="B453" s="2" t="s">
        <v>4302</v>
      </c>
      <c r="C453" s="4">
        <v>1</v>
      </c>
      <c r="D453" s="5">
        <v>3.49</v>
      </c>
      <c r="E453" s="5">
        <v>7.99</v>
      </c>
      <c r="F453" s="4" t="s">
        <v>4303</v>
      </c>
      <c r="G453" s="2" t="s">
        <v>41</v>
      </c>
      <c r="H453" s="7" t="s">
        <v>209</v>
      </c>
      <c r="I453" s="2" t="s">
        <v>292</v>
      </c>
      <c r="J453" s="2" t="s">
        <v>354</v>
      </c>
      <c r="K453" s="2" t="s">
        <v>304</v>
      </c>
      <c r="L453" s="2" t="s">
        <v>119</v>
      </c>
      <c r="M453" s="8" t="str">
        <f>HYPERLINK("http://slimages.macys.com/is/image/MCY/12684390 ")</f>
        <v xml:space="preserve">http://slimages.macys.com/is/image/MCY/12684390 </v>
      </c>
    </row>
    <row r="454" spans="1:13" ht="60" x14ac:dyDescent="0.25">
      <c r="A454" s="7" t="s">
        <v>9167</v>
      </c>
      <c r="B454" s="2" t="s">
        <v>4316</v>
      </c>
      <c r="C454" s="4">
        <v>1</v>
      </c>
      <c r="D454" s="5">
        <v>3.49</v>
      </c>
      <c r="E454" s="5">
        <v>7.99</v>
      </c>
      <c r="F454" s="4" t="s">
        <v>4317</v>
      </c>
      <c r="G454" s="2" t="s">
        <v>103</v>
      </c>
      <c r="H454" s="7" t="s">
        <v>578</v>
      </c>
      <c r="I454" s="2" t="s">
        <v>1689</v>
      </c>
      <c r="J454" s="2" t="s">
        <v>354</v>
      </c>
      <c r="K454" s="2" t="s">
        <v>304</v>
      </c>
      <c r="L454" s="2" t="s">
        <v>596</v>
      </c>
      <c r="M454" s="8" t="str">
        <f>HYPERLINK("http://slimages.macys.com/is/image/MCY/12101731 ")</f>
        <v xml:space="preserve">http://slimages.macys.com/is/image/MCY/12101731 </v>
      </c>
    </row>
    <row r="455" spans="1:13" ht="60" x14ac:dyDescent="0.25">
      <c r="A455" s="7" t="s">
        <v>6422</v>
      </c>
      <c r="B455" s="2" t="s">
        <v>6423</v>
      </c>
      <c r="C455" s="4">
        <v>1</v>
      </c>
      <c r="D455" s="5">
        <v>3.48</v>
      </c>
      <c r="E455" s="5">
        <v>5.99</v>
      </c>
      <c r="F455" s="4" t="s">
        <v>6424</v>
      </c>
      <c r="G455" s="2" t="s">
        <v>41</v>
      </c>
      <c r="H455" s="7" t="s">
        <v>311</v>
      </c>
      <c r="I455" s="2" t="s">
        <v>73</v>
      </c>
      <c r="J455" s="2" t="s">
        <v>1963</v>
      </c>
      <c r="K455" s="2" t="s">
        <v>304</v>
      </c>
      <c r="L455" s="2" t="s">
        <v>119</v>
      </c>
      <c r="M455" s="8" t="str">
        <f>HYPERLINK("http://slimages.macys.com/is/image/MCY/11229156 ")</f>
        <v xml:space="preserve">http://slimages.macys.com/is/image/MCY/11229156 </v>
      </c>
    </row>
    <row r="456" spans="1:13" ht="60" x14ac:dyDescent="0.25">
      <c r="A456" s="7" t="s">
        <v>9168</v>
      </c>
      <c r="B456" s="2" t="s">
        <v>5058</v>
      </c>
      <c r="C456" s="4">
        <v>1</v>
      </c>
      <c r="D456" s="5">
        <v>3.48</v>
      </c>
      <c r="E456" s="5">
        <v>5.99</v>
      </c>
      <c r="F456" s="4" t="s">
        <v>5059</v>
      </c>
      <c r="G456" s="2" t="s">
        <v>595</v>
      </c>
      <c r="H456" s="7" t="s">
        <v>123</v>
      </c>
      <c r="I456" s="2" t="s">
        <v>73</v>
      </c>
      <c r="J456" s="2" t="s">
        <v>1963</v>
      </c>
      <c r="K456" s="2" t="s">
        <v>304</v>
      </c>
      <c r="L456" s="2" t="s">
        <v>119</v>
      </c>
      <c r="M456" s="8" t="str">
        <f>HYPERLINK("http://slimages.macys.com/is/image/MCY/13360517 ")</f>
        <v xml:space="preserve">http://slimages.macys.com/is/image/MCY/13360517 </v>
      </c>
    </row>
    <row r="457" spans="1:13" ht="60" x14ac:dyDescent="0.25">
      <c r="A457" s="7" t="s">
        <v>9169</v>
      </c>
      <c r="B457" s="2" t="s">
        <v>5058</v>
      </c>
      <c r="C457" s="4">
        <v>1</v>
      </c>
      <c r="D457" s="5">
        <v>3.48</v>
      </c>
      <c r="E457" s="5">
        <v>5.99</v>
      </c>
      <c r="F457" s="4" t="s">
        <v>5059</v>
      </c>
      <c r="G457" s="2" t="s">
        <v>41</v>
      </c>
      <c r="H457" s="7" t="s">
        <v>317</v>
      </c>
      <c r="I457" s="2" t="s">
        <v>73</v>
      </c>
      <c r="J457" s="2" t="s">
        <v>1963</v>
      </c>
      <c r="K457" s="2" t="s">
        <v>304</v>
      </c>
      <c r="L457" s="2" t="s">
        <v>119</v>
      </c>
      <c r="M457" s="8" t="str">
        <f>HYPERLINK("http://slimages.macys.com/is/image/MCY/13360517 ")</f>
        <v xml:space="preserve">http://slimages.macys.com/is/image/MCY/13360517 </v>
      </c>
    </row>
    <row r="458" spans="1:13" ht="108" x14ac:dyDescent="0.25">
      <c r="A458" s="7" t="s">
        <v>6445</v>
      </c>
      <c r="B458" s="2" t="s">
        <v>565</v>
      </c>
      <c r="C458" s="4">
        <v>1</v>
      </c>
      <c r="D458" s="5">
        <v>3.45</v>
      </c>
      <c r="E458" s="5">
        <v>7.99</v>
      </c>
      <c r="F458" s="4" t="s">
        <v>566</v>
      </c>
      <c r="G458" s="2" t="s">
        <v>28</v>
      </c>
      <c r="H458" s="7" t="s">
        <v>311</v>
      </c>
      <c r="I458" s="2" t="s">
        <v>292</v>
      </c>
      <c r="J458" s="2" t="s">
        <v>354</v>
      </c>
      <c r="K458" s="2" t="s">
        <v>304</v>
      </c>
      <c r="L458" s="2" t="s">
        <v>567</v>
      </c>
      <c r="M458" s="8" t="str">
        <f>HYPERLINK("http://slimages.macys.com/is/image/MCY/12684419 ")</f>
        <v xml:space="preserve">http://slimages.macys.com/is/image/MCY/12684419 </v>
      </c>
    </row>
    <row r="459" spans="1:13" ht="60" x14ac:dyDescent="0.25">
      <c r="A459" s="7" t="s">
        <v>8386</v>
      </c>
      <c r="B459" s="2" t="s">
        <v>1173</v>
      </c>
      <c r="C459" s="4">
        <v>1</v>
      </c>
      <c r="D459" s="5">
        <v>3.4</v>
      </c>
      <c r="E459" s="5">
        <v>6.99</v>
      </c>
      <c r="F459" s="4">
        <v>7128</v>
      </c>
      <c r="G459" s="2" t="s">
        <v>103</v>
      </c>
      <c r="H459" s="7" t="s">
        <v>284</v>
      </c>
      <c r="I459" s="2" t="s">
        <v>523</v>
      </c>
      <c r="J459" s="2" t="s">
        <v>969</v>
      </c>
      <c r="K459" s="2" t="s">
        <v>304</v>
      </c>
      <c r="L459" s="2" t="s">
        <v>1036</v>
      </c>
      <c r="M459" s="8" t="str">
        <f t="shared" ref="M459:M464" si="4">HYPERLINK("http://slimages.macys.com/is/image/MCY/14718518 ")</f>
        <v xml:space="preserve">http://slimages.macys.com/is/image/MCY/14718518 </v>
      </c>
    </row>
    <row r="460" spans="1:13" ht="60" x14ac:dyDescent="0.25">
      <c r="A460" s="7" t="s">
        <v>9170</v>
      </c>
      <c r="B460" s="2" t="s">
        <v>1173</v>
      </c>
      <c r="C460" s="4">
        <v>5</v>
      </c>
      <c r="D460" s="5">
        <v>3.4</v>
      </c>
      <c r="E460" s="5">
        <v>6.99</v>
      </c>
      <c r="F460" s="4">
        <v>7128</v>
      </c>
      <c r="G460" s="2" t="s">
        <v>103</v>
      </c>
      <c r="H460" s="7" t="s">
        <v>228</v>
      </c>
      <c r="I460" s="2" t="s">
        <v>523</v>
      </c>
      <c r="J460" s="2" t="s">
        <v>969</v>
      </c>
      <c r="K460" s="2" t="s">
        <v>304</v>
      </c>
      <c r="L460" s="2" t="s">
        <v>1036</v>
      </c>
      <c r="M460" s="8" t="str">
        <f t="shared" si="4"/>
        <v xml:space="preserve">http://slimages.macys.com/is/image/MCY/14718518 </v>
      </c>
    </row>
    <row r="461" spans="1:13" ht="60" x14ac:dyDescent="0.25">
      <c r="A461" s="7" t="s">
        <v>9171</v>
      </c>
      <c r="B461" s="2" t="s">
        <v>1173</v>
      </c>
      <c r="C461" s="4">
        <v>5</v>
      </c>
      <c r="D461" s="5">
        <v>3.4</v>
      </c>
      <c r="E461" s="5">
        <v>6.99</v>
      </c>
      <c r="F461" s="4">
        <v>7128</v>
      </c>
      <c r="G461" s="2" t="s">
        <v>86</v>
      </c>
      <c r="H461" s="7" t="s">
        <v>228</v>
      </c>
      <c r="I461" s="2" t="s">
        <v>523</v>
      </c>
      <c r="J461" s="2" t="s">
        <v>969</v>
      </c>
      <c r="K461" s="2" t="s">
        <v>304</v>
      </c>
      <c r="L461" s="2" t="s">
        <v>1036</v>
      </c>
      <c r="M461" s="8" t="str">
        <f t="shared" si="4"/>
        <v xml:space="preserve">http://slimages.macys.com/is/image/MCY/14718518 </v>
      </c>
    </row>
    <row r="462" spans="1:13" ht="60" x14ac:dyDescent="0.25">
      <c r="A462" s="7" t="s">
        <v>8385</v>
      </c>
      <c r="B462" s="2" t="s">
        <v>1173</v>
      </c>
      <c r="C462" s="4">
        <v>1</v>
      </c>
      <c r="D462" s="5">
        <v>3.4</v>
      </c>
      <c r="E462" s="5">
        <v>6.99</v>
      </c>
      <c r="F462" s="4">
        <v>7128</v>
      </c>
      <c r="G462" s="2" t="s">
        <v>86</v>
      </c>
      <c r="H462" s="7" t="s">
        <v>284</v>
      </c>
      <c r="I462" s="2" t="s">
        <v>523</v>
      </c>
      <c r="J462" s="2" t="s">
        <v>969</v>
      </c>
      <c r="K462" s="2" t="s">
        <v>304</v>
      </c>
      <c r="L462" s="2" t="s">
        <v>1036</v>
      </c>
      <c r="M462" s="8" t="str">
        <f t="shared" si="4"/>
        <v xml:space="preserve">http://slimages.macys.com/is/image/MCY/14718518 </v>
      </c>
    </row>
    <row r="463" spans="1:13" ht="60" x14ac:dyDescent="0.25">
      <c r="A463" s="7" t="s">
        <v>1172</v>
      </c>
      <c r="B463" s="2" t="s">
        <v>1173</v>
      </c>
      <c r="C463" s="4">
        <v>2</v>
      </c>
      <c r="D463" s="5">
        <v>3.4</v>
      </c>
      <c r="E463" s="5">
        <v>6.99</v>
      </c>
      <c r="F463" s="4">
        <v>7128</v>
      </c>
      <c r="G463" s="2" t="s">
        <v>86</v>
      </c>
      <c r="H463" s="7" t="s">
        <v>196</v>
      </c>
      <c r="I463" s="2" t="s">
        <v>523</v>
      </c>
      <c r="J463" s="2" t="s">
        <v>969</v>
      </c>
      <c r="K463" s="2" t="s">
        <v>304</v>
      </c>
      <c r="L463" s="2" t="s">
        <v>1036</v>
      </c>
      <c r="M463" s="8" t="str">
        <f t="shared" si="4"/>
        <v xml:space="preserve">http://slimages.macys.com/is/image/MCY/14718518 </v>
      </c>
    </row>
    <row r="464" spans="1:13" ht="60" x14ac:dyDescent="0.25">
      <c r="A464" s="7" t="s">
        <v>1174</v>
      </c>
      <c r="B464" s="2" t="s">
        <v>1173</v>
      </c>
      <c r="C464" s="4">
        <v>3</v>
      </c>
      <c r="D464" s="5">
        <v>3.4</v>
      </c>
      <c r="E464" s="5">
        <v>6.99</v>
      </c>
      <c r="F464" s="4">
        <v>7128</v>
      </c>
      <c r="G464" s="2" t="s">
        <v>103</v>
      </c>
      <c r="H464" s="7" t="s">
        <v>196</v>
      </c>
      <c r="I464" s="2" t="s">
        <v>523</v>
      </c>
      <c r="J464" s="2" t="s">
        <v>969</v>
      </c>
      <c r="K464" s="2" t="s">
        <v>304</v>
      </c>
      <c r="L464" s="2" t="s">
        <v>1036</v>
      </c>
      <c r="M464" s="8" t="str">
        <f t="shared" si="4"/>
        <v xml:space="preserve">http://slimages.macys.com/is/image/MCY/14718518 </v>
      </c>
    </row>
    <row r="465" spans="1:13" ht="60" x14ac:dyDescent="0.25">
      <c r="A465" s="7" t="s">
        <v>2133</v>
      </c>
      <c r="B465" s="2" t="s">
        <v>2134</v>
      </c>
      <c r="C465" s="4">
        <v>1</v>
      </c>
      <c r="D465" s="5">
        <v>3.39</v>
      </c>
      <c r="E465" s="5">
        <v>8.99</v>
      </c>
      <c r="F465" s="4" t="s">
        <v>2135</v>
      </c>
      <c r="G465" s="2" t="s">
        <v>1265</v>
      </c>
      <c r="H465" s="7"/>
      <c r="I465" s="2" t="s">
        <v>483</v>
      </c>
      <c r="J465" s="2" t="s">
        <v>536</v>
      </c>
      <c r="K465" s="2" t="s">
        <v>304</v>
      </c>
      <c r="L465" s="2" t="s">
        <v>206</v>
      </c>
      <c r="M465" s="8" t="str">
        <f>HYPERLINK("http://slimages.macys.com/is/image/MCY/13337500 ")</f>
        <v xml:space="preserve">http://slimages.macys.com/is/image/MCY/13337500 </v>
      </c>
    </row>
    <row r="466" spans="1:13" ht="60" x14ac:dyDescent="0.25">
      <c r="A466" s="7" t="s">
        <v>9172</v>
      </c>
      <c r="B466" s="2" t="s">
        <v>3506</v>
      </c>
      <c r="C466" s="4">
        <v>1</v>
      </c>
      <c r="D466" s="5">
        <v>3.36</v>
      </c>
      <c r="E466" s="5">
        <v>7.99</v>
      </c>
      <c r="F466" s="4" t="s">
        <v>3507</v>
      </c>
      <c r="G466" s="2" t="s">
        <v>582</v>
      </c>
      <c r="H466" s="7" t="s">
        <v>63</v>
      </c>
      <c r="I466" s="2" t="s">
        <v>1689</v>
      </c>
      <c r="J466" s="2" t="s">
        <v>354</v>
      </c>
      <c r="K466" s="2" t="s">
        <v>304</v>
      </c>
      <c r="L466" s="2" t="s">
        <v>596</v>
      </c>
      <c r="M466" s="8" t="str">
        <f>HYPERLINK("http://slimages.macys.com/is/image/MCY/11498760 ")</f>
        <v xml:space="preserve">http://slimages.macys.com/is/image/MCY/11498760 </v>
      </c>
    </row>
    <row r="467" spans="1:13" ht="60" x14ac:dyDescent="0.25">
      <c r="A467" s="7" t="s">
        <v>9173</v>
      </c>
      <c r="B467" s="2" t="s">
        <v>9174</v>
      </c>
      <c r="C467" s="4">
        <v>1</v>
      </c>
      <c r="D467" s="5">
        <v>3.3</v>
      </c>
      <c r="E467" s="5">
        <v>7.99</v>
      </c>
      <c r="F467" s="4" t="s">
        <v>9175</v>
      </c>
      <c r="G467" s="2" t="s">
        <v>41</v>
      </c>
      <c r="H467" s="7" t="s">
        <v>578</v>
      </c>
      <c r="I467" s="2" t="s">
        <v>1689</v>
      </c>
      <c r="J467" s="2" t="s">
        <v>354</v>
      </c>
      <c r="K467" s="2" t="s">
        <v>304</v>
      </c>
      <c r="L467" s="2" t="s">
        <v>119</v>
      </c>
      <c r="M467" s="8" t="str">
        <f>HYPERLINK("http://slimages.macys.com/is/image/MCY/9757620 ")</f>
        <v xml:space="preserve">http://slimages.macys.com/is/image/MCY/9757620 </v>
      </c>
    </row>
    <row r="468" spans="1:13" ht="60" x14ac:dyDescent="0.25">
      <c r="A468" s="7" t="s">
        <v>7042</v>
      </c>
      <c r="B468" s="2" t="s">
        <v>1173</v>
      </c>
      <c r="C468" s="4">
        <v>3</v>
      </c>
      <c r="D468" s="5">
        <v>3.3</v>
      </c>
      <c r="E468" s="5">
        <v>6.99</v>
      </c>
      <c r="F468" s="4">
        <v>7128</v>
      </c>
      <c r="G468" s="2" t="s">
        <v>310</v>
      </c>
      <c r="H468" s="7" t="s">
        <v>196</v>
      </c>
      <c r="I468" s="2" t="s">
        <v>523</v>
      </c>
      <c r="J468" s="2" t="s">
        <v>969</v>
      </c>
      <c r="K468" s="2" t="s">
        <v>304</v>
      </c>
      <c r="L468" s="2" t="s">
        <v>1036</v>
      </c>
      <c r="M468" s="8" t="str">
        <f>HYPERLINK("http://slimages.macys.com/is/image/MCY/14718518 ")</f>
        <v xml:space="preserve">http://slimages.macys.com/is/image/MCY/14718518 </v>
      </c>
    </row>
    <row r="469" spans="1:13" ht="60" x14ac:dyDescent="0.25">
      <c r="A469" s="7" t="s">
        <v>9176</v>
      </c>
      <c r="B469" s="2" t="s">
        <v>1173</v>
      </c>
      <c r="C469" s="4">
        <v>4</v>
      </c>
      <c r="D469" s="5">
        <v>3.3</v>
      </c>
      <c r="E469" s="5">
        <v>6.99</v>
      </c>
      <c r="F469" s="4">
        <v>7128</v>
      </c>
      <c r="G469" s="2" t="s">
        <v>310</v>
      </c>
      <c r="H469" s="7" t="s">
        <v>228</v>
      </c>
      <c r="I469" s="2" t="s">
        <v>523</v>
      </c>
      <c r="J469" s="2" t="s">
        <v>969</v>
      </c>
      <c r="K469" s="2" t="s">
        <v>304</v>
      </c>
      <c r="L469" s="2" t="s">
        <v>1036</v>
      </c>
      <c r="M469" s="8" t="str">
        <f>HYPERLINK("http://slimages.macys.com/is/image/MCY/14718518 ")</f>
        <v xml:space="preserve">http://slimages.macys.com/is/image/MCY/14718518 </v>
      </c>
    </row>
    <row r="470" spans="1:13" ht="60" x14ac:dyDescent="0.25">
      <c r="A470" s="7" t="s">
        <v>9177</v>
      </c>
      <c r="B470" s="2" t="s">
        <v>7076</v>
      </c>
      <c r="C470" s="4">
        <v>1</v>
      </c>
      <c r="D470" s="5">
        <v>3.29</v>
      </c>
      <c r="E470" s="5">
        <v>7.99</v>
      </c>
      <c r="F470" s="4" t="s">
        <v>7077</v>
      </c>
      <c r="G470" s="2" t="s">
        <v>582</v>
      </c>
      <c r="H470" s="7" t="s">
        <v>578</v>
      </c>
      <c r="I470" s="2" t="s">
        <v>1689</v>
      </c>
      <c r="J470" s="2" t="s">
        <v>354</v>
      </c>
      <c r="K470" s="2" t="s">
        <v>304</v>
      </c>
      <c r="L470" s="2" t="s">
        <v>119</v>
      </c>
      <c r="M470" s="8" t="str">
        <f>HYPERLINK("http://slimages.macys.com/is/image/MCY/13060709 ")</f>
        <v xml:space="preserve">http://slimages.macys.com/is/image/MCY/13060709 </v>
      </c>
    </row>
    <row r="471" spans="1:13" ht="60" x14ac:dyDescent="0.25">
      <c r="A471" s="7" t="s">
        <v>9178</v>
      </c>
      <c r="B471" s="2" t="s">
        <v>7076</v>
      </c>
      <c r="C471" s="4">
        <v>1</v>
      </c>
      <c r="D471" s="5">
        <v>3.29</v>
      </c>
      <c r="E471" s="5">
        <v>7.99</v>
      </c>
      <c r="F471" s="4" t="s">
        <v>7077</v>
      </c>
      <c r="G471" s="2" t="s">
        <v>582</v>
      </c>
      <c r="H471" s="7" t="s">
        <v>1151</v>
      </c>
      <c r="I471" s="2" t="s">
        <v>1689</v>
      </c>
      <c r="J471" s="2" t="s">
        <v>354</v>
      </c>
      <c r="K471" s="2" t="s">
        <v>304</v>
      </c>
      <c r="L471" s="2" t="s">
        <v>119</v>
      </c>
      <c r="M471" s="8" t="str">
        <f>HYPERLINK("http://slimages.macys.com/is/image/MCY/13060709 ")</f>
        <v xml:space="preserve">http://slimages.macys.com/is/image/MCY/13060709 </v>
      </c>
    </row>
    <row r="472" spans="1:13" ht="60" x14ac:dyDescent="0.25">
      <c r="A472" s="7" t="s">
        <v>9179</v>
      </c>
      <c r="B472" s="2" t="s">
        <v>9180</v>
      </c>
      <c r="C472" s="4">
        <v>1</v>
      </c>
      <c r="D472" s="5">
        <v>3.29</v>
      </c>
      <c r="E472" s="5">
        <v>7.99</v>
      </c>
      <c r="F472" s="4" t="s">
        <v>9181</v>
      </c>
      <c r="G472" s="2" t="s">
        <v>103</v>
      </c>
      <c r="H472" s="7" t="s">
        <v>123</v>
      </c>
      <c r="I472" s="2" t="s">
        <v>1689</v>
      </c>
      <c r="J472" s="2" t="s">
        <v>354</v>
      </c>
      <c r="K472" s="2" t="s">
        <v>304</v>
      </c>
      <c r="L472" s="2" t="s">
        <v>119</v>
      </c>
      <c r="M472" s="8" t="str">
        <f>HYPERLINK("http://slimages.macys.com/is/image/MCY/12890352 ")</f>
        <v xml:space="preserve">http://slimages.macys.com/is/image/MCY/12890352 </v>
      </c>
    </row>
    <row r="473" spans="1:13" ht="60" x14ac:dyDescent="0.25">
      <c r="A473" s="7" t="s">
        <v>7043</v>
      </c>
      <c r="B473" s="2" t="s">
        <v>4354</v>
      </c>
      <c r="C473" s="4">
        <v>1</v>
      </c>
      <c r="D473" s="5">
        <v>3.29</v>
      </c>
      <c r="E473" s="5">
        <v>7.99</v>
      </c>
      <c r="F473" s="4" t="s">
        <v>4355</v>
      </c>
      <c r="G473" s="2" t="s">
        <v>793</v>
      </c>
      <c r="H473" s="7" t="s">
        <v>63</v>
      </c>
      <c r="I473" s="2" t="s">
        <v>1689</v>
      </c>
      <c r="J473" s="2" t="s">
        <v>354</v>
      </c>
      <c r="K473" s="2" t="s">
        <v>304</v>
      </c>
      <c r="L473" s="2" t="s">
        <v>119</v>
      </c>
      <c r="M473" s="8" t="str">
        <f>HYPERLINK("http://slimages.macys.com/is/image/MCY/12101657 ")</f>
        <v xml:space="preserve">http://slimages.macys.com/is/image/MCY/12101657 </v>
      </c>
    </row>
    <row r="474" spans="1:13" ht="60" x14ac:dyDescent="0.25">
      <c r="A474" s="7" t="s">
        <v>4360</v>
      </c>
      <c r="B474" s="2" t="s">
        <v>4361</v>
      </c>
      <c r="C474" s="4">
        <v>1</v>
      </c>
      <c r="D474" s="5">
        <v>3.29</v>
      </c>
      <c r="E474" s="5">
        <v>7.99</v>
      </c>
      <c r="F474" s="4" t="s">
        <v>4362</v>
      </c>
      <c r="G474" s="2" t="s">
        <v>303</v>
      </c>
      <c r="H474" s="7" t="s">
        <v>123</v>
      </c>
      <c r="I474" s="2" t="s">
        <v>1689</v>
      </c>
      <c r="J474" s="2" t="s">
        <v>354</v>
      </c>
      <c r="K474" s="2" t="s">
        <v>304</v>
      </c>
      <c r="L474" s="2" t="s">
        <v>119</v>
      </c>
      <c r="M474" s="8" t="str">
        <f>HYPERLINK("http://slimages.macys.com/is/image/MCY/11710236 ")</f>
        <v xml:space="preserve">http://slimages.macys.com/is/image/MCY/11710236 </v>
      </c>
    </row>
    <row r="475" spans="1:13" ht="60" x14ac:dyDescent="0.25">
      <c r="A475" s="7" t="s">
        <v>9182</v>
      </c>
      <c r="B475" s="2" t="s">
        <v>7864</v>
      </c>
      <c r="C475" s="4">
        <v>1</v>
      </c>
      <c r="D475" s="5">
        <v>3.29</v>
      </c>
      <c r="E475" s="5">
        <v>7.99</v>
      </c>
      <c r="F475" s="4" t="s">
        <v>7865</v>
      </c>
      <c r="G475" s="2" t="s">
        <v>103</v>
      </c>
      <c r="H475" s="7" t="s">
        <v>123</v>
      </c>
      <c r="I475" s="2" t="s">
        <v>1689</v>
      </c>
      <c r="J475" s="2" t="s">
        <v>354</v>
      </c>
      <c r="K475" s="2" t="s">
        <v>304</v>
      </c>
      <c r="L475" s="2" t="s">
        <v>119</v>
      </c>
      <c r="M475" s="8" t="str">
        <f>HYPERLINK("http://slimages.macys.com/is/image/MCY/11498966 ")</f>
        <v xml:space="preserve">http://slimages.macys.com/is/image/MCY/11498966 </v>
      </c>
    </row>
    <row r="476" spans="1:13" ht="60" x14ac:dyDescent="0.25">
      <c r="A476" s="7" t="s">
        <v>6020</v>
      </c>
      <c r="B476" s="2" t="s">
        <v>1176</v>
      </c>
      <c r="C476" s="4">
        <v>1</v>
      </c>
      <c r="D476" s="5">
        <v>3.21</v>
      </c>
      <c r="E476" s="5">
        <v>7.99</v>
      </c>
      <c r="F476" s="4" t="s">
        <v>1177</v>
      </c>
      <c r="G476" s="2" t="s">
        <v>527</v>
      </c>
      <c r="H476" s="7" t="s">
        <v>578</v>
      </c>
      <c r="I476" s="2" t="s">
        <v>483</v>
      </c>
      <c r="J476" s="2" t="s">
        <v>536</v>
      </c>
      <c r="K476" s="2" t="s">
        <v>304</v>
      </c>
      <c r="L476" s="2" t="s">
        <v>119</v>
      </c>
      <c r="M476" s="8" t="str">
        <f>HYPERLINK("http://slimages.macys.com/is/image/MCY/13987326 ")</f>
        <v xml:space="preserve">http://slimages.macys.com/is/image/MCY/13987326 </v>
      </c>
    </row>
    <row r="477" spans="1:13" ht="60" x14ac:dyDescent="0.25">
      <c r="A477" s="7" t="s">
        <v>9183</v>
      </c>
      <c r="B477" s="2" t="s">
        <v>7095</v>
      </c>
      <c r="C477" s="4">
        <v>1</v>
      </c>
      <c r="D477" s="5">
        <v>3.21</v>
      </c>
      <c r="E477" s="5">
        <v>7.99</v>
      </c>
      <c r="F477" s="4" t="s">
        <v>7096</v>
      </c>
      <c r="G477" s="2" t="s">
        <v>41</v>
      </c>
      <c r="H477" s="7" t="s">
        <v>1151</v>
      </c>
      <c r="I477" s="2" t="s">
        <v>483</v>
      </c>
      <c r="J477" s="2" t="s">
        <v>536</v>
      </c>
      <c r="K477" s="2" t="s">
        <v>304</v>
      </c>
      <c r="L477" s="2" t="s">
        <v>38</v>
      </c>
      <c r="M477" s="8" t="str">
        <f>HYPERLINK("http://slimages.macys.com/is/image/MCY/13987340 ")</f>
        <v xml:space="preserve">http://slimages.macys.com/is/image/MCY/13987340 </v>
      </c>
    </row>
    <row r="478" spans="1:13" ht="60" x14ac:dyDescent="0.25">
      <c r="A478" s="7" t="s">
        <v>1175</v>
      </c>
      <c r="B478" s="2" t="s">
        <v>1176</v>
      </c>
      <c r="C478" s="4">
        <v>2</v>
      </c>
      <c r="D478" s="5">
        <v>3.21</v>
      </c>
      <c r="E478" s="5">
        <v>7.99</v>
      </c>
      <c r="F478" s="4" t="s">
        <v>1177</v>
      </c>
      <c r="G478" s="2" t="s">
        <v>527</v>
      </c>
      <c r="H478" s="7" t="s">
        <v>514</v>
      </c>
      <c r="I478" s="2" t="s">
        <v>483</v>
      </c>
      <c r="J478" s="2" t="s">
        <v>536</v>
      </c>
      <c r="K478" s="2" t="s">
        <v>304</v>
      </c>
      <c r="L478" s="2" t="s">
        <v>119</v>
      </c>
      <c r="M478" s="8" t="str">
        <f>HYPERLINK("http://slimages.macys.com/is/image/MCY/13987326 ")</f>
        <v xml:space="preserve">http://slimages.macys.com/is/image/MCY/13987326 </v>
      </c>
    </row>
    <row r="479" spans="1:13" ht="60" x14ac:dyDescent="0.25">
      <c r="A479" s="7" t="s">
        <v>7877</v>
      </c>
      <c r="B479" s="2" t="s">
        <v>6456</v>
      </c>
      <c r="C479" s="4">
        <v>1</v>
      </c>
      <c r="D479" s="5">
        <v>3.2</v>
      </c>
      <c r="E479" s="5">
        <v>6.99</v>
      </c>
      <c r="F479" s="4" t="s">
        <v>6457</v>
      </c>
      <c r="G479" s="2" t="s">
        <v>171</v>
      </c>
      <c r="H479" s="7" t="s">
        <v>149</v>
      </c>
      <c r="I479" s="2" t="s">
        <v>483</v>
      </c>
      <c r="J479" s="2" t="s">
        <v>536</v>
      </c>
      <c r="K479" s="2" t="s">
        <v>304</v>
      </c>
      <c r="L479" s="2" t="s">
        <v>119</v>
      </c>
      <c r="M479" s="8" t="str">
        <f>HYPERLINK("http://slimages.macys.com/is/image/MCY/11793237 ")</f>
        <v xml:space="preserve">http://slimages.macys.com/is/image/MCY/11793237 </v>
      </c>
    </row>
    <row r="480" spans="1:13" ht="60" x14ac:dyDescent="0.25">
      <c r="A480" s="7" t="s">
        <v>9184</v>
      </c>
      <c r="B480" s="2" t="s">
        <v>7098</v>
      </c>
      <c r="C480" s="4">
        <v>2</v>
      </c>
      <c r="D480" s="5">
        <v>3.2</v>
      </c>
      <c r="E480" s="5">
        <v>6.99</v>
      </c>
      <c r="F480" s="4">
        <v>7132</v>
      </c>
      <c r="G480" s="2" t="s">
        <v>103</v>
      </c>
      <c r="H480" s="7" t="s">
        <v>196</v>
      </c>
      <c r="I480" s="2" t="s">
        <v>523</v>
      </c>
      <c r="J480" s="2" t="s">
        <v>969</v>
      </c>
      <c r="K480" s="2" t="s">
        <v>304</v>
      </c>
      <c r="L480" s="2" t="s">
        <v>7099</v>
      </c>
      <c r="M480" s="8" t="str">
        <f>HYPERLINK("http://slimages.macys.com/is/image/MCY/13403928 ")</f>
        <v xml:space="preserve">http://slimages.macys.com/is/image/MCY/13403928 </v>
      </c>
    </row>
    <row r="481" spans="1:13" ht="60" x14ac:dyDescent="0.25">
      <c r="A481" s="7" t="s">
        <v>7097</v>
      </c>
      <c r="B481" s="2" t="s">
        <v>7098</v>
      </c>
      <c r="C481" s="4">
        <v>2</v>
      </c>
      <c r="D481" s="5">
        <v>3.2</v>
      </c>
      <c r="E481" s="5">
        <v>6.99</v>
      </c>
      <c r="F481" s="4">
        <v>7132</v>
      </c>
      <c r="G481" s="2" t="s">
        <v>103</v>
      </c>
      <c r="H481" s="7" t="s">
        <v>228</v>
      </c>
      <c r="I481" s="2" t="s">
        <v>523</v>
      </c>
      <c r="J481" s="2" t="s">
        <v>969</v>
      </c>
      <c r="K481" s="2" t="s">
        <v>304</v>
      </c>
      <c r="L481" s="2" t="s">
        <v>7099</v>
      </c>
      <c r="M481" s="8" t="str">
        <f>HYPERLINK("http://slimages.macys.com/is/image/MCY/13403928 ")</f>
        <v xml:space="preserve">http://slimages.macys.com/is/image/MCY/13403928 </v>
      </c>
    </row>
    <row r="482" spans="1:13" ht="60" x14ac:dyDescent="0.25">
      <c r="A482" s="7" t="s">
        <v>9185</v>
      </c>
      <c r="B482" s="2" t="s">
        <v>7098</v>
      </c>
      <c r="C482" s="4">
        <v>2</v>
      </c>
      <c r="D482" s="5">
        <v>3.2</v>
      </c>
      <c r="E482" s="5">
        <v>6.99</v>
      </c>
      <c r="F482" s="4">
        <v>7132</v>
      </c>
      <c r="G482" s="2" t="s">
        <v>103</v>
      </c>
      <c r="H482" s="7" t="s">
        <v>159</v>
      </c>
      <c r="I482" s="2" t="s">
        <v>523</v>
      </c>
      <c r="J482" s="2" t="s">
        <v>969</v>
      </c>
      <c r="K482" s="2" t="s">
        <v>304</v>
      </c>
      <c r="L482" s="2" t="s">
        <v>7099</v>
      </c>
      <c r="M482" s="8" t="str">
        <f>HYPERLINK("http://slimages.macys.com/is/image/MCY/13403928 ")</f>
        <v xml:space="preserve">http://slimages.macys.com/is/image/MCY/13403928 </v>
      </c>
    </row>
    <row r="483" spans="1:13" ht="60" x14ac:dyDescent="0.25">
      <c r="A483" s="7" t="s">
        <v>1179</v>
      </c>
      <c r="B483" s="2" t="s">
        <v>1180</v>
      </c>
      <c r="C483" s="4">
        <v>1</v>
      </c>
      <c r="D483" s="5">
        <v>3.05</v>
      </c>
      <c r="E483" s="5">
        <v>7.99</v>
      </c>
      <c r="F483" s="4" t="s">
        <v>1181</v>
      </c>
      <c r="G483" s="2" t="s">
        <v>41</v>
      </c>
      <c r="H483" s="7" t="s">
        <v>514</v>
      </c>
      <c r="I483" s="2" t="s">
        <v>483</v>
      </c>
      <c r="J483" s="2" t="s">
        <v>536</v>
      </c>
      <c r="K483" s="2" t="s">
        <v>304</v>
      </c>
      <c r="L483" s="2" t="s">
        <v>38</v>
      </c>
      <c r="M483" s="8" t="str">
        <f>HYPERLINK("http://slimages.macys.com/is/image/MCY/13337374 ")</f>
        <v xml:space="preserve">http://slimages.macys.com/is/image/MCY/13337374 </v>
      </c>
    </row>
    <row r="484" spans="1:13" ht="60" x14ac:dyDescent="0.25">
      <c r="A484" s="7" t="s">
        <v>9186</v>
      </c>
      <c r="B484" s="2" t="s">
        <v>9187</v>
      </c>
      <c r="C484" s="4">
        <v>1</v>
      </c>
      <c r="D484" s="5">
        <v>3.04</v>
      </c>
      <c r="E484" s="5">
        <v>7.99</v>
      </c>
      <c r="F484" s="4" t="s">
        <v>9188</v>
      </c>
      <c r="G484" s="2" t="s">
        <v>36</v>
      </c>
      <c r="H484" s="7" t="s">
        <v>514</v>
      </c>
      <c r="I484" s="2" t="s">
        <v>483</v>
      </c>
      <c r="J484" s="2" t="s">
        <v>536</v>
      </c>
      <c r="K484" s="2" t="s">
        <v>304</v>
      </c>
      <c r="L484" s="2" t="s">
        <v>100</v>
      </c>
      <c r="M484" s="8" t="str">
        <f>HYPERLINK("http://slimages.macys.com/is/image/MCY/11258891 ")</f>
        <v xml:space="preserve">http://slimages.macys.com/is/image/MCY/11258891 </v>
      </c>
    </row>
    <row r="485" spans="1:13" ht="60" x14ac:dyDescent="0.25">
      <c r="A485" s="7" t="s">
        <v>9189</v>
      </c>
      <c r="B485" s="2" t="s">
        <v>9187</v>
      </c>
      <c r="C485" s="4">
        <v>2</v>
      </c>
      <c r="D485" s="5">
        <v>3.04</v>
      </c>
      <c r="E485" s="5">
        <v>7.99</v>
      </c>
      <c r="F485" s="4" t="s">
        <v>9188</v>
      </c>
      <c r="G485" s="2" t="s">
        <v>36</v>
      </c>
      <c r="H485" s="7" t="s">
        <v>1151</v>
      </c>
      <c r="I485" s="2" t="s">
        <v>483</v>
      </c>
      <c r="J485" s="2" t="s">
        <v>536</v>
      </c>
      <c r="K485" s="2" t="s">
        <v>304</v>
      </c>
      <c r="L485" s="2" t="s">
        <v>100</v>
      </c>
      <c r="M485" s="8" t="str">
        <f>HYPERLINK("http://slimages.macys.com/is/image/MCY/11258891 ")</f>
        <v xml:space="preserve">http://slimages.macys.com/is/image/MCY/11258891 </v>
      </c>
    </row>
    <row r="486" spans="1:13" ht="60" x14ac:dyDescent="0.25">
      <c r="A486" s="7" t="s">
        <v>2165</v>
      </c>
      <c r="B486" s="2" t="s">
        <v>1186</v>
      </c>
      <c r="C486" s="4">
        <v>1</v>
      </c>
      <c r="D486" s="5">
        <v>3.03</v>
      </c>
      <c r="E486" s="5">
        <v>7.99</v>
      </c>
      <c r="F486" s="4" t="s">
        <v>1187</v>
      </c>
      <c r="G486" s="2" t="s">
        <v>41</v>
      </c>
      <c r="H486" s="7" t="s">
        <v>1151</v>
      </c>
      <c r="I486" s="2" t="s">
        <v>483</v>
      </c>
      <c r="J486" s="2" t="s">
        <v>536</v>
      </c>
      <c r="K486" s="2" t="s">
        <v>304</v>
      </c>
      <c r="L486" s="2" t="s">
        <v>100</v>
      </c>
      <c r="M486" s="8" t="str">
        <f>HYPERLINK("http://slimages.macys.com/is/image/MCY/13337544 ")</f>
        <v xml:space="preserve">http://slimages.macys.com/is/image/MCY/13337544 </v>
      </c>
    </row>
    <row r="487" spans="1:13" ht="60" x14ac:dyDescent="0.25">
      <c r="A487" s="7" t="s">
        <v>9190</v>
      </c>
      <c r="B487" s="2" t="s">
        <v>7106</v>
      </c>
      <c r="C487" s="4">
        <v>1</v>
      </c>
      <c r="D487" s="5">
        <v>3.01</v>
      </c>
      <c r="E487" s="5">
        <v>7.99</v>
      </c>
      <c r="F487" s="4" t="s">
        <v>7107</v>
      </c>
      <c r="G487" s="2" t="s">
        <v>28</v>
      </c>
      <c r="H487" s="7" t="s">
        <v>514</v>
      </c>
      <c r="I487" s="2" t="s">
        <v>483</v>
      </c>
      <c r="J487" s="2" t="s">
        <v>536</v>
      </c>
      <c r="K487" s="2" t="s">
        <v>304</v>
      </c>
      <c r="L487" s="2" t="s">
        <v>119</v>
      </c>
      <c r="M487" s="8" t="str">
        <f>HYPERLINK("http://slimages.macys.com/is/image/MCY/13987054 ")</f>
        <v xml:space="preserve">http://slimages.macys.com/is/image/MCY/13987054 </v>
      </c>
    </row>
    <row r="488" spans="1:13" ht="60" x14ac:dyDescent="0.25">
      <c r="A488" s="7" t="s">
        <v>9191</v>
      </c>
      <c r="B488" s="2" t="s">
        <v>7112</v>
      </c>
      <c r="C488" s="4">
        <v>1</v>
      </c>
      <c r="D488" s="5">
        <v>2.97</v>
      </c>
      <c r="E488" s="5">
        <v>7.99</v>
      </c>
      <c r="F488" s="4" t="s">
        <v>7113</v>
      </c>
      <c r="G488" s="2" t="s">
        <v>195</v>
      </c>
      <c r="H488" s="7" t="s">
        <v>149</v>
      </c>
      <c r="I488" s="2" t="s">
        <v>483</v>
      </c>
      <c r="J488" s="2" t="s">
        <v>536</v>
      </c>
      <c r="K488" s="2" t="s">
        <v>304</v>
      </c>
      <c r="L488" s="2" t="s">
        <v>119</v>
      </c>
      <c r="M488" s="8" t="str">
        <f>HYPERLINK("http://slimages.macys.com/is/image/MCY/12465251 ")</f>
        <v xml:space="preserve">http://slimages.macys.com/is/image/MCY/12465251 </v>
      </c>
    </row>
    <row r="489" spans="1:13" ht="60" x14ac:dyDescent="0.25">
      <c r="A489" s="7" t="s">
        <v>9192</v>
      </c>
      <c r="B489" s="2" t="s">
        <v>4418</v>
      </c>
      <c r="C489" s="4">
        <v>1</v>
      </c>
      <c r="D489" s="5">
        <v>2.94</v>
      </c>
      <c r="E489" s="5">
        <v>7.99</v>
      </c>
      <c r="F489" s="4" t="s">
        <v>4419</v>
      </c>
      <c r="G489" s="2" t="s">
        <v>28</v>
      </c>
      <c r="H489" s="7" t="s">
        <v>1151</v>
      </c>
      <c r="I489" s="2" t="s">
        <v>483</v>
      </c>
      <c r="J489" s="2" t="s">
        <v>536</v>
      </c>
      <c r="K489" s="2" t="s">
        <v>304</v>
      </c>
      <c r="L489" s="2" t="s">
        <v>206</v>
      </c>
      <c r="M489" s="8" t="str">
        <f>HYPERLINK("http://slimages.macys.com/is/image/MCY/13386207 ")</f>
        <v xml:space="preserve">http://slimages.macys.com/is/image/MCY/13386207 </v>
      </c>
    </row>
    <row r="490" spans="1:13" ht="60" x14ac:dyDescent="0.25">
      <c r="A490" s="7" t="s">
        <v>7118</v>
      </c>
      <c r="B490" s="2" t="s">
        <v>4424</v>
      </c>
      <c r="C490" s="4">
        <v>1</v>
      </c>
      <c r="D490" s="5">
        <v>2.94</v>
      </c>
      <c r="E490" s="5">
        <v>7.99</v>
      </c>
      <c r="F490" s="4" t="s">
        <v>4425</v>
      </c>
      <c r="G490" s="2" t="s">
        <v>527</v>
      </c>
      <c r="H490" s="7" t="s">
        <v>514</v>
      </c>
      <c r="I490" s="2" t="s">
        <v>483</v>
      </c>
      <c r="J490" s="2" t="s">
        <v>536</v>
      </c>
      <c r="K490" s="2" t="s">
        <v>304</v>
      </c>
      <c r="L490" s="2" t="s">
        <v>119</v>
      </c>
      <c r="M490" s="8" t="str">
        <f>HYPERLINK("http://slimages.macys.com/is/image/MCY/13987179 ")</f>
        <v xml:space="preserve">http://slimages.macys.com/is/image/MCY/13987179 </v>
      </c>
    </row>
    <row r="491" spans="1:13" ht="60" x14ac:dyDescent="0.25">
      <c r="A491" s="7" t="s">
        <v>9193</v>
      </c>
      <c r="B491" s="2" t="s">
        <v>4421</v>
      </c>
      <c r="C491" s="4">
        <v>1</v>
      </c>
      <c r="D491" s="5">
        <v>2.94</v>
      </c>
      <c r="E491" s="5">
        <v>7.99</v>
      </c>
      <c r="F491" s="4" t="s">
        <v>4422</v>
      </c>
      <c r="G491" s="2" t="s">
        <v>41</v>
      </c>
      <c r="H491" s="7" t="s">
        <v>1151</v>
      </c>
      <c r="I491" s="2" t="s">
        <v>483</v>
      </c>
      <c r="J491" s="2" t="s">
        <v>536</v>
      </c>
      <c r="K491" s="2" t="s">
        <v>304</v>
      </c>
      <c r="L491" s="2" t="s">
        <v>206</v>
      </c>
      <c r="M491" s="8" t="str">
        <f>HYPERLINK("http://slimages.macys.com/is/image/MCY/13385820 ")</f>
        <v xml:space="preserve">http://slimages.macys.com/is/image/MCY/13385820 </v>
      </c>
    </row>
    <row r="492" spans="1:13" ht="60" x14ac:dyDescent="0.25">
      <c r="A492" s="7" t="s">
        <v>4413</v>
      </c>
      <c r="B492" s="2" t="s">
        <v>2193</v>
      </c>
      <c r="C492" s="4">
        <v>1</v>
      </c>
      <c r="D492" s="5">
        <v>2.94</v>
      </c>
      <c r="E492" s="5">
        <v>7.99</v>
      </c>
      <c r="F492" s="4" t="s">
        <v>2194</v>
      </c>
      <c r="G492" s="2" t="s">
        <v>41</v>
      </c>
      <c r="H492" s="7" t="s">
        <v>1151</v>
      </c>
      <c r="I492" s="2" t="s">
        <v>483</v>
      </c>
      <c r="J492" s="2" t="s">
        <v>536</v>
      </c>
      <c r="K492" s="2" t="s">
        <v>304</v>
      </c>
      <c r="L492" s="2" t="s">
        <v>38</v>
      </c>
      <c r="M492" s="8" t="str">
        <f>HYPERLINK("http://slimages.macys.com/is/image/MCY/13987272 ")</f>
        <v xml:space="preserve">http://slimages.macys.com/is/image/MCY/13987272 </v>
      </c>
    </row>
    <row r="493" spans="1:13" ht="60" x14ac:dyDescent="0.25">
      <c r="A493" s="7" t="s">
        <v>2192</v>
      </c>
      <c r="B493" s="2" t="s">
        <v>2193</v>
      </c>
      <c r="C493" s="4">
        <v>3</v>
      </c>
      <c r="D493" s="5">
        <v>2.94</v>
      </c>
      <c r="E493" s="5">
        <v>7.99</v>
      </c>
      <c r="F493" s="4" t="s">
        <v>2194</v>
      </c>
      <c r="G493" s="2" t="s">
        <v>41</v>
      </c>
      <c r="H493" s="7" t="s">
        <v>514</v>
      </c>
      <c r="I493" s="2" t="s">
        <v>483</v>
      </c>
      <c r="J493" s="2" t="s">
        <v>536</v>
      </c>
      <c r="K493" s="2" t="s">
        <v>304</v>
      </c>
      <c r="L493" s="2" t="s">
        <v>38</v>
      </c>
      <c r="M493" s="8" t="str">
        <f>HYPERLINK("http://slimages.macys.com/is/image/MCY/13987272 ")</f>
        <v xml:space="preserve">http://slimages.macys.com/is/image/MCY/13987272 </v>
      </c>
    </row>
    <row r="494" spans="1:13" ht="60" x14ac:dyDescent="0.25">
      <c r="A494" s="7" t="s">
        <v>9194</v>
      </c>
      <c r="B494" s="2" t="s">
        <v>7885</v>
      </c>
      <c r="C494" s="4">
        <v>1</v>
      </c>
      <c r="D494" s="5">
        <v>2.91</v>
      </c>
      <c r="E494" s="5">
        <v>7.99</v>
      </c>
      <c r="F494" s="4" t="s">
        <v>7886</v>
      </c>
      <c r="G494" s="2" t="s">
        <v>36</v>
      </c>
      <c r="H494" s="7" t="s">
        <v>578</v>
      </c>
      <c r="I494" s="2" t="s">
        <v>483</v>
      </c>
      <c r="J494" s="2" t="s">
        <v>536</v>
      </c>
      <c r="K494" s="2" t="s">
        <v>304</v>
      </c>
      <c r="L494" s="2" t="s">
        <v>100</v>
      </c>
      <c r="M494" s="8" t="str">
        <f>HYPERLINK("http://slimages.macys.com/is/image/MCY/11433432 ")</f>
        <v xml:space="preserve">http://slimages.macys.com/is/image/MCY/11433432 </v>
      </c>
    </row>
    <row r="495" spans="1:13" ht="60" x14ac:dyDescent="0.25">
      <c r="A495" s="7" t="s">
        <v>4430</v>
      </c>
      <c r="B495" s="2" t="s">
        <v>4431</v>
      </c>
      <c r="C495" s="4">
        <v>1</v>
      </c>
      <c r="D495" s="5">
        <v>2.91</v>
      </c>
      <c r="E495" s="5">
        <v>7.99</v>
      </c>
      <c r="F495" s="4" t="s">
        <v>4432</v>
      </c>
      <c r="G495" s="2" t="s">
        <v>657</v>
      </c>
      <c r="H495" s="7" t="s">
        <v>1151</v>
      </c>
      <c r="I495" s="2" t="s">
        <v>483</v>
      </c>
      <c r="J495" s="2" t="s">
        <v>536</v>
      </c>
      <c r="K495" s="2" t="s">
        <v>304</v>
      </c>
      <c r="L495" s="2" t="s">
        <v>119</v>
      </c>
      <c r="M495" s="8" t="str">
        <f>HYPERLINK("http://slimages.macys.com/is/image/MCY/13987264 ")</f>
        <v xml:space="preserve">http://slimages.macys.com/is/image/MCY/13987264 </v>
      </c>
    </row>
    <row r="496" spans="1:13" ht="60" x14ac:dyDescent="0.25">
      <c r="A496" s="7" t="s">
        <v>1211</v>
      </c>
      <c r="B496" s="2" t="s">
        <v>1209</v>
      </c>
      <c r="C496" s="4">
        <v>1</v>
      </c>
      <c r="D496" s="5">
        <v>2.85</v>
      </c>
      <c r="E496" s="5">
        <v>4.99</v>
      </c>
      <c r="F496" s="4">
        <v>4114</v>
      </c>
      <c r="G496" s="2" t="s">
        <v>653</v>
      </c>
      <c r="H496" s="7" t="s">
        <v>159</v>
      </c>
      <c r="I496" s="2" t="s">
        <v>523</v>
      </c>
      <c r="J496" s="2" t="s">
        <v>921</v>
      </c>
      <c r="K496" s="2" t="s">
        <v>304</v>
      </c>
      <c r="L496" s="2" t="s">
        <v>323</v>
      </c>
      <c r="M496" s="8" t="str">
        <f>HYPERLINK("http://slimages.macys.com/is/image/MCY/13050228 ")</f>
        <v xml:space="preserve">http://slimages.macys.com/is/image/MCY/13050228 </v>
      </c>
    </row>
    <row r="497" spans="1:13" ht="60" x14ac:dyDescent="0.25">
      <c r="A497" s="7" t="s">
        <v>1210</v>
      </c>
      <c r="B497" s="2" t="s">
        <v>1209</v>
      </c>
      <c r="C497" s="4">
        <v>1</v>
      </c>
      <c r="D497" s="5">
        <v>2.85</v>
      </c>
      <c r="E497" s="5">
        <v>4.99</v>
      </c>
      <c r="F497" s="4">
        <v>4114</v>
      </c>
      <c r="G497" s="2" t="s">
        <v>653</v>
      </c>
      <c r="H497" s="7" t="s">
        <v>196</v>
      </c>
      <c r="I497" s="2" t="s">
        <v>523</v>
      </c>
      <c r="J497" s="2" t="s">
        <v>921</v>
      </c>
      <c r="K497" s="2" t="s">
        <v>304</v>
      </c>
      <c r="L497" s="2" t="s">
        <v>323</v>
      </c>
      <c r="M497" s="8" t="str">
        <f>HYPERLINK("http://slimages.macys.com/is/image/MCY/13050228 ")</f>
        <v xml:space="preserve">http://slimages.macys.com/is/image/MCY/13050228 </v>
      </c>
    </row>
    <row r="498" spans="1:13" ht="60" x14ac:dyDescent="0.25">
      <c r="A498" s="7" t="s">
        <v>1208</v>
      </c>
      <c r="B498" s="2" t="s">
        <v>1209</v>
      </c>
      <c r="C498" s="4">
        <v>1</v>
      </c>
      <c r="D498" s="5">
        <v>2.85</v>
      </c>
      <c r="E498" s="5">
        <v>4.99</v>
      </c>
      <c r="F498" s="4">
        <v>4114</v>
      </c>
      <c r="G498" s="2" t="s">
        <v>653</v>
      </c>
      <c r="H498" s="7" t="s">
        <v>228</v>
      </c>
      <c r="I498" s="2" t="s">
        <v>523</v>
      </c>
      <c r="J498" s="2" t="s">
        <v>921</v>
      </c>
      <c r="K498" s="2" t="s">
        <v>304</v>
      </c>
      <c r="L498" s="2" t="s">
        <v>323</v>
      </c>
      <c r="M498" s="8" t="str">
        <f>HYPERLINK("http://slimages.macys.com/is/image/MCY/13050228 ")</f>
        <v xml:space="preserve">http://slimages.macys.com/is/image/MCY/13050228 </v>
      </c>
    </row>
    <row r="499" spans="1:13" ht="120" x14ac:dyDescent="0.25">
      <c r="A499" s="7" t="s">
        <v>597</v>
      </c>
      <c r="B499" s="2" t="s">
        <v>598</v>
      </c>
      <c r="C499" s="4">
        <v>2</v>
      </c>
      <c r="D499" s="5">
        <v>2.84</v>
      </c>
      <c r="E499" s="5">
        <v>7.99</v>
      </c>
      <c r="F499" s="4" t="s">
        <v>599</v>
      </c>
      <c r="G499" s="2" t="s">
        <v>62</v>
      </c>
      <c r="H499" s="7"/>
      <c r="I499" s="2" t="s">
        <v>483</v>
      </c>
      <c r="J499" s="2" t="s">
        <v>536</v>
      </c>
      <c r="K499" s="2" t="s">
        <v>304</v>
      </c>
      <c r="L499" s="2" t="s">
        <v>600</v>
      </c>
      <c r="M499" s="8" t="str">
        <f>HYPERLINK("http://slimages.macys.com/is/image/MCY/14384837 ")</f>
        <v xml:space="preserve">http://slimages.macys.com/is/image/MCY/14384837 </v>
      </c>
    </row>
    <row r="500" spans="1:13" ht="60" x14ac:dyDescent="0.25">
      <c r="A500" s="7" t="s">
        <v>9195</v>
      </c>
      <c r="B500" s="2" t="s">
        <v>2713</v>
      </c>
      <c r="C500" s="4">
        <v>1</v>
      </c>
      <c r="D500" s="5">
        <v>2.79</v>
      </c>
      <c r="E500" s="5">
        <v>7.99</v>
      </c>
      <c r="F500" s="4">
        <v>10004191500</v>
      </c>
      <c r="G500" s="2" t="s">
        <v>262</v>
      </c>
      <c r="H500" s="7"/>
      <c r="I500" s="2" t="s">
        <v>483</v>
      </c>
      <c r="J500" s="2" t="s">
        <v>536</v>
      </c>
      <c r="K500" s="2" t="s">
        <v>304</v>
      </c>
      <c r="L500" s="2" t="s">
        <v>119</v>
      </c>
      <c r="M500" s="8" t="str">
        <f>HYPERLINK("http://slimages.macys.com/is/image/MCY/11519969 ")</f>
        <v xml:space="preserve">http://slimages.macys.com/is/image/MCY/11519969 </v>
      </c>
    </row>
    <row r="501" spans="1:13" ht="60" x14ac:dyDescent="0.25">
      <c r="A501" s="7" t="s">
        <v>9196</v>
      </c>
      <c r="B501" s="2" t="s">
        <v>9197</v>
      </c>
      <c r="C501" s="4">
        <v>1</v>
      </c>
      <c r="D501" s="5">
        <v>2.78</v>
      </c>
      <c r="E501" s="5">
        <v>7.99</v>
      </c>
      <c r="F501" s="4" t="s">
        <v>9198</v>
      </c>
      <c r="G501" s="2" t="s">
        <v>36</v>
      </c>
      <c r="H501" s="7" t="s">
        <v>514</v>
      </c>
      <c r="I501" s="2" t="s">
        <v>483</v>
      </c>
      <c r="J501" s="2" t="s">
        <v>536</v>
      </c>
      <c r="K501" s="2" t="s">
        <v>304</v>
      </c>
      <c r="L501" s="2" t="s">
        <v>100</v>
      </c>
      <c r="M501" s="8" t="str">
        <f>HYPERLINK("http://slimages.macys.com/is/image/MCY/11792576 ")</f>
        <v xml:space="preserve">http://slimages.macys.com/is/image/MCY/11792576 </v>
      </c>
    </row>
    <row r="502" spans="1:13" ht="60" x14ac:dyDescent="0.25">
      <c r="A502" s="7" t="s">
        <v>4451</v>
      </c>
      <c r="B502" s="2" t="s">
        <v>4449</v>
      </c>
      <c r="C502" s="4">
        <v>1</v>
      </c>
      <c r="D502" s="5">
        <v>2.77</v>
      </c>
      <c r="E502" s="5">
        <v>7.99</v>
      </c>
      <c r="F502" s="4" t="s">
        <v>4450</v>
      </c>
      <c r="G502" s="2" t="s">
        <v>62</v>
      </c>
      <c r="H502" s="7" t="s">
        <v>1151</v>
      </c>
      <c r="I502" s="2" t="s">
        <v>483</v>
      </c>
      <c r="J502" s="2" t="s">
        <v>536</v>
      </c>
      <c r="K502" s="2" t="s">
        <v>304</v>
      </c>
      <c r="L502" s="2" t="s">
        <v>38</v>
      </c>
      <c r="M502" s="8" t="str">
        <f>HYPERLINK("http://slimages.macys.com/is/image/MCY/13337362 ")</f>
        <v xml:space="preserve">http://slimages.macys.com/is/image/MCY/13337362 </v>
      </c>
    </row>
    <row r="503" spans="1:13" ht="60" x14ac:dyDescent="0.25">
      <c r="A503" s="7" t="s">
        <v>1218</v>
      </c>
      <c r="B503" s="2" t="s">
        <v>1219</v>
      </c>
      <c r="C503" s="4">
        <v>1</v>
      </c>
      <c r="D503" s="5">
        <v>2.75</v>
      </c>
      <c r="E503" s="5">
        <v>6.99</v>
      </c>
      <c r="F503" s="4" t="s">
        <v>1220</v>
      </c>
      <c r="G503" s="2" t="s">
        <v>527</v>
      </c>
      <c r="H503" s="7" t="s">
        <v>590</v>
      </c>
      <c r="I503" s="2" t="s">
        <v>483</v>
      </c>
      <c r="J503" s="2" t="s">
        <v>536</v>
      </c>
      <c r="K503" s="2" t="s">
        <v>304</v>
      </c>
      <c r="L503" s="2" t="s">
        <v>119</v>
      </c>
      <c r="M503" s="8" t="str">
        <f>HYPERLINK("http://slimages.macys.com/is/image/MCY/13987326 ")</f>
        <v xml:space="preserve">http://slimages.macys.com/is/image/MCY/13987326 </v>
      </c>
    </row>
    <row r="504" spans="1:13" ht="60" x14ac:dyDescent="0.25">
      <c r="A504" s="7" t="s">
        <v>7138</v>
      </c>
      <c r="B504" s="2" t="s">
        <v>6481</v>
      </c>
      <c r="C504" s="4">
        <v>1</v>
      </c>
      <c r="D504" s="5">
        <v>2.75</v>
      </c>
      <c r="E504" s="5">
        <v>6.99</v>
      </c>
      <c r="F504" s="4" t="s">
        <v>6482</v>
      </c>
      <c r="G504" s="2" t="s">
        <v>41</v>
      </c>
      <c r="H504" s="7" t="s">
        <v>149</v>
      </c>
      <c r="I504" s="2" t="s">
        <v>483</v>
      </c>
      <c r="J504" s="2" t="s">
        <v>536</v>
      </c>
      <c r="K504" s="2" t="s">
        <v>304</v>
      </c>
      <c r="L504" s="2" t="s">
        <v>38</v>
      </c>
      <c r="M504" s="8" t="str">
        <f>HYPERLINK("http://slimages.macys.com/is/image/MCY/13987340 ")</f>
        <v xml:space="preserve">http://slimages.macys.com/is/image/MCY/13987340 </v>
      </c>
    </row>
    <row r="505" spans="1:13" ht="60" x14ac:dyDescent="0.25">
      <c r="A505" s="7" t="s">
        <v>7145</v>
      </c>
      <c r="B505" s="2" t="s">
        <v>7143</v>
      </c>
      <c r="C505" s="4">
        <v>1</v>
      </c>
      <c r="D505" s="5">
        <v>2.74</v>
      </c>
      <c r="E505" s="5">
        <v>7.99</v>
      </c>
      <c r="F505" s="4" t="s">
        <v>7144</v>
      </c>
      <c r="G505" s="2" t="s">
        <v>643</v>
      </c>
      <c r="H505" s="7" t="s">
        <v>578</v>
      </c>
      <c r="I505" s="2" t="s">
        <v>483</v>
      </c>
      <c r="J505" s="2" t="s">
        <v>536</v>
      </c>
      <c r="K505" s="2" t="s">
        <v>304</v>
      </c>
      <c r="L505" s="2" t="s">
        <v>206</v>
      </c>
      <c r="M505" s="8" t="str">
        <f>HYPERLINK("http://slimages.macys.com/is/image/MCY/13337390 ")</f>
        <v xml:space="preserve">http://slimages.macys.com/is/image/MCY/13337390 </v>
      </c>
    </row>
    <row r="506" spans="1:13" ht="60" x14ac:dyDescent="0.25">
      <c r="A506" s="7" t="s">
        <v>9199</v>
      </c>
      <c r="B506" s="2" t="s">
        <v>2223</v>
      </c>
      <c r="C506" s="4">
        <v>1</v>
      </c>
      <c r="D506" s="5">
        <v>2.69</v>
      </c>
      <c r="E506" s="5">
        <v>5.99</v>
      </c>
      <c r="F506" s="4" t="s">
        <v>2224</v>
      </c>
      <c r="G506" s="2" t="s">
        <v>874</v>
      </c>
      <c r="H506" s="7" t="s">
        <v>149</v>
      </c>
      <c r="I506" s="2" t="s">
        <v>483</v>
      </c>
      <c r="J506" s="2" t="s">
        <v>536</v>
      </c>
      <c r="K506" s="2" t="s">
        <v>304</v>
      </c>
      <c r="L506" s="2" t="s">
        <v>206</v>
      </c>
      <c r="M506" s="8" t="str">
        <f t="shared" ref="M506:M517" si="5">HYPERLINK("http://slimages.macys.com/is/image/MCY/11436881 ")</f>
        <v xml:space="preserve">http://slimages.macys.com/is/image/MCY/11436881 </v>
      </c>
    </row>
    <row r="507" spans="1:13" ht="60" x14ac:dyDescent="0.25">
      <c r="A507" s="7" t="s">
        <v>6488</v>
      </c>
      <c r="B507" s="2" t="s">
        <v>2223</v>
      </c>
      <c r="C507" s="4">
        <v>1</v>
      </c>
      <c r="D507" s="5">
        <v>2.69</v>
      </c>
      <c r="E507" s="5">
        <v>5.99</v>
      </c>
      <c r="F507" s="4" t="s">
        <v>2224</v>
      </c>
      <c r="G507" s="2" t="s">
        <v>28</v>
      </c>
      <c r="H507" s="7" t="s">
        <v>91</v>
      </c>
      <c r="I507" s="2" t="s">
        <v>483</v>
      </c>
      <c r="J507" s="2" t="s">
        <v>536</v>
      </c>
      <c r="K507" s="2" t="s">
        <v>304</v>
      </c>
      <c r="L507" s="2" t="s">
        <v>206</v>
      </c>
      <c r="M507" s="8" t="str">
        <f t="shared" si="5"/>
        <v xml:space="preserve">http://slimages.macys.com/is/image/MCY/11436881 </v>
      </c>
    </row>
    <row r="508" spans="1:13" ht="60" x14ac:dyDescent="0.25">
      <c r="A508" s="7" t="s">
        <v>2222</v>
      </c>
      <c r="B508" s="2" t="s">
        <v>2223</v>
      </c>
      <c r="C508" s="4">
        <v>1</v>
      </c>
      <c r="D508" s="5">
        <v>2.69</v>
      </c>
      <c r="E508" s="5">
        <v>5.99</v>
      </c>
      <c r="F508" s="4" t="s">
        <v>2224</v>
      </c>
      <c r="G508" s="2" t="s">
        <v>62</v>
      </c>
      <c r="H508" s="7" t="s">
        <v>91</v>
      </c>
      <c r="I508" s="2" t="s">
        <v>483</v>
      </c>
      <c r="J508" s="2" t="s">
        <v>536</v>
      </c>
      <c r="K508" s="2" t="s">
        <v>304</v>
      </c>
      <c r="L508" s="2" t="s">
        <v>206</v>
      </c>
      <c r="M508" s="8" t="str">
        <f t="shared" si="5"/>
        <v xml:space="preserve">http://slimages.macys.com/is/image/MCY/11436881 </v>
      </c>
    </row>
    <row r="509" spans="1:13" ht="60" x14ac:dyDescent="0.25">
      <c r="A509" s="7" t="s">
        <v>5681</v>
      </c>
      <c r="B509" s="2" t="s">
        <v>2223</v>
      </c>
      <c r="C509" s="4">
        <v>1</v>
      </c>
      <c r="D509" s="5">
        <v>2.69</v>
      </c>
      <c r="E509" s="5">
        <v>5.99</v>
      </c>
      <c r="F509" s="4" t="s">
        <v>2224</v>
      </c>
      <c r="G509" s="2" t="s">
        <v>62</v>
      </c>
      <c r="H509" s="7" t="s">
        <v>42</v>
      </c>
      <c r="I509" s="2" t="s">
        <v>483</v>
      </c>
      <c r="J509" s="2" t="s">
        <v>536</v>
      </c>
      <c r="K509" s="2" t="s">
        <v>304</v>
      </c>
      <c r="L509" s="2" t="s">
        <v>206</v>
      </c>
      <c r="M509" s="8" t="str">
        <f t="shared" si="5"/>
        <v xml:space="preserve">http://slimages.macys.com/is/image/MCY/11436881 </v>
      </c>
    </row>
    <row r="510" spans="1:13" ht="60" x14ac:dyDescent="0.25">
      <c r="A510" s="7" t="s">
        <v>6487</v>
      </c>
      <c r="B510" s="2" t="s">
        <v>2223</v>
      </c>
      <c r="C510" s="4">
        <v>1</v>
      </c>
      <c r="D510" s="5">
        <v>2.69</v>
      </c>
      <c r="E510" s="5">
        <v>5.99</v>
      </c>
      <c r="F510" s="4" t="s">
        <v>2224</v>
      </c>
      <c r="G510" s="2" t="s">
        <v>28</v>
      </c>
      <c r="H510" s="7" t="s">
        <v>149</v>
      </c>
      <c r="I510" s="2" t="s">
        <v>483</v>
      </c>
      <c r="J510" s="2" t="s">
        <v>536</v>
      </c>
      <c r="K510" s="2" t="s">
        <v>304</v>
      </c>
      <c r="L510" s="2" t="s">
        <v>206</v>
      </c>
      <c r="M510" s="8" t="str">
        <f t="shared" si="5"/>
        <v xml:space="preserve">http://slimages.macys.com/is/image/MCY/11436881 </v>
      </c>
    </row>
    <row r="511" spans="1:13" ht="60" x14ac:dyDescent="0.25">
      <c r="A511" s="7" t="s">
        <v>5680</v>
      </c>
      <c r="B511" s="2" t="s">
        <v>2223</v>
      </c>
      <c r="C511" s="4">
        <v>1</v>
      </c>
      <c r="D511" s="5">
        <v>2.69</v>
      </c>
      <c r="E511" s="5">
        <v>5.99</v>
      </c>
      <c r="F511" s="4" t="s">
        <v>2224</v>
      </c>
      <c r="G511" s="2" t="s">
        <v>437</v>
      </c>
      <c r="H511" s="7" t="s">
        <v>42</v>
      </c>
      <c r="I511" s="2" t="s">
        <v>483</v>
      </c>
      <c r="J511" s="2" t="s">
        <v>536</v>
      </c>
      <c r="K511" s="2" t="s">
        <v>304</v>
      </c>
      <c r="L511" s="2" t="s">
        <v>206</v>
      </c>
      <c r="M511" s="8" t="str">
        <f t="shared" si="5"/>
        <v xml:space="preserve">http://slimages.macys.com/is/image/MCY/11436881 </v>
      </c>
    </row>
    <row r="512" spans="1:13" ht="60" x14ac:dyDescent="0.25">
      <c r="A512" s="7" t="s">
        <v>4469</v>
      </c>
      <c r="B512" s="2" t="s">
        <v>2223</v>
      </c>
      <c r="C512" s="4">
        <v>2</v>
      </c>
      <c r="D512" s="5">
        <v>2.69</v>
      </c>
      <c r="E512" s="5">
        <v>5.99</v>
      </c>
      <c r="F512" s="4" t="s">
        <v>2224</v>
      </c>
      <c r="G512" s="2" t="s">
        <v>437</v>
      </c>
      <c r="H512" s="7" t="s">
        <v>442</v>
      </c>
      <c r="I512" s="2" t="s">
        <v>483</v>
      </c>
      <c r="J512" s="2" t="s">
        <v>536</v>
      </c>
      <c r="K512" s="2" t="s">
        <v>304</v>
      </c>
      <c r="L512" s="2" t="s">
        <v>206</v>
      </c>
      <c r="M512" s="8" t="str">
        <f t="shared" si="5"/>
        <v xml:space="preserve">http://slimages.macys.com/is/image/MCY/11436881 </v>
      </c>
    </row>
    <row r="513" spans="1:13" ht="60" x14ac:dyDescent="0.25">
      <c r="A513" s="7" t="s">
        <v>9200</v>
      </c>
      <c r="B513" s="2" t="s">
        <v>2223</v>
      </c>
      <c r="C513" s="4">
        <v>4</v>
      </c>
      <c r="D513" s="5">
        <v>2.69</v>
      </c>
      <c r="E513" s="5">
        <v>5.99</v>
      </c>
      <c r="F513" s="4" t="s">
        <v>2224</v>
      </c>
      <c r="G513" s="2" t="s">
        <v>437</v>
      </c>
      <c r="H513" s="7" t="s">
        <v>91</v>
      </c>
      <c r="I513" s="2" t="s">
        <v>483</v>
      </c>
      <c r="J513" s="2" t="s">
        <v>536</v>
      </c>
      <c r="K513" s="2" t="s">
        <v>304</v>
      </c>
      <c r="L513" s="2" t="s">
        <v>206</v>
      </c>
      <c r="M513" s="8" t="str">
        <f t="shared" si="5"/>
        <v xml:space="preserve">http://slimages.macys.com/is/image/MCY/11436881 </v>
      </c>
    </row>
    <row r="514" spans="1:13" ht="60" x14ac:dyDescent="0.25">
      <c r="A514" s="7" t="s">
        <v>7890</v>
      </c>
      <c r="B514" s="2" t="s">
        <v>2223</v>
      </c>
      <c r="C514" s="4">
        <v>1</v>
      </c>
      <c r="D514" s="5">
        <v>2.69</v>
      </c>
      <c r="E514" s="5">
        <v>5.99</v>
      </c>
      <c r="F514" s="4" t="s">
        <v>2224</v>
      </c>
      <c r="G514" s="2" t="s">
        <v>437</v>
      </c>
      <c r="H514" s="7" t="s">
        <v>149</v>
      </c>
      <c r="I514" s="2" t="s">
        <v>483</v>
      </c>
      <c r="J514" s="2" t="s">
        <v>536</v>
      </c>
      <c r="K514" s="2" t="s">
        <v>304</v>
      </c>
      <c r="L514" s="2" t="s">
        <v>206</v>
      </c>
      <c r="M514" s="8" t="str">
        <f t="shared" si="5"/>
        <v xml:space="preserve">http://slimages.macys.com/is/image/MCY/11436881 </v>
      </c>
    </row>
    <row r="515" spans="1:13" ht="60" x14ac:dyDescent="0.25">
      <c r="A515" s="7" t="s">
        <v>4470</v>
      </c>
      <c r="B515" s="2" t="s">
        <v>2223</v>
      </c>
      <c r="C515" s="4">
        <v>2</v>
      </c>
      <c r="D515" s="5">
        <v>2.69</v>
      </c>
      <c r="E515" s="5">
        <v>5.99</v>
      </c>
      <c r="F515" s="4" t="s">
        <v>2224</v>
      </c>
      <c r="G515" s="2" t="s">
        <v>437</v>
      </c>
      <c r="H515" s="7" t="s">
        <v>590</v>
      </c>
      <c r="I515" s="2" t="s">
        <v>483</v>
      </c>
      <c r="J515" s="2" t="s">
        <v>536</v>
      </c>
      <c r="K515" s="2" t="s">
        <v>304</v>
      </c>
      <c r="L515" s="2" t="s">
        <v>206</v>
      </c>
      <c r="M515" s="8" t="str">
        <f t="shared" si="5"/>
        <v xml:space="preserve">http://slimages.macys.com/is/image/MCY/11436881 </v>
      </c>
    </row>
    <row r="516" spans="1:13" ht="60" x14ac:dyDescent="0.25">
      <c r="A516" s="7" t="s">
        <v>5682</v>
      </c>
      <c r="B516" s="2" t="s">
        <v>2223</v>
      </c>
      <c r="C516" s="4">
        <v>1</v>
      </c>
      <c r="D516" s="5">
        <v>2.69</v>
      </c>
      <c r="E516" s="5">
        <v>5.99</v>
      </c>
      <c r="F516" s="4" t="s">
        <v>2224</v>
      </c>
      <c r="G516" s="2" t="s">
        <v>262</v>
      </c>
      <c r="H516" s="7" t="s">
        <v>42</v>
      </c>
      <c r="I516" s="2" t="s">
        <v>483</v>
      </c>
      <c r="J516" s="2" t="s">
        <v>536</v>
      </c>
      <c r="K516" s="2" t="s">
        <v>304</v>
      </c>
      <c r="L516" s="2" t="s">
        <v>206</v>
      </c>
      <c r="M516" s="8" t="str">
        <f t="shared" si="5"/>
        <v xml:space="preserve">http://slimages.macys.com/is/image/MCY/11436881 </v>
      </c>
    </row>
    <row r="517" spans="1:13" ht="60" x14ac:dyDescent="0.25">
      <c r="A517" s="7" t="s">
        <v>4468</v>
      </c>
      <c r="B517" s="2" t="s">
        <v>2223</v>
      </c>
      <c r="C517" s="4">
        <v>1</v>
      </c>
      <c r="D517" s="5">
        <v>2.69</v>
      </c>
      <c r="E517" s="5">
        <v>5.99</v>
      </c>
      <c r="F517" s="4" t="s">
        <v>2224</v>
      </c>
      <c r="G517" s="2" t="s">
        <v>262</v>
      </c>
      <c r="H517" s="7" t="s">
        <v>149</v>
      </c>
      <c r="I517" s="2" t="s">
        <v>483</v>
      </c>
      <c r="J517" s="2" t="s">
        <v>536</v>
      </c>
      <c r="K517" s="2" t="s">
        <v>304</v>
      </c>
      <c r="L517" s="2" t="s">
        <v>206</v>
      </c>
      <c r="M517" s="8" t="str">
        <f t="shared" si="5"/>
        <v xml:space="preserve">http://slimages.macys.com/is/image/MCY/11436881 </v>
      </c>
    </row>
    <row r="518" spans="1:13" ht="60" x14ac:dyDescent="0.25">
      <c r="A518" s="7" t="s">
        <v>8424</v>
      </c>
      <c r="B518" s="2" t="s">
        <v>1229</v>
      </c>
      <c r="C518" s="4">
        <v>1</v>
      </c>
      <c r="D518" s="5">
        <v>2.68</v>
      </c>
      <c r="E518" s="5">
        <v>7.99</v>
      </c>
      <c r="F518" s="4" t="s">
        <v>1230</v>
      </c>
      <c r="G518" s="2" t="s">
        <v>41</v>
      </c>
      <c r="H518" s="7" t="s">
        <v>578</v>
      </c>
      <c r="I518" s="2" t="s">
        <v>483</v>
      </c>
      <c r="J518" s="2" t="s">
        <v>536</v>
      </c>
      <c r="K518" s="2" t="s">
        <v>304</v>
      </c>
      <c r="L518" s="2" t="s">
        <v>38</v>
      </c>
      <c r="M518" s="8" t="str">
        <f>HYPERLINK("http://slimages.macys.com/is/image/MCY/13987603 ")</f>
        <v xml:space="preserve">http://slimages.macys.com/is/image/MCY/13987603 </v>
      </c>
    </row>
    <row r="519" spans="1:13" ht="60" x14ac:dyDescent="0.25">
      <c r="A519" s="7" t="s">
        <v>9201</v>
      </c>
      <c r="B519" s="2" t="s">
        <v>9202</v>
      </c>
      <c r="C519" s="4">
        <v>2</v>
      </c>
      <c r="D519" s="5">
        <v>2.68</v>
      </c>
      <c r="E519" s="5">
        <v>5.99</v>
      </c>
      <c r="F519" s="4" t="s">
        <v>9203</v>
      </c>
      <c r="G519" s="2" t="s">
        <v>28</v>
      </c>
      <c r="H519" s="7" t="s">
        <v>590</v>
      </c>
      <c r="I519" s="2" t="s">
        <v>483</v>
      </c>
      <c r="J519" s="2" t="s">
        <v>536</v>
      </c>
      <c r="K519" s="2" t="s">
        <v>304</v>
      </c>
      <c r="L519" s="2" t="s">
        <v>206</v>
      </c>
      <c r="M519" s="8" t="str">
        <f>HYPERLINK("http://slimages.macys.com/is/image/MCY/11794320 ")</f>
        <v xml:space="preserve">http://slimages.macys.com/is/image/MCY/11794320 </v>
      </c>
    </row>
    <row r="520" spans="1:13" ht="60" x14ac:dyDescent="0.25">
      <c r="A520" s="7" t="s">
        <v>9204</v>
      </c>
      <c r="B520" s="2" t="s">
        <v>9202</v>
      </c>
      <c r="C520" s="4">
        <v>1</v>
      </c>
      <c r="D520" s="5">
        <v>2.68</v>
      </c>
      <c r="E520" s="5">
        <v>5.99</v>
      </c>
      <c r="F520" s="4" t="s">
        <v>9203</v>
      </c>
      <c r="G520" s="2" t="s">
        <v>28</v>
      </c>
      <c r="H520" s="7" t="s">
        <v>149</v>
      </c>
      <c r="I520" s="2" t="s">
        <v>483</v>
      </c>
      <c r="J520" s="2" t="s">
        <v>536</v>
      </c>
      <c r="K520" s="2" t="s">
        <v>304</v>
      </c>
      <c r="L520" s="2" t="s">
        <v>206</v>
      </c>
      <c r="M520" s="8" t="str">
        <f>HYPERLINK("http://slimages.macys.com/is/image/MCY/11794320 ")</f>
        <v xml:space="preserve">http://slimages.macys.com/is/image/MCY/11794320 </v>
      </c>
    </row>
    <row r="521" spans="1:13" ht="84" x14ac:dyDescent="0.25">
      <c r="A521" s="7" t="s">
        <v>2227</v>
      </c>
      <c r="B521" s="2" t="s">
        <v>2228</v>
      </c>
      <c r="C521" s="4">
        <v>1</v>
      </c>
      <c r="D521" s="5">
        <v>2.67</v>
      </c>
      <c r="E521" s="5">
        <v>7.99</v>
      </c>
      <c r="F521" s="4" t="s">
        <v>2229</v>
      </c>
      <c r="G521" s="2" t="s">
        <v>527</v>
      </c>
      <c r="H521" s="7" t="s">
        <v>149</v>
      </c>
      <c r="I521" s="2" t="s">
        <v>483</v>
      </c>
      <c r="J521" s="2" t="s">
        <v>536</v>
      </c>
      <c r="K521" s="2" t="s">
        <v>304</v>
      </c>
      <c r="L521" s="2" t="s">
        <v>2230</v>
      </c>
      <c r="M521" s="8" t="str">
        <f>HYPERLINK("http://slimages.macys.com/is/image/MCY/14385110 ")</f>
        <v xml:space="preserve">http://slimages.macys.com/is/image/MCY/14385110 </v>
      </c>
    </row>
    <row r="522" spans="1:13" ht="60" x14ac:dyDescent="0.25">
      <c r="A522" s="7" t="s">
        <v>6499</v>
      </c>
      <c r="B522" s="2" t="s">
        <v>1233</v>
      </c>
      <c r="C522" s="4">
        <v>2</v>
      </c>
      <c r="D522" s="5">
        <v>2.67</v>
      </c>
      <c r="E522" s="5">
        <v>6.99</v>
      </c>
      <c r="F522" s="4" t="s">
        <v>1234</v>
      </c>
      <c r="G522" s="2" t="s">
        <v>171</v>
      </c>
      <c r="H522" s="7" t="s">
        <v>149</v>
      </c>
      <c r="I522" s="2" t="s">
        <v>483</v>
      </c>
      <c r="J522" s="2" t="s">
        <v>536</v>
      </c>
      <c r="K522" s="2" t="s">
        <v>304</v>
      </c>
      <c r="L522" s="2" t="s">
        <v>119</v>
      </c>
      <c r="M522" s="8" t="str">
        <f>HYPERLINK("http://slimages.macys.com/is/image/MCY/12646582 ")</f>
        <v xml:space="preserve">http://slimages.macys.com/is/image/MCY/12646582 </v>
      </c>
    </row>
    <row r="523" spans="1:13" ht="84" x14ac:dyDescent="0.25">
      <c r="A523" s="7" t="s">
        <v>2237</v>
      </c>
      <c r="B523" s="2" t="s">
        <v>2228</v>
      </c>
      <c r="C523" s="4">
        <v>1</v>
      </c>
      <c r="D523" s="5">
        <v>2.67</v>
      </c>
      <c r="E523" s="5">
        <v>7.99</v>
      </c>
      <c r="F523" s="4" t="s">
        <v>2229</v>
      </c>
      <c r="G523" s="2" t="s">
        <v>527</v>
      </c>
      <c r="H523" s="7"/>
      <c r="I523" s="2" t="s">
        <v>483</v>
      </c>
      <c r="J523" s="2" t="s">
        <v>536</v>
      </c>
      <c r="K523" s="2" t="s">
        <v>304</v>
      </c>
      <c r="L523" s="2" t="s">
        <v>2230</v>
      </c>
      <c r="M523" s="8" t="str">
        <f>HYPERLINK("http://slimages.macys.com/is/image/MCY/14385110 ")</f>
        <v xml:space="preserve">http://slimages.macys.com/is/image/MCY/14385110 </v>
      </c>
    </row>
    <row r="524" spans="1:13" ht="60" x14ac:dyDescent="0.25">
      <c r="A524" s="7" t="s">
        <v>9205</v>
      </c>
      <c r="B524" s="2" t="s">
        <v>7895</v>
      </c>
      <c r="C524" s="4">
        <v>1</v>
      </c>
      <c r="D524" s="5">
        <v>2.65</v>
      </c>
      <c r="E524" s="5">
        <v>7.99</v>
      </c>
      <c r="F524" s="4">
        <v>10005378500</v>
      </c>
      <c r="G524" s="2" t="s">
        <v>1147</v>
      </c>
      <c r="H524" s="7" t="s">
        <v>590</v>
      </c>
      <c r="I524" s="2" t="s">
        <v>483</v>
      </c>
      <c r="J524" s="2" t="s">
        <v>536</v>
      </c>
      <c r="K524" s="2" t="s">
        <v>304</v>
      </c>
      <c r="L524" s="2" t="s">
        <v>100</v>
      </c>
      <c r="M524" s="8" t="str">
        <f>HYPERLINK("http://slimages.macys.com/is/image/MCY/12466196 ")</f>
        <v xml:space="preserve">http://slimages.macys.com/is/image/MCY/12466196 </v>
      </c>
    </row>
    <row r="525" spans="1:13" ht="60" x14ac:dyDescent="0.25">
      <c r="A525" s="7" t="s">
        <v>9206</v>
      </c>
      <c r="B525" s="2" t="s">
        <v>9207</v>
      </c>
      <c r="C525" s="4">
        <v>1</v>
      </c>
      <c r="D525" s="5">
        <v>2.65</v>
      </c>
      <c r="E525" s="5">
        <v>4.99</v>
      </c>
      <c r="F525" s="4">
        <v>4101</v>
      </c>
      <c r="G525" s="2" t="s">
        <v>36</v>
      </c>
      <c r="H525" s="7" t="s">
        <v>228</v>
      </c>
      <c r="I525" s="2" t="s">
        <v>523</v>
      </c>
      <c r="J525" s="2" t="s">
        <v>921</v>
      </c>
      <c r="K525" s="2" t="s">
        <v>304</v>
      </c>
      <c r="L525" s="2" t="s">
        <v>323</v>
      </c>
      <c r="M525" s="8" t="str">
        <f>HYPERLINK("http://slimages.macys.com/is/image/MCY/13050271 ")</f>
        <v xml:space="preserve">http://slimages.macys.com/is/image/MCY/13050271 </v>
      </c>
    </row>
    <row r="526" spans="1:13" ht="60" x14ac:dyDescent="0.25">
      <c r="A526" s="7" t="s">
        <v>2243</v>
      </c>
      <c r="B526" s="2" t="s">
        <v>1236</v>
      </c>
      <c r="C526" s="4">
        <v>1</v>
      </c>
      <c r="D526" s="5">
        <v>2.65</v>
      </c>
      <c r="E526" s="5">
        <v>6.99</v>
      </c>
      <c r="F526" s="4" t="s">
        <v>1237</v>
      </c>
      <c r="G526" s="2" t="s">
        <v>41</v>
      </c>
      <c r="H526" s="7" t="s">
        <v>91</v>
      </c>
      <c r="I526" s="2" t="s">
        <v>483</v>
      </c>
      <c r="J526" s="2" t="s">
        <v>536</v>
      </c>
      <c r="K526" s="2" t="s">
        <v>304</v>
      </c>
      <c r="L526" s="2" t="s">
        <v>100</v>
      </c>
      <c r="M526" s="8" t="str">
        <f>HYPERLINK("http://slimages.macys.com/is/image/MCY/13337374 ")</f>
        <v xml:space="preserve">http://slimages.macys.com/is/image/MCY/13337374 </v>
      </c>
    </row>
    <row r="527" spans="1:13" ht="60" x14ac:dyDescent="0.25">
      <c r="A527" s="7" t="s">
        <v>6030</v>
      </c>
      <c r="B527" s="2" t="s">
        <v>1236</v>
      </c>
      <c r="C527" s="4">
        <v>6</v>
      </c>
      <c r="D527" s="5">
        <v>2.65</v>
      </c>
      <c r="E527" s="5">
        <v>6.99</v>
      </c>
      <c r="F527" s="4" t="s">
        <v>1237</v>
      </c>
      <c r="G527" s="2" t="s">
        <v>41</v>
      </c>
      <c r="H527" s="7" t="s">
        <v>42</v>
      </c>
      <c r="I527" s="2" t="s">
        <v>483</v>
      </c>
      <c r="J527" s="2" t="s">
        <v>536</v>
      </c>
      <c r="K527" s="2" t="s">
        <v>304</v>
      </c>
      <c r="L527" s="2" t="s">
        <v>100</v>
      </c>
      <c r="M527" s="8" t="str">
        <f>HYPERLINK("http://slimages.macys.com/is/image/MCY/13337374 ")</f>
        <v xml:space="preserve">http://slimages.macys.com/is/image/MCY/13337374 </v>
      </c>
    </row>
    <row r="528" spans="1:13" ht="108" x14ac:dyDescent="0.25">
      <c r="A528" s="7" t="s">
        <v>8434</v>
      </c>
      <c r="B528" s="2" t="s">
        <v>8431</v>
      </c>
      <c r="C528" s="4">
        <v>1</v>
      </c>
      <c r="D528" s="5">
        <v>2.64</v>
      </c>
      <c r="E528" s="5">
        <v>6.99</v>
      </c>
      <c r="F528" s="4" t="s">
        <v>8432</v>
      </c>
      <c r="G528" s="2" t="s">
        <v>171</v>
      </c>
      <c r="H528" s="7" t="s">
        <v>586</v>
      </c>
      <c r="I528" s="2" t="s">
        <v>483</v>
      </c>
      <c r="J528" s="2" t="s">
        <v>536</v>
      </c>
      <c r="K528" s="2" t="s">
        <v>304</v>
      </c>
      <c r="L528" s="2" t="s">
        <v>8433</v>
      </c>
      <c r="M528" s="8" t="str">
        <f>HYPERLINK("http://slimages.macys.com/is/image/MCY/11435760 ")</f>
        <v xml:space="preserve">http://slimages.macys.com/is/image/MCY/11435760 </v>
      </c>
    </row>
    <row r="529" spans="1:13" ht="60" x14ac:dyDescent="0.25">
      <c r="A529" s="7" t="s">
        <v>9208</v>
      </c>
      <c r="B529" s="2" t="s">
        <v>4495</v>
      </c>
      <c r="C529" s="4">
        <v>1</v>
      </c>
      <c r="D529" s="5">
        <v>2.63</v>
      </c>
      <c r="E529" s="5">
        <v>5.99</v>
      </c>
      <c r="F529" s="4" t="s">
        <v>4496</v>
      </c>
      <c r="G529" s="2" t="s">
        <v>858</v>
      </c>
      <c r="H529" s="7" t="s">
        <v>442</v>
      </c>
      <c r="I529" s="2" t="s">
        <v>483</v>
      </c>
      <c r="J529" s="2" t="s">
        <v>536</v>
      </c>
      <c r="K529" s="2" t="s">
        <v>304</v>
      </c>
      <c r="L529" s="2" t="s">
        <v>206</v>
      </c>
      <c r="M529" s="8" t="str">
        <f>HYPERLINK("http://slimages.macys.com/is/image/MCY/11709478 ")</f>
        <v xml:space="preserve">http://slimages.macys.com/is/image/MCY/11709478 </v>
      </c>
    </row>
    <row r="530" spans="1:13" ht="60" x14ac:dyDescent="0.25">
      <c r="A530" s="7" t="s">
        <v>7161</v>
      </c>
      <c r="B530" s="2" t="s">
        <v>4495</v>
      </c>
      <c r="C530" s="4">
        <v>1</v>
      </c>
      <c r="D530" s="5">
        <v>2.63</v>
      </c>
      <c r="E530" s="5">
        <v>5.99</v>
      </c>
      <c r="F530" s="4" t="s">
        <v>4496</v>
      </c>
      <c r="G530" s="2" t="s">
        <v>437</v>
      </c>
      <c r="H530" s="7" t="s">
        <v>442</v>
      </c>
      <c r="I530" s="2" t="s">
        <v>483</v>
      </c>
      <c r="J530" s="2" t="s">
        <v>536</v>
      </c>
      <c r="K530" s="2" t="s">
        <v>304</v>
      </c>
      <c r="L530" s="2" t="s">
        <v>206</v>
      </c>
      <c r="M530" s="8" t="str">
        <f>HYPERLINK("http://slimages.macys.com/is/image/MCY/11709478 ")</f>
        <v xml:space="preserve">http://slimages.macys.com/is/image/MCY/11709478 </v>
      </c>
    </row>
    <row r="531" spans="1:13" ht="60" x14ac:dyDescent="0.25">
      <c r="A531" s="7" t="s">
        <v>5080</v>
      </c>
      <c r="B531" s="2" t="s">
        <v>4495</v>
      </c>
      <c r="C531" s="4">
        <v>1</v>
      </c>
      <c r="D531" s="5">
        <v>2.63</v>
      </c>
      <c r="E531" s="5">
        <v>5.99</v>
      </c>
      <c r="F531" s="4" t="s">
        <v>4496</v>
      </c>
      <c r="G531" s="2" t="s">
        <v>858</v>
      </c>
      <c r="H531" s="7" t="s">
        <v>149</v>
      </c>
      <c r="I531" s="2" t="s">
        <v>483</v>
      </c>
      <c r="J531" s="2" t="s">
        <v>536</v>
      </c>
      <c r="K531" s="2" t="s">
        <v>304</v>
      </c>
      <c r="L531" s="2" t="s">
        <v>206</v>
      </c>
      <c r="M531" s="8" t="str">
        <f>HYPERLINK("http://slimages.macys.com/is/image/MCY/11709478 ")</f>
        <v xml:space="preserve">http://slimages.macys.com/is/image/MCY/11709478 </v>
      </c>
    </row>
    <row r="532" spans="1:13" ht="60" x14ac:dyDescent="0.25">
      <c r="A532" s="7" t="s">
        <v>2268</v>
      </c>
      <c r="B532" s="2" t="s">
        <v>2254</v>
      </c>
      <c r="C532" s="4">
        <v>1</v>
      </c>
      <c r="D532" s="5">
        <v>2.62</v>
      </c>
      <c r="E532" s="5">
        <v>5.99</v>
      </c>
      <c r="F532" s="4" t="s">
        <v>2255</v>
      </c>
      <c r="G532" s="2" t="s">
        <v>657</v>
      </c>
      <c r="H532" s="7" t="s">
        <v>91</v>
      </c>
      <c r="I532" s="2" t="s">
        <v>483</v>
      </c>
      <c r="J532" s="2" t="s">
        <v>536</v>
      </c>
      <c r="K532" s="2" t="s">
        <v>304</v>
      </c>
      <c r="L532" s="2" t="s">
        <v>119</v>
      </c>
      <c r="M532" s="8" t="str">
        <f>HYPERLINK("http://slimages.macys.com/is/image/MCY/12644604 ")</f>
        <v xml:space="preserve">http://slimages.macys.com/is/image/MCY/12644604 </v>
      </c>
    </row>
    <row r="533" spans="1:13" ht="60" x14ac:dyDescent="0.25">
      <c r="A533" s="7" t="s">
        <v>7164</v>
      </c>
      <c r="B533" s="2" t="s">
        <v>1243</v>
      </c>
      <c r="C533" s="4">
        <v>1</v>
      </c>
      <c r="D533" s="5">
        <v>2.62</v>
      </c>
      <c r="E533" s="5">
        <v>6.99</v>
      </c>
      <c r="F533" s="4" t="s">
        <v>1244</v>
      </c>
      <c r="G533" s="2" t="s">
        <v>41</v>
      </c>
      <c r="H533" s="7" t="s">
        <v>91</v>
      </c>
      <c r="I533" s="2" t="s">
        <v>483</v>
      </c>
      <c r="J533" s="2" t="s">
        <v>536</v>
      </c>
      <c r="K533" s="2" t="s">
        <v>304</v>
      </c>
      <c r="L533" s="2" t="s">
        <v>38</v>
      </c>
      <c r="M533" s="8" t="str">
        <f>HYPERLINK("http://slimages.macys.com/is/image/MCY/13987599 ")</f>
        <v xml:space="preserve">http://slimages.macys.com/is/image/MCY/13987599 </v>
      </c>
    </row>
    <row r="534" spans="1:13" ht="60" x14ac:dyDescent="0.25">
      <c r="A534" s="7" t="s">
        <v>1239</v>
      </c>
      <c r="B534" s="2" t="s">
        <v>1240</v>
      </c>
      <c r="C534" s="4">
        <v>1</v>
      </c>
      <c r="D534" s="5">
        <v>2.62</v>
      </c>
      <c r="E534" s="5">
        <v>6.99</v>
      </c>
      <c r="F534" s="4" t="s">
        <v>1241</v>
      </c>
      <c r="G534" s="2" t="s">
        <v>28</v>
      </c>
      <c r="H534" s="7" t="s">
        <v>149</v>
      </c>
      <c r="I534" s="2" t="s">
        <v>483</v>
      </c>
      <c r="J534" s="2" t="s">
        <v>536</v>
      </c>
      <c r="K534" s="2" t="s">
        <v>304</v>
      </c>
      <c r="L534" s="2" t="s">
        <v>100</v>
      </c>
      <c r="M534" s="8" t="str">
        <f>HYPERLINK("http://slimages.macys.com/is/image/MCY/13336558 ")</f>
        <v xml:space="preserve">http://slimages.macys.com/is/image/MCY/13336558 </v>
      </c>
    </row>
    <row r="535" spans="1:13" ht="60" x14ac:dyDescent="0.25">
      <c r="A535" s="7" t="s">
        <v>2256</v>
      </c>
      <c r="B535" s="2" t="s">
        <v>2254</v>
      </c>
      <c r="C535" s="4">
        <v>2</v>
      </c>
      <c r="D535" s="5">
        <v>2.62</v>
      </c>
      <c r="E535" s="5">
        <v>5.99</v>
      </c>
      <c r="F535" s="4" t="s">
        <v>2255</v>
      </c>
      <c r="G535" s="2" t="s">
        <v>657</v>
      </c>
      <c r="H535" s="7" t="s">
        <v>149</v>
      </c>
      <c r="I535" s="2" t="s">
        <v>483</v>
      </c>
      <c r="J535" s="2" t="s">
        <v>536</v>
      </c>
      <c r="K535" s="2" t="s">
        <v>304</v>
      </c>
      <c r="L535" s="2" t="s">
        <v>119</v>
      </c>
      <c r="M535" s="8" t="str">
        <f>HYPERLINK("http://slimages.macys.com/is/image/MCY/12644604 ")</f>
        <v xml:space="preserve">http://slimages.macys.com/is/image/MCY/12644604 </v>
      </c>
    </row>
    <row r="536" spans="1:13" ht="60" x14ac:dyDescent="0.25">
      <c r="A536" s="7" t="s">
        <v>6509</v>
      </c>
      <c r="B536" s="2" t="s">
        <v>6507</v>
      </c>
      <c r="C536" s="4">
        <v>1</v>
      </c>
      <c r="D536" s="5">
        <v>2.62</v>
      </c>
      <c r="E536" s="5">
        <v>7.99</v>
      </c>
      <c r="F536" s="4" t="s">
        <v>6508</v>
      </c>
      <c r="G536" s="2" t="s">
        <v>28</v>
      </c>
      <c r="H536" s="7" t="s">
        <v>1151</v>
      </c>
      <c r="I536" s="2" t="s">
        <v>483</v>
      </c>
      <c r="J536" s="2" t="s">
        <v>536</v>
      </c>
      <c r="K536" s="2" t="s">
        <v>304</v>
      </c>
      <c r="L536" s="2" t="s">
        <v>38</v>
      </c>
      <c r="M536" s="8" t="str">
        <f>HYPERLINK("http://slimages.macys.com/is/image/MCY/13987609 ")</f>
        <v xml:space="preserve">http://slimages.macys.com/is/image/MCY/13987609 </v>
      </c>
    </row>
    <row r="537" spans="1:13" ht="60" x14ac:dyDescent="0.25">
      <c r="A537" s="7" t="s">
        <v>1252</v>
      </c>
      <c r="B537" s="2" t="s">
        <v>1253</v>
      </c>
      <c r="C537" s="4">
        <v>1</v>
      </c>
      <c r="D537" s="5">
        <v>2.61</v>
      </c>
      <c r="E537" s="5">
        <v>6.99</v>
      </c>
      <c r="F537" s="4" t="s">
        <v>1254</v>
      </c>
      <c r="G537" s="2" t="s">
        <v>171</v>
      </c>
      <c r="H537" s="7" t="s">
        <v>149</v>
      </c>
      <c r="I537" s="2" t="s">
        <v>483</v>
      </c>
      <c r="J537" s="2" t="s">
        <v>536</v>
      </c>
      <c r="K537" s="2" t="s">
        <v>304</v>
      </c>
      <c r="L537" s="2" t="s">
        <v>38</v>
      </c>
      <c r="M537" s="8" t="str">
        <f>HYPERLINK("http://slimages.macys.com/is/image/MCY/13987491 ")</f>
        <v xml:space="preserve">http://slimages.macys.com/is/image/MCY/13987491 </v>
      </c>
    </row>
    <row r="538" spans="1:13" ht="60" x14ac:dyDescent="0.25">
      <c r="A538" s="7" t="s">
        <v>9209</v>
      </c>
      <c r="B538" s="2" t="s">
        <v>6521</v>
      </c>
      <c r="C538" s="4">
        <v>1</v>
      </c>
      <c r="D538" s="5">
        <v>2.61</v>
      </c>
      <c r="E538" s="5">
        <v>6.99</v>
      </c>
      <c r="F538" s="4" t="s">
        <v>6522</v>
      </c>
      <c r="G538" s="2" t="s">
        <v>297</v>
      </c>
      <c r="H538" s="7" t="s">
        <v>590</v>
      </c>
      <c r="I538" s="2" t="s">
        <v>483</v>
      </c>
      <c r="J538" s="2" t="s">
        <v>536</v>
      </c>
      <c r="K538" s="2" t="s">
        <v>304</v>
      </c>
      <c r="L538" s="2" t="s">
        <v>38</v>
      </c>
      <c r="M538" s="8" t="str">
        <f>HYPERLINK("http://slimages.macys.com/is/image/MCY/13987484 ")</f>
        <v xml:space="preserve">http://slimages.macys.com/is/image/MCY/13987484 </v>
      </c>
    </row>
    <row r="539" spans="1:13" ht="60" x14ac:dyDescent="0.25">
      <c r="A539" s="7" t="s">
        <v>2270</v>
      </c>
      <c r="B539" s="2" t="s">
        <v>2271</v>
      </c>
      <c r="C539" s="4">
        <v>1</v>
      </c>
      <c r="D539" s="5">
        <v>2.61</v>
      </c>
      <c r="E539" s="5">
        <v>6.99</v>
      </c>
      <c r="F539" s="4" t="s">
        <v>2272</v>
      </c>
      <c r="G539" s="2" t="s">
        <v>1147</v>
      </c>
      <c r="H539" s="7" t="s">
        <v>590</v>
      </c>
      <c r="I539" s="2" t="s">
        <v>483</v>
      </c>
      <c r="J539" s="2" t="s">
        <v>536</v>
      </c>
      <c r="K539" s="2" t="s">
        <v>304</v>
      </c>
      <c r="L539" s="2" t="s">
        <v>38</v>
      </c>
      <c r="M539" s="8" t="str">
        <f>HYPERLINK("http://slimages.macys.com/is/image/MCY/13987297 ")</f>
        <v xml:space="preserve">http://slimages.macys.com/is/image/MCY/13987297 </v>
      </c>
    </row>
    <row r="540" spans="1:13" ht="60" x14ac:dyDescent="0.25">
      <c r="A540" s="7" t="s">
        <v>9210</v>
      </c>
      <c r="B540" s="2" t="s">
        <v>1257</v>
      </c>
      <c r="C540" s="4">
        <v>1</v>
      </c>
      <c r="D540" s="5">
        <v>2.59</v>
      </c>
      <c r="E540" s="5">
        <v>7.99</v>
      </c>
      <c r="F540" s="4" t="s">
        <v>1258</v>
      </c>
      <c r="G540" s="2" t="s">
        <v>195</v>
      </c>
      <c r="H540" s="7"/>
      <c r="I540" s="2" t="s">
        <v>483</v>
      </c>
      <c r="J540" s="2" t="s">
        <v>536</v>
      </c>
      <c r="K540" s="2" t="s">
        <v>304</v>
      </c>
      <c r="L540" s="2" t="s">
        <v>100</v>
      </c>
      <c r="M540" s="8" t="str">
        <f>HYPERLINK("http://slimages.macys.com/is/image/MCY/12384238 ")</f>
        <v xml:space="preserve">http://slimages.macys.com/is/image/MCY/12384238 </v>
      </c>
    </row>
    <row r="541" spans="1:13" ht="60" x14ac:dyDescent="0.25">
      <c r="A541" s="7" t="s">
        <v>7922</v>
      </c>
      <c r="B541" s="2" t="s">
        <v>7913</v>
      </c>
      <c r="C541" s="4">
        <v>1</v>
      </c>
      <c r="D541" s="5">
        <v>2.57</v>
      </c>
      <c r="E541" s="5">
        <v>6.99</v>
      </c>
      <c r="F541" s="4" t="s">
        <v>7914</v>
      </c>
      <c r="G541" s="2" t="s">
        <v>28</v>
      </c>
      <c r="H541" s="7" t="s">
        <v>91</v>
      </c>
      <c r="I541" s="2" t="s">
        <v>483</v>
      </c>
      <c r="J541" s="2" t="s">
        <v>536</v>
      </c>
      <c r="K541" s="2" t="s">
        <v>304</v>
      </c>
      <c r="L541" s="2" t="s">
        <v>100</v>
      </c>
      <c r="M541" s="8" t="str">
        <f>HYPERLINK("http://slimages.macys.com/is/image/MCY/11379069 ")</f>
        <v xml:space="preserve">http://slimages.macys.com/is/image/MCY/11379069 </v>
      </c>
    </row>
    <row r="542" spans="1:13" ht="84" x14ac:dyDescent="0.25">
      <c r="A542" s="7" t="s">
        <v>5705</v>
      </c>
      <c r="B542" s="2" t="s">
        <v>4538</v>
      </c>
      <c r="C542" s="4">
        <v>1</v>
      </c>
      <c r="D542" s="5">
        <v>2.5499999999999998</v>
      </c>
      <c r="E542" s="5">
        <v>6.99</v>
      </c>
      <c r="F542" s="4" t="s">
        <v>4539</v>
      </c>
      <c r="G542" s="2" t="s">
        <v>1265</v>
      </c>
      <c r="H542" s="7" t="s">
        <v>482</v>
      </c>
      <c r="I542" s="2" t="s">
        <v>483</v>
      </c>
      <c r="J542" s="2" t="s">
        <v>536</v>
      </c>
      <c r="K542" s="2" t="s">
        <v>304</v>
      </c>
      <c r="L542" s="2" t="s">
        <v>1308</v>
      </c>
      <c r="M542" s="8" t="str">
        <f>HYPERLINK("http://slimages.macys.com/is/image/MCY/13987471 ")</f>
        <v xml:space="preserve">http://slimages.macys.com/is/image/MCY/13987471 </v>
      </c>
    </row>
    <row r="543" spans="1:13" ht="60" x14ac:dyDescent="0.25">
      <c r="A543" s="7" t="s">
        <v>6065</v>
      </c>
      <c r="B543" s="2" t="s">
        <v>2283</v>
      </c>
      <c r="C543" s="4">
        <v>1</v>
      </c>
      <c r="D543" s="5">
        <v>2.5499999999999998</v>
      </c>
      <c r="E543" s="5">
        <v>5.99</v>
      </c>
      <c r="F543" s="4" t="s">
        <v>2284</v>
      </c>
      <c r="G543" s="2" t="s">
        <v>86</v>
      </c>
      <c r="H543" s="7" t="s">
        <v>91</v>
      </c>
      <c r="I543" s="2" t="s">
        <v>483</v>
      </c>
      <c r="J543" s="2" t="s">
        <v>536</v>
      </c>
      <c r="K543" s="2" t="s">
        <v>304</v>
      </c>
      <c r="L543" s="2" t="s">
        <v>206</v>
      </c>
      <c r="M543" s="8" t="str">
        <f>HYPERLINK("http://slimages.macys.com/is/image/MCY/11436902 ")</f>
        <v xml:space="preserve">http://slimages.macys.com/is/image/MCY/11436902 </v>
      </c>
    </row>
    <row r="544" spans="1:13" ht="60" x14ac:dyDescent="0.25">
      <c r="A544" s="7" t="s">
        <v>9211</v>
      </c>
      <c r="B544" s="2" t="s">
        <v>9212</v>
      </c>
      <c r="C544" s="4">
        <v>1</v>
      </c>
      <c r="D544" s="5">
        <v>2.5499999999999998</v>
      </c>
      <c r="E544" s="5">
        <v>6.99</v>
      </c>
      <c r="F544" s="4">
        <v>10004349300</v>
      </c>
      <c r="G544" s="2" t="s">
        <v>134</v>
      </c>
      <c r="H544" s="7" t="s">
        <v>149</v>
      </c>
      <c r="I544" s="2" t="s">
        <v>483</v>
      </c>
      <c r="J544" s="2" t="s">
        <v>536</v>
      </c>
      <c r="K544" s="2" t="s">
        <v>304</v>
      </c>
      <c r="L544" s="2" t="s">
        <v>38</v>
      </c>
      <c r="M544" s="8" t="str">
        <f>HYPERLINK("http://slimages.macys.com/is/image/MCY/11437074 ")</f>
        <v xml:space="preserve">http://slimages.macys.com/is/image/MCY/11437074 </v>
      </c>
    </row>
    <row r="545" spans="1:13" ht="60" x14ac:dyDescent="0.25">
      <c r="A545" s="7" t="s">
        <v>6066</v>
      </c>
      <c r="B545" s="2" t="s">
        <v>2283</v>
      </c>
      <c r="C545" s="4">
        <v>1</v>
      </c>
      <c r="D545" s="5">
        <v>2.5499999999999998</v>
      </c>
      <c r="E545" s="5">
        <v>5.99</v>
      </c>
      <c r="F545" s="4" t="s">
        <v>2284</v>
      </c>
      <c r="G545" s="2" t="s">
        <v>86</v>
      </c>
      <c r="H545" s="7" t="s">
        <v>590</v>
      </c>
      <c r="I545" s="2" t="s">
        <v>483</v>
      </c>
      <c r="J545" s="2" t="s">
        <v>536</v>
      </c>
      <c r="K545" s="2" t="s">
        <v>304</v>
      </c>
      <c r="L545" s="2" t="s">
        <v>206</v>
      </c>
      <c r="M545" s="8" t="str">
        <f>HYPERLINK("http://slimages.macys.com/is/image/MCY/11436902 ")</f>
        <v xml:space="preserve">http://slimages.macys.com/is/image/MCY/11436902 </v>
      </c>
    </row>
    <row r="546" spans="1:13" ht="96" x14ac:dyDescent="0.25">
      <c r="A546" s="7" t="s">
        <v>7189</v>
      </c>
      <c r="B546" s="2" t="s">
        <v>1263</v>
      </c>
      <c r="C546" s="4">
        <v>1</v>
      </c>
      <c r="D546" s="5">
        <v>2.5499999999999998</v>
      </c>
      <c r="E546" s="5">
        <v>6.99</v>
      </c>
      <c r="F546" s="4" t="s">
        <v>1264</v>
      </c>
      <c r="G546" s="2" t="s">
        <v>1265</v>
      </c>
      <c r="H546" s="7"/>
      <c r="I546" s="2" t="s">
        <v>483</v>
      </c>
      <c r="J546" s="2" t="s">
        <v>536</v>
      </c>
      <c r="K546" s="2" t="s">
        <v>304</v>
      </c>
      <c r="L546" s="2" t="s">
        <v>1266</v>
      </c>
      <c r="M546" s="8" t="str">
        <f>HYPERLINK("http://slimages.macys.com/is/image/MCY/13337503 ")</f>
        <v xml:space="preserve">http://slimages.macys.com/is/image/MCY/13337503 </v>
      </c>
    </row>
    <row r="547" spans="1:13" ht="84" x14ac:dyDescent="0.25">
      <c r="A547" s="7" t="s">
        <v>7932</v>
      </c>
      <c r="B547" s="2" t="s">
        <v>4538</v>
      </c>
      <c r="C547" s="4">
        <v>2</v>
      </c>
      <c r="D547" s="5">
        <v>2.5499999999999998</v>
      </c>
      <c r="E547" s="5">
        <v>6.99</v>
      </c>
      <c r="F547" s="4" t="s">
        <v>4539</v>
      </c>
      <c r="G547" s="2" t="s">
        <v>1265</v>
      </c>
      <c r="H547" s="7"/>
      <c r="I547" s="2" t="s">
        <v>483</v>
      </c>
      <c r="J547" s="2" t="s">
        <v>536</v>
      </c>
      <c r="K547" s="2" t="s">
        <v>304</v>
      </c>
      <c r="L547" s="2" t="s">
        <v>1308</v>
      </c>
      <c r="M547" s="8" t="str">
        <f>HYPERLINK("http://slimages.macys.com/is/image/MCY/13987471 ")</f>
        <v xml:space="preserve">http://slimages.macys.com/is/image/MCY/13987471 </v>
      </c>
    </row>
    <row r="548" spans="1:13" ht="60" x14ac:dyDescent="0.25">
      <c r="A548" s="7" t="s">
        <v>9213</v>
      </c>
      <c r="B548" s="2" t="s">
        <v>2290</v>
      </c>
      <c r="C548" s="4">
        <v>2</v>
      </c>
      <c r="D548" s="5">
        <v>2.54</v>
      </c>
      <c r="E548" s="5">
        <v>6.99</v>
      </c>
      <c r="F548" s="4" t="s">
        <v>2291</v>
      </c>
      <c r="G548" s="2" t="s">
        <v>171</v>
      </c>
      <c r="H548" s="7"/>
      <c r="I548" s="2" t="s">
        <v>483</v>
      </c>
      <c r="J548" s="2" t="s">
        <v>536</v>
      </c>
      <c r="K548" s="2" t="s">
        <v>304</v>
      </c>
      <c r="L548" s="2" t="s">
        <v>206</v>
      </c>
      <c r="M548" s="8" t="str">
        <f>HYPERLINK("http://slimages.macys.com/is/image/MCY/12466257 ")</f>
        <v xml:space="preserve">http://slimages.macys.com/is/image/MCY/12466257 </v>
      </c>
    </row>
    <row r="549" spans="1:13" ht="60" x14ac:dyDescent="0.25">
      <c r="A549" s="7" t="s">
        <v>7190</v>
      </c>
      <c r="B549" s="2" t="s">
        <v>5710</v>
      </c>
      <c r="C549" s="4">
        <v>1</v>
      </c>
      <c r="D549" s="5">
        <v>2.54</v>
      </c>
      <c r="E549" s="5">
        <v>6.99</v>
      </c>
      <c r="F549" s="4">
        <v>10005487500</v>
      </c>
      <c r="G549" s="2" t="s">
        <v>1360</v>
      </c>
      <c r="H549" s="7" t="s">
        <v>482</v>
      </c>
      <c r="I549" s="2" t="s">
        <v>483</v>
      </c>
      <c r="J549" s="2" t="s">
        <v>536</v>
      </c>
      <c r="K549" s="2" t="s">
        <v>304</v>
      </c>
      <c r="L549" s="2" t="s">
        <v>38</v>
      </c>
      <c r="M549" s="8" t="str">
        <f>HYPERLINK("http://slimages.macys.com/is/image/MCY/12466277 ")</f>
        <v xml:space="preserve">http://slimages.macys.com/is/image/MCY/12466277 </v>
      </c>
    </row>
    <row r="550" spans="1:13" ht="60" x14ac:dyDescent="0.25">
      <c r="A550" s="7" t="s">
        <v>2289</v>
      </c>
      <c r="B550" s="2" t="s">
        <v>2290</v>
      </c>
      <c r="C550" s="4">
        <v>1</v>
      </c>
      <c r="D550" s="5">
        <v>2.54</v>
      </c>
      <c r="E550" s="5">
        <v>6.99</v>
      </c>
      <c r="F550" s="4" t="s">
        <v>2291</v>
      </c>
      <c r="G550" s="2" t="s">
        <v>171</v>
      </c>
      <c r="H550" s="7" t="s">
        <v>482</v>
      </c>
      <c r="I550" s="2" t="s">
        <v>483</v>
      </c>
      <c r="J550" s="2" t="s">
        <v>536</v>
      </c>
      <c r="K550" s="2" t="s">
        <v>304</v>
      </c>
      <c r="L550" s="2" t="s">
        <v>206</v>
      </c>
      <c r="M550" s="8" t="str">
        <f>HYPERLINK("http://slimages.macys.com/is/image/MCY/12466257 ")</f>
        <v xml:space="preserve">http://slimages.macys.com/is/image/MCY/12466257 </v>
      </c>
    </row>
    <row r="551" spans="1:13" ht="60" x14ac:dyDescent="0.25">
      <c r="A551" s="7" t="s">
        <v>6067</v>
      </c>
      <c r="B551" s="2" t="s">
        <v>5710</v>
      </c>
      <c r="C551" s="4">
        <v>1</v>
      </c>
      <c r="D551" s="5">
        <v>2.54</v>
      </c>
      <c r="E551" s="5">
        <v>6.99</v>
      </c>
      <c r="F551" s="4">
        <v>10005487500</v>
      </c>
      <c r="G551" s="2" t="s">
        <v>1360</v>
      </c>
      <c r="H551" s="7" t="s">
        <v>149</v>
      </c>
      <c r="I551" s="2" t="s">
        <v>483</v>
      </c>
      <c r="J551" s="2" t="s">
        <v>536</v>
      </c>
      <c r="K551" s="2" t="s">
        <v>304</v>
      </c>
      <c r="L551" s="2" t="s">
        <v>38</v>
      </c>
      <c r="M551" s="8" t="str">
        <f>HYPERLINK("http://slimages.macys.com/is/image/MCY/12466277 ")</f>
        <v xml:space="preserve">http://slimages.macys.com/is/image/MCY/12466277 </v>
      </c>
    </row>
    <row r="552" spans="1:13" ht="60" x14ac:dyDescent="0.25">
      <c r="A552" s="7" t="s">
        <v>6551</v>
      </c>
      <c r="B552" s="2" t="s">
        <v>2722</v>
      </c>
      <c r="C552" s="4">
        <v>1</v>
      </c>
      <c r="D552" s="5">
        <v>2.54</v>
      </c>
      <c r="E552" s="5">
        <v>6.99</v>
      </c>
      <c r="F552" s="4">
        <v>10006317100</v>
      </c>
      <c r="G552" s="2" t="s">
        <v>1302</v>
      </c>
      <c r="H552" s="7"/>
      <c r="I552" s="2" t="s">
        <v>483</v>
      </c>
      <c r="J552" s="2" t="s">
        <v>536</v>
      </c>
      <c r="K552" s="2" t="s">
        <v>304</v>
      </c>
      <c r="L552" s="2" t="s">
        <v>38</v>
      </c>
      <c r="M552" s="8" t="str">
        <f>HYPERLINK("http://slimages.macys.com/is/image/MCY/13987493 ")</f>
        <v xml:space="preserve">http://slimages.macys.com/is/image/MCY/13987493 </v>
      </c>
    </row>
    <row r="553" spans="1:13" ht="60" x14ac:dyDescent="0.25">
      <c r="A553" s="7" t="s">
        <v>7942</v>
      </c>
      <c r="B553" s="2" t="s">
        <v>7943</v>
      </c>
      <c r="C553" s="4">
        <v>2</v>
      </c>
      <c r="D553" s="5">
        <v>2.5299999999999998</v>
      </c>
      <c r="E553" s="5">
        <v>5.99</v>
      </c>
      <c r="F553" s="4" t="s">
        <v>7944</v>
      </c>
      <c r="G553" s="2" t="s">
        <v>36</v>
      </c>
      <c r="H553" s="7" t="s">
        <v>91</v>
      </c>
      <c r="I553" s="2" t="s">
        <v>483</v>
      </c>
      <c r="J553" s="2" t="s">
        <v>536</v>
      </c>
      <c r="K553" s="2" t="s">
        <v>304</v>
      </c>
      <c r="L553" s="2" t="s">
        <v>119</v>
      </c>
      <c r="M553" s="8" t="str">
        <f>HYPERLINK("http://slimages.macys.com/is/image/MCY/12640857 ")</f>
        <v xml:space="preserve">http://slimages.macys.com/is/image/MCY/12640857 </v>
      </c>
    </row>
    <row r="554" spans="1:13" ht="60" x14ac:dyDescent="0.25">
      <c r="A554" s="7" t="s">
        <v>6068</v>
      </c>
      <c r="B554" s="2" t="s">
        <v>1260</v>
      </c>
      <c r="C554" s="4">
        <v>1</v>
      </c>
      <c r="D554" s="5">
        <v>2.5299999999999998</v>
      </c>
      <c r="E554" s="5">
        <v>6.99</v>
      </c>
      <c r="F554" s="4" t="s">
        <v>1261</v>
      </c>
      <c r="G554" s="2" t="s">
        <v>1265</v>
      </c>
      <c r="H554" s="7" t="s">
        <v>149</v>
      </c>
      <c r="I554" s="2" t="s">
        <v>483</v>
      </c>
      <c r="J554" s="2" t="s">
        <v>536</v>
      </c>
      <c r="K554" s="2" t="s">
        <v>304</v>
      </c>
      <c r="L554" s="2" t="s">
        <v>100</v>
      </c>
      <c r="M554" s="8" t="str">
        <f>HYPERLINK("http://slimages.macys.com/is/image/MCY/11779082 ")</f>
        <v xml:space="preserve">http://slimages.macys.com/is/image/MCY/11779082 </v>
      </c>
    </row>
    <row r="555" spans="1:13" ht="60" x14ac:dyDescent="0.25">
      <c r="A555" s="7" t="s">
        <v>9214</v>
      </c>
      <c r="B555" s="2" t="s">
        <v>1280</v>
      </c>
      <c r="C555" s="4">
        <v>1</v>
      </c>
      <c r="D555" s="5">
        <v>2.5299999999999998</v>
      </c>
      <c r="E555" s="5">
        <v>5.99</v>
      </c>
      <c r="F555" s="4" t="s">
        <v>1281</v>
      </c>
      <c r="G555" s="2" t="s">
        <v>41</v>
      </c>
      <c r="H555" s="7" t="s">
        <v>590</v>
      </c>
      <c r="I555" s="2" t="s">
        <v>483</v>
      </c>
      <c r="J555" s="2" t="s">
        <v>536</v>
      </c>
      <c r="K555" s="2" t="s">
        <v>304</v>
      </c>
      <c r="L555" s="2" t="s">
        <v>206</v>
      </c>
      <c r="M555" s="8" t="str">
        <f>HYPERLINK("http://slimages.macys.com/is/image/MCY/13385820 ")</f>
        <v xml:space="preserve">http://slimages.macys.com/is/image/MCY/13385820 </v>
      </c>
    </row>
    <row r="556" spans="1:13" ht="60" x14ac:dyDescent="0.25">
      <c r="A556" s="7" t="s">
        <v>9215</v>
      </c>
      <c r="B556" s="2" t="s">
        <v>1277</v>
      </c>
      <c r="C556" s="4">
        <v>1</v>
      </c>
      <c r="D556" s="5">
        <v>2.5299999999999998</v>
      </c>
      <c r="E556" s="5">
        <v>5.99</v>
      </c>
      <c r="F556" s="4" t="s">
        <v>1278</v>
      </c>
      <c r="G556" s="2" t="s">
        <v>527</v>
      </c>
      <c r="H556" s="7" t="s">
        <v>590</v>
      </c>
      <c r="I556" s="2" t="s">
        <v>483</v>
      </c>
      <c r="J556" s="2" t="s">
        <v>536</v>
      </c>
      <c r="K556" s="2" t="s">
        <v>304</v>
      </c>
      <c r="L556" s="2" t="s">
        <v>119</v>
      </c>
      <c r="M556" s="8" t="str">
        <f>HYPERLINK("http://slimages.macys.com/is/image/MCY/13987179 ")</f>
        <v xml:space="preserve">http://slimages.macys.com/is/image/MCY/13987179 </v>
      </c>
    </row>
    <row r="557" spans="1:13" ht="108" x14ac:dyDescent="0.25">
      <c r="A557" s="7" t="s">
        <v>7949</v>
      </c>
      <c r="B557" s="2" t="s">
        <v>7950</v>
      </c>
      <c r="C557" s="4">
        <v>2</v>
      </c>
      <c r="D557" s="5">
        <v>2.5299999999999998</v>
      </c>
      <c r="E557" s="5">
        <v>5.99</v>
      </c>
      <c r="F557" s="4" t="s">
        <v>7951</v>
      </c>
      <c r="G557" s="2" t="s">
        <v>41</v>
      </c>
      <c r="H557" s="7" t="s">
        <v>149</v>
      </c>
      <c r="I557" s="2" t="s">
        <v>483</v>
      </c>
      <c r="J557" s="2" t="s">
        <v>536</v>
      </c>
      <c r="K557" s="2" t="s">
        <v>304</v>
      </c>
      <c r="L557" s="2" t="s">
        <v>7952</v>
      </c>
      <c r="M557" s="8" t="str">
        <f>HYPERLINK("http://slimages.macys.com/is/image/MCY/12643291 ")</f>
        <v xml:space="preserve">http://slimages.macys.com/is/image/MCY/12643291 </v>
      </c>
    </row>
    <row r="558" spans="1:13" ht="60" x14ac:dyDescent="0.25">
      <c r="A558" s="7" t="s">
        <v>1291</v>
      </c>
      <c r="B558" s="2" t="s">
        <v>1277</v>
      </c>
      <c r="C558" s="4">
        <v>1</v>
      </c>
      <c r="D558" s="5">
        <v>2.5299999999999998</v>
      </c>
      <c r="E558" s="5">
        <v>5.99</v>
      </c>
      <c r="F558" s="4" t="s">
        <v>1278</v>
      </c>
      <c r="G558" s="2" t="s">
        <v>527</v>
      </c>
      <c r="H558" s="7" t="s">
        <v>91</v>
      </c>
      <c r="I558" s="2" t="s">
        <v>483</v>
      </c>
      <c r="J558" s="2" t="s">
        <v>536</v>
      </c>
      <c r="K558" s="2" t="s">
        <v>304</v>
      </c>
      <c r="L558" s="2" t="s">
        <v>119</v>
      </c>
      <c r="M558" s="8" t="str">
        <f>HYPERLINK("http://slimages.macys.com/is/image/MCY/13987179 ")</f>
        <v xml:space="preserve">http://slimages.macys.com/is/image/MCY/13987179 </v>
      </c>
    </row>
    <row r="559" spans="1:13" ht="60" x14ac:dyDescent="0.25">
      <c r="A559" s="7" t="s">
        <v>9216</v>
      </c>
      <c r="B559" s="2" t="s">
        <v>6553</v>
      </c>
      <c r="C559" s="4">
        <v>1</v>
      </c>
      <c r="D559" s="5">
        <v>2.5299999999999998</v>
      </c>
      <c r="E559" s="5">
        <v>5.99</v>
      </c>
      <c r="F559" s="4" t="s">
        <v>6554</v>
      </c>
      <c r="G559" s="2" t="s">
        <v>41</v>
      </c>
      <c r="H559" s="7" t="s">
        <v>590</v>
      </c>
      <c r="I559" s="2" t="s">
        <v>483</v>
      </c>
      <c r="J559" s="2" t="s">
        <v>536</v>
      </c>
      <c r="K559" s="2" t="s">
        <v>304</v>
      </c>
      <c r="L559" s="2" t="s">
        <v>100</v>
      </c>
      <c r="M559" s="8" t="str">
        <f>HYPERLINK("http://slimages.macys.com/is/image/MCY/11524032 ")</f>
        <v xml:space="preserve">http://slimages.macys.com/is/image/MCY/11524032 </v>
      </c>
    </row>
    <row r="560" spans="1:13" ht="60" x14ac:dyDescent="0.25">
      <c r="A560" s="7" t="s">
        <v>5083</v>
      </c>
      <c r="B560" s="2" t="s">
        <v>3523</v>
      </c>
      <c r="C560" s="4">
        <v>2</v>
      </c>
      <c r="D560" s="5">
        <v>2.5099999999999998</v>
      </c>
      <c r="E560" s="5">
        <v>5.99</v>
      </c>
      <c r="F560" s="4" t="s">
        <v>3524</v>
      </c>
      <c r="G560" s="2" t="s">
        <v>657</v>
      </c>
      <c r="H560" s="7" t="s">
        <v>590</v>
      </c>
      <c r="I560" s="2" t="s">
        <v>483</v>
      </c>
      <c r="J560" s="2" t="s">
        <v>536</v>
      </c>
      <c r="K560" s="2" t="s">
        <v>304</v>
      </c>
      <c r="L560" s="2" t="s">
        <v>119</v>
      </c>
      <c r="M560" s="8" t="str">
        <f>HYPERLINK("http://slimages.macys.com/is/image/MCY/13987476 ")</f>
        <v xml:space="preserve">http://slimages.macys.com/is/image/MCY/13987476 </v>
      </c>
    </row>
    <row r="561" spans="1:13" ht="60" x14ac:dyDescent="0.25">
      <c r="A561" s="7" t="s">
        <v>7204</v>
      </c>
      <c r="B561" s="2" t="s">
        <v>2299</v>
      </c>
      <c r="C561" s="4">
        <v>1</v>
      </c>
      <c r="D561" s="5">
        <v>2.5099999999999998</v>
      </c>
      <c r="E561" s="5">
        <v>5.99</v>
      </c>
      <c r="F561" s="4" t="s">
        <v>2300</v>
      </c>
      <c r="G561" s="2" t="s">
        <v>28</v>
      </c>
      <c r="H561" s="7" t="s">
        <v>149</v>
      </c>
      <c r="I561" s="2" t="s">
        <v>483</v>
      </c>
      <c r="J561" s="2" t="s">
        <v>536</v>
      </c>
      <c r="K561" s="2" t="s">
        <v>304</v>
      </c>
      <c r="L561" s="2" t="s">
        <v>119</v>
      </c>
      <c r="M561" s="8" t="str">
        <f>HYPERLINK("http://slimages.macys.com/is/image/MCY/13987054 ")</f>
        <v xml:space="preserve">http://slimages.macys.com/is/image/MCY/13987054 </v>
      </c>
    </row>
    <row r="562" spans="1:13" ht="60" x14ac:dyDescent="0.25">
      <c r="A562" s="7" t="s">
        <v>9217</v>
      </c>
      <c r="B562" s="2" t="s">
        <v>2725</v>
      </c>
      <c r="C562" s="4">
        <v>1</v>
      </c>
      <c r="D562" s="5">
        <v>2.5</v>
      </c>
      <c r="E562" s="5">
        <v>5.99</v>
      </c>
      <c r="F562" s="4" t="s">
        <v>2726</v>
      </c>
      <c r="G562" s="2" t="s">
        <v>86</v>
      </c>
      <c r="H562" s="7" t="s">
        <v>149</v>
      </c>
      <c r="I562" s="2" t="s">
        <v>483</v>
      </c>
      <c r="J562" s="2" t="s">
        <v>536</v>
      </c>
      <c r="K562" s="2" t="s">
        <v>304</v>
      </c>
      <c r="L562" s="2" t="s">
        <v>87</v>
      </c>
      <c r="M562" s="8" t="str">
        <f>HYPERLINK("http://slimages.macys.com/is/image/MCY/11524096 ")</f>
        <v xml:space="preserve">http://slimages.macys.com/is/image/MCY/11524096 </v>
      </c>
    </row>
    <row r="563" spans="1:13" ht="60" x14ac:dyDescent="0.25">
      <c r="A563" s="7" t="s">
        <v>2727</v>
      </c>
      <c r="B563" s="2" t="s">
        <v>2725</v>
      </c>
      <c r="C563" s="4">
        <v>1</v>
      </c>
      <c r="D563" s="5">
        <v>2.5</v>
      </c>
      <c r="E563" s="5">
        <v>5.99</v>
      </c>
      <c r="F563" s="4" t="s">
        <v>2726</v>
      </c>
      <c r="G563" s="2" t="s">
        <v>103</v>
      </c>
      <c r="H563" s="7" t="s">
        <v>91</v>
      </c>
      <c r="I563" s="2" t="s">
        <v>483</v>
      </c>
      <c r="J563" s="2" t="s">
        <v>536</v>
      </c>
      <c r="K563" s="2" t="s">
        <v>304</v>
      </c>
      <c r="L563" s="2" t="s">
        <v>87</v>
      </c>
      <c r="M563" s="8" t="str">
        <f>HYPERLINK("http://slimages.macys.com/is/image/MCY/11524101 ")</f>
        <v xml:space="preserve">http://slimages.macys.com/is/image/MCY/11524101 </v>
      </c>
    </row>
    <row r="564" spans="1:13" ht="60" x14ac:dyDescent="0.25">
      <c r="A564" s="7" t="s">
        <v>9218</v>
      </c>
      <c r="B564" s="2" t="s">
        <v>9219</v>
      </c>
      <c r="C564" s="4">
        <v>1</v>
      </c>
      <c r="D564" s="5">
        <v>2.5</v>
      </c>
      <c r="E564" s="5">
        <v>5.99</v>
      </c>
      <c r="F564" s="4" t="s">
        <v>9220</v>
      </c>
      <c r="G564" s="2" t="s">
        <v>353</v>
      </c>
      <c r="H564" s="7" t="s">
        <v>618</v>
      </c>
      <c r="I564" s="2" t="s">
        <v>380</v>
      </c>
      <c r="J564" s="2" t="s">
        <v>544</v>
      </c>
      <c r="K564" s="2" t="s">
        <v>304</v>
      </c>
      <c r="L564" s="2" t="s">
        <v>119</v>
      </c>
      <c r="M564" s="8" t="str">
        <f>HYPERLINK("http://slimages.macys.com/is/image/MCY/12282668 ")</f>
        <v xml:space="preserve">http://slimages.macys.com/is/image/MCY/12282668 </v>
      </c>
    </row>
    <row r="565" spans="1:13" ht="60" x14ac:dyDescent="0.25">
      <c r="A565" s="7" t="s">
        <v>9221</v>
      </c>
      <c r="B565" s="2" t="s">
        <v>2725</v>
      </c>
      <c r="C565" s="4">
        <v>1</v>
      </c>
      <c r="D565" s="5">
        <v>2.5</v>
      </c>
      <c r="E565" s="5">
        <v>5.99</v>
      </c>
      <c r="F565" s="4" t="s">
        <v>2726</v>
      </c>
      <c r="G565" s="2" t="s">
        <v>103</v>
      </c>
      <c r="H565" s="7" t="s">
        <v>442</v>
      </c>
      <c r="I565" s="2" t="s">
        <v>483</v>
      </c>
      <c r="J565" s="2" t="s">
        <v>536</v>
      </c>
      <c r="K565" s="2" t="s">
        <v>304</v>
      </c>
      <c r="L565" s="2" t="s">
        <v>87</v>
      </c>
      <c r="M565" s="8" t="str">
        <f>HYPERLINK("http://slimages.macys.com/is/image/MCY/11524101 ")</f>
        <v xml:space="preserve">http://slimages.macys.com/is/image/MCY/11524101 </v>
      </c>
    </row>
    <row r="566" spans="1:13" ht="60" x14ac:dyDescent="0.25">
      <c r="A566" s="7" t="s">
        <v>9222</v>
      </c>
      <c r="B566" s="2" t="s">
        <v>2725</v>
      </c>
      <c r="C566" s="4">
        <v>1</v>
      </c>
      <c r="D566" s="5">
        <v>2.5</v>
      </c>
      <c r="E566" s="5">
        <v>5.99</v>
      </c>
      <c r="F566" s="4" t="s">
        <v>2726</v>
      </c>
      <c r="G566" s="2" t="s">
        <v>103</v>
      </c>
      <c r="H566" s="7" t="s">
        <v>149</v>
      </c>
      <c r="I566" s="2" t="s">
        <v>483</v>
      </c>
      <c r="J566" s="2" t="s">
        <v>536</v>
      </c>
      <c r="K566" s="2" t="s">
        <v>304</v>
      </c>
      <c r="L566" s="2" t="s">
        <v>87</v>
      </c>
      <c r="M566" s="8" t="str">
        <f>HYPERLINK("http://slimages.macys.com/is/image/MCY/11524101 ")</f>
        <v xml:space="preserve">http://slimages.macys.com/is/image/MCY/11524101 </v>
      </c>
    </row>
    <row r="567" spans="1:13" ht="60" x14ac:dyDescent="0.25">
      <c r="A567" s="7" t="s">
        <v>9223</v>
      </c>
      <c r="B567" s="2" t="s">
        <v>2725</v>
      </c>
      <c r="C567" s="4">
        <v>2</v>
      </c>
      <c r="D567" s="5">
        <v>2.5</v>
      </c>
      <c r="E567" s="5">
        <v>5.99</v>
      </c>
      <c r="F567" s="4" t="s">
        <v>2726</v>
      </c>
      <c r="G567" s="2" t="s">
        <v>86</v>
      </c>
      <c r="H567" s="7" t="s">
        <v>42</v>
      </c>
      <c r="I567" s="2" t="s">
        <v>483</v>
      </c>
      <c r="J567" s="2" t="s">
        <v>536</v>
      </c>
      <c r="K567" s="2" t="s">
        <v>304</v>
      </c>
      <c r="L567" s="2" t="s">
        <v>87</v>
      </c>
      <c r="M567" s="8" t="str">
        <f>HYPERLINK("http://slimages.macys.com/is/image/MCY/11524096 ")</f>
        <v xml:space="preserve">http://slimages.macys.com/is/image/MCY/11524096 </v>
      </c>
    </row>
    <row r="568" spans="1:13" ht="60" x14ac:dyDescent="0.25">
      <c r="A568" s="7" t="s">
        <v>9224</v>
      </c>
      <c r="B568" s="2" t="s">
        <v>2725</v>
      </c>
      <c r="C568" s="4">
        <v>1</v>
      </c>
      <c r="D568" s="5">
        <v>2.5</v>
      </c>
      <c r="E568" s="5">
        <v>5.99</v>
      </c>
      <c r="F568" s="4" t="s">
        <v>2726</v>
      </c>
      <c r="G568" s="2" t="s">
        <v>103</v>
      </c>
      <c r="H568" s="7" t="s">
        <v>42</v>
      </c>
      <c r="I568" s="2" t="s">
        <v>483</v>
      </c>
      <c r="J568" s="2" t="s">
        <v>536</v>
      </c>
      <c r="K568" s="2" t="s">
        <v>304</v>
      </c>
      <c r="L568" s="2" t="s">
        <v>87</v>
      </c>
      <c r="M568" s="8" t="str">
        <f>HYPERLINK("http://slimages.macys.com/is/image/MCY/11524101 ")</f>
        <v xml:space="preserve">http://slimages.macys.com/is/image/MCY/11524101 </v>
      </c>
    </row>
    <row r="569" spans="1:13" ht="60" x14ac:dyDescent="0.25">
      <c r="A569" s="7" t="s">
        <v>9225</v>
      </c>
      <c r="B569" s="2" t="s">
        <v>2725</v>
      </c>
      <c r="C569" s="4">
        <v>1</v>
      </c>
      <c r="D569" s="5">
        <v>2.5</v>
      </c>
      <c r="E569" s="5">
        <v>5.99</v>
      </c>
      <c r="F569" s="4" t="s">
        <v>2726</v>
      </c>
      <c r="G569" s="2" t="s">
        <v>86</v>
      </c>
      <c r="H569" s="7" t="s">
        <v>590</v>
      </c>
      <c r="I569" s="2" t="s">
        <v>483</v>
      </c>
      <c r="J569" s="2" t="s">
        <v>536</v>
      </c>
      <c r="K569" s="2" t="s">
        <v>304</v>
      </c>
      <c r="L569" s="2" t="s">
        <v>87</v>
      </c>
      <c r="M569" s="8" t="str">
        <f>HYPERLINK("http://slimages.macys.com/is/image/MCY/11524096 ")</f>
        <v xml:space="preserve">http://slimages.macys.com/is/image/MCY/11524096 </v>
      </c>
    </row>
    <row r="570" spans="1:13" ht="60" x14ac:dyDescent="0.25">
      <c r="A570" s="7" t="s">
        <v>1309</v>
      </c>
      <c r="B570" s="2" t="s">
        <v>1300</v>
      </c>
      <c r="C570" s="4">
        <v>1</v>
      </c>
      <c r="D570" s="5">
        <v>2.4900000000000002</v>
      </c>
      <c r="E570" s="5">
        <v>6.99</v>
      </c>
      <c r="F570" s="4" t="s">
        <v>1301</v>
      </c>
      <c r="G570" s="2" t="s">
        <v>1302</v>
      </c>
      <c r="H570" s="7"/>
      <c r="I570" s="2" t="s">
        <v>483</v>
      </c>
      <c r="J570" s="2" t="s">
        <v>536</v>
      </c>
      <c r="K570" s="2" t="s">
        <v>304</v>
      </c>
      <c r="L570" s="2" t="s">
        <v>596</v>
      </c>
      <c r="M570" s="8" t="str">
        <f>HYPERLINK("http://slimages.macys.com/is/image/MCY/13337498 ")</f>
        <v xml:space="preserve">http://slimages.macys.com/is/image/MCY/13337498 </v>
      </c>
    </row>
    <row r="571" spans="1:13" ht="60" x14ac:dyDescent="0.25">
      <c r="A571" s="7" t="s">
        <v>1310</v>
      </c>
      <c r="B571" s="2" t="s">
        <v>1297</v>
      </c>
      <c r="C571" s="4">
        <v>1</v>
      </c>
      <c r="D571" s="5">
        <v>2.4900000000000002</v>
      </c>
      <c r="E571" s="5">
        <v>6.99</v>
      </c>
      <c r="F571" s="4" t="s">
        <v>1298</v>
      </c>
      <c r="G571" s="2" t="s">
        <v>171</v>
      </c>
      <c r="H571" s="7" t="s">
        <v>590</v>
      </c>
      <c r="I571" s="2" t="s">
        <v>483</v>
      </c>
      <c r="J571" s="2" t="s">
        <v>536</v>
      </c>
      <c r="K571" s="2" t="s">
        <v>304</v>
      </c>
      <c r="L571" s="2" t="s">
        <v>100</v>
      </c>
      <c r="M571" s="8" t="str">
        <f>HYPERLINK("http://slimages.macys.com/is/image/MCY/13987459 ")</f>
        <v xml:space="preserve">http://slimages.macys.com/is/image/MCY/13987459 </v>
      </c>
    </row>
    <row r="572" spans="1:13" ht="60" x14ac:dyDescent="0.25">
      <c r="A572" s="7" t="s">
        <v>1317</v>
      </c>
      <c r="B572" s="2" t="s">
        <v>1304</v>
      </c>
      <c r="C572" s="4">
        <v>1</v>
      </c>
      <c r="D572" s="5">
        <v>2.4900000000000002</v>
      </c>
      <c r="E572" s="5">
        <v>5.99</v>
      </c>
      <c r="F572" s="4" t="s">
        <v>1305</v>
      </c>
      <c r="G572" s="2" t="s">
        <v>86</v>
      </c>
      <c r="H572" s="7" t="s">
        <v>42</v>
      </c>
      <c r="I572" s="2" t="s">
        <v>483</v>
      </c>
      <c r="J572" s="2" t="s">
        <v>536</v>
      </c>
      <c r="K572" s="2" t="s">
        <v>304</v>
      </c>
      <c r="L572" s="2" t="s">
        <v>38</v>
      </c>
      <c r="M572" s="8" t="str">
        <f>HYPERLINK("http://slimages.macys.com/is/image/MCY/11855486 ")</f>
        <v xml:space="preserve">http://slimages.macys.com/is/image/MCY/11855486 </v>
      </c>
    </row>
    <row r="573" spans="1:13" ht="108" x14ac:dyDescent="0.25">
      <c r="A573" s="7" t="s">
        <v>7205</v>
      </c>
      <c r="B573" s="2" t="s">
        <v>2302</v>
      </c>
      <c r="C573" s="4">
        <v>1</v>
      </c>
      <c r="D573" s="5">
        <v>2.4900000000000002</v>
      </c>
      <c r="E573" s="5">
        <v>6.99</v>
      </c>
      <c r="F573" s="4" t="s">
        <v>2303</v>
      </c>
      <c r="G573" s="2" t="s">
        <v>134</v>
      </c>
      <c r="H573" s="7" t="s">
        <v>482</v>
      </c>
      <c r="I573" s="2" t="s">
        <v>483</v>
      </c>
      <c r="J573" s="2" t="s">
        <v>536</v>
      </c>
      <c r="K573" s="2" t="s">
        <v>304</v>
      </c>
      <c r="L573" s="2" t="s">
        <v>2304</v>
      </c>
      <c r="M573" s="8" t="str">
        <f>HYPERLINK("http://slimages.macys.com/is/image/MCY/13987461 ")</f>
        <v xml:space="preserve">http://slimages.macys.com/is/image/MCY/13987461 </v>
      </c>
    </row>
    <row r="574" spans="1:13" ht="60" x14ac:dyDescent="0.25">
      <c r="A574" s="7" t="s">
        <v>5730</v>
      </c>
      <c r="B574" s="2" t="s">
        <v>5731</v>
      </c>
      <c r="C574" s="4">
        <v>1</v>
      </c>
      <c r="D574" s="5">
        <v>2.4900000000000002</v>
      </c>
      <c r="E574" s="5">
        <v>5.99</v>
      </c>
      <c r="F574" s="4" t="s">
        <v>5732</v>
      </c>
      <c r="G574" s="2" t="s">
        <v>657</v>
      </c>
      <c r="H574" s="7" t="s">
        <v>442</v>
      </c>
      <c r="I574" s="2" t="s">
        <v>483</v>
      </c>
      <c r="J574" s="2" t="s">
        <v>536</v>
      </c>
      <c r="K574" s="2" t="s">
        <v>304</v>
      </c>
      <c r="L574" s="2" t="s">
        <v>119</v>
      </c>
      <c r="M574" s="8" t="str">
        <f>HYPERLINK("http://slimages.macys.com/is/image/MCY/13987264 ")</f>
        <v xml:space="preserve">http://slimages.macys.com/is/image/MCY/13987264 </v>
      </c>
    </row>
    <row r="575" spans="1:13" ht="60" x14ac:dyDescent="0.25">
      <c r="A575" s="7" t="s">
        <v>9226</v>
      </c>
      <c r="B575" s="2" t="s">
        <v>6567</v>
      </c>
      <c r="C575" s="4">
        <v>1</v>
      </c>
      <c r="D575" s="5">
        <v>2.4900000000000002</v>
      </c>
      <c r="E575" s="5">
        <v>5.99</v>
      </c>
      <c r="F575" s="4" t="s">
        <v>6568</v>
      </c>
      <c r="G575" s="2" t="s">
        <v>353</v>
      </c>
      <c r="H575" s="7" t="s">
        <v>590</v>
      </c>
      <c r="I575" s="2" t="s">
        <v>483</v>
      </c>
      <c r="J575" s="2" t="s">
        <v>536</v>
      </c>
      <c r="K575" s="2" t="s">
        <v>304</v>
      </c>
      <c r="L575" s="2" t="s">
        <v>87</v>
      </c>
      <c r="M575" s="8" t="str">
        <f>HYPERLINK("http://slimages.macys.com/is/image/MCY/12462744 ")</f>
        <v xml:space="preserve">http://slimages.macys.com/is/image/MCY/12462744 </v>
      </c>
    </row>
    <row r="576" spans="1:13" ht="60" x14ac:dyDescent="0.25">
      <c r="A576" s="7" t="s">
        <v>1319</v>
      </c>
      <c r="B576" s="2" t="s">
        <v>1304</v>
      </c>
      <c r="C576" s="4">
        <v>3</v>
      </c>
      <c r="D576" s="5">
        <v>2.4900000000000002</v>
      </c>
      <c r="E576" s="5">
        <v>5.99</v>
      </c>
      <c r="F576" s="4" t="s">
        <v>1305</v>
      </c>
      <c r="G576" s="2" t="s">
        <v>86</v>
      </c>
      <c r="H576" s="7" t="s">
        <v>91</v>
      </c>
      <c r="I576" s="2" t="s">
        <v>483</v>
      </c>
      <c r="J576" s="2" t="s">
        <v>536</v>
      </c>
      <c r="K576" s="2" t="s">
        <v>304</v>
      </c>
      <c r="L576" s="2" t="s">
        <v>38</v>
      </c>
      <c r="M576" s="8" t="str">
        <f>HYPERLINK("http://slimages.macys.com/is/image/MCY/11855486 ")</f>
        <v xml:space="preserve">http://slimages.macys.com/is/image/MCY/11855486 </v>
      </c>
    </row>
    <row r="577" spans="1:13" ht="60" x14ac:dyDescent="0.25">
      <c r="A577" s="7" t="s">
        <v>2314</v>
      </c>
      <c r="B577" s="2" t="s">
        <v>622</v>
      </c>
      <c r="C577" s="4">
        <v>1</v>
      </c>
      <c r="D577" s="5">
        <v>2.48</v>
      </c>
      <c r="E577" s="5">
        <v>7.99</v>
      </c>
      <c r="F577" s="4">
        <v>10005379300</v>
      </c>
      <c r="G577" s="2" t="s">
        <v>437</v>
      </c>
      <c r="H577" s="7"/>
      <c r="I577" s="2" t="s">
        <v>483</v>
      </c>
      <c r="J577" s="2" t="s">
        <v>536</v>
      </c>
      <c r="K577" s="2" t="s">
        <v>304</v>
      </c>
      <c r="L577" s="2" t="s">
        <v>623</v>
      </c>
      <c r="M577" s="8" t="str">
        <f>HYPERLINK("http://slimages.macys.com/is/image/MCY/12465415 ")</f>
        <v xml:space="preserve">http://slimages.macys.com/is/image/MCY/12465415 </v>
      </c>
    </row>
    <row r="578" spans="1:13" ht="60" x14ac:dyDescent="0.25">
      <c r="A578" s="7" t="s">
        <v>2310</v>
      </c>
      <c r="B578" s="2" t="s">
        <v>622</v>
      </c>
      <c r="C578" s="4">
        <v>1</v>
      </c>
      <c r="D578" s="5">
        <v>2.48</v>
      </c>
      <c r="E578" s="5">
        <v>7.99</v>
      </c>
      <c r="F578" s="4">
        <v>10005379300</v>
      </c>
      <c r="G578" s="2" t="s">
        <v>62</v>
      </c>
      <c r="H578" s="7"/>
      <c r="I578" s="2" t="s">
        <v>483</v>
      </c>
      <c r="J578" s="2" t="s">
        <v>536</v>
      </c>
      <c r="K578" s="2" t="s">
        <v>304</v>
      </c>
      <c r="L578" s="2" t="s">
        <v>623</v>
      </c>
      <c r="M578" s="8" t="str">
        <f>HYPERLINK("http://slimages.macys.com/is/image/MCY/12465415 ")</f>
        <v xml:space="preserve">http://slimages.macys.com/is/image/MCY/12465415 </v>
      </c>
    </row>
    <row r="579" spans="1:13" ht="60" x14ac:dyDescent="0.25">
      <c r="A579" s="7" t="s">
        <v>9227</v>
      </c>
      <c r="B579" s="2" t="s">
        <v>9228</v>
      </c>
      <c r="C579" s="4">
        <v>1</v>
      </c>
      <c r="D579" s="5">
        <v>2.48</v>
      </c>
      <c r="E579" s="5">
        <v>5.99</v>
      </c>
      <c r="F579" s="4" t="s">
        <v>9229</v>
      </c>
      <c r="G579" s="2" t="s">
        <v>41</v>
      </c>
      <c r="H579" s="7" t="s">
        <v>442</v>
      </c>
      <c r="I579" s="2" t="s">
        <v>483</v>
      </c>
      <c r="J579" s="2" t="s">
        <v>536</v>
      </c>
      <c r="K579" s="2" t="s">
        <v>304</v>
      </c>
      <c r="L579" s="2" t="s">
        <v>38</v>
      </c>
      <c r="M579" s="8" t="str">
        <f>HYPERLINK("http://slimages.macys.com/is/image/MCY/10379883 ")</f>
        <v xml:space="preserve">http://slimages.macys.com/is/image/MCY/10379883 </v>
      </c>
    </row>
    <row r="580" spans="1:13" ht="60" x14ac:dyDescent="0.25">
      <c r="A580" s="7" t="s">
        <v>1323</v>
      </c>
      <c r="B580" s="2" t="s">
        <v>1324</v>
      </c>
      <c r="C580" s="4">
        <v>1</v>
      </c>
      <c r="D580" s="5">
        <v>2.4700000000000002</v>
      </c>
      <c r="E580" s="5">
        <v>4.99</v>
      </c>
      <c r="F580" s="4" t="s">
        <v>1325</v>
      </c>
      <c r="G580" s="2" t="s">
        <v>86</v>
      </c>
      <c r="H580" s="7" t="s">
        <v>228</v>
      </c>
      <c r="I580" s="2" t="s">
        <v>523</v>
      </c>
      <c r="J580" s="2" t="s">
        <v>921</v>
      </c>
      <c r="K580" s="2" t="s">
        <v>304</v>
      </c>
      <c r="L580" s="2" t="s">
        <v>323</v>
      </c>
      <c r="M580" s="8" t="str">
        <f>HYPERLINK("http://slimages.macys.com/is/image/MCY/11722365 ")</f>
        <v xml:space="preserve">http://slimages.macys.com/is/image/MCY/11722365 </v>
      </c>
    </row>
    <row r="581" spans="1:13" ht="60" x14ac:dyDescent="0.25">
      <c r="A581" s="7" t="s">
        <v>3530</v>
      </c>
      <c r="B581" s="2" t="s">
        <v>1324</v>
      </c>
      <c r="C581" s="4">
        <v>1</v>
      </c>
      <c r="D581" s="5">
        <v>2.4700000000000002</v>
      </c>
      <c r="E581" s="5">
        <v>4.99</v>
      </c>
      <c r="F581" s="4" t="s">
        <v>1325</v>
      </c>
      <c r="G581" s="2" t="s">
        <v>86</v>
      </c>
      <c r="H581" s="7" t="s">
        <v>196</v>
      </c>
      <c r="I581" s="2" t="s">
        <v>523</v>
      </c>
      <c r="J581" s="2" t="s">
        <v>921</v>
      </c>
      <c r="K581" s="2" t="s">
        <v>304</v>
      </c>
      <c r="L581" s="2" t="s">
        <v>323</v>
      </c>
      <c r="M581" s="8" t="str">
        <f>HYPERLINK("http://slimages.macys.com/is/image/MCY/11722365 ")</f>
        <v xml:space="preserve">http://slimages.macys.com/is/image/MCY/11722365 </v>
      </c>
    </row>
    <row r="582" spans="1:13" ht="60" x14ac:dyDescent="0.25">
      <c r="A582" s="7" t="s">
        <v>2320</v>
      </c>
      <c r="B582" s="2" t="s">
        <v>1327</v>
      </c>
      <c r="C582" s="4">
        <v>1</v>
      </c>
      <c r="D582" s="5">
        <v>2.44</v>
      </c>
      <c r="E582" s="5">
        <v>5.99</v>
      </c>
      <c r="F582" s="4" t="s">
        <v>1328</v>
      </c>
      <c r="G582" s="2" t="s">
        <v>41</v>
      </c>
      <c r="H582" s="7" t="s">
        <v>149</v>
      </c>
      <c r="I582" s="2" t="s">
        <v>483</v>
      </c>
      <c r="J582" s="2" t="s">
        <v>536</v>
      </c>
      <c r="K582" s="2" t="s">
        <v>304</v>
      </c>
      <c r="L582" s="2" t="s">
        <v>119</v>
      </c>
      <c r="M582" s="8" t="str">
        <f>HYPERLINK("http://slimages.macys.com/is/image/MCY/12466322 ")</f>
        <v xml:space="preserve">http://slimages.macys.com/is/image/MCY/12466322 </v>
      </c>
    </row>
    <row r="583" spans="1:13" ht="60" x14ac:dyDescent="0.25">
      <c r="A583" s="7" t="s">
        <v>9230</v>
      </c>
      <c r="B583" s="2" t="s">
        <v>4526</v>
      </c>
      <c r="C583" s="4">
        <v>1</v>
      </c>
      <c r="D583" s="5">
        <v>2.4300000000000002</v>
      </c>
      <c r="E583" s="5">
        <v>6.99</v>
      </c>
      <c r="F583" s="4">
        <v>10005485000</v>
      </c>
      <c r="G583" s="2" t="s">
        <v>134</v>
      </c>
      <c r="H583" s="7" t="s">
        <v>482</v>
      </c>
      <c r="I583" s="2" t="s">
        <v>483</v>
      </c>
      <c r="J583" s="2" t="s">
        <v>536</v>
      </c>
      <c r="K583" s="2" t="s">
        <v>304</v>
      </c>
      <c r="L583" s="2" t="s">
        <v>596</v>
      </c>
      <c r="M583" s="8" t="str">
        <f>HYPERLINK("http://slimages.macys.com/is/image/MCY/12465974 ")</f>
        <v xml:space="preserve">http://slimages.macys.com/is/image/MCY/12465974 </v>
      </c>
    </row>
    <row r="584" spans="1:13" ht="108" x14ac:dyDescent="0.25">
      <c r="A584" s="7" t="s">
        <v>2321</v>
      </c>
      <c r="B584" s="2" t="s">
        <v>2322</v>
      </c>
      <c r="C584" s="4">
        <v>1</v>
      </c>
      <c r="D584" s="5">
        <v>2.4300000000000002</v>
      </c>
      <c r="E584" s="5">
        <v>7.99</v>
      </c>
      <c r="F584" s="4" t="s">
        <v>2323</v>
      </c>
      <c r="G584" s="2" t="s">
        <v>41</v>
      </c>
      <c r="H584" s="7"/>
      <c r="I584" s="2" t="s">
        <v>483</v>
      </c>
      <c r="J584" s="2" t="s">
        <v>536</v>
      </c>
      <c r="K584" s="2" t="s">
        <v>304</v>
      </c>
      <c r="L584" s="2" t="s">
        <v>2324</v>
      </c>
      <c r="M584" s="8" t="str">
        <f>HYPERLINK("http://slimages.macys.com/is/image/MCY/14384998 ")</f>
        <v xml:space="preserve">http://slimages.macys.com/is/image/MCY/14384998 </v>
      </c>
    </row>
    <row r="585" spans="1:13" ht="108" x14ac:dyDescent="0.25">
      <c r="A585" s="7" t="s">
        <v>8475</v>
      </c>
      <c r="B585" s="2" t="s">
        <v>2322</v>
      </c>
      <c r="C585" s="4">
        <v>1</v>
      </c>
      <c r="D585" s="5">
        <v>2.4300000000000002</v>
      </c>
      <c r="E585" s="5">
        <v>7.99</v>
      </c>
      <c r="F585" s="4" t="s">
        <v>2323</v>
      </c>
      <c r="G585" s="2" t="s">
        <v>41</v>
      </c>
      <c r="H585" s="7" t="s">
        <v>42</v>
      </c>
      <c r="I585" s="2" t="s">
        <v>483</v>
      </c>
      <c r="J585" s="2" t="s">
        <v>536</v>
      </c>
      <c r="K585" s="2" t="s">
        <v>304</v>
      </c>
      <c r="L585" s="2" t="s">
        <v>2324</v>
      </c>
      <c r="M585" s="8" t="str">
        <f>HYPERLINK("http://slimages.macys.com/is/image/MCY/14384998 ")</f>
        <v xml:space="preserve">http://slimages.macys.com/is/image/MCY/14384998 </v>
      </c>
    </row>
    <row r="586" spans="1:13" ht="108" x14ac:dyDescent="0.25">
      <c r="A586" s="7" t="s">
        <v>2325</v>
      </c>
      <c r="B586" s="2" t="s">
        <v>2322</v>
      </c>
      <c r="C586" s="4">
        <v>1</v>
      </c>
      <c r="D586" s="5">
        <v>2.4300000000000002</v>
      </c>
      <c r="E586" s="5">
        <v>7.99</v>
      </c>
      <c r="F586" s="4" t="s">
        <v>2323</v>
      </c>
      <c r="G586" s="2" t="s">
        <v>41</v>
      </c>
      <c r="H586" s="7" t="s">
        <v>590</v>
      </c>
      <c r="I586" s="2" t="s">
        <v>483</v>
      </c>
      <c r="J586" s="2" t="s">
        <v>536</v>
      </c>
      <c r="K586" s="2" t="s">
        <v>304</v>
      </c>
      <c r="L586" s="2" t="s">
        <v>2324</v>
      </c>
      <c r="M586" s="8" t="str">
        <f>HYPERLINK("http://slimages.macys.com/is/image/MCY/14384998 ")</f>
        <v xml:space="preserve">http://slimages.macys.com/is/image/MCY/14384998 </v>
      </c>
    </row>
    <row r="587" spans="1:13" ht="60" x14ac:dyDescent="0.25">
      <c r="A587" s="7" t="s">
        <v>7219</v>
      </c>
      <c r="B587" s="2" t="s">
        <v>4564</v>
      </c>
      <c r="C587" s="4">
        <v>1</v>
      </c>
      <c r="D587" s="5">
        <v>2.4300000000000002</v>
      </c>
      <c r="E587" s="5">
        <v>6.99</v>
      </c>
      <c r="F587" s="4" t="s">
        <v>4565</v>
      </c>
      <c r="G587" s="2" t="s">
        <v>171</v>
      </c>
      <c r="H587" s="7" t="s">
        <v>149</v>
      </c>
      <c r="I587" s="2" t="s">
        <v>483</v>
      </c>
      <c r="J587" s="2" t="s">
        <v>536</v>
      </c>
      <c r="K587" s="2" t="s">
        <v>304</v>
      </c>
      <c r="L587" s="2" t="s">
        <v>100</v>
      </c>
      <c r="M587" s="8" t="str">
        <f>HYPERLINK("http://slimages.macys.com/is/image/MCY/13987449 ")</f>
        <v xml:space="preserve">http://slimages.macys.com/is/image/MCY/13987449 </v>
      </c>
    </row>
    <row r="588" spans="1:13" ht="108" x14ac:dyDescent="0.25">
      <c r="A588" s="7" t="s">
        <v>2326</v>
      </c>
      <c r="B588" s="2" t="s">
        <v>2322</v>
      </c>
      <c r="C588" s="4">
        <v>2</v>
      </c>
      <c r="D588" s="5">
        <v>2.4300000000000002</v>
      </c>
      <c r="E588" s="5">
        <v>7.99</v>
      </c>
      <c r="F588" s="4" t="s">
        <v>2323</v>
      </c>
      <c r="G588" s="2" t="s">
        <v>41</v>
      </c>
      <c r="H588" s="7" t="s">
        <v>149</v>
      </c>
      <c r="I588" s="2" t="s">
        <v>483</v>
      </c>
      <c r="J588" s="2" t="s">
        <v>536</v>
      </c>
      <c r="K588" s="2" t="s">
        <v>304</v>
      </c>
      <c r="L588" s="2" t="s">
        <v>2324</v>
      </c>
      <c r="M588" s="8" t="str">
        <f>HYPERLINK("http://slimages.macys.com/is/image/MCY/14384998 ")</f>
        <v xml:space="preserve">http://slimages.macys.com/is/image/MCY/14384998 </v>
      </c>
    </row>
    <row r="589" spans="1:13" ht="60" x14ac:dyDescent="0.25">
      <c r="A589" s="7" t="s">
        <v>5737</v>
      </c>
      <c r="B589" s="2" t="s">
        <v>5738</v>
      </c>
      <c r="C589" s="4">
        <v>1</v>
      </c>
      <c r="D589" s="5">
        <v>2.41</v>
      </c>
      <c r="E589" s="5">
        <v>5.99</v>
      </c>
      <c r="F589" s="4" t="s">
        <v>5739</v>
      </c>
      <c r="G589" s="2" t="s">
        <v>1360</v>
      </c>
      <c r="H589" s="7" t="s">
        <v>149</v>
      </c>
      <c r="I589" s="2" t="s">
        <v>483</v>
      </c>
      <c r="J589" s="2" t="s">
        <v>536</v>
      </c>
      <c r="K589" s="2" t="s">
        <v>304</v>
      </c>
      <c r="L589" s="2" t="s">
        <v>119</v>
      </c>
      <c r="M589" s="8" t="str">
        <f>HYPERLINK("http://slimages.macys.com/is/image/MCY/12641081 ")</f>
        <v xml:space="preserve">http://slimages.macys.com/is/image/MCY/12641081 </v>
      </c>
    </row>
    <row r="590" spans="1:13" ht="60" x14ac:dyDescent="0.25">
      <c r="A590" s="7" t="s">
        <v>9231</v>
      </c>
      <c r="B590" s="2" t="s">
        <v>9232</v>
      </c>
      <c r="C590" s="4">
        <v>1</v>
      </c>
      <c r="D590" s="5">
        <v>2.41</v>
      </c>
      <c r="E590" s="5">
        <v>5.99</v>
      </c>
      <c r="F590" s="4" t="s">
        <v>9233</v>
      </c>
      <c r="G590" s="2" t="s">
        <v>437</v>
      </c>
      <c r="H590" s="7" t="s">
        <v>442</v>
      </c>
      <c r="I590" s="2" t="s">
        <v>483</v>
      </c>
      <c r="J590" s="2" t="s">
        <v>536</v>
      </c>
      <c r="K590" s="2" t="s">
        <v>304</v>
      </c>
      <c r="L590" s="2" t="s">
        <v>206</v>
      </c>
      <c r="M590" s="8" t="str">
        <f>HYPERLINK("http://slimages.macys.com/is/image/MCY/11857546 ")</f>
        <v xml:space="preserve">http://slimages.macys.com/is/image/MCY/11857546 </v>
      </c>
    </row>
    <row r="591" spans="1:13" ht="60" x14ac:dyDescent="0.25">
      <c r="A591" s="7" t="s">
        <v>9234</v>
      </c>
      <c r="B591" s="2" t="s">
        <v>1339</v>
      </c>
      <c r="C591" s="4">
        <v>1</v>
      </c>
      <c r="D591" s="5">
        <v>2.4</v>
      </c>
      <c r="E591" s="5">
        <v>4.99</v>
      </c>
      <c r="F591" s="4" t="s">
        <v>1340</v>
      </c>
      <c r="G591" s="2" t="s">
        <v>41</v>
      </c>
      <c r="H591" s="7" t="s">
        <v>284</v>
      </c>
      <c r="I591" s="2" t="s">
        <v>523</v>
      </c>
      <c r="J591" s="2" t="s">
        <v>921</v>
      </c>
      <c r="K591" s="2" t="s">
        <v>304</v>
      </c>
      <c r="L591" s="2" t="s">
        <v>1334</v>
      </c>
      <c r="M591" s="8" t="str">
        <f>HYPERLINK("http://slimages.macys.com/is/image/MCY/11722337 ")</f>
        <v xml:space="preserve">http://slimages.macys.com/is/image/MCY/11722337 </v>
      </c>
    </row>
    <row r="592" spans="1:13" ht="60" x14ac:dyDescent="0.25">
      <c r="A592" s="7" t="s">
        <v>9235</v>
      </c>
      <c r="B592" s="2" t="s">
        <v>5745</v>
      </c>
      <c r="C592" s="4">
        <v>1</v>
      </c>
      <c r="D592" s="5">
        <v>2.39</v>
      </c>
      <c r="E592" s="5">
        <v>6.99</v>
      </c>
      <c r="F592" s="4" t="s">
        <v>5746</v>
      </c>
      <c r="G592" s="2" t="s">
        <v>36</v>
      </c>
      <c r="H592" s="7" t="s">
        <v>42</v>
      </c>
      <c r="I592" s="2" t="s">
        <v>483</v>
      </c>
      <c r="J592" s="2" t="s">
        <v>536</v>
      </c>
      <c r="K592" s="2" t="s">
        <v>304</v>
      </c>
      <c r="L592" s="2" t="s">
        <v>100</v>
      </c>
      <c r="M592" s="8" t="str">
        <f>HYPERLINK("http://slimages.macys.com/is/image/MCY/11792552 ")</f>
        <v xml:space="preserve">http://slimages.macys.com/is/image/MCY/11792552 </v>
      </c>
    </row>
    <row r="593" spans="1:13" ht="60" x14ac:dyDescent="0.25">
      <c r="A593" s="7" t="s">
        <v>9236</v>
      </c>
      <c r="B593" s="2" t="s">
        <v>7232</v>
      </c>
      <c r="C593" s="4">
        <v>1</v>
      </c>
      <c r="D593" s="5">
        <v>2.38</v>
      </c>
      <c r="E593" s="5">
        <v>5.99</v>
      </c>
      <c r="F593" s="4" t="s">
        <v>7233</v>
      </c>
      <c r="G593" s="2" t="s">
        <v>28</v>
      </c>
      <c r="H593" s="7" t="s">
        <v>42</v>
      </c>
      <c r="I593" s="2" t="s">
        <v>483</v>
      </c>
      <c r="J593" s="2" t="s">
        <v>536</v>
      </c>
      <c r="K593" s="2" t="s">
        <v>304</v>
      </c>
      <c r="L593" s="2" t="s">
        <v>119</v>
      </c>
      <c r="M593" s="8" t="str">
        <f>HYPERLINK("http://slimages.macys.com/is/image/MCY/13987615 ")</f>
        <v xml:space="preserve">http://slimages.macys.com/is/image/MCY/13987615 </v>
      </c>
    </row>
    <row r="594" spans="1:13" ht="60" x14ac:dyDescent="0.25">
      <c r="A594" s="7" t="s">
        <v>9237</v>
      </c>
      <c r="B594" s="2" t="s">
        <v>1348</v>
      </c>
      <c r="C594" s="4">
        <v>1</v>
      </c>
      <c r="D594" s="5">
        <v>2.36</v>
      </c>
      <c r="E594" s="5">
        <v>5.99</v>
      </c>
      <c r="F594" s="4" t="s">
        <v>1349</v>
      </c>
      <c r="G594" s="2" t="s">
        <v>62</v>
      </c>
      <c r="H594" s="7" t="s">
        <v>42</v>
      </c>
      <c r="I594" s="2" t="s">
        <v>483</v>
      </c>
      <c r="J594" s="2" t="s">
        <v>536</v>
      </c>
      <c r="K594" s="2" t="s">
        <v>304</v>
      </c>
      <c r="L594" s="2" t="s">
        <v>38</v>
      </c>
      <c r="M594" s="8" t="str">
        <f>HYPERLINK("http://slimages.macys.com/is/image/MCY/13337362 ")</f>
        <v xml:space="preserve">http://slimages.macys.com/is/image/MCY/13337362 </v>
      </c>
    </row>
    <row r="595" spans="1:13" ht="60" x14ac:dyDescent="0.25">
      <c r="A595" s="7" t="s">
        <v>8477</v>
      </c>
      <c r="B595" s="2" t="s">
        <v>1348</v>
      </c>
      <c r="C595" s="4">
        <v>1</v>
      </c>
      <c r="D595" s="5">
        <v>2.36</v>
      </c>
      <c r="E595" s="5">
        <v>5.99</v>
      </c>
      <c r="F595" s="4" t="s">
        <v>1349</v>
      </c>
      <c r="G595" s="2" t="s">
        <v>62</v>
      </c>
      <c r="H595" s="7" t="s">
        <v>149</v>
      </c>
      <c r="I595" s="2" t="s">
        <v>483</v>
      </c>
      <c r="J595" s="2" t="s">
        <v>536</v>
      </c>
      <c r="K595" s="2" t="s">
        <v>304</v>
      </c>
      <c r="L595" s="2" t="s">
        <v>38</v>
      </c>
      <c r="M595" s="8" t="str">
        <f>HYPERLINK("http://slimages.macys.com/is/image/MCY/13337362 ")</f>
        <v xml:space="preserve">http://slimages.macys.com/is/image/MCY/13337362 </v>
      </c>
    </row>
    <row r="596" spans="1:13" ht="60" x14ac:dyDescent="0.25">
      <c r="A596" s="7" t="s">
        <v>9238</v>
      </c>
      <c r="B596" s="2" t="s">
        <v>4573</v>
      </c>
      <c r="C596" s="4">
        <v>1</v>
      </c>
      <c r="D596" s="5">
        <v>2.34</v>
      </c>
      <c r="E596" s="5">
        <v>5.99</v>
      </c>
      <c r="F596" s="4" t="s">
        <v>4574</v>
      </c>
      <c r="G596" s="2" t="s">
        <v>1360</v>
      </c>
      <c r="H596" s="7" t="s">
        <v>590</v>
      </c>
      <c r="I596" s="2" t="s">
        <v>483</v>
      </c>
      <c r="J596" s="2" t="s">
        <v>536</v>
      </c>
      <c r="K596" s="2" t="s">
        <v>304</v>
      </c>
      <c r="L596" s="2" t="s">
        <v>38</v>
      </c>
      <c r="M596" s="8" t="str">
        <f>HYPERLINK("http://slimages.macys.com/is/image/MCY/13987605 ")</f>
        <v xml:space="preserve">http://slimages.macys.com/is/image/MCY/13987605 </v>
      </c>
    </row>
    <row r="597" spans="1:13" ht="60" x14ac:dyDescent="0.25">
      <c r="A597" s="7" t="s">
        <v>2337</v>
      </c>
      <c r="B597" s="2" t="s">
        <v>2338</v>
      </c>
      <c r="C597" s="4">
        <v>1</v>
      </c>
      <c r="D597" s="5">
        <v>2.34</v>
      </c>
      <c r="E597" s="5">
        <v>5.99</v>
      </c>
      <c r="F597" s="4" t="s">
        <v>2339</v>
      </c>
      <c r="G597" s="2" t="s">
        <v>41</v>
      </c>
      <c r="H597" s="7" t="s">
        <v>442</v>
      </c>
      <c r="I597" s="2" t="s">
        <v>483</v>
      </c>
      <c r="J597" s="2" t="s">
        <v>536</v>
      </c>
      <c r="K597" s="2" t="s">
        <v>304</v>
      </c>
      <c r="L597" s="2" t="s">
        <v>38</v>
      </c>
      <c r="M597" s="8" t="str">
        <f>HYPERLINK("http://slimages.macys.com/is/image/MCY/13386590 ")</f>
        <v xml:space="preserve">http://slimages.macys.com/is/image/MCY/13386590 </v>
      </c>
    </row>
    <row r="598" spans="1:13" ht="60" x14ac:dyDescent="0.25">
      <c r="A598" s="7" t="s">
        <v>2341</v>
      </c>
      <c r="B598" s="2" t="s">
        <v>2338</v>
      </c>
      <c r="C598" s="4">
        <v>1</v>
      </c>
      <c r="D598" s="5">
        <v>2.34</v>
      </c>
      <c r="E598" s="5">
        <v>5.99</v>
      </c>
      <c r="F598" s="4" t="s">
        <v>2339</v>
      </c>
      <c r="G598" s="2" t="s">
        <v>41</v>
      </c>
      <c r="H598" s="7" t="s">
        <v>590</v>
      </c>
      <c r="I598" s="2" t="s">
        <v>483</v>
      </c>
      <c r="J598" s="2" t="s">
        <v>536</v>
      </c>
      <c r="K598" s="2" t="s">
        <v>304</v>
      </c>
      <c r="L598" s="2" t="s">
        <v>38</v>
      </c>
      <c r="M598" s="8" t="str">
        <f>HYPERLINK("http://slimages.macys.com/is/image/MCY/13386590 ")</f>
        <v xml:space="preserve">http://slimages.macys.com/is/image/MCY/13386590 </v>
      </c>
    </row>
    <row r="599" spans="1:13" ht="60" x14ac:dyDescent="0.25">
      <c r="A599" s="7" t="s">
        <v>8019</v>
      </c>
      <c r="B599" s="2" t="s">
        <v>8020</v>
      </c>
      <c r="C599" s="4">
        <v>4</v>
      </c>
      <c r="D599" s="5">
        <v>2.33</v>
      </c>
      <c r="E599" s="5">
        <v>4.99</v>
      </c>
      <c r="F599" s="4">
        <v>100002979</v>
      </c>
      <c r="G599" s="2" t="s">
        <v>582</v>
      </c>
      <c r="H599" s="7" t="s">
        <v>531</v>
      </c>
      <c r="I599" s="2" t="s">
        <v>483</v>
      </c>
      <c r="J599" s="2" t="s">
        <v>536</v>
      </c>
      <c r="K599" s="2" t="s">
        <v>304</v>
      </c>
      <c r="L599" s="2" t="s">
        <v>8021</v>
      </c>
      <c r="M599" s="8" t="str">
        <f>HYPERLINK("http://slimages.macys.com/is/image/MCY/8691453 ")</f>
        <v xml:space="preserve">http://slimages.macys.com/is/image/MCY/8691453 </v>
      </c>
    </row>
    <row r="600" spans="1:13" ht="60" x14ac:dyDescent="0.25">
      <c r="A600" s="7" t="s">
        <v>9239</v>
      </c>
      <c r="B600" s="2" t="s">
        <v>9240</v>
      </c>
      <c r="C600" s="4">
        <v>1</v>
      </c>
      <c r="D600" s="5">
        <v>2.3199999999999998</v>
      </c>
      <c r="E600" s="5">
        <v>5.99</v>
      </c>
      <c r="F600" s="4" t="s">
        <v>9241</v>
      </c>
      <c r="G600" s="2" t="s">
        <v>41</v>
      </c>
      <c r="H600" s="7" t="s">
        <v>91</v>
      </c>
      <c r="I600" s="2" t="s">
        <v>483</v>
      </c>
      <c r="J600" s="2" t="s">
        <v>536</v>
      </c>
      <c r="K600" s="2" t="s">
        <v>304</v>
      </c>
      <c r="L600" s="2" t="s">
        <v>100</v>
      </c>
      <c r="M600" s="8" t="str">
        <f>HYPERLINK("http://slimages.macys.com/is/image/MCY/11857491 ")</f>
        <v xml:space="preserve">http://slimages.macys.com/is/image/MCY/11857491 </v>
      </c>
    </row>
    <row r="601" spans="1:13" ht="60" x14ac:dyDescent="0.25">
      <c r="A601" s="7" t="s">
        <v>2347</v>
      </c>
      <c r="B601" s="2" t="s">
        <v>2348</v>
      </c>
      <c r="C601" s="4">
        <v>10</v>
      </c>
      <c r="D601" s="5">
        <v>2.31</v>
      </c>
      <c r="E601" s="5">
        <v>7.99</v>
      </c>
      <c r="F601" s="4">
        <v>10005380100</v>
      </c>
      <c r="G601" s="2" t="s">
        <v>1360</v>
      </c>
      <c r="H601" s="7" t="s">
        <v>531</v>
      </c>
      <c r="I601" s="2" t="s">
        <v>483</v>
      </c>
      <c r="J601" s="2" t="s">
        <v>536</v>
      </c>
      <c r="K601" s="2" t="s">
        <v>304</v>
      </c>
      <c r="L601" s="2" t="s">
        <v>87</v>
      </c>
      <c r="M601" s="8" t="str">
        <f>HYPERLINK("http://slimages.macys.com/is/image/MCY/12466174 ")</f>
        <v xml:space="preserve">http://slimages.macys.com/is/image/MCY/12466174 </v>
      </c>
    </row>
    <row r="602" spans="1:13" ht="60" x14ac:dyDescent="0.25">
      <c r="A602" s="7" t="s">
        <v>4580</v>
      </c>
      <c r="B602" s="2" t="s">
        <v>2350</v>
      </c>
      <c r="C602" s="4">
        <v>1</v>
      </c>
      <c r="D602" s="5">
        <v>2.31</v>
      </c>
      <c r="E602" s="5">
        <v>7.99</v>
      </c>
      <c r="F602" s="4" t="s">
        <v>2351</v>
      </c>
      <c r="G602" s="2" t="s">
        <v>657</v>
      </c>
      <c r="H602" s="7" t="s">
        <v>514</v>
      </c>
      <c r="I602" s="2" t="s">
        <v>483</v>
      </c>
      <c r="J602" s="2" t="s">
        <v>536</v>
      </c>
      <c r="K602" s="2" t="s">
        <v>304</v>
      </c>
      <c r="L602" s="2" t="s">
        <v>38</v>
      </c>
      <c r="M602" s="8" t="str">
        <f>HYPERLINK("http://slimages.macys.com/is/image/MCY/13987607 ")</f>
        <v xml:space="preserve">http://slimages.macys.com/is/image/MCY/13987607 </v>
      </c>
    </row>
    <row r="603" spans="1:13" ht="60" x14ac:dyDescent="0.25">
      <c r="A603" s="7" t="s">
        <v>5765</v>
      </c>
      <c r="B603" s="2" t="s">
        <v>2353</v>
      </c>
      <c r="C603" s="4">
        <v>2</v>
      </c>
      <c r="D603" s="5">
        <v>2.31</v>
      </c>
      <c r="E603" s="5">
        <v>7.99</v>
      </c>
      <c r="F603" s="4" t="s">
        <v>2354</v>
      </c>
      <c r="G603" s="2" t="s">
        <v>657</v>
      </c>
      <c r="H603" s="7" t="s">
        <v>514</v>
      </c>
      <c r="I603" s="2" t="s">
        <v>483</v>
      </c>
      <c r="J603" s="2" t="s">
        <v>536</v>
      </c>
      <c r="K603" s="2" t="s">
        <v>304</v>
      </c>
      <c r="L603" s="2" t="s">
        <v>119</v>
      </c>
      <c r="M603" s="8" t="str">
        <f>HYPERLINK("http://slimages.macys.com/is/image/MCY/13987628 ")</f>
        <v xml:space="preserve">http://slimages.macys.com/is/image/MCY/13987628 </v>
      </c>
    </row>
    <row r="604" spans="1:13" ht="60" x14ac:dyDescent="0.25">
      <c r="A604" s="7" t="s">
        <v>2352</v>
      </c>
      <c r="B604" s="2" t="s">
        <v>2353</v>
      </c>
      <c r="C604" s="4">
        <v>1</v>
      </c>
      <c r="D604" s="5">
        <v>2.31</v>
      </c>
      <c r="E604" s="5">
        <v>7.99</v>
      </c>
      <c r="F604" s="4" t="s">
        <v>2354</v>
      </c>
      <c r="G604" s="2" t="s">
        <v>657</v>
      </c>
      <c r="H604" s="7" t="s">
        <v>1151</v>
      </c>
      <c r="I604" s="2" t="s">
        <v>483</v>
      </c>
      <c r="J604" s="2" t="s">
        <v>536</v>
      </c>
      <c r="K604" s="2" t="s">
        <v>304</v>
      </c>
      <c r="L604" s="2" t="s">
        <v>119</v>
      </c>
      <c r="M604" s="8" t="str">
        <f>HYPERLINK("http://slimages.macys.com/is/image/MCY/13987628 ")</f>
        <v xml:space="preserve">http://slimages.macys.com/is/image/MCY/13987628 </v>
      </c>
    </row>
    <row r="605" spans="1:13" ht="60" x14ac:dyDescent="0.25">
      <c r="A605" s="7" t="s">
        <v>9242</v>
      </c>
      <c r="B605" s="2" t="s">
        <v>2364</v>
      </c>
      <c r="C605" s="4">
        <v>1</v>
      </c>
      <c r="D605" s="5">
        <v>2.29</v>
      </c>
      <c r="E605" s="5">
        <v>5.99</v>
      </c>
      <c r="F605" s="4" t="s">
        <v>2365</v>
      </c>
      <c r="G605" s="2" t="s">
        <v>657</v>
      </c>
      <c r="H605" s="7" t="s">
        <v>42</v>
      </c>
      <c r="I605" s="2" t="s">
        <v>483</v>
      </c>
      <c r="J605" s="2" t="s">
        <v>536</v>
      </c>
      <c r="K605" s="2" t="s">
        <v>304</v>
      </c>
      <c r="L605" s="2" t="s">
        <v>119</v>
      </c>
      <c r="M605" s="8" t="str">
        <f>HYPERLINK("http://slimages.macys.com/is/image/MCY/12644673 ")</f>
        <v xml:space="preserve">http://slimages.macys.com/is/image/MCY/12644673 </v>
      </c>
    </row>
    <row r="606" spans="1:13" ht="60" x14ac:dyDescent="0.25">
      <c r="A606" s="7" t="s">
        <v>2363</v>
      </c>
      <c r="B606" s="2" t="s">
        <v>2364</v>
      </c>
      <c r="C606" s="4">
        <v>1</v>
      </c>
      <c r="D606" s="5">
        <v>2.29</v>
      </c>
      <c r="E606" s="5">
        <v>5.99</v>
      </c>
      <c r="F606" s="4" t="s">
        <v>2365</v>
      </c>
      <c r="G606" s="2" t="s">
        <v>657</v>
      </c>
      <c r="H606" s="7" t="s">
        <v>442</v>
      </c>
      <c r="I606" s="2" t="s">
        <v>483</v>
      </c>
      <c r="J606" s="2" t="s">
        <v>536</v>
      </c>
      <c r="K606" s="2" t="s">
        <v>304</v>
      </c>
      <c r="L606" s="2" t="s">
        <v>119</v>
      </c>
      <c r="M606" s="8" t="str">
        <f>HYPERLINK("http://slimages.macys.com/is/image/MCY/12644673 ")</f>
        <v xml:space="preserve">http://slimages.macys.com/is/image/MCY/12644673 </v>
      </c>
    </row>
    <row r="607" spans="1:13" ht="60" x14ac:dyDescent="0.25">
      <c r="A607" s="7" t="s">
        <v>6625</v>
      </c>
      <c r="B607" s="2" t="s">
        <v>2359</v>
      </c>
      <c r="C607" s="4">
        <v>1</v>
      </c>
      <c r="D607" s="5">
        <v>2.29</v>
      </c>
      <c r="E607" s="5">
        <v>5.99</v>
      </c>
      <c r="F607" s="4" t="s">
        <v>2360</v>
      </c>
      <c r="G607" s="2" t="s">
        <v>28</v>
      </c>
      <c r="H607" s="7" t="s">
        <v>149</v>
      </c>
      <c r="I607" s="2" t="s">
        <v>483</v>
      </c>
      <c r="J607" s="2" t="s">
        <v>536</v>
      </c>
      <c r="K607" s="2" t="s">
        <v>304</v>
      </c>
      <c r="L607" s="2" t="s">
        <v>119</v>
      </c>
      <c r="M607" s="8" t="str">
        <f>HYPERLINK("http://slimages.macys.com/is/image/MCY/12644507 ")</f>
        <v xml:space="preserve">http://slimages.macys.com/is/image/MCY/12644507 </v>
      </c>
    </row>
    <row r="608" spans="1:13" ht="60" x14ac:dyDescent="0.25">
      <c r="A608" s="7" t="s">
        <v>2358</v>
      </c>
      <c r="B608" s="2" t="s">
        <v>2359</v>
      </c>
      <c r="C608" s="4">
        <v>3</v>
      </c>
      <c r="D608" s="5">
        <v>2.29</v>
      </c>
      <c r="E608" s="5">
        <v>5.99</v>
      </c>
      <c r="F608" s="4" t="s">
        <v>2360</v>
      </c>
      <c r="G608" s="2" t="s">
        <v>28</v>
      </c>
      <c r="H608" s="7" t="s">
        <v>42</v>
      </c>
      <c r="I608" s="2" t="s">
        <v>483</v>
      </c>
      <c r="J608" s="2" t="s">
        <v>536</v>
      </c>
      <c r="K608" s="2" t="s">
        <v>304</v>
      </c>
      <c r="L608" s="2" t="s">
        <v>119</v>
      </c>
      <c r="M608" s="8" t="str">
        <f>HYPERLINK("http://slimages.macys.com/is/image/MCY/12644507 ")</f>
        <v xml:space="preserve">http://slimages.macys.com/is/image/MCY/12644507 </v>
      </c>
    </row>
    <row r="609" spans="1:13" ht="60" x14ac:dyDescent="0.25">
      <c r="A609" s="7" t="s">
        <v>2362</v>
      </c>
      <c r="B609" s="2" t="s">
        <v>2359</v>
      </c>
      <c r="C609" s="4">
        <v>2</v>
      </c>
      <c r="D609" s="5">
        <v>2.29</v>
      </c>
      <c r="E609" s="5">
        <v>5.99</v>
      </c>
      <c r="F609" s="4" t="s">
        <v>2360</v>
      </c>
      <c r="G609" s="2" t="s">
        <v>28</v>
      </c>
      <c r="H609" s="7" t="s">
        <v>442</v>
      </c>
      <c r="I609" s="2" t="s">
        <v>483</v>
      </c>
      <c r="J609" s="2" t="s">
        <v>536</v>
      </c>
      <c r="K609" s="2" t="s">
        <v>304</v>
      </c>
      <c r="L609" s="2" t="s">
        <v>119</v>
      </c>
      <c r="M609" s="8" t="str">
        <f>HYPERLINK("http://slimages.macys.com/is/image/MCY/12644507 ")</f>
        <v xml:space="preserve">http://slimages.macys.com/is/image/MCY/12644507 </v>
      </c>
    </row>
    <row r="610" spans="1:13" ht="60" x14ac:dyDescent="0.25">
      <c r="A610" s="7" t="s">
        <v>6626</v>
      </c>
      <c r="B610" s="2" t="s">
        <v>2359</v>
      </c>
      <c r="C610" s="4">
        <v>6</v>
      </c>
      <c r="D610" s="5">
        <v>2.29</v>
      </c>
      <c r="E610" s="5">
        <v>5.99</v>
      </c>
      <c r="F610" s="4" t="s">
        <v>2360</v>
      </c>
      <c r="G610" s="2" t="s">
        <v>28</v>
      </c>
      <c r="H610" s="7" t="s">
        <v>91</v>
      </c>
      <c r="I610" s="2" t="s">
        <v>483</v>
      </c>
      <c r="J610" s="2" t="s">
        <v>536</v>
      </c>
      <c r="K610" s="2" t="s">
        <v>304</v>
      </c>
      <c r="L610" s="2" t="s">
        <v>119</v>
      </c>
      <c r="M610" s="8" t="str">
        <f>HYPERLINK("http://slimages.macys.com/is/image/MCY/12644507 ")</f>
        <v xml:space="preserve">http://slimages.macys.com/is/image/MCY/12644507 </v>
      </c>
    </row>
    <row r="611" spans="1:13" ht="60" x14ac:dyDescent="0.25">
      <c r="A611" s="7" t="s">
        <v>8022</v>
      </c>
      <c r="B611" s="2" t="s">
        <v>2364</v>
      </c>
      <c r="C611" s="4">
        <v>1</v>
      </c>
      <c r="D611" s="5">
        <v>2.29</v>
      </c>
      <c r="E611" s="5">
        <v>5.99</v>
      </c>
      <c r="F611" s="4" t="s">
        <v>2365</v>
      </c>
      <c r="G611" s="2" t="s">
        <v>657</v>
      </c>
      <c r="H611" s="7" t="s">
        <v>149</v>
      </c>
      <c r="I611" s="2" t="s">
        <v>483</v>
      </c>
      <c r="J611" s="2" t="s">
        <v>536</v>
      </c>
      <c r="K611" s="2" t="s">
        <v>304</v>
      </c>
      <c r="L611" s="2" t="s">
        <v>119</v>
      </c>
      <c r="M611" s="8" t="str">
        <f>HYPERLINK("http://slimages.macys.com/is/image/MCY/12644673 ")</f>
        <v xml:space="preserve">http://slimages.macys.com/is/image/MCY/12644673 </v>
      </c>
    </row>
    <row r="612" spans="1:13" ht="60" x14ac:dyDescent="0.25">
      <c r="A612" s="7" t="s">
        <v>4585</v>
      </c>
      <c r="B612" s="2" t="s">
        <v>2359</v>
      </c>
      <c r="C612" s="4">
        <v>2</v>
      </c>
      <c r="D612" s="5">
        <v>2.29</v>
      </c>
      <c r="E612" s="5">
        <v>5.99</v>
      </c>
      <c r="F612" s="4" t="s">
        <v>2360</v>
      </c>
      <c r="G612" s="2" t="s">
        <v>28</v>
      </c>
      <c r="H612" s="7" t="s">
        <v>590</v>
      </c>
      <c r="I612" s="2" t="s">
        <v>483</v>
      </c>
      <c r="J612" s="2" t="s">
        <v>536</v>
      </c>
      <c r="K612" s="2" t="s">
        <v>304</v>
      </c>
      <c r="L612" s="2" t="s">
        <v>119</v>
      </c>
      <c r="M612" s="8" t="str">
        <f>HYPERLINK("http://slimages.macys.com/is/image/MCY/12644507 ")</f>
        <v xml:space="preserve">http://slimages.macys.com/is/image/MCY/12644507 </v>
      </c>
    </row>
    <row r="613" spans="1:13" ht="60" x14ac:dyDescent="0.25">
      <c r="A613" s="7" t="s">
        <v>2366</v>
      </c>
      <c r="B613" s="2" t="s">
        <v>2364</v>
      </c>
      <c r="C613" s="4">
        <v>2</v>
      </c>
      <c r="D613" s="5">
        <v>2.29</v>
      </c>
      <c r="E613" s="5">
        <v>5.99</v>
      </c>
      <c r="F613" s="4" t="s">
        <v>2365</v>
      </c>
      <c r="G613" s="2" t="s">
        <v>657</v>
      </c>
      <c r="H613" s="7" t="s">
        <v>590</v>
      </c>
      <c r="I613" s="2" t="s">
        <v>483</v>
      </c>
      <c r="J613" s="2" t="s">
        <v>536</v>
      </c>
      <c r="K613" s="2" t="s">
        <v>304</v>
      </c>
      <c r="L613" s="2" t="s">
        <v>119</v>
      </c>
      <c r="M613" s="8" t="str">
        <f>HYPERLINK("http://slimages.macys.com/is/image/MCY/12644673 ")</f>
        <v xml:space="preserve">http://slimages.macys.com/is/image/MCY/12644673 </v>
      </c>
    </row>
    <row r="614" spans="1:13" ht="60" x14ac:dyDescent="0.25">
      <c r="A614" s="7" t="s">
        <v>2368</v>
      </c>
      <c r="B614" s="2" t="s">
        <v>1368</v>
      </c>
      <c r="C614" s="4">
        <v>2</v>
      </c>
      <c r="D614" s="5">
        <v>2.2799999999999998</v>
      </c>
      <c r="E614" s="5">
        <v>5.99</v>
      </c>
      <c r="F614" s="4" t="s">
        <v>1369</v>
      </c>
      <c r="G614" s="2" t="s">
        <v>41</v>
      </c>
      <c r="H614" s="7" t="s">
        <v>590</v>
      </c>
      <c r="I614" s="2" t="s">
        <v>483</v>
      </c>
      <c r="J614" s="2" t="s">
        <v>536</v>
      </c>
      <c r="K614" s="2" t="s">
        <v>304</v>
      </c>
      <c r="L614" s="2" t="s">
        <v>38</v>
      </c>
      <c r="M614" s="8" t="str">
        <f>HYPERLINK("http://slimages.macys.com/is/image/MCY/13987603 ")</f>
        <v xml:space="preserve">http://slimages.macys.com/is/image/MCY/13987603 </v>
      </c>
    </row>
    <row r="615" spans="1:13" ht="60" x14ac:dyDescent="0.25">
      <c r="A615" s="7" t="s">
        <v>9243</v>
      </c>
      <c r="B615" s="2" t="s">
        <v>4587</v>
      </c>
      <c r="C615" s="4">
        <v>1</v>
      </c>
      <c r="D615" s="5">
        <v>2.27</v>
      </c>
      <c r="E615" s="5">
        <v>5.99</v>
      </c>
      <c r="F615" s="4" t="s">
        <v>4588</v>
      </c>
      <c r="G615" s="2" t="s">
        <v>129</v>
      </c>
      <c r="H615" s="7" t="s">
        <v>91</v>
      </c>
      <c r="I615" s="2" t="s">
        <v>483</v>
      </c>
      <c r="J615" s="2" t="s">
        <v>536</v>
      </c>
      <c r="K615" s="2" t="s">
        <v>304</v>
      </c>
      <c r="L615" s="2" t="s">
        <v>38</v>
      </c>
      <c r="M615" s="8" t="str">
        <f>HYPERLINK("http://slimages.macys.com/is/image/MCY/11857357 ")</f>
        <v xml:space="preserve">http://slimages.macys.com/is/image/MCY/11857357 </v>
      </c>
    </row>
    <row r="616" spans="1:13" ht="60" x14ac:dyDescent="0.25">
      <c r="A616" s="7" t="s">
        <v>6627</v>
      </c>
      <c r="B616" s="2" t="s">
        <v>6628</v>
      </c>
      <c r="C616" s="4">
        <v>1</v>
      </c>
      <c r="D616" s="5">
        <v>2.27</v>
      </c>
      <c r="E616" s="5">
        <v>5.99</v>
      </c>
      <c r="F616" s="4" t="s">
        <v>6629</v>
      </c>
      <c r="G616" s="2" t="s">
        <v>86</v>
      </c>
      <c r="H616" s="7" t="s">
        <v>91</v>
      </c>
      <c r="I616" s="2" t="s">
        <v>483</v>
      </c>
      <c r="J616" s="2" t="s">
        <v>536</v>
      </c>
      <c r="K616" s="2" t="s">
        <v>304</v>
      </c>
      <c r="L616" s="2" t="s">
        <v>119</v>
      </c>
      <c r="M616" s="8" t="str">
        <f>HYPERLINK("http://slimages.macys.com/is/image/MCY/11377335 ")</f>
        <v xml:space="preserve">http://slimages.macys.com/is/image/MCY/11377335 </v>
      </c>
    </row>
    <row r="617" spans="1:13" ht="60" x14ac:dyDescent="0.25">
      <c r="A617" s="7" t="s">
        <v>9244</v>
      </c>
      <c r="B617" s="2" t="s">
        <v>7259</v>
      </c>
      <c r="C617" s="4">
        <v>1</v>
      </c>
      <c r="D617" s="5">
        <v>2.2400000000000002</v>
      </c>
      <c r="E617" s="5">
        <v>5.99</v>
      </c>
      <c r="F617" s="4" t="s">
        <v>7260</v>
      </c>
      <c r="G617" s="2" t="s">
        <v>353</v>
      </c>
      <c r="H617" s="7" t="s">
        <v>149</v>
      </c>
      <c r="I617" s="2" t="s">
        <v>483</v>
      </c>
      <c r="J617" s="2" t="s">
        <v>536</v>
      </c>
      <c r="K617" s="2" t="s">
        <v>304</v>
      </c>
      <c r="L617" s="2" t="s">
        <v>206</v>
      </c>
      <c r="M617" s="8" t="str">
        <f>HYPERLINK("http://slimages.macys.com/is/image/MCY/12644528 ")</f>
        <v xml:space="preserve">http://slimages.macys.com/is/image/MCY/12644528 </v>
      </c>
    </row>
    <row r="618" spans="1:13" ht="60" x14ac:dyDescent="0.25">
      <c r="A618" s="7" t="s">
        <v>9245</v>
      </c>
      <c r="B618" s="2" t="s">
        <v>7259</v>
      </c>
      <c r="C618" s="4">
        <v>1</v>
      </c>
      <c r="D618" s="5">
        <v>2.2400000000000002</v>
      </c>
      <c r="E618" s="5">
        <v>5.99</v>
      </c>
      <c r="F618" s="4" t="s">
        <v>7260</v>
      </c>
      <c r="G618" s="2" t="s">
        <v>353</v>
      </c>
      <c r="H618" s="7" t="s">
        <v>590</v>
      </c>
      <c r="I618" s="2" t="s">
        <v>483</v>
      </c>
      <c r="J618" s="2" t="s">
        <v>536</v>
      </c>
      <c r="K618" s="2" t="s">
        <v>304</v>
      </c>
      <c r="L618" s="2" t="s">
        <v>206</v>
      </c>
      <c r="M618" s="8" t="str">
        <f>HYPERLINK("http://slimages.macys.com/is/image/MCY/12644528 ")</f>
        <v xml:space="preserve">http://slimages.macys.com/is/image/MCY/12644528 </v>
      </c>
    </row>
    <row r="619" spans="1:13" ht="60" x14ac:dyDescent="0.25">
      <c r="A619" s="7" t="s">
        <v>7262</v>
      </c>
      <c r="B619" s="2" t="s">
        <v>7259</v>
      </c>
      <c r="C619" s="4">
        <v>2</v>
      </c>
      <c r="D619" s="5">
        <v>2.2400000000000002</v>
      </c>
      <c r="E619" s="5">
        <v>5.99</v>
      </c>
      <c r="F619" s="4" t="s">
        <v>7260</v>
      </c>
      <c r="G619" s="2" t="s">
        <v>353</v>
      </c>
      <c r="H619" s="7" t="s">
        <v>42</v>
      </c>
      <c r="I619" s="2" t="s">
        <v>483</v>
      </c>
      <c r="J619" s="2" t="s">
        <v>536</v>
      </c>
      <c r="K619" s="2" t="s">
        <v>304</v>
      </c>
      <c r="L619" s="2" t="s">
        <v>206</v>
      </c>
      <c r="M619" s="8" t="str">
        <f>HYPERLINK("http://slimages.macys.com/is/image/MCY/12644528 ")</f>
        <v xml:space="preserve">http://slimages.macys.com/is/image/MCY/12644528 </v>
      </c>
    </row>
    <row r="620" spans="1:13" ht="60" x14ac:dyDescent="0.25">
      <c r="A620" s="7" t="s">
        <v>8034</v>
      </c>
      <c r="B620" s="2" t="s">
        <v>7259</v>
      </c>
      <c r="C620" s="4">
        <v>2</v>
      </c>
      <c r="D620" s="5">
        <v>2.2400000000000002</v>
      </c>
      <c r="E620" s="5">
        <v>5.99</v>
      </c>
      <c r="F620" s="4" t="s">
        <v>7260</v>
      </c>
      <c r="G620" s="2" t="s">
        <v>353</v>
      </c>
      <c r="H620" s="7" t="s">
        <v>91</v>
      </c>
      <c r="I620" s="2" t="s">
        <v>483</v>
      </c>
      <c r="J620" s="2" t="s">
        <v>536</v>
      </c>
      <c r="K620" s="2" t="s">
        <v>304</v>
      </c>
      <c r="L620" s="2" t="s">
        <v>206</v>
      </c>
      <c r="M620" s="8" t="str">
        <f>HYPERLINK("http://slimages.macys.com/is/image/MCY/12644528 ")</f>
        <v xml:space="preserve">http://slimages.macys.com/is/image/MCY/12644528 </v>
      </c>
    </row>
    <row r="621" spans="1:13" ht="60" x14ac:dyDescent="0.25">
      <c r="A621" s="7" t="s">
        <v>7261</v>
      </c>
      <c r="B621" s="2" t="s">
        <v>2377</v>
      </c>
      <c r="C621" s="4">
        <v>1</v>
      </c>
      <c r="D621" s="5">
        <v>2.2400000000000002</v>
      </c>
      <c r="E621" s="5">
        <v>5.99</v>
      </c>
      <c r="F621" s="4" t="s">
        <v>2378</v>
      </c>
      <c r="G621" s="2" t="s">
        <v>643</v>
      </c>
      <c r="H621" s="7" t="s">
        <v>590</v>
      </c>
      <c r="I621" s="2" t="s">
        <v>483</v>
      </c>
      <c r="J621" s="2" t="s">
        <v>536</v>
      </c>
      <c r="K621" s="2" t="s">
        <v>304</v>
      </c>
      <c r="L621" s="2" t="s">
        <v>206</v>
      </c>
      <c r="M621" s="8" t="str">
        <f>HYPERLINK("http://slimages.macys.com/is/image/MCY/13386674 ")</f>
        <v xml:space="preserve">http://slimages.macys.com/is/image/MCY/13386674 </v>
      </c>
    </row>
    <row r="622" spans="1:13" ht="60" x14ac:dyDescent="0.25">
      <c r="A622" s="7" t="s">
        <v>2376</v>
      </c>
      <c r="B622" s="2" t="s">
        <v>2377</v>
      </c>
      <c r="C622" s="4">
        <v>1</v>
      </c>
      <c r="D622" s="5">
        <v>2.2400000000000002</v>
      </c>
      <c r="E622" s="5">
        <v>5.99</v>
      </c>
      <c r="F622" s="4" t="s">
        <v>2378</v>
      </c>
      <c r="G622" s="2" t="s">
        <v>643</v>
      </c>
      <c r="H622" s="7" t="s">
        <v>42</v>
      </c>
      <c r="I622" s="2" t="s">
        <v>483</v>
      </c>
      <c r="J622" s="2" t="s">
        <v>536</v>
      </c>
      <c r="K622" s="2" t="s">
        <v>304</v>
      </c>
      <c r="L622" s="2" t="s">
        <v>206</v>
      </c>
      <c r="M622" s="8" t="str">
        <f>HYPERLINK("http://slimages.macys.com/is/image/MCY/13386674 ")</f>
        <v xml:space="preserve">http://slimages.macys.com/is/image/MCY/13386674 </v>
      </c>
    </row>
    <row r="623" spans="1:13" ht="60" x14ac:dyDescent="0.25">
      <c r="A623" s="7" t="s">
        <v>7258</v>
      </c>
      <c r="B623" s="2" t="s">
        <v>7259</v>
      </c>
      <c r="C623" s="4">
        <v>1</v>
      </c>
      <c r="D623" s="5">
        <v>2.2400000000000002</v>
      </c>
      <c r="E623" s="5">
        <v>5.99</v>
      </c>
      <c r="F623" s="4" t="s">
        <v>7260</v>
      </c>
      <c r="G623" s="2" t="s">
        <v>353</v>
      </c>
      <c r="H623" s="7" t="s">
        <v>442</v>
      </c>
      <c r="I623" s="2" t="s">
        <v>483</v>
      </c>
      <c r="J623" s="2" t="s">
        <v>536</v>
      </c>
      <c r="K623" s="2" t="s">
        <v>304</v>
      </c>
      <c r="L623" s="2" t="s">
        <v>206</v>
      </c>
      <c r="M623" s="8" t="str">
        <f>HYPERLINK("http://slimages.macys.com/is/image/MCY/12644528 ")</f>
        <v xml:space="preserve">http://slimages.macys.com/is/image/MCY/12644528 </v>
      </c>
    </row>
    <row r="624" spans="1:13" ht="60" x14ac:dyDescent="0.25">
      <c r="A624" s="7" t="s">
        <v>9246</v>
      </c>
      <c r="B624" s="2" t="s">
        <v>6080</v>
      </c>
      <c r="C624" s="4">
        <v>2</v>
      </c>
      <c r="D624" s="5">
        <v>2.2200000000000002</v>
      </c>
      <c r="E624" s="5">
        <v>5.99</v>
      </c>
      <c r="F624" s="4" t="s">
        <v>6081</v>
      </c>
      <c r="G624" s="2" t="s">
        <v>28</v>
      </c>
      <c r="H624" s="7" t="s">
        <v>442</v>
      </c>
      <c r="I624" s="2" t="s">
        <v>483</v>
      </c>
      <c r="J624" s="2" t="s">
        <v>536</v>
      </c>
      <c r="K624" s="2" t="s">
        <v>304</v>
      </c>
      <c r="L624" s="2" t="s">
        <v>206</v>
      </c>
      <c r="M624" s="8" t="str">
        <f>HYPERLINK("http://slimages.macys.com/is/image/MCY/12644529 ")</f>
        <v xml:space="preserve">http://slimages.macys.com/is/image/MCY/12644529 </v>
      </c>
    </row>
    <row r="625" spans="1:13" ht="60" x14ac:dyDescent="0.25">
      <c r="A625" s="7" t="s">
        <v>9247</v>
      </c>
      <c r="B625" s="2" t="s">
        <v>8491</v>
      </c>
      <c r="C625" s="4">
        <v>1</v>
      </c>
      <c r="D625" s="5">
        <v>2.2200000000000002</v>
      </c>
      <c r="E625" s="5">
        <v>5.99</v>
      </c>
      <c r="F625" s="4" t="s">
        <v>8492</v>
      </c>
      <c r="G625" s="2" t="s">
        <v>2107</v>
      </c>
      <c r="H625" s="7" t="s">
        <v>91</v>
      </c>
      <c r="I625" s="2" t="s">
        <v>483</v>
      </c>
      <c r="J625" s="2" t="s">
        <v>536</v>
      </c>
      <c r="K625" s="2" t="s">
        <v>304</v>
      </c>
      <c r="L625" s="2" t="s">
        <v>206</v>
      </c>
      <c r="M625" s="8" t="str">
        <f>HYPERLINK("http://slimages.macys.com/is/image/MCY/11856917 ")</f>
        <v xml:space="preserve">http://slimages.macys.com/is/image/MCY/11856917 </v>
      </c>
    </row>
    <row r="626" spans="1:13" ht="60" x14ac:dyDescent="0.25">
      <c r="A626" s="7" t="s">
        <v>7271</v>
      </c>
      <c r="B626" s="2" t="s">
        <v>2380</v>
      </c>
      <c r="C626" s="4">
        <v>1</v>
      </c>
      <c r="D626" s="5">
        <v>2.2200000000000002</v>
      </c>
      <c r="E626" s="5">
        <v>5.99</v>
      </c>
      <c r="F626" s="4" t="s">
        <v>2381</v>
      </c>
      <c r="G626" s="2" t="s">
        <v>28</v>
      </c>
      <c r="H626" s="7" t="s">
        <v>590</v>
      </c>
      <c r="I626" s="2" t="s">
        <v>483</v>
      </c>
      <c r="J626" s="2" t="s">
        <v>536</v>
      </c>
      <c r="K626" s="2" t="s">
        <v>304</v>
      </c>
      <c r="L626" s="2" t="s">
        <v>119</v>
      </c>
      <c r="M626" s="8" t="str">
        <f>HYPERLINK("http://slimages.macys.com/is/image/MCY/12462743 ")</f>
        <v xml:space="preserve">http://slimages.macys.com/is/image/MCY/12462743 </v>
      </c>
    </row>
    <row r="627" spans="1:13" ht="60" x14ac:dyDescent="0.25">
      <c r="A627" s="7" t="s">
        <v>9248</v>
      </c>
      <c r="B627" s="2" t="s">
        <v>2388</v>
      </c>
      <c r="C627" s="4">
        <v>2</v>
      </c>
      <c r="D627" s="5">
        <v>2.2200000000000002</v>
      </c>
      <c r="E627" s="5">
        <v>5.99</v>
      </c>
      <c r="F627" s="4" t="s">
        <v>2389</v>
      </c>
      <c r="G627" s="2" t="s">
        <v>41</v>
      </c>
      <c r="H627" s="7" t="s">
        <v>149</v>
      </c>
      <c r="I627" s="2" t="s">
        <v>483</v>
      </c>
      <c r="J627" s="2" t="s">
        <v>536</v>
      </c>
      <c r="K627" s="2" t="s">
        <v>304</v>
      </c>
      <c r="L627" s="2" t="s">
        <v>206</v>
      </c>
      <c r="M627" s="8" t="str">
        <f>HYPERLINK("http://slimages.macys.com/is/image/MCY/13987622 ")</f>
        <v xml:space="preserve">http://slimages.macys.com/is/image/MCY/13987622 </v>
      </c>
    </row>
    <row r="628" spans="1:13" ht="60" x14ac:dyDescent="0.25">
      <c r="A628" s="7" t="s">
        <v>2384</v>
      </c>
      <c r="B628" s="2" t="s">
        <v>2385</v>
      </c>
      <c r="C628" s="4">
        <v>1</v>
      </c>
      <c r="D628" s="5">
        <v>2.2200000000000002</v>
      </c>
      <c r="E628" s="5">
        <v>5.99</v>
      </c>
      <c r="F628" s="4" t="s">
        <v>2386</v>
      </c>
      <c r="G628" s="2" t="s">
        <v>129</v>
      </c>
      <c r="H628" s="7" t="s">
        <v>149</v>
      </c>
      <c r="I628" s="2" t="s">
        <v>483</v>
      </c>
      <c r="J628" s="2" t="s">
        <v>536</v>
      </c>
      <c r="K628" s="2" t="s">
        <v>304</v>
      </c>
      <c r="L628" s="2" t="s">
        <v>206</v>
      </c>
      <c r="M628" s="8" t="str">
        <f>HYPERLINK("http://slimages.macys.com/is/image/MCY/12644557 ")</f>
        <v xml:space="preserve">http://slimages.macys.com/is/image/MCY/12644557 </v>
      </c>
    </row>
    <row r="629" spans="1:13" ht="60" x14ac:dyDescent="0.25">
      <c r="A629" s="7" t="s">
        <v>9249</v>
      </c>
      <c r="B629" s="2" t="s">
        <v>2380</v>
      </c>
      <c r="C629" s="4">
        <v>2</v>
      </c>
      <c r="D629" s="5">
        <v>2.2200000000000002</v>
      </c>
      <c r="E629" s="5">
        <v>5.99</v>
      </c>
      <c r="F629" s="4" t="s">
        <v>2381</v>
      </c>
      <c r="G629" s="2" t="s">
        <v>28</v>
      </c>
      <c r="H629" s="7" t="s">
        <v>42</v>
      </c>
      <c r="I629" s="2" t="s">
        <v>483</v>
      </c>
      <c r="J629" s="2" t="s">
        <v>536</v>
      </c>
      <c r="K629" s="2" t="s">
        <v>304</v>
      </c>
      <c r="L629" s="2" t="s">
        <v>119</v>
      </c>
      <c r="M629" s="8" t="str">
        <f>HYPERLINK("http://slimages.macys.com/is/image/MCY/12462743 ")</f>
        <v xml:space="preserve">http://slimages.macys.com/is/image/MCY/12462743 </v>
      </c>
    </row>
    <row r="630" spans="1:13" ht="60" x14ac:dyDescent="0.25">
      <c r="A630" s="7" t="s">
        <v>9250</v>
      </c>
      <c r="B630" s="2" t="s">
        <v>9251</v>
      </c>
      <c r="C630" s="4">
        <v>1</v>
      </c>
      <c r="D630" s="5">
        <v>2.2200000000000002</v>
      </c>
      <c r="E630" s="5">
        <v>5.99</v>
      </c>
      <c r="F630" s="4" t="s">
        <v>9252</v>
      </c>
      <c r="G630" s="2" t="s">
        <v>1265</v>
      </c>
      <c r="H630" s="7" t="s">
        <v>91</v>
      </c>
      <c r="I630" s="2" t="s">
        <v>483</v>
      </c>
      <c r="J630" s="2" t="s">
        <v>536</v>
      </c>
      <c r="K630" s="2" t="s">
        <v>304</v>
      </c>
      <c r="L630" s="2" t="s">
        <v>206</v>
      </c>
      <c r="M630" s="8" t="str">
        <f>HYPERLINK("http://slimages.macys.com/is/image/MCY/11382122 ")</f>
        <v xml:space="preserve">http://slimages.macys.com/is/image/MCY/11382122 </v>
      </c>
    </row>
    <row r="631" spans="1:13" ht="60" x14ac:dyDescent="0.25">
      <c r="A631" s="7" t="s">
        <v>2382</v>
      </c>
      <c r="B631" s="2" t="s">
        <v>2383</v>
      </c>
      <c r="C631" s="4">
        <v>4</v>
      </c>
      <c r="D631" s="5">
        <v>2.2200000000000002</v>
      </c>
      <c r="E631" s="5">
        <v>4.99</v>
      </c>
      <c r="F631" s="4">
        <v>10004193500</v>
      </c>
      <c r="G631" s="2" t="s">
        <v>1360</v>
      </c>
      <c r="H631" s="7" t="s">
        <v>531</v>
      </c>
      <c r="I631" s="2" t="s">
        <v>483</v>
      </c>
      <c r="J631" s="2" t="s">
        <v>536</v>
      </c>
      <c r="K631" s="2" t="s">
        <v>304</v>
      </c>
      <c r="L631" s="2" t="s">
        <v>87</v>
      </c>
      <c r="M631" s="8" t="str">
        <f>HYPERLINK("http://slimages.macys.com/is/image/MCY/11520388 ")</f>
        <v xml:space="preserve">http://slimages.macys.com/is/image/MCY/11520388 </v>
      </c>
    </row>
    <row r="632" spans="1:13" ht="60" x14ac:dyDescent="0.25">
      <c r="A632" s="7" t="s">
        <v>9253</v>
      </c>
      <c r="B632" s="2" t="s">
        <v>2380</v>
      </c>
      <c r="C632" s="4">
        <v>2</v>
      </c>
      <c r="D632" s="5">
        <v>2.2200000000000002</v>
      </c>
      <c r="E632" s="5">
        <v>5.99</v>
      </c>
      <c r="F632" s="4" t="s">
        <v>2381</v>
      </c>
      <c r="G632" s="2" t="s">
        <v>28</v>
      </c>
      <c r="H632" s="7" t="s">
        <v>91</v>
      </c>
      <c r="I632" s="2" t="s">
        <v>483</v>
      </c>
      <c r="J632" s="2" t="s">
        <v>536</v>
      </c>
      <c r="K632" s="2" t="s">
        <v>304</v>
      </c>
      <c r="L632" s="2" t="s">
        <v>119</v>
      </c>
      <c r="M632" s="8" t="str">
        <f>HYPERLINK("http://slimages.macys.com/is/image/MCY/12462743 ")</f>
        <v xml:space="preserve">http://slimages.macys.com/is/image/MCY/12462743 </v>
      </c>
    </row>
    <row r="633" spans="1:13" ht="60" x14ac:dyDescent="0.25">
      <c r="A633" s="7" t="s">
        <v>6078</v>
      </c>
      <c r="B633" s="2" t="s">
        <v>2388</v>
      </c>
      <c r="C633" s="4">
        <v>1</v>
      </c>
      <c r="D633" s="5">
        <v>2.2200000000000002</v>
      </c>
      <c r="E633" s="5">
        <v>5.99</v>
      </c>
      <c r="F633" s="4" t="s">
        <v>2389</v>
      </c>
      <c r="G633" s="2" t="s">
        <v>41</v>
      </c>
      <c r="H633" s="7" t="s">
        <v>91</v>
      </c>
      <c r="I633" s="2" t="s">
        <v>483</v>
      </c>
      <c r="J633" s="2" t="s">
        <v>536</v>
      </c>
      <c r="K633" s="2" t="s">
        <v>304</v>
      </c>
      <c r="L633" s="2" t="s">
        <v>206</v>
      </c>
      <c r="M633" s="8" t="str">
        <f>HYPERLINK("http://slimages.macys.com/is/image/MCY/13987622 ")</f>
        <v xml:space="preserve">http://slimages.macys.com/is/image/MCY/13987622 </v>
      </c>
    </row>
    <row r="634" spans="1:13" ht="60" x14ac:dyDescent="0.25">
      <c r="A634" s="7" t="s">
        <v>9254</v>
      </c>
      <c r="B634" s="2" t="s">
        <v>1391</v>
      </c>
      <c r="C634" s="4">
        <v>1</v>
      </c>
      <c r="D634" s="5">
        <v>2.21</v>
      </c>
      <c r="E634" s="5">
        <v>5.99</v>
      </c>
      <c r="F634" s="4" t="s">
        <v>1392</v>
      </c>
      <c r="G634" s="2" t="s">
        <v>41</v>
      </c>
      <c r="H634" s="7" t="s">
        <v>590</v>
      </c>
      <c r="I634" s="2" t="s">
        <v>483</v>
      </c>
      <c r="J634" s="2" t="s">
        <v>536</v>
      </c>
      <c r="K634" s="2" t="s">
        <v>304</v>
      </c>
      <c r="L634" s="2" t="s">
        <v>100</v>
      </c>
      <c r="M634" s="8" t="str">
        <f>HYPERLINK("http://slimages.macys.com/is/image/MCY/12466361 ")</f>
        <v xml:space="preserve">http://slimages.macys.com/is/image/MCY/12466361 </v>
      </c>
    </row>
    <row r="635" spans="1:13" ht="60" x14ac:dyDescent="0.25">
      <c r="A635" s="7" t="s">
        <v>9255</v>
      </c>
      <c r="B635" s="2" t="s">
        <v>8053</v>
      </c>
      <c r="C635" s="4">
        <v>2</v>
      </c>
      <c r="D635" s="5">
        <v>2.21</v>
      </c>
      <c r="E635" s="5">
        <v>5.99</v>
      </c>
      <c r="F635" s="4" t="s">
        <v>8054</v>
      </c>
      <c r="G635" s="2" t="s">
        <v>36</v>
      </c>
      <c r="H635" s="7" t="s">
        <v>590</v>
      </c>
      <c r="I635" s="2" t="s">
        <v>483</v>
      </c>
      <c r="J635" s="2" t="s">
        <v>536</v>
      </c>
      <c r="K635" s="2" t="s">
        <v>304</v>
      </c>
      <c r="L635" s="2" t="s">
        <v>206</v>
      </c>
      <c r="M635" s="8" t="str">
        <f>HYPERLINK("http://slimages.macys.com/is/image/MCY/12466289 ")</f>
        <v xml:space="preserve">http://slimages.macys.com/is/image/MCY/12466289 </v>
      </c>
    </row>
    <row r="636" spans="1:13" ht="84" x14ac:dyDescent="0.25">
      <c r="A636" s="7" t="s">
        <v>2733</v>
      </c>
      <c r="B636" s="2" t="s">
        <v>637</v>
      </c>
      <c r="C636" s="4">
        <v>2</v>
      </c>
      <c r="D636" s="5">
        <v>2.21</v>
      </c>
      <c r="E636" s="5">
        <v>6.99</v>
      </c>
      <c r="F636" s="4" t="s">
        <v>638</v>
      </c>
      <c r="G636" s="2" t="s">
        <v>171</v>
      </c>
      <c r="H636" s="7" t="s">
        <v>586</v>
      </c>
      <c r="I636" s="2" t="s">
        <v>483</v>
      </c>
      <c r="J636" s="2" t="s">
        <v>536</v>
      </c>
      <c r="K636" s="2" t="s">
        <v>304</v>
      </c>
      <c r="L636" s="2" t="s">
        <v>639</v>
      </c>
      <c r="M636" s="8" t="str">
        <f>HYPERLINK("http://slimages.macys.com/is/image/MCY/13987507 ")</f>
        <v xml:space="preserve">http://slimages.macys.com/is/image/MCY/13987507 </v>
      </c>
    </row>
    <row r="637" spans="1:13" ht="60" x14ac:dyDescent="0.25">
      <c r="A637" s="7" t="s">
        <v>9256</v>
      </c>
      <c r="B637" s="2" t="s">
        <v>1391</v>
      </c>
      <c r="C637" s="4">
        <v>2</v>
      </c>
      <c r="D637" s="5">
        <v>2.21</v>
      </c>
      <c r="E637" s="5">
        <v>5.99</v>
      </c>
      <c r="F637" s="4" t="s">
        <v>1392</v>
      </c>
      <c r="G637" s="2" t="s">
        <v>41</v>
      </c>
      <c r="H637" s="7" t="s">
        <v>442</v>
      </c>
      <c r="I637" s="2" t="s">
        <v>483</v>
      </c>
      <c r="J637" s="2" t="s">
        <v>536</v>
      </c>
      <c r="K637" s="2" t="s">
        <v>304</v>
      </c>
      <c r="L637" s="2" t="s">
        <v>100</v>
      </c>
      <c r="M637" s="8" t="str">
        <f>HYPERLINK("http://slimages.macys.com/is/image/MCY/12466361 ")</f>
        <v xml:space="preserve">http://slimages.macys.com/is/image/MCY/12466361 </v>
      </c>
    </row>
    <row r="638" spans="1:13" ht="60" x14ac:dyDescent="0.25">
      <c r="A638" s="7" t="s">
        <v>8052</v>
      </c>
      <c r="B638" s="2" t="s">
        <v>8053</v>
      </c>
      <c r="C638" s="4">
        <v>1</v>
      </c>
      <c r="D638" s="5">
        <v>2.21</v>
      </c>
      <c r="E638" s="5">
        <v>5.99</v>
      </c>
      <c r="F638" s="4" t="s">
        <v>8054</v>
      </c>
      <c r="G638" s="2" t="s">
        <v>36</v>
      </c>
      <c r="H638" s="7" t="s">
        <v>91</v>
      </c>
      <c r="I638" s="2" t="s">
        <v>483</v>
      </c>
      <c r="J638" s="2" t="s">
        <v>536</v>
      </c>
      <c r="K638" s="2" t="s">
        <v>304</v>
      </c>
      <c r="L638" s="2" t="s">
        <v>206</v>
      </c>
      <c r="M638" s="8" t="str">
        <f>HYPERLINK("http://slimages.macys.com/is/image/MCY/12466289 ")</f>
        <v xml:space="preserve">http://slimages.macys.com/is/image/MCY/12466289 </v>
      </c>
    </row>
    <row r="639" spans="1:13" ht="60" x14ac:dyDescent="0.25">
      <c r="A639" s="7" t="s">
        <v>7277</v>
      </c>
      <c r="B639" s="2" t="s">
        <v>1391</v>
      </c>
      <c r="C639" s="4">
        <v>1</v>
      </c>
      <c r="D639" s="5">
        <v>2.21</v>
      </c>
      <c r="E639" s="5">
        <v>5.99</v>
      </c>
      <c r="F639" s="4" t="s">
        <v>1392</v>
      </c>
      <c r="G639" s="2" t="s">
        <v>41</v>
      </c>
      <c r="H639" s="7" t="s">
        <v>91</v>
      </c>
      <c r="I639" s="2" t="s">
        <v>483</v>
      </c>
      <c r="J639" s="2" t="s">
        <v>536</v>
      </c>
      <c r="K639" s="2" t="s">
        <v>304</v>
      </c>
      <c r="L639" s="2" t="s">
        <v>100</v>
      </c>
      <c r="M639" s="8" t="str">
        <f>HYPERLINK("http://slimages.macys.com/is/image/MCY/12466361 ")</f>
        <v xml:space="preserve">http://slimages.macys.com/is/image/MCY/12466361 </v>
      </c>
    </row>
    <row r="640" spans="1:13" ht="60" x14ac:dyDescent="0.25">
      <c r="A640" s="7" t="s">
        <v>7276</v>
      </c>
      <c r="B640" s="2" t="s">
        <v>1388</v>
      </c>
      <c r="C640" s="4">
        <v>1</v>
      </c>
      <c r="D640" s="5">
        <v>2.21</v>
      </c>
      <c r="E640" s="5">
        <v>5.99</v>
      </c>
      <c r="F640" s="4" t="s">
        <v>1389</v>
      </c>
      <c r="G640" s="2" t="s">
        <v>129</v>
      </c>
      <c r="H640" s="7" t="s">
        <v>442</v>
      </c>
      <c r="I640" s="2" t="s">
        <v>483</v>
      </c>
      <c r="J640" s="2" t="s">
        <v>536</v>
      </c>
      <c r="K640" s="2" t="s">
        <v>304</v>
      </c>
      <c r="L640" s="2" t="s">
        <v>38</v>
      </c>
      <c r="M640" s="8" t="str">
        <f>HYPERLINK("http://slimages.macys.com/is/image/MCY/13987618 ")</f>
        <v xml:space="preserve">http://slimages.macys.com/is/image/MCY/13987618 </v>
      </c>
    </row>
    <row r="641" spans="1:13" ht="60" x14ac:dyDescent="0.25">
      <c r="A641" s="7" t="s">
        <v>9257</v>
      </c>
      <c r="B641" s="2" t="s">
        <v>1388</v>
      </c>
      <c r="C641" s="4">
        <v>1</v>
      </c>
      <c r="D641" s="5">
        <v>2.21</v>
      </c>
      <c r="E641" s="5">
        <v>5.99</v>
      </c>
      <c r="F641" s="4" t="s">
        <v>1389</v>
      </c>
      <c r="G641" s="2" t="s">
        <v>129</v>
      </c>
      <c r="H641" s="7" t="s">
        <v>590</v>
      </c>
      <c r="I641" s="2" t="s">
        <v>483</v>
      </c>
      <c r="J641" s="2" t="s">
        <v>536</v>
      </c>
      <c r="K641" s="2" t="s">
        <v>304</v>
      </c>
      <c r="L641" s="2" t="s">
        <v>38</v>
      </c>
      <c r="M641" s="8" t="str">
        <f>HYPERLINK("http://slimages.macys.com/is/image/MCY/13987618 ")</f>
        <v xml:space="preserve">http://slimages.macys.com/is/image/MCY/13987618 </v>
      </c>
    </row>
    <row r="642" spans="1:13" ht="84" x14ac:dyDescent="0.25">
      <c r="A642" s="7" t="s">
        <v>636</v>
      </c>
      <c r="B642" s="2" t="s">
        <v>637</v>
      </c>
      <c r="C642" s="4">
        <v>1</v>
      </c>
      <c r="D642" s="5">
        <v>2.21</v>
      </c>
      <c r="E642" s="5">
        <v>6.99</v>
      </c>
      <c r="F642" s="4" t="s">
        <v>638</v>
      </c>
      <c r="G642" s="2" t="s">
        <v>171</v>
      </c>
      <c r="H642" s="7" t="s">
        <v>604</v>
      </c>
      <c r="I642" s="2" t="s">
        <v>483</v>
      </c>
      <c r="J642" s="2" t="s">
        <v>536</v>
      </c>
      <c r="K642" s="2" t="s">
        <v>304</v>
      </c>
      <c r="L642" s="2" t="s">
        <v>639</v>
      </c>
      <c r="M642" s="8" t="str">
        <f>HYPERLINK("http://slimages.macys.com/is/image/MCY/13987507 ")</f>
        <v xml:space="preserve">http://slimages.macys.com/is/image/MCY/13987507 </v>
      </c>
    </row>
    <row r="643" spans="1:13" ht="72" x14ac:dyDescent="0.25">
      <c r="A643" s="7" t="s">
        <v>4606</v>
      </c>
      <c r="B643" s="2" t="s">
        <v>4607</v>
      </c>
      <c r="C643" s="4">
        <v>1</v>
      </c>
      <c r="D643" s="5">
        <v>2.21</v>
      </c>
      <c r="E643" s="5">
        <v>6.99</v>
      </c>
      <c r="F643" s="4" t="s">
        <v>4608</v>
      </c>
      <c r="G643" s="2" t="s">
        <v>41</v>
      </c>
      <c r="H643" s="7" t="s">
        <v>604</v>
      </c>
      <c r="I643" s="2" t="s">
        <v>483</v>
      </c>
      <c r="J643" s="2" t="s">
        <v>536</v>
      </c>
      <c r="K643" s="2" t="s">
        <v>304</v>
      </c>
      <c r="L643" s="2" t="s">
        <v>4609</v>
      </c>
      <c r="M643" s="8" t="str">
        <f>HYPERLINK("http://slimages.macys.com/is/image/MCY/13987511 ")</f>
        <v xml:space="preserve">http://slimages.macys.com/is/image/MCY/13987511 </v>
      </c>
    </row>
    <row r="644" spans="1:13" ht="60" x14ac:dyDescent="0.25">
      <c r="A644" s="7" t="s">
        <v>9258</v>
      </c>
      <c r="B644" s="2" t="s">
        <v>8053</v>
      </c>
      <c r="C644" s="4">
        <v>1</v>
      </c>
      <c r="D644" s="5">
        <v>2.21</v>
      </c>
      <c r="E644" s="5">
        <v>5.99</v>
      </c>
      <c r="F644" s="4" t="s">
        <v>8054</v>
      </c>
      <c r="G644" s="2" t="s">
        <v>36</v>
      </c>
      <c r="H644" s="7" t="s">
        <v>42</v>
      </c>
      <c r="I644" s="2" t="s">
        <v>483</v>
      </c>
      <c r="J644" s="2" t="s">
        <v>536</v>
      </c>
      <c r="K644" s="2" t="s">
        <v>304</v>
      </c>
      <c r="L644" s="2" t="s">
        <v>206</v>
      </c>
      <c r="M644" s="8" t="str">
        <f>HYPERLINK("http://slimages.macys.com/is/image/MCY/12466289 ")</f>
        <v xml:space="preserve">http://slimages.macys.com/is/image/MCY/12466289 </v>
      </c>
    </row>
    <row r="645" spans="1:13" ht="60" x14ac:dyDescent="0.25">
      <c r="A645" s="7" t="s">
        <v>9259</v>
      </c>
      <c r="B645" s="2" t="s">
        <v>9260</v>
      </c>
      <c r="C645" s="4">
        <v>1</v>
      </c>
      <c r="D645" s="5">
        <v>2.19</v>
      </c>
      <c r="E645" s="5">
        <v>5.99</v>
      </c>
      <c r="F645" s="4" t="s">
        <v>9261</v>
      </c>
      <c r="G645" s="2" t="s">
        <v>657</v>
      </c>
      <c r="H645" s="7" t="s">
        <v>42</v>
      </c>
      <c r="I645" s="2" t="s">
        <v>483</v>
      </c>
      <c r="J645" s="2" t="s">
        <v>536</v>
      </c>
      <c r="K645" s="2" t="s">
        <v>304</v>
      </c>
      <c r="L645" s="2" t="s">
        <v>206</v>
      </c>
      <c r="M645" s="8" t="str">
        <f>HYPERLINK("http://slimages.macys.com/is/image/MCY/12644514 ")</f>
        <v xml:space="preserve">http://slimages.macys.com/is/image/MCY/12644514 </v>
      </c>
    </row>
    <row r="646" spans="1:13" ht="60" x14ac:dyDescent="0.25">
      <c r="A646" s="7" t="s">
        <v>7284</v>
      </c>
      <c r="B646" s="2" t="s">
        <v>5776</v>
      </c>
      <c r="C646" s="4">
        <v>1</v>
      </c>
      <c r="D646" s="5">
        <v>2.19</v>
      </c>
      <c r="E646" s="5">
        <v>5.99</v>
      </c>
      <c r="F646" s="4" t="s">
        <v>5777</v>
      </c>
      <c r="G646" s="2" t="s">
        <v>28</v>
      </c>
      <c r="H646" s="7" t="s">
        <v>590</v>
      </c>
      <c r="I646" s="2" t="s">
        <v>483</v>
      </c>
      <c r="J646" s="2" t="s">
        <v>536</v>
      </c>
      <c r="K646" s="2" t="s">
        <v>304</v>
      </c>
      <c r="L646" s="2" t="s">
        <v>38</v>
      </c>
      <c r="M646" s="8" t="str">
        <f>HYPERLINK("http://slimages.macys.com/is/image/MCY/13987609 ")</f>
        <v xml:space="preserve">http://slimages.macys.com/is/image/MCY/13987609 </v>
      </c>
    </row>
    <row r="647" spans="1:13" ht="60" x14ac:dyDescent="0.25">
      <c r="A647" s="7" t="s">
        <v>1393</v>
      </c>
      <c r="B647" s="2" t="s">
        <v>1394</v>
      </c>
      <c r="C647" s="4">
        <v>2</v>
      </c>
      <c r="D647" s="5">
        <v>2.17</v>
      </c>
      <c r="E647" s="5">
        <v>4.99</v>
      </c>
      <c r="F647" s="4">
        <v>10000297900</v>
      </c>
      <c r="G647" s="2" t="s">
        <v>582</v>
      </c>
      <c r="H647" s="7" t="s">
        <v>531</v>
      </c>
      <c r="I647" s="2" t="s">
        <v>483</v>
      </c>
      <c r="J647" s="2" t="s">
        <v>536</v>
      </c>
      <c r="K647" s="2" t="s">
        <v>304</v>
      </c>
      <c r="L647" s="2" t="s">
        <v>38</v>
      </c>
      <c r="M647" s="8" t="str">
        <f>HYPERLINK("http://slimages.macys.com/is/image/MCY/11547503 ")</f>
        <v xml:space="preserve">http://slimages.macys.com/is/image/MCY/11547503 </v>
      </c>
    </row>
    <row r="648" spans="1:13" ht="60" x14ac:dyDescent="0.25">
      <c r="A648" s="7" t="s">
        <v>7288</v>
      </c>
      <c r="B648" s="2" t="s">
        <v>2398</v>
      </c>
      <c r="C648" s="4">
        <v>1</v>
      </c>
      <c r="D648" s="5">
        <v>2.17</v>
      </c>
      <c r="E648" s="5">
        <v>5.99</v>
      </c>
      <c r="F648" s="4" t="s">
        <v>2399</v>
      </c>
      <c r="G648" s="2" t="s">
        <v>41</v>
      </c>
      <c r="H648" s="7" t="s">
        <v>590</v>
      </c>
      <c r="I648" s="2" t="s">
        <v>483</v>
      </c>
      <c r="J648" s="2" t="s">
        <v>536</v>
      </c>
      <c r="K648" s="2" t="s">
        <v>304</v>
      </c>
      <c r="L648" s="2" t="s">
        <v>87</v>
      </c>
      <c r="M648" s="8" t="str">
        <f>HYPERLINK("http://slimages.macys.com/is/image/MCY/12644613 ")</f>
        <v xml:space="preserve">http://slimages.macys.com/is/image/MCY/12644613 </v>
      </c>
    </row>
    <row r="649" spans="1:13" ht="60" x14ac:dyDescent="0.25">
      <c r="A649" s="7" t="s">
        <v>8059</v>
      </c>
      <c r="B649" s="2" t="s">
        <v>2398</v>
      </c>
      <c r="C649" s="4">
        <v>3</v>
      </c>
      <c r="D649" s="5">
        <v>2.17</v>
      </c>
      <c r="E649" s="5">
        <v>5.99</v>
      </c>
      <c r="F649" s="4" t="s">
        <v>2399</v>
      </c>
      <c r="G649" s="2" t="s">
        <v>41</v>
      </c>
      <c r="H649" s="7" t="s">
        <v>442</v>
      </c>
      <c r="I649" s="2" t="s">
        <v>483</v>
      </c>
      <c r="J649" s="2" t="s">
        <v>536</v>
      </c>
      <c r="K649" s="2" t="s">
        <v>304</v>
      </c>
      <c r="L649" s="2" t="s">
        <v>87</v>
      </c>
      <c r="M649" s="8" t="str">
        <f>HYPERLINK("http://slimages.macys.com/is/image/MCY/12644613 ")</f>
        <v xml:space="preserve">http://slimages.macys.com/is/image/MCY/12644613 </v>
      </c>
    </row>
    <row r="650" spans="1:13" ht="60" x14ac:dyDescent="0.25">
      <c r="A650" s="7" t="s">
        <v>9262</v>
      </c>
      <c r="B650" s="2" t="s">
        <v>2398</v>
      </c>
      <c r="C650" s="4">
        <v>1</v>
      </c>
      <c r="D650" s="5">
        <v>2.17</v>
      </c>
      <c r="E650" s="5">
        <v>5.99</v>
      </c>
      <c r="F650" s="4" t="s">
        <v>2399</v>
      </c>
      <c r="G650" s="2" t="s">
        <v>41</v>
      </c>
      <c r="H650" s="7" t="s">
        <v>42</v>
      </c>
      <c r="I650" s="2" t="s">
        <v>483</v>
      </c>
      <c r="J650" s="2" t="s">
        <v>536</v>
      </c>
      <c r="K650" s="2" t="s">
        <v>304</v>
      </c>
      <c r="L650" s="2" t="s">
        <v>87</v>
      </c>
      <c r="M650" s="8" t="str">
        <f>HYPERLINK("http://slimages.macys.com/is/image/MCY/12644613 ")</f>
        <v xml:space="preserve">http://slimages.macys.com/is/image/MCY/12644613 </v>
      </c>
    </row>
    <row r="651" spans="1:13" ht="60" x14ac:dyDescent="0.25">
      <c r="A651" s="7" t="s">
        <v>9263</v>
      </c>
      <c r="B651" s="2" t="s">
        <v>2398</v>
      </c>
      <c r="C651" s="4">
        <v>1</v>
      </c>
      <c r="D651" s="5">
        <v>2.17</v>
      </c>
      <c r="E651" s="5">
        <v>5.99</v>
      </c>
      <c r="F651" s="4" t="s">
        <v>2399</v>
      </c>
      <c r="G651" s="2" t="s">
        <v>41</v>
      </c>
      <c r="H651" s="7" t="s">
        <v>149</v>
      </c>
      <c r="I651" s="2" t="s">
        <v>483</v>
      </c>
      <c r="J651" s="2" t="s">
        <v>536</v>
      </c>
      <c r="K651" s="2" t="s">
        <v>304</v>
      </c>
      <c r="L651" s="2" t="s">
        <v>87</v>
      </c>
      <c r="M651" s="8" t="str">
        <f>HYPERLINK("http://slimages.macys.com/is/image/MCY/12644613 ")</f>
        <v xml:space="preserve">http://slimages.macys.com/is/image/MCY/12644613 </v>
      </c>
    </row>
    <row r="652" spans="1:13" ht="60" x14ac:dyDescent="0.25">
      <c r="A652" s="7" t="s">
        <v>6649</v>
      </c>
      <c r="B652" s="2" t="s">
        <v>6647</v>
      </c>
      <c r="C652" s="4">
        <v>1</v>
      </c>
      <c r="D652" s="5">
        <v>2.16</v>
      </c>
      <c r="E652" s="5">
        <v>5.99</v>
      </c>
      <c r="F652" s="4" t="s">
        <v>6648</v>
      </c>
      <c r="G652" s="2" t="s">
        <v>657</v>
      </c>
      <c r="H652" s="7" t="s">
        <v>91</v>
      </c>
      <c r="I652" s="2" t="s">
        <v>483</v>
      </c>
      <c r="J652" s="2" t="s">
        <v>536</v>
      </c>
      <c r="K652" s="2" t="s">
        <v>304</v>
      </c>
      <c r="L652" s="2" t="s">
        <v>119</v>
      </c>
      <c r="M652" s="8" t="str">
        <f>HYPERLINK("http://slimages.macys.com/is/image/MCY/12644371 ")</f>
        <v xml:space="preserve">http://slimages.macys.com/is/image/MCY/12644371 </v>
      </c>
    </row>
    <row r="653" spans="1:13" ht="60" x14ac:dyDescent="0.25">
      <c r="A653" s="7" t="s">
        <v>9264</v>
      </c>
      <c r="B653" s="2" t="s">
        <v>9265</v>
      </c>
      <c r="C653" s="4">
        <v>1</v>
      </c>
      <c r="D653" s="5">
        <v>2.14</v>
      </c>
      <c r="E653" s="5">
        <v>5.99</v>
      </c>
      <c r="F653" s="4" t="s">
        <v>9266</v>
      </c>
      <c r="G653" s="2" t="s">
        <v>200</v>
      </c>
      <c r="H653" s="7" t="s">
        <v>442</v>
      </c>
      <c r="I653" s="2" t="s">
        <v>483</v>
      </c>
      <c r="J653" s="2" t="s">
        <v>536</v>
      </c>
      <c r="K653" s="2"/>
      <c r="L653" s="2"/>
      <c r="M653" s="8" t="str">
        <f>HYPERLINK("http://slimages.macys.com/is/image/MCY/11856972 ")</f>
        <v xml:space="preserve">http://slimages.macys.com/is/image/MCY/11856972 </v>
      </c>
    </row>
    <row r="654" spans="1:13" ht="60" x14ac:dyDescent="0.25">
      <c r="A654" s="7" t="s">
        <v>8066</v>
      </c>
      <c r="B654" s="2" t="s">
        <v>5106</v>
      </c>
      <c r="C654" s="4">
        <v>2</v>
      </c>
      <c r="D654" s="5">
        <v>2.12</v>
      </c>
      <c r="E654" s="5">
        <v>5.99</v>
      </c>
      <c r="F654" s="4" t="s">
        <v>5107</v>
      </c>
      <c r="G654" s="2" t="s">
        <v>41</v>
      </c>
      <c r="H654" s="7" t="s">
        <v>442</v>
      </c>
      <c r="I654" s="2" t="s">
        <v>483</v>
      </c>
      <c r="J654" s="2" t="s">
        <v>536</v>
      </c>
      <c r="K654" s="2" t="s">
        <v>304</v>
      </c>
      <c r="L654" s="2" t="s">
        <v>206</v>
      </c>
      <c r="M654" s="8" t="str">
        <f>HYPERLINK("http://slimages.macys.com/is/image/MCY/11856981 ")</f>
        <v xml:space="preserve">http://slimages.macys.com/is/image/MCY/11856981 </v>
      </c>
    </row>
    <row r="655" spans="1:13" ht="60" x14ac:dyDescent="0.25">
      <c r="A655" s="7" t="s">
        <v>8068</v>
      </c>
      <c r="B655" s="2" t="s">
        <v>5106</v>
      </c>
      <c r="C655" s="4">
        <v>2</v>
      </c>
      <c r="D655" s="5">
        <v>2.12</v>
      </c>
      <c r="E655" s="5">
        <v>5.99</v>
      </c>
      <c r="F655" s="4" t="s">
        <v>5107</v>
      </c>
      <c r="G655" s="2" t="s">
        <v>41</v>
      </c>
      <c r="H655" s="7" t="s">
        <v>590</v>
      </c>
      <c r="I655" s="2" t="s">
        <v>483</v>
      </c>
      <c r="J655" s="2" t="s">
        <v>536</v>
      </c>
      <c r="K655" s="2" t="s">
        <v>304</v>
      </c>
      <c r="L655" s="2" t="s">
        <v>206</v>
      </c>
      <c r="M655" s="8" t="str">
        <f>HYPERLINK("http://slimages.macys.com/is/image/MCY/11856981 ")</f>
        <v xml:space="preserve">http://slimages.macys.com/is/image/MCY/11856981 </v>
      </c>
    </row>
    <row r="656" spans="1:13" ht="60" x14ac:dyDescent="0.25">
      <c r="A656" s="7" t="s">
        <v>9267</v>
      </c>
      <c r="B656" s="2" t="s">
        <v>5106</v>
      </c>
      <c r="C656" s="4">
        <v>2</v>
      </c>
      <c r="D656" s="5">
        <v>2.12</v>
      </c>
      <c r="E656" s="5">
        <v>5.99</v>
      </c>
      <c r="F656" s="4" t="s">
        <v>5107</v>
      </c>
      <c r="G656" s="2" t="s">
        <v>41</v>
      </c>
      <c r="H656" s="7" t="s">
        <v>42</v>
      </c>
      <c r="I656" s="2" t="s">
        <v>483</v>
      </c>
      <c r="J656" s="2" t="s">
        <v>536</v>
      </c>
      <c r="K656" s="2" t="s">
        <v>304</v>
      </c>
      <c r="L656" s="2" t="s">
        <v>206</v>
      </c>
      <c r="M656" s="8" t="str">
        <f>HYPERLINK("http://slimages.macys.com/is/image/MCY/11856981 ")</f>
        <v xml:space="preserve">http://slimages.macys.com/is/image/MCY/11856981 </v>
      </c>
    </row>
    <row r="657" spans="1:13" ht="60" x14ac:dyDescent="0.25">
      <c r="A657" s="7" t="s">
        <v>6653</v>
      </c>
      <c r="B657" s="2" t="s">
        <v>1333</v>
      </c>
      <c r="C657" s="4">
        <v>1</v>
      </c>
      <c r="D657" s="5">
        <v>2.0299999999999998</v>
      </c>
      <c r="E657" s="5">
        <v>4.99</v>
      </c>
      <c r="F657" s="4" t="s">
        <v>1325</v>
      </c>
      <c r="G657" s="2" t="s">
        <v>28</v>
      </c>
      <c r="H657" s="7" t="s">
        <v>159</v>
      </c>
      <c r="I657" s="2" t="s">
        <v>523</v>
      </c>
      <c r="J657" s="2" t="s">
        <v>921</v>
      </c>
      <c r="K657" s="2" t="s">
        <v>304</v>
      </c>
      <c r="L657" s="2" t="s">
        <v>323</v>
      </c>
      <c r="M657" s="8" t="str">
        <f>HYPERLINK("http://slimages.macys.com/is/image/MCY/8345548 ")</f>
        <v xml:space="preserve">http://slimages.macys.com/is/image/MCY/8345548 </v>
      </c>
    </row>
    <row r="658" spans="1:13" ht="60" x14ac:dyDescent="0.25">
      <c r="A658" s="7" t="s">
        <v>6654</v>
      </c>
      <c r="B658" s="2" t="s">
        <v>1333</v>
      </c>
      <c r="C658" s="4">
        <v>1</v>
      </c>
      <c r="D658" s="5">
        <v>2.0299999999999998</v>
      </c>
      <c r="E658" s="5">
        <v>4.99</v>
      </c>
      <c r="F658" s="4" t="s">
        <v>1325</v>
      </c>
      <c r="G658" s="2" t="s">
        <v>28</v>
      </c>
      <c r="H658" s="7" t="s">
        <v>284</v>
      </c>
      <c r="I658" s="2" t="s">
        <v>523</v>
      </c>
      <c r="J658" s="2" t="s">
        <v>921</v>
      </c>
      <c r="K658" s="2" t="s">
        <v>304</v>
      </c>
      <c r="L658" s="2" t="s">
        <v>323</v>
      </c>
      <c r="M658" s="8" t="str">
        <f>HYPERLINK("http://slimages.macys.com/is/image/MCY/8345548 ")</f>
        <v xml:space="preserve">http://slimages.macys.com/is/image/MCY/8345548 </v>
      </c>
    </row>
    <row r="659" spans="1:13" ht="60" x14ac:dyDescent="0.25">
      <c r="A659" s="7" t="s">
        <v>3558</v>
      </c>
      <c r="B659" s="2" t="s">
        <v>1333</v>
      </c>
      <c r="C659" s="4">
        <v>1</v>
      </c>
      <c r="D659" s="5">
        <v>2.0299999999999998</v>
      </c>
      <c r="E659" s="5">
        <v>4.99</v>
      </c>
      <c r="F659" s="4" t="s">
        <v>1325</v>
      </c>
      <c r="G659" s="2" t="s">
        <v>28</v>
      </c>
      <c r="H659" s="7" t="s">
        <v>196</v>
      </c>
      <c r="I659" s="2" t="s">
        <v>523</v>
      </c>
      <c r="J659" s="2" t="s">
        <v>921</v>
      </c>
      <c r="K659" s="2" t="s">
        <v>304</v>
      </c>
      <c r="L659" s="2" t="s">
        <v>323</v>
      </c>
      <c r="M659" s="8" t="str">
        <f>HYPERLINK("http://slimages.macys.com/is/image/MCY/8345548 ")</f>
        <v xml:space="preserve">http://slimages.macys.com/is/image/MCY/8345548 </v>
      </c>
    </row>
    <row r="660" spans="1:13" ht="60" x14ac:dyDescent="0.25">
      <c r="A660" s="7" t="s">
        <v>2406</v>
      </c>
      <c r="B660" s="2" t="s">
        <v>2407</v>
      </c>
      <c r="C660" s="4">
        <v>1</v>
      </c>
      <c r="D660" s="5">
        <v>2.02</v>
      </c>
      <c r="E660" s="5">
        <v>5.99</v>
      </c>
      <c r="F660" s="4" t="s">
        <v>2408</v>
      </c>
      <c r="G660" s="2" t="s">
        <v>657</v>
      </c>
      <c r="H660" s="7" t="s">
        <v>149</v>
      </c>
      <c r="I660" s="2" t="s">
        <v>483</v>
      </c>
      <c r="J660" s="2" t="s">
        <v>536</v>
      </c>
      <c r="K660" s="2" t="s">
        <v>304</v>
      </c>
      <c r="L660" s="2" t="s">
        <v>206</v>
      </c>
      <c r="M660" s="8" t="str">
        <f>HYPERLINK("http://slimages.macys.com/is/image/MCY/12464674 ")</f>
        <v xml:space="preserve">http://slimages.macys.com/is/image/MCY/12464674 </v>
      </c>
    </row>
    <row r="661" spans="1:13" ht="60" x14ac:dyDescent="0.25">
      <c r="A661" s="7" t="s">
        <v>1398</v>
      </c>
      <c r="B661" s="2" t="s">
        <v>1399</v>
      </c>
      <c r="C661" s="4">
        <v>1</v>
      </c>
      <c r="D661" s="5">
        <v>1.97</v>
      </c>
      <c r="E661" s="5">
        <v>5.99</v>
      </c>
      <c r="F661" s="4" t="s">
        <v>1400</v>
      </c>
      <c r="G661" s="2" t="s">
        <v>657</v>
      </c>
      <c r="H661" s="7" t="s">
        <v>590</v>
      </c>
      <c r="I661" s="2" t="s">
        <v>483</v>
      </c>
      <c r="J661" s="2" t="s">
        <v>536</v>
      </c>
      <c r="K661" s="2" t="s">
        <v>304</v>
      </c>
      <c r="L661" s="2" t="s">
        <v>119</v>
      </c>
      <c r="M661" s="8" t="str">
        <f>HYPERLINK("http://slimages.macys.com/is/image/MCY/13987628 ")</f>
        <v xml:space="preserve">http://slimages.macys.com/is/image/MCY/13987628 </v>
      </c>
    </row>
    <row r="662" spans="1:13" ht="60" x14ac:dyDescent="0.25">
      <c r="A662" s="7" t="s">
        <v>2409</v>
      </c>
      <c r="B662" s="2" t="s">
        <v>2410</v>
      </c>
      <c r="C662" s="4">
        <v>2</v>
      </c>
      <c r="D662" s="5">
        <v>1.97</v>
      </c>
      <c r="E662" s="5">
        <v>5.99</v>
      </c>
      <c r="F662" s="4" t="s">
        <v>2411</v>
      </c>
      <c r="G662" s="2" t="s">
        <v>41</v>
      </c>
      <c r="H662" s="7" t="s">
        <v>149</v>
      </c>
      <c r="I662" s="2" t="s">
        <v>483</v>
      </c>
      <c r="J662" s="2" t="s">
        <v>536</v>
      </c>
      <c r="K662" s="2" t="s">
        <v>304</v>
      </c>
      <c r="L662" s="2" t="s">
        <v>206</v>
      </c>
      <c r="M662" s="8" t="str">
        <f>HYPERLINK("http://slimages.macys.com/is/image/MCY/12644612 ")</f>
        <v xml:space="preserve">http://slimages.macys.com/is/image/MCY/12644612 </v>
      </c>
    </row>
    <row r="663" spans="1:13" ht="60" x14ac:dyDescent="0.25">
      <c r="A663" s="7" t="s">
        <v>9268</v>
      </c>
      <c r="B663" s="2" t="s">
        <v>7297</v>
      </c>
      <c r="C663" s="4">
        <v>1</v>
      </c>
      <c r="D663" s="5">
        <v>1.97</v>
      </c>
      <c r="E663" s="5">
        <v>5.99</v>
      </c>
      <c r="F663" s="4" t="s">
        <v>7298</v>
      </c>
      <c r="G663" s="2" t="s">
        <v>657</v>
      </c>
      <c r="H663" s="7" t="s">
        <v>91</v>
      </c>
      <c r="I663" s="2" t="s">
        <v>483</v>
      </c>
      <c r="J663" s="2" t="s">
        <v>536</v>
      </c>
      <c r="K663" s="2" t="s">
        <v>304</v>
      </c>
      <c r="L663" s="2" t="s">
        <v>119</v>
      </c>
      <c r="M663" s="8" t="str">
        <f>HYPERLINK("http://slimages.macys.com/is/image/MCY/12636887 ")</f>
        <v xml:space="preserve">http://slimages.macys.com/is/image/MCY/12636887 </v>
      </c>
    </row>
    <row r="664" spans="1:13" ht="60" x14ac:dyDescent="0.25">
      <c r="A664" s="7" t="s">
        <v>5797</v>
      </c>
      <c r="B664" s="2" t="s">
        <v>1399</v>
      </c>
      <c r="C664" s="4">
        <v>1</v>
      </c>
      <c r="D664" s="5">
        <v>1.97</v>
      </c>
      <c r="E664" s="5">
        <v>5.99</v>
      </c>
      <c r="F664" s="4" t="s">
        <v>1400</v>
      </c>
      <c r="G664" s="2" t="s">
        <v>657</v>
      </c>
      <c r="H664" s="7" t="s">
        <v>442</v>
      </c>
      <c r="I664" s="2" t="s">
        <v>483</v>
      </c>
      <c r="J664" s="2" t="s">
        <v>536</v>
      </c>
      <c r="K664" s="2" t="s">
        <v>304</v>
      </c>
      <c r="L664" s="2" t="s">
        <v>119</v>
      </c>
      <c r="M664" s="8" t="str">
        <f>HYPERLINK("http://slimages.macys.com/is/image/MCY/13987628 ")</f>
        <v xml:space="preserve">http://slimages.macys.com/is/image/MCY/13987628 </v>
      </c>
    </row>
    <row r="665" spans="1:13" ht="60" x14ac:dyDescent="0.25">
      <c r="A665" s="7" t="s">
        <v>5111</v>
      </c>
      <c r="B665" s="2" t="s">
        <v>2410</v>
      </c>
      <c r="C665" s="4">
        <v>2</v>
      </c>
      <c r="D665" s="5">
        <v>1.97</v>
      </c>
      <c r="E665" s="5">
        <v>5.99</v>
      </c>
      <c r="F665" s="4" t="s">
        <v>2411</v>
      </c>
      <c r="G665" s="2" t="s">
        <v>41</v>
      </c>
      <c r="H665" s="7" t="s">
        <v>590</v>
      </c>
      <c r="I665" s="2" t="s">
        <v>483</v>
      </c>
      <c r="J665" s="2" t="s">
        <v>536</v>
      </c>
      <c r="K665" s="2" t="s">
        <v>304</v>
      </c>
      <c r="L665" s="2" t="s">
        <v>206</v>
      </c>
      <c r="M665" s="8" t="str">
        <f>HYPERLINK("http://slimages.macys.com/is/image/MCY/12644612 ")</f>
        <v xml:space="preserve">http://slimages.macys.com/is/image/MCY/12644612 </v>
      </c>
    </row>
    <row r="666" spans="1:13" ht="60" x14ac:dyDescent="0.25">
      <c r="A666" s="7" t="s">
        <v>9269</v>
      </c>
      <c r="B666" s="2" t="s">
        <v>5799</v>
      </c>
      <c r="C666" s="4">
        <v>1</v>
      </c>
      <c r="D666" s="5">
        <v>1.95</v>
      </c>
      <c r="E666" s="5">
        <v>5.99</v>
      </c>
      <c r="F666" s="4" t="s">
        <v>5800</v>
      </c>
      <c r="G666" s="2" t="s">
        <v>129</v>
      </c>
      <c r="H666" s="7" t="s">
        <v>91</v>
      </c>
      <c r="I666" s="2" t="s">
        <v>483</v>
      </c>
      <c r="J666" s="2" t="s">
        <v>536</v>
      </c>
      <c r="K666" s="2" t="s">
        <v>304</v>
      </c>
      <c r="L666" s="2" t="s">
        <v>119</v>
      </c>
      <c r="M666" s="8" t="str">
        <f>HYPERLINK("http://slimages.macys.com/is/image/MCY/12776923 ")</f>
        <v xml:space="preserve">http://slimages.macys.com/is/image/MCY/12776923 </v>
      </c>
    </row>
    <row r="667" spans="1:13" ht="60" x14ac:dyDescent="0.25">
      <c r="A667" s="7" t="s">
        <v>9270</v>
      </c>
      <c r="B667" s="2" t="s">
        <v>5799</v>
      </c>
      <c r="C667" s="4">
        <v>1</v>
      </c>
      <c r="D667" s="5">
        <v>1.95</v>
      </c>
      <c r="E667" s="5">
        <v>5.99</v>
      </c>
      <c r="F667" s="4" t="s">
        <v>5800</v>
      </c>
      <c r="G667" s="2" t="s">
        <v>129</v>
      </c>
      <c r="H667" s="7" t="s">
        <v>442</v>
      </c>
      <c r="I667" s="2" t="s">
        <v>483</v>
      </c>
      <c r="J667" s="2" t="s">
        <v>536</v>
      </c>
      <c r="K667" s="2" t="s">
        <v>304</v>
      </c>
      <c r="L667" s="2" t="s">
        <v>119</v>
      </c>
      <c r="M667" s="8" t="str">
        <f>HYPERLINK("http://slimages.macys.com/is/image/MCY/12776923 ")</f>
        <v xml:space="preserve">http://slimages.macys.com/is/image/MCY/12776923 </v>
      </c>
    </row>
    <row r="668" spans="1:13" ht="60" x14ac:dyDescent="0.25">
      <c r="A668" s="7" t="s">
        <v>5798</v>
      </c>
      <c r="B668" s="2" t="s">
        <v>5799</v>
      </c>
      <c r="C668" s="4">
        <v>1</v>
      </c>
      <c r="D668" s="5">
        <v>1.95</v>
      </c>
      <c r="E668" s="5">
        <v>5.99</v>
      </c>
      <c r="F668" s="4" t="s">
        <v>5800</v>
      </c>
      <c r="G668" s="2" t="s">
        <v>129</v>
      </c>
      <c r="H668" s="7" t="s">
        <v>42</v>
      </c>
      <c r="I668" s="2" t="s">
        <v>483</v>
      </c>
      <c r="J668" s="2" t="s">
        <v>536</v>
      </c>
      <c r="K668" s="2" t="s">
        <v>304</v>
      </c>
      <c r="L668" s="2" t="s">
        <v>119</v>
      </c>
      <c r="M668" s="8" t="str">
        <f>HYPERLINK("http://slimages.macys.com/is/image/MCY/12776923 ")</f>
        <v xml:space="preserve">http://slimages.macys.com/is/image/MCY/12776923 </v>
      </c>
    </row>
    <row r="669" spans="1:13" ht="60" x14ac:dyDescent="0.25">
      <c r="A669" s="7" t="s">
        <v>2415</v>
      </c>
      <c r="B669" s="2" t="s">
        <v>2416</v>
      </c>
      <c r="C669" s="4">
        <v>4</v>
      </c>
      <c r="D669" s="5">
        <v>1.47</v>
      </c>
      <c r="E669" s="5">
        <v>3.99</v>
      </c>
      <c r="F669" s="4" t="s">
        <v>2417</v>
      </c>
      <c r="G669" s="2" t="s">
        <v>297</v>
      </c>
      <c r="H669" s="7" t="s">
        <v>531</v>
      </c>
      <c r="I669" s="2" t="s">
        <v>483</v>
      </c>
      <c r="J669" s="2" t="s">
        <v>536</v>
      </c>
      <c r="K669" s="2" t="s">
        <v>304</v>
      </c>
      <c r="L669" s="2" t="s">
        <v>206</v>
      </c>
      <c r="M669" s="8" t="str">
        <f>HYPERLINK("http://slimages.macys.com/is/image/MCY/13987503 ")</f>
        <v xml:space="preserve">http://slimages.macys.com/is/image/MCY/13987503 </v>
      </c>
    </row>
    <row r="670" spans="1:13" ht="60" x14ac:dyDescent="0.25">
      <c r="A670" s="7" t="s">
        <v>9271</v>
      </c>
      <c r="B670" s="2" t="s">
        <v>9272</v>
      </c>
      <c r="C670" s="4">
        <v>1</v>
      </c>
      <c r="D670" s="5">
        <v>1.2</v>
      </c>
      <c r="E670" s="5">
        <v>2.99</v>
      </c>
      <c r="F670" s="4" t="s">
        <v>9273</v>
      </c>
      <c r="G670" s="2" t="s">
        <v>62</v>
      </c>
      <c r="H670" s="7" t="s">
        <v>586</v>
      </c>
      <c r="I670" s="2" t="s">
        <v>483</v>
      </c>
      <c r="J670" s="2" t="s">
        <v>2710</v>
      </c>
      <c r="K670" s="2" t="s">
        <v>304</v>
      </c>
      <c r="L670" s="2" t="s">
        <v>3452</v>
      </c>
      <c r="M670" s="8" t="str">
        <f>HYPERLINK("http://slimages.macys.com/is/image/MCY/11072328 ")</f>
        <v xml:space="preserve">http://slimages.macys.com/is/image/MCY/11072328 </v>
      </c>
    </row>
    <row r="671" spans="1:13" ht="24" x14ac:dyDescent="0.25">
      <c r="A671" s="7" t="s">
        <v>9274</v>
      </c>
      <c r="B671" s="2" t="s">
        <v>9275</v>
      </c>
      <c r="C671" s="4">
        <v>2</v>
      </c>
      <c r="D671" s="5">
        <v>18</v>
      </c>
      <c r="E671" s="5">
        <v>40</v>
      </c>
      <c r="F671" s="4">
        <v>1342069</v>
      </c>
      <c r="G671" s="2" t="s">
        <v>48</v>
      </c>
      <c r="H671" s="7" t="s">
        <v>159</v>
      </c>
      <c r="I671" s="2" t="s">
        <v>173</v>
      </c>
      <c r="J671" s="2" t="s">
        <v>280</v>
      </c>
      <c r="K671" s="2"/>
      <c r="L671" s="2"/>
      <c r="M671" s="8"/>
    </row>
    <row r="672" spans="1:13" ht="24" x14ac:dyDescent="0.25">
      <c r="A672" s="7" t="s">
        <v>9276</v>
      </c>
      <c r="B672" s="2" t="s">
        <v>9275</v>
      </c>
      <c r="C672" s="4">
        <v>2</v>
      </c>
      <c r="D672" s="5">
        <v>18</v>
      </c>
      <c r="E672" s="5">
        <v>40</v>
      </c>
      <c r="F672" s="4">
        <v>1342069</v>
      </c>
      <c r="G672" s="2" t="s">
        <v>48</v>
      </c>
      <c r="H672" s="7" t="s">
        <v>228</v>
      </c>
      <c r="I672" s="2" t="s">
        <v>173</v>
      </c>
      <c r="J672" s="2" t="s">
        <v>280</v>
      </c>
      <c r="K672" s="2"/>
      <c r="L672" s="2"/>
      <c r="M672" s="8"/>
    </row>
    <row r="673" spans="1:13" ht="48" x14ac:dyDescent="0.25">
      <c r="A673" s="7" t="s">
        <v>9277</v>
      </c>
      <c r="B673" s="2" t="s">
        <v>9278</v>
      </c>
      <c r="C673" s="4">
        <v>1</v>
      </c>
      <c r="D673" s="5">
        <v>13</v>
      </c>
      <c r="E673" s="5">
        <v>48</v>
      </c>
      <c r="F673" s="4" t="s">
        <v>9279</v>
      </c>
      <c r="G673" s="2" t="s">
        <v>171</v>
      </c>
      <c r="H673" s="7" t="s">
        <v>4732</v>
      </c>
      <c r="I673" s="2" t="s">
        <v>173</v>
      </c>
      <c r="J673" s="2" t="s">
        <v>4672</v>
      </c>
      <c r="K673" s="2"/>
      <c r="L673" s="2"/>
      <c r="M673" s="8"/>
    </row>
    <row r="674" spans="1:13" ht="24" x14ac:dyDescent="0.25">
      <c r="A674" s="7" t="s">
        <v>9280</v>
      </c>
      <c r="B674" s="2" t="s">
        <v>9281</v>
      </c>
      <c r="C674" s="4">
        <v>2</v>
      </c>
      <c r="D674" s="5">
        <v>11.25</v>
      </c>
      <c r="E674" s="5">
        <v>25</v>
      </c>
      <c r="F674" s="4">
        <v>1329224</v>
      </c>
      <c r="G674" s="2" t="s">
        <v>353</v>
      </c>
      <c r="H674" s="7" t="s">
        <v>284</v>
      </c>
      <c r="I674" s="2" t="s">
        <v>173</v>
      </c>
      <c r="J674" s="2" t="s">
        <v>280</v>
      </c>
      <c r="K674" s="2"/>
      <c r="L674" s="2"/>
      <c r="M674" s="8"/>
    </row>
    <row r="675" spans="1:13" ht="24" x14ac:dyDescent="0.25">
      <c r="A675" s="7" t="s">
        <v>9282</v>
      </c>
      <c r="B675" s="2" t="s">
        <v>9281</v>
      </c>
      <c r="C675" s="4">
        <v>1</v>
      </c>
      <c r="D675" s="5">
        <v>11.25</v>
      </c>
      <c r="E675" s="5">
        <v>25</v>
      </c>
      <c r="F675" s="4">
        <v>1329224</v>
      </c>
      <c r="G675" s="2" t="s">
        <v>353</v>
      </c>
      <c r="H675" s="7" t="s">
        <v>159</v>
      </c>
      <c r="I675" s="2" t="s">
        <v>173</v>
      </c>
      <c r="J675" s="2" t="s">
        <v>280</v>
      </c>
      <c r="K675" s="2"/>
      <c r="L675" s="2"/>
      <c r="M675" s="8"/>
    </row>
    <row r="676" spans="1:13" ht="60" x14ac:dyDescent="0.25">
      <c r="A676" s="7" t="s">
        <v>3578</v>
      </c>
      <c r="B676" s="2" t="s">
        <v>3579</v>
      </c>
      <c r="C676" s="4">
        <v>1</v>
      </c>
      <c r="D676" s="5">
        <v>10.3</v>
      </c>
      <c r="E676" s="5">
        <v>25.05</v>
      </c>
      <c r="F676" s="4">
        <v>17872211</v>
      </c>
      <c r="G676" s="2"/>
      <c r="H676" s="7" t="s">
        <v>91</v>
      </c>
      <c r="I676" s="2" t="s">
        <v>153</v>
      </c>
      <c r="J676" s="2" t="s">
        <v>3580</v>
      </c>
      <c r="K676" s="2"/>
      <c r="L676" s="2"/>
      <c r="M676" s="8"/>
    </row>
    <row r="677" spans="1:13" ht="36" x14ac:dyDescent="0.25">
      <c r="A677" s="7" t="s">
        <v>9283</v>
      </c>
      <c r="B677" s="2" t="s">
        <v>9284</v>
      </c>
      <c r="C677" s="4">
        <v>1</v>
      </c>
      <c r="D677" s="5">
        <v>6.4</v>
      </c>
      <c r="E677" s="5">
        <v>14.55</v>
      </c>
      <c r="F677" s="4">
        <v>18818010</v>
      </c>
      <c r="G677" s="2" t="s">
        <v>36</v>
      </c>
      <c r="H677" s="7" t="s">
        <v>482</v>
      </c>
      <c r="I677" s="2" t="s">
        <v>153</v>
      </c>
      <c r="J677" s="2" t="s">
        <v>154</v>
      </c>
      <c r="K677" s="2"/>
      <c r="L677" s="2"/>
      <c r="M677" s="8"/>
    </row>
  </sheetData>
  <pageMargins left="0.5" right="0.5" top="0.25" bottom="0.25" header="0.3" footer="0.3"/>
  <pageSetup scale="65" orientation="landscape" horizontalDpi="0" verticalDpi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519"/>
  <sheetViews>
    <sheetView workbookViewId="0">
      <selection activeCell="N3" sqref="N3"/>
    </sheetView>
  </sheetViews>
  <sheetFormatPr defaultRowHeight="15" x14ac:dyDescent="0.25"/>
  <cols>
    <col min="1" max="1" width="14.28515625" customWidth="1"/>
    <col min="2" max="2" width="41.42578125" customWidth="1"/>
    <col min="3" max="3" width="15" customWidth="1"/>
    <col min="4" max="4" width="10.85546875" customWidth="1"/>
    <col min="5" max="6" width="15" customWidth="1"/>
    <col min="7" max="7" width="10.28515625" customWidth="1"/>
    <col min="8" max="8" width="12.5703125" customWidth="1"/>
    <col min="9" max="11" width="11.42578125" customWidth="1"/>
    <col min="12" max="12" width="7.42578125" customWidth="1"/>
    <col min="13" max="13" width="10.85546875" customWidth="1"/>
    <col min="14" max="14" width="12.140625" customWidth="1"/>
    <col min="15" max="15" width="36.5703125" bestFit="1" customWidth="1"/>
    <col min="16" max="17" width="20.7109375" customWidth="1"/>
    <col min="18" max="18" width="64.28515625" customWidth="1"/>
  </cols>
  <sheetData>
    <row r="1" spans="1:13" ht="36" x14ac:dyDescent="0.25">
      <c r="A1" s="21" t="s">
        <v>0</v>
      </c>
      <c r="B1" s="21" t="s">
        <v>1</v>
      </c>
      <c r="C1" s="21" t="s">
        <v>2</v>
      </c>
      <c r="D1" s="21" t="s">
        <v>3</v>
      </c>
      <c r="E1" s="21" t="s">
        <v>4</v>
      </c>
      <c r="F1" s="21" t="s">
        <v>5</v>
      </c>
      <c r="G1" s="21" t="s">
        <v>6</v>
      </c>
      <c r="H1" s="21" t="s">
        <v>7</v>
      </c>
      <c r="I1" s="21" t="s">
        <v>8</v>
      </c>
      <c r="J1" s="21" t="s">
        <v>9</v>
      </c>
    </row>
    <row r="2" spans="1:13" ht="36" x14ac:dyDescent="0.25">
      <c r="A2" s="2" t="s">
        <v>654</v>
      </c>
      <c r="B2" s="3">
        <v>12434450</v>
      </c>
      <c r="C2" s="2" t="s">
        <v>11</v>
      </c>
      <c r="D2" s="2" t="s">
        <v>12</v>
      </c>
      <c r="E2" s="4">
        <v>1</v>
      </c>
      <c r="F2" s="4">
        <v>18</v>
      </c>
      <c r="G2" s="2">
        <v>231</v>
      </c>
      <c r="H2" s="5">
        <v>4811.63</v>
      </c>
      <c r="I2" s="5">
        <v>12087.8</v>
      </c>
      <c r="J2" s="2">
        <v>859</v>
      </c>
    </row>
    <row r="4" spans="1:13" s="6" customFormat="1" x14ac:dyDescent="0.25"/>
    <row r="7" spans="1:13" s="6" customFormat="1" x14ac:dyDescent="0.25"/>
    <row r="8" spans="1:13" ht="36" x14ac:dyDescent="0.25">
      <c r="A8" s="21" t="s">
        <v>13</v>
      </c>
      <c r="B8" s="21" t="s">
        <v>14</v>
      </c>
      <c r="C8" s="21" t="s">
        <v>15</v>
      </c>
      <c r="D8" s="21" t="s">
        <v>16</v>
      </c>
      <c r="E8" s="21" t="s">
        <v>17</v>
      </c>
      <c r="F8" s="21" t="s">
        <v>18</v>
      </c>
      <c r="G8" s="21" t="s">
        <v>19</v>
      </c>
      <c r="H8" s="21" t="s">
        <v>20</v>
      </c>
      <c r="I8" s="21" t="s">
        <v>21</v>
      </c>
      <c r="J8" s="21" t="s">
        <v>22</v>
      </c>
      <c r="K8" s="21" t="s">
        <v>2737</v>
      </c>
      <c r="L8" s="21" t="s">
        <v>23</v>
      </c>
      <c r="M8" s="21" t="s">
        <v>24</v>
      </c>
    </row>
    <row r="9" spans="1:13" ht="60" x14ac:dyDescent="0.25">
      <c r="A9" s="7" t="s">
        <v>8085</v>
      </c>
      <c r="B9" s="2" t="s">
        <v>2761</v>
      </c>
      <c r="C9" s="4">
        <v>1</v>
      </c>
      <c r="D9" s="5">
        <v>39.9</v>
      </c>
      <c r="E9" s="5">
        <v>79.989999999999995</v>
      </c>
      <c r="F9" s="4" t="s">
        <v>2762</v>
      </c>
      <c r="G9" s="2" t="s">
        <v>62</v>
      </c>
      <c r="H9" s="7" t="s">
        <v>662</v>
      </c>
      <c r="I9" s="2" t="s">
        <v>30</v>
      </c>
      <c r="J9" s="2" t="s">
        <v>31</v>
      </c>
      <c r="K9" s="2" t="s">
        <v>304</v>
      </c>
      <c r="L9" s="2" t="s">
        <v>32</v>
      </c>
      <c r="M9" s="8" t="str">
        <f>HYPERLINK("http://slimages.macys.com/is/image/MCY/11831381 ")</f>
        <v xml:space="preserve">http://slimages.macys.com/is/image/MCY/11831381 </v>
      </c>
    </row>
    <row r="10" spans="1:13" ht="60" x14ac:dyDescent="0.25">
      <c r="A10" s="7" t="s">
        <v>8086</v>
      </c>
      <c r="B10" s="2" t="s">
        <v>1407</v>
      </c>
      <c r="C10" s="4">
        <v>2</v>
      </c>
      <c r="D10" s="5">
        <v>38</v>
      </c>
      <c r="E10" s="5">
        <v>71.989999999999995</v>
      </c>
      <c r="F10" s="4" t="s">
        <v>1408</v>
      </c>
      <c r="G10" s="2" t="s">
        <v>814</v>
      </c>
      <c r="H10" s="7" t="s">
        <v>97</v>
      </c>
      <c r="I10" s="2" t="s">
        <v>30</v>
      </c>
      <c r="J10" s="2" t="s">
        <v>1409</v>
      </c>
      <c r="K10" s="2" t="s">
        <v>304</v>
      </c>
      <c r="L10" s="2" t="s">
        <v>206</v>
      </c>
      <c r="M10" s="8" t="str">
        <f>HYPERLINK("http://slimages.macys.com/is/image/MCY/11603207 ")</f>
        <v xml:space="preserve">http://slimages.macys.com/is/image/MCY/11603207 </v>
      </c>
    </row>
    <row r="11" spans="1:13" ht="60" x14ac:dyDescent="0.25">
      <c r="A11" s="7" t="s">
        <v>8087</v>
      </c>
      <c r="B11" s="2" t="s">
        <v>1407</v>
      </c>
      <c r="C11" s="4">
        <v>2</v>
      </c>
      <c r="D11" s="5">
        <v>38</v>
      </c>
      <c r="E11" s="5">
        <v>71.989999999999995</v>
      </c>
      <c r="F11" s="4" t="s">
        <v>1408</v>
      </c>
      <c r="G11" s="2" t="s">
        <v>814</v>
      </c>
      <c r="H11" s="7" t="s">
        <v>56</v>
      </c>
      <c r="I11" s="2" t="s">
        <v>30</v>
      </c>
      <c r="J11" s="2" t="s">
        <v>1409</v>
      </c>
      <c r="K11" s="2" t="s">
        <v>304</v>
      </c>
      <c r="L11" s="2" t="s">
        <v>206</v>
      </c>
      <c r="M11" s="8" t="str">
        <f>HYPERLINK("http://slimages.macys.com/is/image/MCY/11603207 ")</f>
        <v xml:space="preserve">http://slimages.macys.com/is/image/MCY/11603207 </v>
      </c>
    </row>
    <row r="12" spans="1:13" ht="60" x14ac:dyDescent="0.25">
      <c r="A12" s="7" t="s">
        <v>8088</v>
      </c>
      <c r="B12" s="2" t="s">
        <v>2448</v>
      </c>
      <c r="C12" s="4">
        <v>1</v>
      </c>
      <c r="D12" s="5">
        <v>22.28</v>
      </c>
      <c r="E12" s="5">
        <v>49.5</v>
      </c>
      <c r="F12" s="4">
        <v>323767529002</v>
      </c>
      <c r="G12" s="2" t="s">
        <v>28</v>
      </c>
      <c r="H12" s="7" t="s">
        <v>159</v>
      </c>
      <c r="I12" s="2" t="s">
        <v>204</v>
      </c>
      <c r="J12" s="2" t="s">
        <v>205</v>
      </c>
      <c r="K12" s="2" t="s">
        <v>304</v>
      </c>
      <c r="L12" s="2" t="s">
        <v>119</v>
      </c>
      <c r="M12" s="8" t="str">
        <f>HYPERLINK("http://slimages.macys.com/is/image/MCY/13745321 ")</f>
        <v xml:space="preserve">http://slimages.macys.com/is/image/MCY/13745321 </v>
      </c>
    </row>
    <row r="13" spans="1:13" ht="72" x14ac:dyDescent="0.25">
      <c r="A13" s="7" t="s">
        <v>8089</v>
      </c>
      <c r="B13" s="2" t="s">
        <v>8090</v>
      </c>
      <c r="C13" s="4">
        <v>1</v>
      </c>
      <c r="D13" s="5">
        <v>22.28</v>
      </c>
      <c r="E13" s="5">
        <v>49.5</v>
      </c>
      <c r="F13" s="4">
        <v>323737525003</v>
      </c>
      <c r="G13" s="2" t="s">
        <v>28</v>
      </c>
      <c r="H13" s="7" t="s">
        <v>284</v>
      </c>
      <c r="I13" s="2" t="s">
        <v>204</v>
      </c>
      <c r="J13" s="2" t="s">
        <v>205</v>
      </c>
      <c r="K13" s="2" t="s">
        <v>304</v>
      </c>
      <c r="L13" s="2" t="s">
        <v>8091</v>
      </c>
      <c r="M13" s="8" t="str">
        <f>HYPERLINK("http://slimages.macys.com/is/image/MCY/12509923 ")</f>
        <v xml:space="preserve">http://slimages.macys.com/is/image/MCY/12509923 </v>
      </c>
    </row>
    <row r="14" spans="1:13" ht="60" x14ac:dyDescent="0.25">
      <c r="A14" s="7" t="s">
        <v>2842</v>
      </c>
      <c r="B14" s="2" t="s">
        <v>2448</v>
      </c>
      <c r="C14" s="4">
        <v>1</v>
      </c>
      <c r="D14" s="5">
        <v>22.28</v>
      </c>
      <c r="E14" s="5">
        <v>49.5</v>
      </c>
      <c r="F14" s="4">
        <v>323767529001</v>
      </c>
      <c r="G14" s="2" t="s">
        <v>657</v>
      </c>
      <c r="H14" s="7" t="s">
        <v>159</v>
      </c>
      <c r="I14" s="2" t="s">
        <v>204</v>
      </c>
      <c r="J14" s="2" t="s">
        <v>205</v>
      </c>
      <c r="K14" s="2" t="s">
        <v>304</v>
      </c>
      <c r="L14" s="2" t="s">
        <v>119</v>
      </c>
      <c r="M14" s="8" t="str">
        <f>HYPERLINK("http://slimages.macys.com/is/image/MCY/13745321 ")</f>
        <v xml:space="preserve">http://slimages.macys.com/is/image/MCY/13745321 </v>
      </c>
    </row>
    <row r="15" spans="1:13" ht="60" x14ac:dyDescent="0.25">
      <c r="A15" s="7" t="s">
        <v>8092</v>
      </c>
      <c r="B15" s="2" t="s">
        <v>2448</v>
      </c>
      <c r="C15" s="4">
        <v>2</v>
      </c>
      <c r="D15" s="5">
        <v>22.28</v>
      </c>
      <c r="E15" s="5">
        <v>49.5</v>
      </c>
      <c r="F15" s="4">
        <v>323767529001</v>
      </c>
      <c r="G15" s="2" t="s">
        <v>657</v>
      </c>
      <c r="H15" s="7" t="s">
        <v>228</v>
      </c>
      <c r="I15" s="2" t="s">
        <v>204</v>
      </c>
      <c r="J15" s="2" t="s">
        <v>205</v>
      </c>
      <c r="K15" s="2" t="s">
        <v>304</v>
      </c>
      <c r="L15" s="2" t="s">
        <v>119</v>
      </c>
      <c r="M15" s="8" t="str">
        <f>HYPERLINK("http://slimages.macys.com/is/image/MCY/13745321 ")</f>
        <v xml:space="preserve">http://slimages.macys.com/is/image/MCY/13745321 </v>
      </c>
    </row>
    <row r="16" spans="1:13" ht="60" x14ac:dyDescent="0.25">
      <c r="A16" s="7" t="s">
        <v>8093</v>
      </c>
      <c r="B16" s="2" t="s">
        <v>2448</v>
      </c>
      <c r="C16" s="4">
        <v>1</v>
      </c>
      <c r="D16" s="5">
        <v>22.28</v>
      </c>
      <c r="E16" s="5">
        <v>49.5</v>
      </c>
      <c r="F16" s="4">
        <v>323767529001</v>
      </c>
      <c r="G16" s="2" t="s">
        <v>657</v>
      </c>
      <c r="H16" s="7" t="s">
        <v>217</v>
      </c>
      <c r="I16" s="2" t="s">
        <v>204</v>
      </c>
      <c r="J16" s="2" t="s">
        <v>205</v>
      </c>
      <c r="K16" s="2" t="s">
        <v>304</v>
      </c>
      <c r="L16" s="2" t="s">
        <v>119</v>
      </c>
      <c r="M16" s="8" t="str">
        <f>HYPERLINK("http://slimages.macys.com/is/image/MCY/13745321 ")</f>
        <v xml:space="preserve">http://slimages.macys.com/is/image/MCY/13745321 </v>
      </c>
    </row>
    <row r="17" spans="1:13" ht="60" x14ac:dyDescent="0.25">
      <c r="A17" s="7" t="s">
        <v>8094</v>
      </c>
      <c r="B17" s="2" t="s">
        <v>8095</v>
      </c>
      <c r="C17" s="4">
        <v>1</v>
      </c>
      <c r="D17" s="5">
        <v>22.28</v>
      </c>
      <c r="E17" s="5">
        <v>49.5</v>
      </c>
      <c r="F17" s="4">
        <v>320750303001</v>
      </c>
      <c r="G17" s="2" t="s">
        <v>657</v>
      </c>
      <c r="H17" s="7" t="s">
        <v>233</v>
      </c>
      <c r="I17" s="2" t="s">
        <v>676</v>
      </c>
      <c r="J17" s="2" t="s">
        <v>677</v>
      </c>
      <c r="K17" s="2" t="s">
        <v>304</v>
      </c>
      <c r="L17" s="2" t="s">
        <v>87</v>
      </c>
      <c r="M17" s="8" t="str">
        <f>HYPERLINK("http://slimages.macys.com/is/image/MCY/14468927 ")</f>
        <v xml:space="preserve">http://slimages.macys.com/is/image/MCY/14468927 </v>
      </c>
    </row>
    <row r="18" spans="1:13" ht="60" x14ac:dyDescent="0.25">
      <c r="A18" s="7" t="s">
        <v>8096</v>
      </c>
      <c r="B18" s="2" t="s">
        <v>8095</v>
      </c>
      <c r="C18" s="4">
        <v>1</v>
      </c>
      <c r="D18" s="5">
        <v>22.28</v>
      </c>
      <c r="E18" s="5">
        <v>49.5</v>
      </c>
      <c r="F18" s="4">
        <v>320750303001</v>
      </c>
      <c r="G18" s="2" t="s">
        <v>657</v>
      </c>
      <c r="H18" s="7" t="s">
        <v>675</v>
      </c>
      <c r="I18" s="2" t="s">
        <v>676</v>
      </c>
      <c r="J18" s="2" t="s">
        <v>677</v>
      </c>
      <c r="K18" s="2" t="s">
        <v>304</v>
      </c>
      <c r="L18" s="2" t="s">
        <v>87</v>
      </c>
      <c r="M18" s="8" t="str">
        <f>HYPERLINK("http://slimages.macys.com/is/image/MCY/14468927 ")</f>
        <v xml:space="preserve">http://slimages.macys.com/is/image/MCY/14468927 </v>
      </c>
    </row>
    <row r="19" spans="1:13" ht="60" x14ac:dyDescent="0.25">
      <c r="A19" s="7" t="s">
        <v>8097</v>
      </c>
      <c r="B19" s="2" t="s">
        <v>8095</v>
      </c>
      <c r="C19" s="4">
        <v>1</v>
      </c>
      <c r="D19" s="5">
        <v>22.28</v>
      </c>
      <c r="E19" s="5">
        <v>49.5</v>
      </c>
      <c r="F19" s="4">
        <v>320750303001</v>
      </c>
      <c r="G19" s="2" t="s">
        <v>657</v>
      </c>
      <c r="H19" s="7" t="s">
        <v>438</v>
      </c>
      <c r="I19" s="2" t="s">
        <v>676</v>
      </c>
      <c r="J19" s="2" t="s">
        <v>677</v>
      </c>
      <c r="K19" s="2" t="s">
        <v>304</v>
      </c>
      <c r="L19" s="2" t="s">
        <v>87</v>
      </c>
      <c r="M19" s="8" t="str">
        <f>HYPERLINK("http://slimages.macys.com/is/image/MCY/14468927 ")</f>
        <v xml:space="preserve">http://slimages.macys.com/is/image/MCY/14468927 </v>
      </c>
    </row>
    <row r="20" spans="1:13" ht="60" x14ac:dyDescent="0.25">
      <c r="A20" s="7" t="s">
        <v>8098</v>
      </c>
      <c r="B20" s="2" t="s">
        <v>8099</v>
      </c>
      <c r="C20" s="4">
        <v>1</v>
      </c>
      <c r="D20" s="5">
        <v>21</v>
      </c>
      <c r="E20" s="5">
        <v>50</v>
      </c>
      <c r="F20" s="4" t="s">
        <v>8100</v>
      </c>
      <c r="G20" s="2" t="s">
        <v>41</v>
      </c>
      <c r="H20" s="7"/>
      <c r="I20" s="2" t="s">
        <v>80</v>
      </c>
      <c r="J20" s="2" t="s">
        <v>74</v>
      </c>
      <c r="K20" s="2" t="s">
        <v>304</v>
      </c>
      <c r="L20" s="2" t="s">
        <v>81</v>
      </c>
      <c r="M20" s="8" t="str">
        <f>HYPERLINK("http://slimages.macys.com/is/image/MCY/13941753 ")</f>
        <v xml:space="preserve">http://slimages.macys.com/is/image/MCY/13941753 </v>
      </c>
    </row>
    <row r="21" spans="1:13" ht="60" x14ac:dyDescent="0.25">
      <c r="A21" s="7" t="s">
        <v>8101</v>
      </c>
      <c r="B21" s="2" t="s">
        <v>5825</v>
      </c>
      <c r="C21" s="4">
        <v>1</v>
      </c>
      <c r="D21" s="5">
        <v>20.25</v>
      </c>
      <c r="E21" s="5">
        <v>45</v>
      </c>
      <c r="F21" s="4">
        <v>323749981001</v>
      </c>
      <c r="G21" s="2" t="s">
        <v>28</v>
      </c>
      <c r="H21" s="7" t="s">
        <v>217</v>
      </c>
      <c r="I21" s="2" t="s">
        <v>204</v>
      </c>
      <c r="J21" s="2" t="s">
        <v>205</v>
      </c>
      <c r="K21" s="2" t="s">
        <v>304</v>
      </c>
      <c r="L21" s="2" t="s">
        <v>38</v>
      </c>
      <c r="M21" s="8" t="str">
        <f>HYPERLINK("http://slimages.macys.com/is/image/MCY/14356542 ")</f>
        <v xml:space="preserve">http://slimages.macys.com/is/image/MCY/14356542 </v>
      </c>
    </row>
    <row r="22" spans="1:13" ht="60" x14ac:dyDescent="0.25">
      <c r="A22" s="7" t="s">
        <v>8102</v>
      </c>
      <c r="B22" s="2" t="s">
        <v>5825</v>
      </c>
      <c r="C22" s="4">
        <v>2</v>
      </c>
      <c r="D22" s="5">
        <v>20.25</v>
      </c>
      <c r="E22" s="5">
        <v>45</v>
      </c>
      <c r="F22" s="4">
        <v>323749981001</v>
      </c>
      <c r="G22" s="2" t="s">
        <v>28</v>
      </c>
      <c r="H22" s="7" t="s">
        <v>159</v>
      </c>
      <c r="I22" s="2" t="s">
        <v>204</v>
      </c>
      <c r="J22" s="2" t="s">
        <v>205</v>
      </c>
      <c r="K22" s="2" t="s">
        <v>304</v>
      </c>
      <c r="L22" s="2" t="s">
        <v>38</v>
      </c>
      <c r="M22" s="8" t="str">
        <f>HYPERLINK("http://slimages.macys.com/is/image/MCY/14356542 ")</f>
        <v xml:space="preserve">http://slimages.macys.com/is/image/MCY/14356542 </v>
      </c>
    </row>
    <row r="23" spans="1:13" ht="60" x14ac:dyDescent="0.25">
      <c r="A23" s="7" t="s">
        <v>5824</v>
      </c>
      <c r="B23" s="2" t="s">
        <v>5825</v>
      </c>
      <c r="C23" s="4">
        <v>3</v>
      </c>
      <c r="D23" s="5">
        <v>20.25</v>
      </c>
      <c r="E23" s="5">
        <v>45</v>
      </c>
      <c r="F23" s="4">
        <v>323749981001</v>
      </c>
      <c r="G23" s="2" t="s">
        <v>28</v>
      </c>
      <c r="H23" s="7" t="s">
        <v>228</v>
      </c>
      <c r="I23" s="2" t="s">
        <v>204</v>
      </c>
      <c r="J23" s="2" t="s">
        <v>205</v>
      </c>
      <c r="K23" s="2" t="s">
        <v>304</v>
      </c>
      <c r="L23" s="2" t="s">
        <v>38</v>
      </c>
      <c r="M23" s="8" t="str">
        <f>HYPERLINK("http://slimages.macys.com/is/image/MCY/14356542 ")</f>
        <v xml:space="preserve">http://slimages.macys.com/is/image/MCY/14356542 </v>
      </c>
    </row>
    <row r="24" spans="1:13" ht="60" x14ac:dyDescent="0.25">
      <c r="A24" s="7" t="s">
        <v>8103</v>
      </c>
      <c r="B24" s="2" t="s">
        <v>5825</v>
      </c>
      <c r="C24" s="4">
        <v>1</v>
      </c>
      <c r="D24" s="5">
        <v>20.25</v>
      </c>
      <c r="E24" s="5">
        <v>45</v>
      </c>
      <c r="F24" s="4">
        <v>323749981001</v>
      </c>
      <c r="G24" s="2" t="s">
        <v>28</v>
      </c>
      <c r="H24" s="7" t="s">
        <v>284</v>
      </c>
      <c r="I24" s="2" t="s">
        <v>204</v>
      </c>
      <c r="J24" s="2" t="s">
        <v>205</v>
      </c>
      <c r="K24" s="2" t="s">
        <v>304</v>
      </c>
      <c r="L24" s="2" t="s">
        <v>38</v>
      </c>
      <c r="M24" s="8" t="str">
        <f>HYPERLINK("http://slimages.macys.com/is/image/MCY/14356542 ")</f>
        <v xml:space="preserve">http://slimages.macys.com/is/image/MCY/14356542 </v>
      </c>
    </row>
    <row r="25" spans="1:13" ht="60" x14ac:dyDescent="0.25">
      <c r="A25" s="7" t="s">
        <v>8104</v>
      </c>
      <c r="B25" s="2" t="s">
        <v>8105</v>
      </c>
      <c r="C25" s="4">
        <v>1</v>
      </c>
      <c r="D25" s="5">
        <v>19.899999999999999</v>
      </c>
      <c r="E25" s="5">
        <v>54.99</v>
      </c>
      <c r="F25" s="4" t="s">
        <v>8106</v>
      </c>
      <c r="G25" s="2" t="s">
        <v>41</v>
      </c>
      <c r="H25" s="7" t="s">
        <v>97</v>
      </c>
      <c r="I25" s="2" t="s">
        <v>668</v>
      </c>
      <c r="J25" s="2" t="s">
        <v>1427</v>
      </c>
      <c r="K25" s="2" t="s">
        <v>304</v>
      </c>
      <c r="L25" s="2" t="s">
        <v>493</v>
      </c>
      <c r="M25" s="8" t="str">
        <f>HYPERLINK("http://slimages.macys.com/is/image/MCY/13314633 ")</f>
        <v xml:space="preserve">http://slimages.macys.com/is/image/MCY/13314633 </v>
      </c>
    </row>
    <row r="26" spans="1:13" ht="60" x14ac:dyDescent="0.25">
      <c r="A26" s="7" t="s">
        <v>8107</v>
      </c>
      <c r="B26" s="2" t="s">
        <v>8108</v>
      </c>
      <c r="C26" s="4">
        <v>1</v>
      </c>
      <c r="D26" s="5">
        <v>19.5</v>
      </c>
      <c r="E26" s="5">
        <v>59.99</v>
      </c>
      <c r="F26" s="4" t="s">
        <v>8109</v>
      </c>
      <c r="G26" s="2" t="s">
        <v>582</v>
      </c>
      <c r="H26" s="7" t="s">
        <v>177</v>
      </c>
      <c r="I26" s="2" t="s">
        <v>668</v>
      </c>
      <c r="J26" s="2" t="s">
        <v>1427</v>
      </c>
      <c r="K26" s="2" t="s">
        <v>304</v>
      </c>
      <c r="L26" s="2" t="s">
        <v>1614</v>
      </c>
      <c r="M26" s="8" t="str">
        <f>HYPERLINK("http://slimages.macys.com/is/image/MCY/13397484 ")</f>
        <v xml:space="preserve">http://slimages.macys.com/is/image/MCY/13397484 </v>
      </c>
    </row>
    <row r="27" spans="1:13" ht="60" x14ac:dyDescent="0.25">
      <c r="A27" s="7" t="s">
        <v>8110</v>
      </c>
      <c r="B27" s="2" t="s">
        <v>685</v>
      </c>
      <c r="C27" s="4">
        <v>1</v>
      </c>
      <c r="D27" s="5">
        <v>18.899999999999999</v>
      </c>
      <c r="E27" s="5">
        <v>45</v>
      </c>
      <c r="F27" s="4" t="s">
        <v>4701</v>
      </c>
      <c r="G27" s="2" t="s">
        <v>62</v>
      </c>
      <c r="H27" s="7"/>
      <c r="I27" s="2" t="s">
        <v>80</v>
      </c>
      <c r="J27" s="2" t="s">
        <v>74</v>
      </c>
      <c r="K27" s="2" t="s">
        <v>304</v>
      </c>
      <c r="L27" s="2" t="s">
        <v>125</v>
      </c>
      <c r="M27" s="8" t="str">
        <f>HYPERLINK("http://slimages.macys.com/is/image/MCY/14838882 ")</f>
        <v xml:space="preserve">http://slimages.macys.com/is/image/MCY/14838882 </v>
      </c>
    </row>
    <row r="28" spans="1:13" ht="60" x14ac:dyDescent="0.25">
      <c r="A28" s="7" t="s">
        <v>8111</v>
      </c>
      <c r="B28" s="2" t="s">
        <v>8112</v>
      </c>
      <c r="C28" s="4">
        <v>1</v>
      </c>
      <c r="D28" s="5">
        <v>18.5</v>
      </c>
      <c r="E28" s="5">
        <v>41.99</v>
      </c>
      <c r="F28" s="4" t="s">
        <v>8113</v>
      </c>
      <c r="G28" s="2" t="s">
        <v>62</v>
      </c>
      <c r="H28" s="7" t="s">
        <v>317</v>
      </c>
      <c r="I28" s="2" t="s">
        <v>73</v>
      </c>
      <c r="J28" s="2" t="s">
        <v>464</v>
      </c>
      <c r="K28" s="2" t="s">
        <v>304</v>
      </c>
      <c r="L28" s="2" t="s">
        <v>125</v>
      </c>
      <c r="M28" s="8" t="str">
        <f>HYPERLINK("http://slimages.macys.com/is/image/MCY/14324568 ")</f>
        <v xml:space="preserve">http://slimages.macys.com/is/image/MCY/14324568 </v>
      </c>
    </row>
    <row r="29" spans="1:13" ht="60" x14ac:dyDescent="0.25">
      <c r="A29" s="7" t="s">
        <v>8114</v>
      </c>
      <c r="B29" s="2" t="s">
        <v>8112</v>
      </c>
      <c r="C29" s="4">
        <v>1</v>
      </c>
      <c r="D29" s="5">
        <v>18.5</v>
      </c>
      <c r="E29" s="5">
        <v>41.99</v>
      </c>
      <c r="F29" s="4" t="s">
        <v>8113</v>
      </c>
      <c r="G29" s="2" t="s">
        <v>62</v>
      </c>
      <c r="H29" s="7" t="s">
        <v>123</v>
      </c>
      <c r="I29" s="2" t="s">
        <v>73</v>
      </c>
      <c r="J29" s="2" t="s">
        <v>464</v>
      </c>
      <c r="K29" s="2" t="s">
        <v>304</v>
      </c>
      <c r="L29" s="2" t="s">
        <v>125</v>
      </c>
      <c r="M29" s="8" t="str">
        <f>HYPERLINK("http://slimages.macys.com/is/image/MCY/14324568 ")</f>
        <v xml:space="preserve">http://slimages.macys.com/is/image/MCY/14324568 </v>
      </c>
    </row>
    <row r="30" spans="1:13" ht="60" x14ac:dyDescent="0.25">
      <c r="A30" s="7" t="s">
        <v>8115</v>
      </c>
      <c r="B30" s="2" t="s">
        <v>5825</v>
      </c>
      <c r="C30" s="4">
        <v>1</v>
      </c>
      <c r="D30" s="5">
        <v>17.78</v>
      </c>
      <c r="E30" s="5">
        <v>39.5</v>
      </c>
      <c r="F30" s="4">
        <v>322749981002</v>
      </c>
      <c r="G30" s="2" t="s">
        <v>41</v>
      </c>
      <c r="H30" s="7" t="s">
        <v>123</v>
      </c>
      <c r="I30" s="2" t="s">
        <v>204</v>
      </c>
      <c r="J30" s="2" t="s">
        <v>205</v>
      </c>
      <c r="K30" s="2" t="s">
        <v>304</v>
      </c>
      <c r="L30" s="2" t="s">
        <v>87</v>
      </c>
      <c r="M30" s="8" t="str">
        <f>HYPERLINK("http://slimages.macys.com/is/image/MCY/14356710 ")</f>
        <v xml:space="preserve">http://slimages.macys.com/is/image/MCY/14356710 </v>
      </c>
    </row>
    <row r="31" spans="1:13" ht="60" x14ac:dyDescent="0.25">
      <c r="A31" s="7" t="s">
        <v>8116</v>
      </c>
      <c r="B31" s="2" t="s">
        <v>5825</v>
      </c>
      <c r="C31" s="4">
        <v>2</v>
      </c>
      <c r="D31" s="5">
        <v>17.78</v>
      </c>
      <c r="E31" s="5">
        <v>39.5</v>
      </c>
      <c r="F31" s="4">
        <v>322749981002</v>
      </c>
      <c r="G31" s="2" t="s">
        <v>41</v>
      </c>
      <c r="H31" s="7" t="s">
        <v>311</v>
      </c>
      <c r="I31" s="2" t="s">
        <v>204</v>
      </c>
      <c r="J31" s="2" t="s">
        <v>205</v>
      </c>
      <c r="K31" s="2" t="s">
        <v>304</v>
      </c>
      <c r="L31" s="2" t="s">
        <v>87</v>
      </c>
      <c r="M31" s="8" t="str">
        <f>HYPERLINK("http://slimages.macys.com/is/image/MCY/14356710 ")</f>
        <v xml:space="preserve">http://slimages.macys.com/is/image/MCY/14356710 </v>
      </c>
    </row>
    <row r="32" spans="1:13" ht="60" x14ac:dyDescent="0.25">
      <c r="A32" s="7" t="s">
        <v>8117</v>
      </c>
      <c r="B32" s="2" t="s">
        <v>5825</v>
      </c>
      <c r="C32" s="4">
        <v>1</v>
      </c>
      <c r="D32" s="5">
        <v>17.78</v>
      </c>
      <c r="E32" s="5">
        <v>39.5</v>
      </c>
      <c r="F32" s="4">
        <v>322749981002</v>
      </c>
      <c r="G32" s="2" t="s">
        <v>41</v>
      </c>
      <c r="H32" s="7" t="s">
        <v>166</v>
      </c>
      <c r="I32" s="2" t="s">
        <v>204</v>
      </c>
      <c r="J32" s="2" t="s">
        <v>205</v>
      </c>
      <c r="K32" s="2" t="s">
        <v>304</v>
      </c>
      <c r="L32" s="2" t="s">
        <v>87</v>
      </c>
      <c r="M32" s="8" t="str">
        <f>HYPERLINK("http://slimages.macys.com/is/image/MCY/14356710 ")</f>
        <v xml:space="preserve">http://slimages.macys.com/is/image/MCY/14356710 </v>
      </c>
    </row>
    <row r="33" spans="1:13" ht="60" x14ac:dyDescent="0.25">
      <c r="A33" s="7" t="s">
        <v>8118</v>
      </c>
      <c r="B33" s="2" t="s">
        <v>1443</v>
      </c>
      <c r="C33" s="4">
        <v>1</v>
      </c>
      <c r="D33" s="5">
        <v>17.78</v>
      </c>
      <c r="E33" s="5">
        <v>39.5</v>
      </c>
      <c r="F33" s="4">
        <v>323736959007</v>
      </c>
      <c r="G33" s="2" t="s">
        <v>129</v>
      </c>
      <c r="H33" s="7" t="s">
        <v>97</v>
      </c>
      <c r="I33" s="2" t="s">
        <v>204</v>
      </c>
      <c r="J33" s="2" t="s">
        <v>205</v>
      </c>
      <c r="K33" s="2" t="s">
        <v>304</v>
      </c>
      <c r="L33" s="2" t="s">
        <v>38</v>
      </c>
      <c r="M33" s="8" t="str">
        <f>HYPERLINK("http://slimages.macys.com/is/image/MCY/13895756 ")</f>
        <v xml:space="preserve">http://slimages.macys.com/is/image/MCY/13895756 </v>
      </c>
    </row>
    <row r="34" spans="1:13" ht="60" x14ac:dyDescent="0.25">
      <c r="A34" s="7" t="s">
        <v>8119</v>
      </c>
      <c r="B34" s="2" t="s">
        <v>1443</v>
      </c>
      <c r="C34" s="4">
        <v>2</v>
      </c>
      <c r="D34" s="5">
        <v>17.78</v>
      </c>
      <c r="E34" s="5">
        <v>39.5</v>
      </c>
      <c r="F34" s="4">
        <v>323736959007</v>
      </c>
      <c r="G34" s="2" t="s">
        <v>129</v>
      </c>
      <c r="H34" s="7" t="s">
        <v>177</v>
      </c>
      <c r="I34" s="2" t="s">
        <v>204</v>
      </c>
      <c r="J34" s="2" t="s">
        <v>205</v>
      </c>
      <c r="K34" s="2" t="s">
        <v>304</v>
      </c>
      <c r="L34" s="2" t="s">
        <v>38</v>
      </c>
      <c r="M34" s="8" t="str">
        <f>HYPERLINK("http://slimages.macys.com/is/image/MCY/13895756 ")</f>
        <v xml:space="preserve">http://slimages.macys.com/is/image/MCY/13895756 </v>
      </c>
    </row>
    <row r="35" spans="1:13" ht="60" x14ac:dyDescent="0.25">
      <c r="A35" s="7" t="s">
        <v>8120</v>
      </c>
      <c r="B35" s="2" t="s">
        <v>1443</v>
      </c>
      <c r="C35" s="4">
        <v>1</v>
      </c>
      <c r="D35" s="5">
        <v>17.78</v>
      </c>
      <c r="E35" s="5">
        <v>39.5</v>
      </c>
      <c r="F35" s="4">
        <v>323736959007</v>
      </c>
      <c r="G35" s="2" t="s">
        <v>129</v>
      </c>
      <c r="H35" s="7" t="s">
        <v>56</v>
      </c>
      <c r="I35" s="2" t="s">
        <v>204</v>
      </c>
      <c r="J35" s="2" t="s">
        <v>205</v>
      </c>
      <c r="K35" s="2" t="s">
        <v>304</v>
      </c>
      <c r="L35" s="2" t="s">
        <v>38</v>
      </c>
      <c r="M35" s="8" t="str">
        <f>HYPERLINK("http://slimages.macys.com/is/image/MCY/13895756 ")</f>
        <v xml:space="preserve">http://slimages.macys.com/is/image/MCY/13895756 </v>
      </c>
    </row>
    <row r="36" spans="1:13" ht="60" x14ac:dyDescent="0.25">
      <c r="A36" s="7" t="s">
        <v>8121</v>
      </c>
      <c r="B36" s="2" t="s">
        <v>102</v>
      </c>
      <c r="C36" s="4">
        <v>1</v>
      </c>
      <c r="D36" s="5">
        <v>16.2</v>
      </c>
      <c r="E36" s="5">
        <v>54</v>
      </c>
      <c r="F36" s="4">
        <v>328374</v>
      </c>
      <c r="G36" s="2" t="s">
        <v>103</v>
      </c>
      <c r="H36" s="7" t="s">
        <v>786</v>
      </c>
      <c r="I36" s="2" t="s">
        <v>50</v>
      </c>
      <c r="J36" s="2" t="s">
        <v>105</v>
      </c>
      <c r="K36" s="2" t="s">
        <v>304</v>
      </c>
      <c r="L36" s="2"/>
      <c r="M36" s="8" t="str">
        <f>HYPERLINK("http://slimages.macys.com/is/image/MCY/10476758 ")</f>
        <v xml:space="preserve">http://slimages.macys.com/is/image/MCY/10476758 </v>
      </c>
    </row>
    <row r="37" spans="1:13" ht="84" x14ac:dyDescent="0.25">
      <c r="A37" s="7" t="s">
        <v>8122</v>
      </c>
      <c r="B37" s="2" t="s">
        <v>8123</v>
      </c>
      <c r="C37" s="4">
        <v>1</v>
      </c>
      <c r="D37" s="5">
        <v>16</v>
      </c>
      <c r="E37" s="5">
        <v>44.99</v>
      </c>
      <c r="F37" s="4" t="s">
        <v>8124</v>
      </c>
      <c r="G37" s="2"/>
      <c r="H37" s="7" t="s">
        <v>179</v>
      </c>
      <c r="I37" s="2" t="s">
        <v>668</v>
      </c>
      <c r="J37" s="2" t="s">
        <v>1437</v>
      </c>
      <c r="K37" s="2" t="s">
        <v>304</v>
      </c>
      <c r="L37" s="2" t="s">
        <v>1117</v>
      </c>
      <c r="M37" s="8" t="str">
        <f>HYPERLINK("http://slimages.macys.com/is/image/MCY/13314650 ")</f>
        <v xml:space="preserve">http://slimages.macys.com/is/image/MCY/13314650 </v>
      </c>
    </row>
    <row r="38" spans="1:13" ht="60" x14ac:dyDescent="0.25">
      <c r="A38" s="7" t="s">
        <v>4743</v>
      </c>
      <c r="B38" s="2" t="s">
        <v>110</v>
      </c>
      <c r="C38" s="4">
        <v>1</v>
      </c>
      <c r="D38" s="5">
        <v>15.8</v>
      </c>
      <c r="E38" s="5">
        <v>39.5</v>
      </c>
      <c r="F38" s="4" t="s">
        <v>111</v>
      </c>
      <c r="G38" s="2" t="s">
        <v>41</v>
      </c>
      <c r="H38" s="7"/>
      <c r="I38" s="2" t="s">
        <v>57</v>
      </c>
      <c r="J38" s="2" t="s">
        <v>58</v>
      </c>
      <c r="K38" s="2" t="s">
        <v>304</v>
      </c>
      <c r="L38" s="2" t="s">
        <v>100</v>
      </c>
      <c r="M38" s="8" t="str">
        <f>HYPERLINK("http://slimages.macys.com/is/image/MCY/13049173 ")</f>
        <v xml:space="preserve">http://slimages.macys.com/is/image/MCY/13049173 </v>
      </c>
    </row>
    <row r="39" spans="1:13" ht="96" x14ac:dyDescent="0.25">
      <c r="A39" s="7" t="s">
        <v>8125</v>
      </c>
      <c r="B39" s="2" t="s">
        <v>8126</v>
      </c>
      <c r="C39" s="4">
        <v>1</v>
      </c>
      <c r="D39" s="5">
        <v>15.25</v>
      </c>
      <c r="E39" s="5">
        <v>39.99</v>
      </c>
      <c r="F39" s="4" t="s">
        <v>8127</v>
      </c>
      <c r="G39" s="2" t="s">
        <v>165</v>
      </c>
      <c r="H39" s="7" t="s">
        <v>172</v>
      </c>
      <c r="I39" s="2" t="s">
        <v>668</v>
      </c>
      <c r="J39" s="2" t="s">
        <v>1427</v>
      </c>
      <c r="K39" s="2" t="s">
        <v>304</v>
      </c>
      <c r="L39" s="2" t="s">
        <v>8128</v>
      </c>
      <c r="M39" s="8" t="str">
        <f>HYPERLINK("http://slimages.macys.com/is/image/MCY/8908331 ")</f>
        <v xml:space="preserve">http://slimages.macys.com/is/image/MCY/8908331 </v>
      </c>
    </row>
    <row r="40" spans="1:13" ht="132" x14ac:dyDescent="0.25">
      <c r="A40" s="7" t="s">
        <v>8129</v>
      </c>
      <c r="B40" s="2" t="s">
        <v>8130</v>
      </c>
      <c r="C40" s="4">
        <v>1</v>
      </c>
      <c r="D40" s="5">
        <v>15</v>
      </c>
      <c r="E40" s="5">
        <v>44.99</v>
      </c>
      <c r="F40" s="4" t="s">
        <v>8131</v>
      </c>
      <c r="G40" s="2" t="s">
        <v>667</v>
      </c>
      <c r="H40" s="7" t="s">
        <v>172</v>
      </c>
      <c r="I40" s="2" t="s">
        <v>668</v>
      </c>
      <c r="J40" s="2" t="s">
        <v>1506</v>
      </c>
      <c r="K40" s="2" t="s">
        <v>304</v>
      </c>
      <c r="L40" s="2" t="s">
        <v>8132</v>
      </c>
      <c r="M40" s="8" t="str">
        <f>HYPERLINK("http://slimages.macys.com/is/image/MCY/11704114 ")</f>
        <v xml:space="preserve">http://slimages.macys.com/is/image/MCY/11704114 </v>
      </c>
    </row>
    <row r="41" spans="1:13" ht="60" x14ac:dyDescent="0.25">
      <c r="A41" s="7" t="s">
        <v>8133</v>
      </c>
      <c r="B41" s="2" t="s">
        <v>8134</v>
      </c>
      <c r="C41" s="4">
        <v>1</v>
      </c>
      <c r="D41" s="5">
        <v>14.62</v>
      </c>
      <c r="E41" s="5">
        <v>39.5</v>
      </c>
      <c r="F41" s="4" t="s">
        <v>8135</v>
      </c>
      <c r="G41" s="2" t="s">
        <v>28</v>
      </c>
      <c r="H41" s="7" t="s">
        <v>68</v>
      </c>
      <c r="I41" s="2" t="s">
        <v>880</v>
      </c>
      <c r="J41" s="2" t="s">
        <v>881</v>
      </c>
      <c r="K41" s="2" t="s">
        <v>304</v>
      </c>
      <c r="L41" s="2" t="s">
        <v>119</v>
      </c>
      <c r="M41" s="8" t="str">
        <f>HYPERLINK("http://slimages.macys.com/is/image/MCY/13076804 ")</f>
        <v xml:space="preserve">http://slimages.macys.com/is/image/MCY/13076804 </v>
      </c>
    </row>
    <row r="42" spans="1:13" ht="60" x14ac:dyDescent="0.25">
      <c r="A42" s="7" t="s">
        <v>8136</v>
      </c>
      <c r="B42" s="2" t="s">
        <v>8137</v>
      </c>
      <c r="C42" s="4">
        <v>1</v>
      </c>
      <c r="D42" s="5">
        <v>14.5</v>
      </c>
      <c r="E42" s="5">
        <v>29.99</v>
      </c>
      <c r="F42" s="4" t="s">
        <v>8138</v>
      </c>
      <c r="G42" s="2" t="s">
        <v>1160</v>
      </c>
      <c r="H42" s="7" t="s">
        <v>228</v>
      </c>
      <c r="I42" s="2" t="s">
        <v>257</v>
      </c>
      <c r="J42" s="2" t="s">
        <v>258</v>
      </c>
      <c r="K42" s="2" t="s">
        <v>304</v>
      </c>
      <c r="L42" s="2" t="s">
        <v>87</v>
      </c>
      <c r="M42" s="8" t="str">
        <f>HYPERLINK("http://slimages.macys.com/is/image/MCY/2903499 ")</f>
        <v xml:space="preserve">http://slimages.macys.com/is/image/MCY/2903499 </v>
      </c>
    </row>
    <row r="43" spans="1:13" ht="60" x14ac:dyDescent="0.25">
      <c r="A43" s="7" t="s">
        <v>8139</v>
      </c>
      <c r="B43" s="2" t="s">
        <v>8140</v>
      </c>
      <c r="C43" s="4">
        <v>1</v>
      </c>
      <c r="D43" s="5">
        <v>14.5</v>
      </c>
      <c r="E43" s="5">
        <v>29.99</v>
      </c>
      <c r="F43" s="4" t="s">
        <v>8141</v>
      </c>
      <c r="G43" s="2" t="s">
        <v>171</v>
      </c>
      <c r="H43" s="7" t="s">
        <v>179</v>
      </c>
      <c r="I43" s="2" t="s">
        <v>30</v>
      </c>
      <c r="J43" s="2" t="s">
        <v>2986</v>
      </c>
      <c r="K43" s="2" t="s">
        <v>304</v>
      </c>
      <c r="L43" s="2" t="s">
        <v>335</v>
      </c>
      <c r="M43" s="8" t="str">
        <f>HYPERLINK("http://slimages.macys.com/is/image/MCY/11603502 ")</f>
        <v xml:space="preserve">http://slimages.macys.com/is/image/MCY/11603502 </v>
      </c>
    </row>
    <row r="44" spans="1:13" ht="60" x14ac:dyDescent="0.25">
      <c r="A44" s="7" t="s">
        <v>8142</v>
      </c>
      <c r="B44" s="2" t="s">
        <v>8140</v>
      </c>
      <c r="C44" s="4">
        <v>1</v>
      </c>
      <c r="D44" s="5">
        <v>14.5</v>
      </c>
      <c r="E44" s="5">
        <v>29.99</v>
      </c>
      <c r="F44" s="4" t="s">
        <v>8141</v>
      </c>
      <c r="G44" s="2" t="s">
        <v>171</v>
      </c>
      <c r="H44" s="7"/>
      <c r="I44" s="2" t="s">
        <v>30</v>
      </c>
      <c r="J44" s="2" t="s">
        <v>2986</v>
      </c>
      <c r="K44" s="2" t="s">
        <v>304</v>
      </c>
      <c r="L44" s="2" t="s">
        <v>335</v>
      </c>
      <c r="M44" s="8" t="str">
        <f>HYPERLINK("http://slimages.macys.com/is/image/MCY/11603502 ")</f>
        <v xml:space="preserve">http://slimages.macys.com/is/image/MCY/11603502 </v>
      </c>
    </row>
    <row r="45" spans="1:13" ht="60" x14ac:dyDescent="0.25">
      <c r="A45" s="7" t="s">
        <v>8143</v>
      </c>
      <c r="B45" s="2" t="s">
        <v>8140</v>
      </c>
      <c r="C45" s="4">
        <v>1</v>
      </c>
      <c r="D45" s="5">
        <v>14.5</v>
      </c>
      <c r="E45" s="5">
        <v>29.99</v>
      </c>
      <c r="F45" s="4" t="s">
        <v>8141</v>
      </c>
      <c r="G45" s="2" t="s">
        <v>171</v>
      </c>
      <c r="H45" s="7"/>
      <c r="I45" s="2" t="s">
        <v>30</v>
      </c>
      <c r="J45" s="2" t="s">
        <v>2986</v>
      </c>
      <c r="K45" s="2" t="s">
        <v>304</v>
      </c>
      <c r="L45" s="2" t="s">
        <v>335</v>
      </c>
      <c r="M45" s="8" t="str">
        <f>HYPERLINK("http://slimages.macys.com/is/image/MCY/11603502 ")</f>
        <v xml:space="preserve">http://slimages.macys.com/is/image/MCY/11603502 </v>
      </c>
    </row>
    <row r="46" spans="1:13" ht="60" x14ac:dyDescent="0.25">
      <c r="A46" s="7" t="s">
        <v>8144</v>
      </c>
      <c r="B46" s="2" t="s">
        <v>8140</v>
      </c>
      <c r="C46" s="4">
        <v>1</v>
      </c>
      <c r="D46" s="5">
        <v>14.5</v>
      </c>
      <c r="E46" s="5">
        <v>29.99</v>
      </c>
      <c r="F46" s="4" t="s">
        <v>8141</v>
      </c>
      <c r="G46" s="2" t="s">
        <v>171</v>
      </c>
      <c r="H46" s="7"/>
      <c r="I46" s="2" t="s">
        <v>30</v>
      </c>
      <c r="J46" s="2" t="s">
        <v>2986</v>
      </c>
      <c r="K46" s="2" t="s">
        <v>304</v>
      </c>
      <c r="L46" s="2" t="s">
        <v>335</v>
      </c>
      <c r="M46" s="8" t="str">
        <f>HYPERLINK("http://slimages.macys.com/is/image/MCY/11603502 ")</f>
        <v xml:space="preserve">http://slimages.macys.com/is/image/MCY/11603502 </v>
      </c>
    </row>
    <row r="47" spans="1:13" ht="60" x14ac:dyDescent="0.25">
      <c r="A47" s="7" t="s">
        <v>8145</v>
      </c>
      <c r="B47" s="2" t="s">
        <v>2984</v>
      </c>
      <c r="C47" s="4">
        <v>1</v>
      </c>
      <c r="D47" s="5">
        <v>14.5</v>
      </c>
      <c r="E47" s="5">
        <v>29.99</v>
      </c>
      <c r="F47" s="4" t="s">
        <v>2985</v>
      </c>
      <c r="G47" s="2" t="s">
        <v>262</v>
      </c>
      <c r="H47" s="7"/>
      <c r="I47" s="2" t="s">
        <v>30</v>
      </c>
      <c r="J47" s="2" t="s">
        <v>2986</v>
      </c>
      <c r="K47" s="2" t="s">
        <v>304</v>
      </c>
      <c r="L47" s="2" t="s">
        <v>712</v>
      </c>
      <c r="M47" s="8" t="str">
        <f>HYPERLINK("http://slimages.macys.com/is/image/MCY/11603525 ")</f>
        <v xml:space="preserve">http://slimages.macys.com/is/image/MCY/11603525 </v>
      </c>
    </row>
    <row r="48" spans="1:13" ht="60" x14ac:dyDescent="0.25">
      <c r="A48" s="7" t="s">
        <v>8146</v>
      </c>
      <c r="B48" s="2" t="s">
        <v>8147</v>
      </c>
      <c r="C48" s="4">
        <v>1</v>
      </c>
      <c r="D48" s="5">
        <v>14</v>
      </c>
      <c r="E48" s="5">
        <v>35</v>
      </c>
      <c r="F48" s="4">
        <v>323536703003</v>
      </c>
      <c r="G48" s="2" t="s">
        <v>62</v>
      </c>
      <c r="H48" s="7" t="s">
        <v>159</v>
      </c>
      <c r="I48" s="2" t="s">
        <v>8148</v>
      </c>
      <c r="J48" s="2" t="s">
        <v>205</v>
      </c>
      <c r="K48" s="2" t="s">
        <v>304</v>
      </c>
      <c r="L48" s="2" t="s">
        <v>119</v>
      </c>
      <c r="M48" s="8" t="str">
        <f>HYPERLINK("http://slimages.macys.com/is/image/MCY/10117449 ")</f>
        <v xml:space="preserve">http://slimages.macys.com/is/image/MCY/10117449 </v>
      </c>
    </row>
    <row r="49" spans="1:13" ht="60" x14ac:dyDescent="0.25">
      <c r="A49" s="7" t="s">
        <v>6722</v>
      </c>
      <c r="B49" s="2" t="s">
        <v>1504</v>
      </c>
      <c r="C49" s="4">
        <v>1</v>
      </c>
      <c r="D49" s="5">
        <v>14</v>
      </c>
      <c r="E49" s="5">
        <v>39.99</v>
      </c>
      <c r="F49" s="4" t="s">
        <v>1505</v>
      </c>
      <c r="G49" s="2" t="s">
        <v>129</v>
      </c>
      <c r="H49" s="7" t="s">
        <v>179</v>
      </c>
      <c r="I49" s="2" t="s">
        <v>668</v>
      </c>
      <c r="J49" s="2" t="s">
        <v>1506</v>
      </c>
      <c r="K49" s="2" t="s">
        <v>304</v>
      </c>
      <c r="L49" s="2" t="s">
        <v>125</v>
      </c>
      <c r="M49" s="8" t="str">
        <f>HYPERLINK("http://slimages.macys.com/is/image/MCY/12830956 ")</f>
        <v xml:space="preserve">http://slimages.macys.com/is/image/MCY/12830956 </v>
      </c>
    </row>
    <row r="50" spans="1:13" ht="60" x14ac:dyDescent="0.25">
      <c r="A50" s="7" t="s">
        <v>8149</v>
      </c>
      <c r="B50" s="2" t="s">
        <v>1491</v>
      </c>
      <c r="C50" s="4">
        <v>1</v>
      </c>
      <c r="D50" s="5">
        <v>13.88</v>
      </c>
      <c r="E50" s="5">
        <v>37.5</v>
      </c>
      <c r="F50" s="4" t="s">
        <v>1508</v>
      </c>
      <c r="G50" s="2" t="s">
        <v>800</v>
      </c>
      <c r="H50" s="7" t="s">
        <v>68</v>
      </c>
      <c r="I50" s="2" t="s">
        <v>880</v>
      </c>
      <c r="J50" s="2" t="s">
        <v>881</v>
      </c>
      <c r="K50" s="2" t="s">
        <v>304</v>
      </c>
      <c r="L50" s="2" t="s">
        <v>119</v>
      </c>
      <c r="M50" s="8" t="str">
        <f>HYPERLINK("http://slimages.macys.com/is/image/MCY/13358906 ")</f>
        <v xml:space="preserve">http://slimages.macys.com/is/image/MCY/13358906 </v>
      </c>
    </row>
    <row r="51" spans="1:13" ht="60" x14ac:dyDescent="0.25">
      <c r="A51" s="7" t="s">
        <v>8150</v>
      </c>
      <c r="B51" s="2" t="s">
        <v>8151</v>
      </c>
      <c r="C51" s="4">
        <v>1</v>
      </c>
      <c r="D51" s="5">
        <v>13.88</v>
      </c>
      <c r="E51" s="5">
        <v>37.5</v>
      </c>
      <c r="F51" s="4" t="s">
        <v>8152</v>
      </c>
      <c r="G51" s="2" t="s">
        <v>297</v>
      </c>
      <c r="H51" s="7" t="s">
        <v>144</v>
      </c>
      <c r="I51" s="2" t="s">
        <v>880</v>
      </c>
      <c r="J51" s="2" t="s">
        <v>881</v>
      </c>
      <c r="K51" s="2" t="s">
        <v>304</v>
      </c>
      <c r="L51" s="2" t="s">
        <v>38</v>
      </c>
      <c r="M51" s="8" t="str">
        <f>HYPERLINK("http://slimages.macys.com/is/image/MCY/11437108 ")</f>
        <v xml:space="preserve">http://slimages.macys.com/is/image/MCY/11437108 </v>
      </c>
    </row>
    <row r="52" spans="1:13" ht="60" x14ac:dyDescent="0.25">
      <c r="A52" s="7" t="s">
        <v>1507</v>
      </c>
      <c r="B52" s="2" t="s">
        <v>1491</v>
      </c>
      <c r="C52" s="4">
        <v>1</v>
      </c>
      <c r="D52" s="5">
        <v>13.88</v>
      </c>
      <c r="E52" s="5">
        <v>37.5</v>
      </c>
      <c r="F52" s="4" t="s">
        <v>1508</v>
      </c>
      <c r="G52" s="2" t="s">
        <v>800</v>
      </c>
      <c r="H52" s="7" t="s">
        <v>144</v>
      </c>
      <c r="I52" s="2" t="s">
        <v>880</v>
      </c>
      <c r="J52" s="2" t="s">
        <v>881</v>
      </c>
      <c r="K52" s="2" t="s">
        <v>304</v>
      </c>
      <c r="L52" s="2" t="s">
        <v>119</v>
      </c>
      <c r="M52" s="8" t="str">
        <f>HYPERLINK("http://slimages.macys.com/is/image/MCY/13358906 ")</f>
        <v xml:space="preserve">http://slimages.macys.com/is/image/MCY/13358906 </v>
      </c>
    </row>
    <row r="53" spans="1:13" ht="60" x14ac:dyDescent="0.25">
      <c r="A53" s="7" t="s">
        <v>8153</v>
      </c>
      <c r="B53" s="2" t="s">
        <v>1491</v>
      </c>
      <c r="C53" s="4">
        <v>2</v>
      </c>
      <c r="D53" s="5">
        <v>13.88</v>
      </c>
      <c r="E53" s="5">
        <v>37.5</v>
      </c>
      <c r="F53" s="4" t="s">
        <v>1508</v>
      </c>
      <c r="G53" s="2" t="s">
        <v>800</v>
      </c>
      <c r="H53" s="7" t="s">
        <v>209</v>
      </c>
      <c r="I53" s="2" t="s">
        <v>880</v>
      </c>
      <c r="J53" s="2" t="s">
        <v>881</v>
      </c>
      <c r="K53" s="2" t="s">
        <v>304</v>
      </c>
      <c r="L53" s="2" t="s">
        <v>119</v>
      </c>
      <c r="M53" s="8" t="str">
        <f>HYPERLINK("http://slimages.macys.com/is/image/MCY/13358906 ")</f>
        <v xml:space="preserve">http://slimages.macys.com/is/image/MCY/13358906 </v>
      </c>
    </row>
    <row r="54" spans="1:13" ht="84" x14ac:dyDescent="0.25">
      <c r="A54" s="7" t="s">
        <v>8154</v>
      </c>
      <c r="B54" s="2" t="s">
        <v>8155</v>
      </c>
      <c r="C54" s="4">
        <v>1</v>
      </c>
      <c r="D54" s="5">
        <v>13.5</v>
      </c>
      <c r="E54" s="5">
        <v>33.99</v>
      </c>
      <c r="F54" s="4" t="s">
        <v>8156</v>
      </c>
      <c r="G54" s="2" t="s">
        <v>1747</v>
      </c>
      <c r="H54" s="7" t="s">
        <v>123</v>
      </c>
      <c r="I54" s="2" t="s">
        <v>321</v>
      </c>
      <c r="J54" s="2" t="s">
        <v>4829</v>
      </c>
      <c r="K54" s="2" t="s">
        <v>304</v>
      </c>
      <c r="L54" s="2" t="s">
        <v>8157</v>
      </c>
      <c r="M54" s="8" t="str">
        <f>HYPERLINK("http://slimages.macys.com/is/image/MCY/11545244 ")</f>
        <v xml:space="preserve">http://slimages.macys.com/is/image/MCY/11545244 </v>
      </c>
    </row>
    <row r="55" spans="1:13" ht="60" x14ac:dyDescent="0.25">
      <c r="A55" s="7" t="s">
        <v>8158</v>
      </c>
      <c r="B55" s="2" t="s">
        <v>8159</v>
      </c>
      <c r="C55" s="4">
        <v>2</v>
      </c>
      <c r="D55" s="5">
        <v>13.48</v>
      </c>
      <c r="E55" s="5">
        <v>38.5</v>
      </c>
      <c r="F55" s="4" t="s">
        <v>8160</v>
      </c>
      <c r="G55" s="2" t="s">
        <v>28</v>
      </c>
      <c r="H55" s="7" t="s">
        <v>248</v>
      </c>
      <c r="I55" s="2" t="s">
        <v>298</v>
      </c>
      <c r="J55" s="2" t="s">
        <v>99</v>
      </c>
      <c r="K55" s="2" t="s">
        <v>304</v>
      </c>
      <c r="L55" s="2" t="s">
        <v>119</v>
      </c>
      <c r="M55" s="8" t="str">
        <f>HYPERLINK("http://slimages.macys.com/is/image/MCY/13905981 ")</f>
        <v xml:space="preserve">http://slimages.macys.com/is/image/MCY/13905981 </v>
      </c>
    </row>
    <row r="56" spans="1:13" ht="60" x14ac:dyDescent="0.25">
      <c r="A56" s="7" t="s">
        <v>8161</v>
      </c>
      <c r="B56" s="2" t="s">
        <v>3752</v>
      </c>
      <c r="C56" s="4">
        <v>1</v>
      </c>
      <c r="D56" s="5">
        <v>13.35</v>
      </c>
      <c r="E56" s="5">
        <v>26.99</v>
      </c>
      <c r="F56" s="4" t="s">
        <v>3753</v>
      </c>
      <c r="G56" s="2" t="s">
        <v>165</v>
      </c>
      <c r="H56" s="7" t="s">
        <v>284</v>
      </c>
      <c r="I56" s="2" t="s">
        <v>73</v>
      </c>
      <c r="J56" s="2" t="s">
        <v>160</v>
      </c>
      <c r="K56" s="2" t="s">
        <v>304</v>
      </c>
      <c r="L56" s="2" t="s">
        <v>3754</v>
      </c>
      <c r="M56" s="8" t="str">
        <f>HYPERLINK("http://slimages.macys.com/is/image/MCY/12337166 ")</f>
        <v xml:space="preserve">http://slimages.macys.com/is/image/MCY/12337166 </v>
      </c>
    </row>
    <row r="57" spans="1:13" ht="72" x14ac:dyDescent="0.25">
      <c r="A57" s="7" t="s">
        <v>8162</v>
      </c>
      <c r="B57" s="2" t="s">
        <v>8163</v>
      </c>
      <c r="C57" s="4">
        <v>1</v>
      </c>
      <c r="D57" s="5">
        <v>13.2</v>
      </c>
      <c r="E57" s="5">
        <v>33.99</v>
      </c>
      <c r="F57" s="4" t="s">
        <v>8164</v>
      </c>
      <c r="G57" s="2" t="s">
        <v>698</v>
      </c>
      <c r="H57" s="7" t="s">
        <v>228</v>
      </c>
      <c r="I57" s="2" t="s">
        <v>321</v>
      </c>
      <c r="J57" s="2" t="s">
        <v>1512</v>
      </c>
      <c r="K57" s="2" t="s">
        <v>304</v>
      </c>
      <c r="L57" s="2" t="s">
        <v>1520</v>
      </c>
      <c r="M57" s="8" t="str">
        <f>HYPERLINK("http://slimages.macys.com/is/image/MCY/10945450 ")</f>
        <v xml:space="preserve">http://slimages.macys.com/is/image/MCY/10945450 </v>
      </c>
    </row>
    <row r="58" spans="1:13" ht="60" x14ac:dyDescent="0.25">
      <c r="A58" s="7" t="s">
        <v>8165</v>
      </c>
      <c r="B58" s="2" t="s">
        <v>8166</v>
      </c>
      <c r="C58" s="4">
        <v>1</v>
      </c>
      <c r="D58" s="5">
        <v>12.5</v>
      </c>
      <c r="E58" s="5">
        <v>34.99</v>
      </c>
      <c r="F58" s="4" t="s">
        <v>8167</v>
      </c>
      <c r="G58" s="2" t="s">
        <v>28</v>
      </c>
      <c r="H58" s="7" t="s">
        <v>166</v>
      </c>
      <c r="I58" s="2" t="s">
        <v>668</v>
      </c>
      <c r="J58" s="2" t="s">
        <v>1437</v>
      </c>
      <c r="K58" s="2" t="s">
        <v>304</v>
      </c>
      <c r="L58" s="2" t="s">
        <v>125</v>
      </c>
      <c r="M58" s="8" t="str">
        <f>HYPERLINK("http://slimages.macys.com/is/image/MCY/12849581 ")</f>
        <v xml:space="preserve">http://slimages.macys.com/is/image/MCY/12849581 </v>
      </c>
    </row>
    <row r="59" spans="1:13" ht="60" x14ac:dyDescent="0.25">
      <c r="A59" s="7" t="s">
        <v>6153</v>
      </c>
      <c r="B59" s="2" t="s">
        <v>3787</v>
      </c>
      <c r="C59" s="4">
        <v>1</v>
      </c>
      <c r="D59" s="5">
        <v>12.15</v>
      </c>
      <c r="E59" s="5">
        <v>28.99</v>
      </c>
      <c r="F59" s="4" t="s">
        <v>3788</v>
      </c>
      <c r="G59" s="2" t="s">
        <v>28</v>
      </c>
      <c r="H59" s="7"/>
      <c r="I59" s="2" t="s">
        <v>312</v>
      </c>
      <c r="J59" s="2" t="s">
        <v>1545</v>
      </c>
      <c r="K59" s="2" t="s">
        <v>304</v>
      </c>
      <c r="L59" s="2" t="s">
        <v>125</v>
      </c>
      <c r="M59" s="8" t="str">
        <f>HYPERLINK("http://slimages.macys.com/is/image/MCY/11647063 ")</f>
        <v xml:space="preserve">http://slimages.macys.com/is/image/MCY/11647063 </v>
      </c>
    </row>
    <row r="60" spans="1:13" ht="60" x14ac:dyDescent="0.25">
      <c r="A60" s="7" t="s">
        <v>3786</v>
      </c>
      <c r="B60" s="2" t="s">
        <v>3787</v>
      </c>
      <c r="C60" s="4">
        <v>1</v>
      </c>
      <c r="D60" s="5">
        <v>12.15</v>
      </c>
      <c r="E60" s="5">
        <v>28.99</v>
      </c>
      <c r="F60" s="4" t="s">
        <v>3788</v>
      </c>
      <c r="G60" s="2" t="s">
        <v>28</v>
      </c>
      <c r="H60" s="7"/>
      <c r="I60" s="2" t="s">
        <v>312</v>
      </c>
      <c r="J60" s="2" t="s">
        <v>1545</v>
      </c>
      <c r="K60" s="2" t="s">
        <v>304</v>
      </c>
      <c r="L60" s="2" t="s">
        <v>125</v>
      </c>
      <c r="M60" s="8" t="str">
        <f>HYPERLINK("http://slimages.macys.com/is/image/MCY/11647063 ")</f>
        <v xml:space="preserve">http://slimages.macys.com/is/image/MCY/11647063 </v>
      </c>
    </row>
    <row r="61" spans="1:13" ht="60" x14ac:dyDescent="0.25">
      <c r="A61" s="7" t="s">
        <v>8168</v>
      </c>
      <c r="B61" s="2" t="s">
        <v>8169</v>
      </c>
      <c r="C61" s="4">
        <v>1</v>
      </c>
      <c r="D61" s="5">
        <v>12</v>
      </c>
      <c r="E61" s="5">
        <v>29.99</v>
      </c>
      <c r="F61" s="4" t="s">
        <v>8170</v>
      </c>
      <c r="G61" s="2" t="s">
        <v>667</v>
      </c>
      <c r="H61" s="7" t="s">
        <v>91</v>
      </c>
      <c r="I61" s="2" t="s">
        <v>135</v>
      </c>
      <c r="J61" s="2" t="s">
        <v>8171</v>
      </c>
      <c r="K61" s="2" t="s">
        <v>304</v>
      </c>
      <c r="L61" s="2" t="s">
        <v>119</v>
      </c>
      <c r="M61" s="8" t="str">
        <f>HYPERLINK("http://slimages.macys.com/is/image/MCY/16636988 ")</f>
        <v xml:space="preserve">http://slimages.macys.com/is/image/MCY/16636988 </v>
      </c>
    </row>
    <row r="62" spans="1:13" ht="144" x14ac:dyDescent="0.25">
      <c r="A62" s="7" t="s">
        <v>3796</v>
      </c>
      <c r="B62" s="2" t="s">
        <v>3797</v>
      </c>
      <c r="C62" s="4">
        <v>1</v>
      </c>
      <c r="D62" s="5">
        <v>12</v>
      </c>
      <c r="E62" s="5">
        <v>32.99</v>
      </c>
      <c r="F62" s="4" t="s">
        <v>3798</v>
      </c>
      <c r="G62" s="2" t="s">
        <v>28</v>
      </c>
      <c r="H62" s="7" t="s">
        <v>91</v>
      </c>
      <c r="I62" s="2" t="s">
        <v>92</v>
      </c>
      <c r="J62" s="2" t="s">
        <v>65</v>
      </c>
      <c r="K62" s="2" t="s">
        <v>304</v>
      </c>
      <c r="L62" s="2" t="s">
        <v>3799</v>
      </c>
      <c r="M62" s="8" t="str">
        <f>HYPERLINK("http://slimages.macys.com/is/image/MCY/13782953 ")</f>
        <v xml:space="preserve">http://slimages.macys.com/is/image/MCY/13782953 </v>
      </c>
    </row>
    <row r="63" spans="1:13" ht="60" x14ac:dyDescent="0.25">
      <c r="A63" s="7" t="s">
        <v>8172</v>
      </c>
      <c r="B63" s="2" t="s">
        <v>8173</v>
      </c>
      <c r="C63" s="4">
        <v>1</v>
      </c>
      <c r="D63" s="5">
        <v>11.77</v>
      </c>
      <c r="E63" s="5">
        <v>30.99</v>
      </c>
      <c r="F63" s="4" t="s">
        <v>8174</v>
      </c>
      <c r="G63" s="2" t="s">
        <v>388</v>
      </c>
      <c r="H63" s="7" t="s">
        <v>228</v>
      </c>
      <c r="I63" s="2" t="s">
        <v>389</v>
      </c>
      <c r="J63" s="2" t="s">
        <v>354</v>
      </c>
      <c r="K63" s="2" t="s">
        <v>304</v>
      </c>
      <c r="L63" s="2" t="s">
        <v>38</v>
      </c>
      <c r="M63" s="8" t="str">
        <f>HYPERLINK("http://slimages.macys.com/is/image/MCY/11163177 ")</f>
        <v xml:space="preserve">http://slimages.macys.com/is/image/MCY/11163177 </v>
      </c>
    </row>
    <row r="64" spans="1:13" ht="96" x14ac:dyDescent="0.25">
      <c r="A64" s="7" t="s">
        <v>8175</v>
      </c>
      <c r="B64" s="2" t="s">
        <v>8176</v>
      </c>
      <c r="C64" s="4">
        <v>1</v>
      </c>
      <c r="D64" s="5">
        <v>11.75</v>
      </c>
      <c r="E64" s="5">
        <v>28.99</v>
      </c>
      <c r="F64" s="4" t="s">
        <v>8177</v>
      </c>
      <c r="G64" s="2" t="s">
        <v>310</v>
      </c>
      <c r="H64" s="7" t="s">
        <v>209</v>
      </c>
      <c r="I64" s="2" t="s">
        <v>966</v>
      </c>
      <c r="J64" s="2" t="s">
        <v>99</v>
      </c>
      <c r="K64" s="2" t="s">
        <v>304</v>
      </c>
      <c r="L64" s="2" t="s">
        <v>8178</v>
      </c>
      <c r="M64" s="8" t="str">
        <f>HYPERLINK("http://slimages.macys.com/is/image/MCY/11447870 ")</f>
        <v xml:space="preserve">http://slimages.macys.com/is/image/MCY/11447870 </v>
      </c>
    </row>
    <row r="65" spans="1:13" ht="60" x14ac:dyDescent="0.25">
      <c r="A65" s="7" t="s">
        <v>6754</v>
      </c>
      <c r="B65" s="2" t="s">
        <v>6755</v>
      </c>
      <c r="C65" s="4">
        <v>1</v>
      </c>
      <c r="D65" s="5">
        <v>11.5</v>
      </c>
      <c r="E65" s="5">
        <v>32.99</v>
      </c>
      <c r="F65" s="4" t="s">
        <v>6756</v>
      </c>
      <c r="G65" s="2" t="s">
        <v>62</v>
      </c>
      <c r="H65" s="7" t="s">
        <v>159</v>
      </c>
      <c r="I65" s="2" t="s">
        <v>218</v>
      </c>
      <c r="J65" s="2" t="s">
        <v>1740</v>
      </c>
      <c r="K65" s="2" t="s">
        <v>304</v>
      </c>
      <c r="L65" s="2" t="s">
        <v>2469</v>
      </c>
      <c r="M65" s="8" t="str">
        <f>HYPERLINK("http://slimages.macys.com/is/image/MCY/11946903 ")</f>
        <v xml:space="preserve">http://slimages.macys.com/is/image/MCY/11946903 </v>
      </c>
    </row>
    <row r="66" spans="1:13" ht="60" x14ac:dyDescent="0.25">
      <c r="A66" s="7" t="s">
        <v>8179</v>
      </c>
      <c r="B66" s="2" t="s">
        <v>6755</v>
      </c>
      <c r="C66" s="4">
        <v>2</v>
      </c>
      <c r="D66" s="5">
        <v>11.5</v>
      </c>
      <c r="E66" s="5">
        <v>32.99</v>
      </c>
      <c r="F66" s="4" t="s">
        <v>6756</v>
      </c>
      <c r="G66" s="2" t="s">
        <v>62</v>
      </c>
      <c r="H66" s="7" t="s">
        <v>228</v>
      </c>
      <c r="I66" s="2" t="s">
        <v>218</v>
      </c>
      <c r="J66" s="2" t="s">
        <v>1740</v>
      </c>
      <c r="K66" s="2" t="s">
        <v>304</v>
      </c>
      <c r="L66" s="2" t="s">
        <v>2469</v>
      </c>
      <c r="M66" s="8" t="str">
        <f>HYPERLINK("http://slimages.macys.com/is/image/MCY/11946903 ")</f>
        <v xml:space="preserve">http://slimages.macys.com/is/image/MCY/11946903 </v>
      </c>
    </row>
    <row r="67" spans="1:13" ht="60" x14ac:dyDescent="0.25">
      <c r="A67" s="7" t="s">
        <v>6169</v>
      </c>
      <c r="B67" s="2" t="s">
        <v>6170</v>
      </c>
      <c r="C67" s="4">
        <v>1</v>
      </c>
      <c r="D67" s="5">
        <v>11.25</v>
      </c>
      <c r="E67" s="5">
        <v>19.989999999999998</v>
      </c>
      <c r="F67" s="4" t="s">
        <v>6171</v>
      </c>
      <c r="G67" s="2" t="s">
        <v>48</v>
      </c>
      <c r="H67" s="7" t="s">
        <v>159</v>
      </c>
      <c r="I67" s="2" t="s">
        <v>153</v>
      </c>
      <c r="J67" s="2" t="s">
        <v>154</v>
      </c>
      <c r="K67" s="2" t="s">
        <v>304</v>
      </c>
      <c r="L67" s="2" t="s">
        <v>206</v>
      </c>
      <c r="M67" s="8" t="str">
        <f>HYPERLINK("http://slimages.macys.com/is/image/MCY/9644699 ")</f>
        <v xml:space="preserve">http://slimages.macys.com/is/image/MCY/9644699 </v>
      </c>
    </row>
    <row r="68" spans="1:13" ht="60" x14ac:dyDescent="0.25">
      <c r="A68" s="7" t="s">
        <v>1582</v>
      </c>
      <c r="B68" s="2" t="s">
        <v>1583</v>
      </c>
      <c r="C68" s="4">
        <v>1</v>
      </c>
      <c r="D68" s="5">
        <v>11.12</v>
      </c>
      <c r="E68" s="5">
        <v>22.99</v>
      </c>
      <c r="F68" s="4" t="s">
        <v>1584</v>
      </c>
      <c r="G68" s="2" t="s">
        <v>643</v>
      </c>
      <c r="H68" s="7" t="s">
        <v>228</v>
      </c>
      <c r="I68" s="2" t="s">
        <v>73</v>
      </c>
      <c r="J68" s="2" t="s">
        <v>160</v>
      </c>
      <c r="K68" s="2" t="s">
        <v>304</v>
      </c>
      <c r="L68" s="2" t="s">
        <v>125</v>
      </c>
      <c r="M68" s="8" t="str">
        <f>HYPERLINK("http://slimages.macys.com/is/image/MCY/12874624 ")</f>
        <v xml:space="preserve">http://slimages.macys.com/is/image/MCY/12874624 </v>
      </c>
    </row>
    <row r="69" spans="1:13" ht="60" x14ac:dyDescent="0.25">
      <c r="A69" s="7" t="s">
        <v>8180</v>
      </c>
      <c r="B69" s="2" t="s">
        <v>8181</v>
      </c>
      <c r="C69" s="4">
        <v>1</v>
      </c>
      <c r="D69" s="5">
        <v>10.75</v>
      </c>
      <c r="E69" s="5">
        <v>27.99</v>
      </c>
      <c r="F69" s="4" t="s">
        <v>8182</v>
      </c>
      <c r="G69" s="2" t="s">
        <v>165</v>
      </c>
      <c r="H69" s="7" t="s">
        <v>68</v>
      </c>
      <c r="I69" s="2" t="s">
        <v>80</v>
      </c>
      <c r="J69" s="2" t="s">
        <v>167</v>
      </c>
      <c r="K69" s="2" t="s">
        <v>304</v>
      </c>
      <c r="L69" s="2" t="s">
        <v>125</v>
      </c>
      <c r="M69" s="8" t="str">
        <f>HYPERLINK("http://slimages.macys.com/is/image/MCY/12282205 ")</f>
        <v xml:space="preserve">http://slimages.macys.com/is/image/MCY/12282205 </v>
      </c>
    </row>
    <row r="70" spans="1:13" ht="60" x14ac:dyDescent="0.25">
      <c r="A70" s="7" t="s">
        <v>819</v>
      </c>
      <c r="B70" s="2" t="s">
        <v>255</v>
      </c>
      <c r="C70" s="4">
        <v>1</v>
      </c>
      <c r="D70" s="5">
        <v>10.5</v>
      </c>
      <c r="E70" s="5">
        <v>24.99</v>
      </c>
      <c r="F70" s="4" t="s">
        <v>256</v>
      </c>
      <c r="G70" s="2" t="s">
        <v>262</v>
      </c>
      <c r="H70" s="7" t="s">
        <v>172</v>
      </c>
      <c r="I70" s="2" t="s">
        <v>257</v>
      </c>
      <c r="J70" s="2" t="s">
        <v>258</v>
      </c>
      <c r="K70" s="2" t="s">
        <v>304</v>
      </c>
      <c r="L70" s="2" t="s">
        <v>206</v>
      </c>
      <c r="M70" s="8" t="str">
        <f>HYPERLINK("http://slimages.macys.com/is/image/MCY/11722982 ")</f>
        <v xml:space="preserve">http://slimages.macys.com/is/image/MCY/11722982 </v>
      </c>
    </row>
    <row r="71" spans="1:13" ht="60" x14ac:dyDescent="0.25">
      <c r="A71" s="7" t="s">
        <v>8183</v>
      </c>
      <c r="B71" s="2" t="s">
        <v>255</v>
      </c>
      <c r="C71" s="4">
        <v>1</v>
      </c>
      <c r="D71" s="5">
        <v>10.5</v>
      </c>
      <c r="E71" s="5">
        <v>24.99</v>
      </c>
      <c r="F71" s="4" t="s">
        <v>256</v>
      </c>
      <c r="G71" s="2" t="s">
        <v>171</v>
      </c>
      <c r="H71" s="7" t="s">
        <v>177</v>
      </c>
      <c r="I71" s="2" t="s">
        <v>257</v>
      </c>
      <c r="J71" s="2" t="s">
        <v>258</v>
      </c>
      <c r="K71" s="2" t="s">
        <v>304</v>
      </c>
      <c r="L71" s="2" t="s">
        <v>75</v>
      </c>
      <c r="M71" s="8" t="str">
        <f>HYPERLINK("http://slimages.macys.com/is/image/MCY/11722981 ")</f>
        <v xml:space="preserve">http://slimages.macys.com/is/image/MCY/11722981 </v>
      </c>
    </row>
    <row r="72" spans="1:13" ht="60" x14ac:dyDescent="0.25">
      <c r="A72" s="7" t="s">
        <v>8184</v>
      </c>
      <c r="B72" s="2" t="s">
        <v>8185</v>
      </c>
      <c r="C72" s="4">
        <v>1</v>
      </c>
      <c r="D72" s="5">
        <v>10.5</v>
      </c>
      <c r="E72" s="5">
        <v>23.99</v>
      </c>
      <c r="F72" s="4" t="s">
        <v>8186</v>
      </c>
      <c r="G72" s="2" t="s">
        <v>858</v>
      </c>
      <c r="H72" s="7" t="s">
        <v>531</v>
      </c>
      <c r="I72" s="2" t="s">
        <v>815</v>
      </c>
      <c r="J72" s="2" t="s">
        <v>778</v>
      </c>
      <c r="K72" s="2" t="s">
        <v>304</v>
      </c>
      <c r="L72" s="2" t="s">
        <v>125</v>
      </c>
      <c r="M72" s="8" t="str">
        <f>HYPERLINK("http://slimages.macys.com/is/image/MCY/12671495 ")</f>
        <v xml:space="preserve">http://slimages.macys.com/is/image/MCY/12671495 </v>
      </c>
    </row>
    <row r="73" spans="1:13" ht="60" x14ac:dyDescent="0.25">
      <c r="A73" s="7" t="s">
        <v>8187</v>
      </c>
      <c r="B73" s="2" t="s">
        <v>8188</v>
      </c>
      <c r="C73" s="4">
        <v>1</v>
      </c>
      <c r="D73" s="5">
        <v>10.45</v>
      </c>
      <c r="E73" s="5">
        <v>28.99</v>
      </c>
      <c r="F73" s="4" t="s">
        <v>8189</v>
      </c>
      <c r="G73" s="2" t="s">
        <v>310</v>
      </c>
      <c r="H73" s="7" t="s">
        <v>317</v>
      </c>
      <c r="I73" s="2" t="s">
        <v>312</v>
      </c>
      <c r="J73" s="2" t="s">
        <v>313</v>
      </c>
      <c r="K73" s="2" t="s">
        <v>304</v>
      </c>
      <c r="L73" s="2" t="s">
        <v>206</v>
      </c>
      <c r="M73" s="8" t="str">
        <f>HYPERLINK("http://slimages.macys.com/is/image/MCY/12291135 ")</f>
        <v xml:space="preserve">http://slimages.macys.com/is/image/MCY/12291135 </v>
      </c>
    </row>
    <row r="74" spans="1:13" ht="60" x14ac:dyDescent="0.25">
      <c r="A74" s="7" t="s">
        <v>5877</v>
      </c>
      <c r="B74" s="2" t="s">
        <v>1605</v>
      </c>
      <c r="C74" s="4">
        <v>1</v>
      </c>
      <c r="D74" s="5">
        <v>10.35</v>
      </c>
      <c r="E74" s="5">
        <v>24.99</v>
      </c>
      <c r="F74" s="4" t="s">
        <v>1606</v>
      </c>
      <c r="G74" s="2" t="s">
        <v>28</v>
      </c>
      <c r="H74" s="7" t="s">
        <v>159</v>
      </c>
      <c r="I74" s="2" t="s">
        <v>389</v>
      </c>
      <c r="J74" s="2" t="s">
        <v>354</v>
      </c>
      <c r="K74" s="2" t="s">
        <v>304</v>
      </c>
      <c r="L74" s="2" t="s">
        <v>1607</v>
      </c>
      <c r="M74" s="8" t="str">
        <f>HYPERLINK("http://slimages.macys.com/is/image/MCY/12000846 ")</f>
        <v xml:space="preserve">http://slimages.macys.com/is/image/MCY/12000846 </v>
      </c>
    </row>
    <row r="75" spans="1:13" ht="60" x14ac:dyDescent="0.25">
      <c r="A75" s="7" t="s">
        <v>1608</v>
      </c>
      <c r="B75" s="2" t="s">
        <v>1605</v>
      </c>
      <c r="C75" s="4">
        <v>1</v>
      </c>
      <c r="D75" s="5">
        <v>10.35</v>
      </c>
      <c r="E75" s="5">
        <v>24.99</v>
      </c>
      <c r="F75" s="4" t="s">
        <v>1606</v>
      </c>
      <c r="G75" s="2" t="s">
        <v>28</v>
      </c>
      <c r="H75" s="7" t="s">
        <v>228</v>
      </c>
      <c r="I75" s="2" t="s">
        <v>389</v>
      </c>
      <c r="J75" s="2" t="s">
        <v>354</v>
      </c>
      <c r="K75" s="2" t="s">
        <v>304</v>
      </c>
      <c r="L75" s="2" t="s">
        <v>1607</v>
      </c>
      <c r="M75" s="8" t="str">
        <f>HYPERLINK("http://slimages.macys.com/is/image/MCY/12000846 ")</f>
        <v xml:space="preserve">http://slimages.macys.com/is/image/MCY/12000846 </v>
      </c>
    </row>
    <row r="76" spans="1:13" ht="96" x14ac:dyDescent="0.25">
      <c r="A76" s="7" t="s">
        <v>8190</v>
      </c>
      <c r="B76" s="2" t="s">
        <v>3168</v>
      </c>
      <c r="C76" s="4">
        <v>2</v>
      </c>
      <c r="D76" s="5">
        <v>10</v>
      </c>
      <c r="E76" s="5">
        <v>22.99</v>
      </c>
      <c r="F76" s="4" t="s">
        <v>3169</v>
      </c>
      <c r="G76" s="2" t="s">
        <v>62</v>
      </c>
      <c r="H76" s="7" t="s">
        <v>196</v>
      </c>
      <c r="I76" s="2" t="s">
        <v>73</v>
      </c>
      <c r="J76" s="2" t="s">
        <v>223</v>
      </c>
      <c r="K76" s="2" t="s">
        <v>304</v>
      </c>
      <c r="L76" s="2" t="s">
        <v>3170</v>
      </c>
      <c r="M76" s="8" t="str">
        <f>HYPERLINK("http://slimages.macys.com/is/image/MCY/9275400 ")</f>
        <v xml:space="preserve">http://slimages.macys.com/is/image/MCY/9275400 </v>
      </c>
    </row>
    <row r="77" spans="1:13" ht="96" x14ac:dyDescent="0.25">
      <c r="A77" s="7" t="s">
        <v>3167</v>
      </c>
      <c r="B77" s="2" t="s">
        <v>3168</v>
      </c>
      <c r="C77" s="4">
        <v>1</v>
      </c>
      <c r="D77" s="5">
        <v>10</v>
      </c>
      <c r="E77" s="5">
        <v>22.99</v>
      </c>
      <c r="F77" s="4" t="s">
        <v>3169</v>
      </c>
      <c r="G77" s="2" t="s">
        <v>62</v>
      </c>
      <c r="H77" s="7" t="s">
        <v>159</v>
      </c>
      <c r="I77" s="2" t="s">
        <v>73</v>
      </c>
      <c r="J77" s="2" t="s">
        <v>223</v>
      </c>
      <c r="K77" s="2" t="s">
        <v>304</v>
      </c>
      <c r="L77" s="2" t="s">
        <v>3170</v>
      </c>
      <c r="M77" s="8" t="str">
        <f>HYPERLINK("http://slimages.macys.com/is/image/MCY/9275400 ")</f>
        <v xml:space="preserve">http://slimages.macys.com/is/image/MCY/9275400 </v>
      </c>
    </row>
    <row r="78" spans="1:13" ht="96" x14ac:dyDescent="0.25">
      <c r="A78" s="7" t="s">
        <v>8191</v>
      </c>
      <c r="B78" s="2" t="s">
        <v>3168</v>
      </c>
      <c r="C78" s="4">
        <v>3</v>
      </c>
      <c r="D78" s="5">
        <v>10</v>
      </c>
      <c r="E78" s="5">
        <v>22.99</v>
      </c>
      <c r="F78" s="4" t="s">
        <v>3169</v>
      </c>
      <c r="G78" s="2" t="s">
        <v>62</v>
      </c>
      <c r="H78" s="7" t="s">
        <v>284</v>
      </c>
      <c r="I78" s="2" t="s">
        <v>73</v>
      </c>
      <c r="J78" s="2" t="s">
        <v>223</v>
      </c>
      <c r="K78" s="2" t="s">
        <v>304</v>
      </c>
      <c r="L78" s="2" t="s">
        <v>3170</v>
      </c>
      <c r="M78" s="8" t="str">
        <f>HYPERLINK("http://slimages.macys.com/is/image/MCY/9275400 ")</f>
        <v xml:space="preserve">http://slimages.macys.com/is/image/MCY/9275400 </v>
      </c>
    </row>
    <row r="79" spans="1:13" ht="96" x14ac:dyDescent="0.25">
      <c r="A79" s="7" t="s">
        <v>8192</v>
      </c>
      <c r="B79" s="2" t="s">
        <v>8193</v>
      </c>
      <c r="C79" s="4">
        <v>1</v>
      </c>
      <c r="D79" s="5">
        <v>9.75</v>
      </c>
      <c r="E79" s="5">
        <v>24.99</v>
      </c>
      <c r="F79" s="4" t="s">
        <v>8194</v>
      </c>
      <c r="G79" s="2" t="s">
        <v>28</v>
      </c>
      <c r="H79" s="7" t="s">
        <v>266</v>
      </c>
      <c r="I79" s="2" t="s">
        <v>321</v>
      </c>
      <c r="J79" s="2" t="s">
        <v>1631</v>
      </c>
      <c r="K79" s="2" t="s">
        <v>304</v>
      </c>
      <c r="L79" s="2" t="s">
        <v>1516</v>
      </c>
      <c r="M79" s="8" t="str">
        <f>HYPERLINK("http://slimages.macys.com/is/image/MCY/11545033 ")</f>
        <v xml:space="preserve">http://slimages.macys.com/is/image/MCY/11545033 </v>
      </c>
    </row>
    <row r="80" spans="1:13" ht="60" x14ac:dyDescent="0.25">
      <c r="A80" s="7" t="s">
        <v>6192</v>
      </c>
      <c r="B80" s="2" t="s">
        <v>2423</v>
      </c>
      <c r="C80" s="4">
        <v>1</v>
      </c>
      <c r="D80" s="5">
        <v>9.75</v>
      </c>
      <c r="E80" s="5">
        <v>19.5</v>
      </c>
      <c r="F80" s="4">
        <v>25944214</v>
      </c>
      <c r="G80" s="2"/>
      <c r="H80" s="7"/>
      <c r="I80" s="2" t="s">
        <v>487</v>
      </c>
      <c r="J80" s="2" t="s">
        <v>2424</v>
      </c>
      <c r="K80" s="2" t="s">
        <v>304</v>
      </c>
      <c r="L80" s="2" t="s">
        <v>206</v>
      </c>
      <c r="M80" s="8" t="str">
        <f>HYPERLINK("http://slimages.macys.com/is/image/MCY/11546662 ")</f>
        <v xml:space="preserve">http://slimages.macys.com/is/image/MCY/11546662 </v>
      </c>
    </row>
    <row r="81" spans="1:13" ht="132" x14ac:dyDescent="0.25">
      <c r="A81" s="7" t="s">
        <v>8195</v>
      </c>
      <c r="B81" s="2" t="s">
        <v>8196</v>
      </c>
      <c r="C81" s="4">
        <v>1</v>
      </c>
      <c r="D81" s="5">
        <v>9.65</v>
      </c>
      <c r="E81" s="5">
        <v>19.3</v>
      </c>
      <c r="F81" s="4" t="s">
        <v>8197</v>
      </c>
      <c r="G81" s="2" t="s">
        <v>653</v>
      </c>
      <c r="H81" s="7"/>
      <c r="I81" s="2" t="s">
        <v>487</v>
      </c>
      <c r="J81" s="2" t="s">
        <v>488</v>
      </c>
      <c r="K81" s="2" t="s">
        <v>304</v>
      </c>
      <c r="L81" s="2" t="s">
        <v>8198</v>
      </c>
      <c r="M81" s="8" t="str">
        <f>HYPERLINK("http://slimages.macys.com/is/image/MCY/11867737 ")</f>
        <v xml:space="preserve">http://slimages.macys.com/is/image/MCY/11867737 </v>
      </c>
    </row>
    <row r="82" spans="1:13" ht="84" x14ac:dyDescent="0.25">
      <c r="A82" s="7" t="s">
        <v>8199</v>
      </c>
      <c r="B82" s="2" t="s">
        <v>8200</v>
      </c>
      <c r="C82" s="4">
        <v>1</v>
      </c>
      <c r="D82" s="5">
        <v>9.25</v>
      </c>
      <c r="E82" s="5">
        <v>24.99</v>
      </c>
      <c r="F82" s="4" t="s">
        <v>8201</v>
      </c>
      <c r="G82" s="2" t="s">
        <v>310</v>
      </c>
      <c r="H82" s="7" t="s">
        <v>42</v>
      </c>
      <c r="I82" s="2" t="s">
        <v>92</v>
      </c>
      <c r="J82" s="2" t="s">
        <v>3086</v>
      </c>
      <c r="K82" s="2" t="s">
        <v>304</v>
      </c>
      <c r="L82" s="2" t="s">
        <v>8202</v>
      </c>
      <c r="M82" s="8" t="str">
        <f>HYPERLINK("http://slimages.macys.com/is/image/MCY/12326601 ")</f>
        <v xml:space="preserve">http://slimages.macys.com/is/image/MCY/12326601 </v>
      </c>
    </row>
    <row r="83" spans="1:13" ht="60" x14ac:dyDescent="0.25">
      <c r="A83" s="7" t="s">
        <v>8203</v>
      </c>
      <c r="B83" s="2" t="s">
        <v>7434</v>
      </c>
      <c r="C83" s="4">
        <v>1</v>
      </c>
      <c r="D83" s="5">
        <v>9.25</v>
      </c>
      <c r="E83" s="5">
        <v>21.99</v>
      </c>
      <c r="F83" s="4" t="s">
        <v>7435</v>
      </c>
      <c r="G83" s="2" t="s">
        <v>62</v>
      </c>
      <c r="H83" s="7" t="s">
        <v>123</v>
      </c>
      <c r="I83" s="2" t="s">
        <v>218</v>
      </c>
      <c r="J83" s="2" t="s">
        <v>2008</v>
      </c>
      <c r="K83" s="2" t="s">
        <v>304</v>
      </c>
      <c r="L83" s="2" t="s">
        <v>119</v>
      </c>
      <c r="M83" s="8" t="str">
        <f>HYPERLINK("http://slimages.macys.com/is/image/MCY/12953518 ")</f>
        <v xml:space="preserve">http://slimages.macys.com/is/image/MCY/12953518 </v>
      </c>
    </row>
    <row r="84" spans="1:13" ht="96" x14ac:dyDescent="0.25">
      <c r="A84" s="7" t="s">
        <v>8204</v>
      </c>
      <c r="B84" s="2" t="s">
        <v>8205</v>
      </c>
      <c r="C84" s="4">
        <v>1</v>
      </c>
      <c r="D84" s="5">
        <v>9</v>
      </c>
      <c r="E84" s="5">
        <v>24.99</v>
      </c>
      <c r="F84" s="4" t="s">
        <v>8206</v>
      </c>
      <c r="G84" s="2" t="s">
        <v>28</v>
      </c>
      <c r="H84" s="7" t="s">
        <v>982</v>
      </c>
      <c r="I84" s="2" t="s">
        <v>321</v>
      </c>
      <c r="J84" s="2" t="s">
        <v>1652</v>
      </c>
      <c r="K84" s="2" t="s">
        <v>304</v>
      </c>
      <c r="L84" s="2" t="s">
        <v>1516</v>
      </c>
      <c r="M84" s="8" t="str">
        <f>HYPERLINK("http://slimages.macys.com/is/image/MCY/11641017 ")</f>
        <v xml:space="preserve">http://slimages.macys.com/is/image/MCY/11641017 </v>
      </c>
    </row>
    <row r="85" spans="1:13" ht="60" x14ac:dyDescent="0.25">
      <c r="A85" s="7" t="s">
        <v>5891</v>
      </c>
      <c r="B85" s="2" t="s">
        <v>5342</v>
      </c>
      <c r="C85" s="4">
        <v>1</v>
      </c>
      <c r="D85" s="5">
        <v>9</v>
      </c>
      <c r="E85" s="5">
        <v>22.5</v>
      </c>
      <c r="F85" s="4" t="s">
        <v>5343</v>
      </c>
      <c r="G85" s="2" t="s">
        <v>86</v>
      </c>
      <c r="H85" s="7" t="s">
        <v>144</v>
      </c>
      <c r="I85" s="2" t="s">
        <v>690</v>
      </c>
      <c r="J85" s="2" t="s">
        <v>58</v>
      </c>
      <c r="K85" s="2" t="s">
        <v>304</v>
      </c>
      <c r="L85" s="2" t="s">
        <v>38</v>
      </c>
      <c r="M85" s="8" t="str">
        <f>HYPERLINK("http://slimages.macys.com/is/image/MCY/13804046 ")</f>
        <v xml:space="preserve">http://slimages.macys.com/is/image/MCY/13804046 </v>
      </c>
    </row>
    <row r="86" spans="1:13" ht="60" x14ac:dyDescent="0.25">
      <c r="A86" s="7" t="s">
        <v>8207</v>
      </c>
      <c r="B86" s="2" t="s">
        <v>3219</v>
      </c>
      <c r="C86" s="4">
        <v>1</v>
      </c>
      <c r="D86" s="5">
        <v>9</v>
      </c>
      <c r="E86" s="5">
        <v>20.99</v>
      </c>
      <c r="F86" s="4" t="s">
        <v>3222</v>
      </c>
      <c r="G86" s="2" t="s">
        <v>171</v>
      </c>
      <c r="H86" s="7" t="s">
        <v>63</v>
      </c>
      <c r="I86" s="2" t="s">
        <v>173</v>
      </c>
      <c r="J86" s="2" t="s">
        <v>1967</v>
      </c>
      <c r="K86" s="2" t="s">
        <v>304</v>
      </c>
      <c r="L86" s="2" t="s">
        <v>3223</v>
      </c>
      <c r="M86" s="8" t="str">
        <f>HYPERLINK("http://slimages.macys.com/is/image/MCY/12726096 ")</f>
        <v xml:space="preserve">http://slimages.macys.com/is/image/MCY/12726096 </v>
      </c>
    </row>
    <row r="87" spans="1:13" ht="72" x14ac:dyDescent="0.25">
      <c r="A87" s="7" t="s">
        <v>8208</v>
      </c>
      <c r="B87" s="2" t="s">
        <v>2538</v>
      </c>
      <c r="C87" s="4">
        <v>1</v>
      </c>
      <c r="D87" s="5">
        <v>9</v>
      </c>
      <c r="E87" s="5">
        <v>20.99</v>
      </c>
      <c r="F87" s="4" t="s">
        <v>2539</v>
      </c>
      <c r="G87" s="2" t="s">
        <v>86</v>
      </c>
      <c r="H87" s="7" t="s">
        <v>311</v>
      </c>
      <c r="I87" s="2" t="s">
        <v>173</v>
      </c>
      <c r="J87" s="2" t="s">
        <v>1967</v>
      </c>
      <c r="K87" s="2" t="s">
        <v>304</v>
      </c>
      <c r="L87" s="2" t="s">
        <v>2540</v>
      </c>
      <c r="M87" s="8" t="str">
        <f>HYPERLINK("http://slimages.macys.com/is/image/MCY/14315598 ")</f>
        <v xml:space="preserve">http://slimages.macys.com/is/image/MCY/14315598 </v>
      </c>
    </row>
    <row r="88" spans="1:13" ht="96" x14ac:dyDescent="0.25">
      <c r="A88" s="7" t="s">
        <v>8209</v>
      </c>
      <c r="B88" s="2" t="s">
        <v>8210</v>
      </c>
      <c r="C88" s="4">
        <v>1</v>
      </c>
      <c r="D88" s="5">
        <v>8.65</v>
      </c>
      <c r="E88" s="5">
        <v>17.3</v>
      </c>
      <c r="F88" s="4" t="s">
        <v>8211</v>
      </c>
      <c r="G88" s="2" t="s">
        <v>2107</v>
      </c>
      <c r="H88" s="7" t="s">
        <v>144</v>
      </c>
      <c r="I88" s="2" t="s">
        <v>487</v>
      </c>
      <c r="J88" s="2" t="s">
        <v>488</v>
      </c>
      <c r="K88" s="2" t="s">
        <v>304</v>
      </c>
      <c r="L88" s="2" t="s">
        <v>439</v>
      </c>
      <c r="M88" s="8" t="str">
        <f>HYPERLINK("http://slimages.macys.com/is/image/MCY/11496796 ")</f>
        <v xml:space="preserve">http://slimages.macys.com/is/image/MCY/11496796 </v>
      </c>
    </row>
    <row r="89" spans="1:13" ht="60" x14ac:dyDescent="0.25">
      <c r="A89" s="7" t="s">
        <v>8212</v>
      </c>
      <c r="B89" s="2" t="s">
        <v>5357</v>
      </c>
      <c r="C89" s="4">
        <v>1</v>
      </c>
      <c r="D89" s="5">
        <v>8.5399999999999991</v>
      </c>
      <c r="E89" s="5">
        <v>21.99</v>
      </c>
      <c r="F89" s="4" t="s">
        <v>5358</v>
      </c>
      <c r="G89" s="2" t="s">
        <v>582</v>
      </c>
      <c r="H89" s="7" t="s">
        <v>228</v>
      </c>
      <c r="I89" s="2" t="s">
        <v>389</v>
      </c>
      <c r="J89" s="2" t="s">
        <v>354</v>
      </c>
      <c r="K89" s="2" t="s">
        <v>304</v>
      </c>
      <c r="L89" s="2" t="s">
        <v>119</v>
      </c>
      <c r="M89" s="8" t="str">
        <f>HYPERLINK("http://slimages.macys.com/is/image/MCY/12121633 ")</f>
        <v xml:space="preserve">http://slimages.macys.com/is/image/MCY/12121633 </v>
      </c>
    </row>
    <row r="90" spans="1:13" ht="60" x14ac:dyDescent="0.25">
      <c r="A90" s="7" t="s">
        <v>6222</v>
      </c>
      <c r="B90" s="2" t="s">
        <v>1673</v>
      </c>
      <c r="C90" s="4">
        <v>1</v>
      </c>
      <c r="D90" s="5">
        <v>8.4499999999999993</v>
      </c>
      <c r="E90" s="5">
        <v>16.989999999999998</v>
      </c>
      <c r="F90" s="4" t="s">
        <v>1674</v>
      </c>
      <c r="G90" s="2" t="s">
        <v>48</v>
      </c>
      <c r="H90" s="7" t="s">
        <v>228</v>
      </c>
      <c r="I90" s="2" t="s">
        <v>515</v>
      </c>
      <c r="J90" s="2" t="s">
        <v>827</v>
      </c>
      <c r="K90" s="2" t="s">
        <v>304</v>
      </c>
      <c r="L90" s="2" t="s">
        <v>358</v>
      </c>
      <c r="M90" s="8" t="str">
        <f>HYPERLINK("http://slimages.macys.com/is/image/MCY/12688126 ")</f>
        <v xml:space="preserve">http://slimages.macys.com/is/image/MCY/12688126 </v>
      </c>
    </row>
    <row r="91" spans="1:13" ht="60" x14ac:dyDescent="0.25">
      <c r="A91" s="7" t="s">
        <v>1677</v>
      </c>
      <c r="B91" s="2" t="s">
        <v>1673</v>
      </c>
      <c r="C91" s="4">
        <v>1</v>
      </c>
      <c r="D91" s="5">
        <v>8.4499999999999993</v>
      </c>
      <c r="E91" s="5">
        <v>16.989999999999998</v>
      </c>
      <c r="F91" s="4" t="s">
        <v>1674</v>
      </c>
      <c r="G91" s="2" t="s">
        <v>48</v>
      </c>
      <c r="H91" s="7" t="s">
        <v>159</v>
      </c>
      <c r="I91" s="2" t="s">
        <v>515</v>
      </c>
      <c r="J91" s="2" t="s">
        <v>827</v>
      </c>
      <c r="K91" s="2" t="s">
        <v>304</v>
      </c>
      <c r="L91" s="2" t="s">
        <v>358</v>
      </c>
      <c r="M91" s="8" t="str">
        <f>HYPERLINK("http://slimages.macys.com/is/image/MCY/12688126 ")</f>
        <v xml:space="preserve">http://slimages.macys.com/is/image/MCY/12688126 </v>
      </c>
    </row>
    <row r="92" spans="1:13" ht="60" x14ac:dyDescent="0.25">
      <c r="A92" s="7" t="s">
        <v>1672</v>
      </c>
      <c r="B92" s="2" t="s">
        <v>1673</v>
      </c>
      <c r="C92" s="4">
        <v>1</v>
      </c>
      <c r="D92" s="5">
        <v>8.4499999999999993</v>
      </c>
      <c r="E92" s="5">
        <v>16.989999999999998</v>
      </c>
      <c r="F92" s="4" t="s">
        <v>1674</v>
      </c>
      <c r="G92" s="2" t="s">
        <v>62</v>
      </c>
      <c r="H92" s="7" t="s">
        <v>196</v>
      </c>
      <c r="I92" s="2" t="s">
        <v>515</v>
      </c>
      <c r="J92" s="2" t="s">
        <v>827</v>
      </c>
      <c r="K92" s="2" t="s">
        <v>304</v>
      </c>
      <c r="L92" s="2" t="s">
        <v>358</v>
      </c>
      <c r="M92" s="8" t="str">
        <f>HYPERLINK("http://slimages.macys.com/is/image/MCY/12688126 ")</f>
        <v xml:space="preserve">http://slimages.macys.com/is/image/MCY/12688126 </v>
      </c>
    </row>
    <row r="93" spans="1:13" ht="60" x14ac:dyDescent="0.25">
      <c r="A93" s="7" t="s">
        <v>8213</v>
      </c>
      <c r="B93" s="2" t="s">
        <v>6232</v>
      </c>
      <c r="C93" s="4">
        <v>1</v>
      </c>
      <c r="D93" s="5">
        <v>8.16</v>
      </c>
      <c r="E93" s="5">
        <v>16.989999999999998</v>
      </c>
      <c r="F93" s="4" t="s">
        <v>6233</v>
      </c>
      <c r="G93" s="2" t="s">
        <v>62</v>
      </c>
      <c r="H93" s="7" t="s">
        <v>228</v>
      </c>
      <c r="I93" s="2" t="s">
        <v>515</v>
      </c>
      <c r="J93" s="2" t="s">
        <v>827</v>
      </c>
      <c r="K93" s="2" t="s">
        <v>304</v>
      </c>
      <c r="L93" s="2" t="s">
        <v>358</v>
      </c>
      <c r="M93" s="8" t="str">
        <f>HYPERLINK("http://slimages.macys.com/is/image/MCY/12507579 ")</f>
        <v xml:space="preserve">http://slimages.macys.com/is/image/MCY/12507579 </v>
      </c>
    </row>
    <row r="94" spans="1:13" ht="60" x14ac:dyDescent="0.25">
      <c r="A94" s="7" t="s">
        <v>8214</v>
      </c>
      <c r="B94" s="2" t="s">
        <v>6232</v>
      </c>
      <c r="C94" s="4">
        <v>1</v>
      </c>
      <c r="D94" s="5">
        <v>8.16</v>
      </c>
      <c r="E94" s="5">
        <v>16.989999999999998</v>
      </c>
      <c r="F94" s="4" t="s">
        <v>6233</v>
      </c>
      <c r="G94" s="2" t="s">
        <v>62</v>
      </c>
      <c r="H94" s="7" t="s">
        <v>159</v>
      </c>
      <c r="I94" s="2" t="s">
        <v>515</v>
      </c>
      <c r="J94" s="2" t="s">
        <v>827</v>
      </c>
      <c r="K94" s="2" t="s">
        <v>304</v>
      </c>
      <c r="L94" s="2" t="s">
        <v>358</v>
      </c>
      <c r="M94" s="8" t="str">
        <f>HYPERLINK("http://slimages.macys.com/is/image/MCY/12507579 ")</f>
        <v xml:space="preserve">http://slimages.macys.com/is/image/MCY/12507579 </v>
      </c>
    </row>
    <row r="95" spans="1:13" ht="60" x14ac:dyDescent="0.25">
      <c r="A95" s="7" t="s">
        <v>8215</v>
      </c>
      <c r="B95" s="2" t="s">
        <v>8216</v>
      </c>
      <c r="C95" s="4">
        <v>1</v>
      </c>
      <c r="D95" s="5">
        <v>8.0500000000000007</v>
      </c>
      <c r="E95" s="5">
        <v>18.309999999999999</v>
      </c>
      <c r="F95" s="4">
        <v>17897810</v>
      </c>
      <c r="G95" s="2" t="s">
        <v>28</v>
      </c>
      <c r="H95" s="7" t="s">
        <v>675</v>
      </c>
      <c r="I95" s="2" t="s">
        <v>153</v>
      </c>
      <c r="J95" s="2" t="s">
        <v>154</v>
      </c>
      <c r="K95" s="2" t="s">
        <v>304</v>
      </c>
      <c r="L95" s="2" t="s">
        <v>38</v>
      </c>
      <c r="M95" s="8" t="str">
        <f>HYPERLINK("http://slimages.macys.com/is/image/MCY/13941903 ")</f>
        <v xml:space="preserve">http://slimages.macys.com/is/image/MCY/13941903 </v>
      </c>
    </row>
    <row r="96" spans="1:13" ht="60" x14ac:dyDescent="0.25">
      <c r="A96" s="7" t="s">
        <v>8217</v>
      </c>
      <c r="B96" s="2" t="s">
        <v>8218</v>
      </c>
      <c r="C96" s="4">
        <v>1</v>
      </c>
      <c r="D96" s="5">
        <v>8</v>
      </c>
      <c r="E96" s="5">
        <v>21.99</v>
      </c>
      <c r="F96" s="4" t="s">
        <v>8219</v>
      </c>
      <c r="G96" s="2" t="s">
        <v>41</v>
      </c>
      <c r="H96" s="7" t="s">
        <v>228</v>
      </c>
      <c r="I96" s="2" t="s">
        <v>668</v>
      </c>
      <c r="J96" s="2" t="s">
        <v>5228</v>
      </c>
      <c r="K96" s="2" t="s">
        <v>304</v>
      </c>
      <c r="L96" s="2" t="s">
        <v>125</v>
      </c>
      <c r="M96" s="8" t="str">
        <f>HYPERLINK("http://slimages.macys.com/is/image/MCY/11704125 ")</f>
        <v xml:space="preserve">http://slimages.macys.com/is/image/MCY/11704125 </v>
      </c>
    </row>
    <row r="97" spans="1:13" ht="60" x14ac:dyDescent="0.25">
      <c r="A97" s="7" t="s">
        <v>8220</v>
      </c>
      <c r="B97" s="2" t="s">
        <v>8221</v>
      </c>
      <c r="C97" s="4">
        <v>1</v>
      </c>
      <c r="D97" s="5">
        <v>8</v>
      </c>
      <c r="E97" s="5">
        <v>14.99</v>
      </c>
      <c r="F97" s="4" t="s">
        <v>8222</v>
      </c>
      <c r="G97" s="2" t="s">
        <v>36</v>
      </c>
      <c r="H97" s="7"/>
      <c r="I97" s="2" t="s">
        <v>30</v>
      </c>
      <c r="J97" s="2" t="s">
        <v>31</v>
      </c>
      <c r="K97" s="2" t="s">
        <v>304</v>
      </c>
      <c r="L97" s="2" t="s">
        <v>416</v>
      </c>
      <c r="M97" s="8" t="str">
        <f>HYPERLINK("http://slimages.macys.com/is/image/MCY/11937911 ")</f>
        <v xml:space="preserve">http://slimages.macys.com/is/image/MCY/11937911 </v>
      </c>
    </row>
    <row r="98" spans="1:13" ht="72" x14ac:dyDescent="0.25">
      <c r="A98" s="7" t="s">
        <v>8223</v>
      </c>
      <c r="B98" s="2" t="s">
        <v>8224</v>
      </c>
      <c r="C98" s="4">
        <v>1</v>
      </c>
      <c r="D98" s="5">
        <v>7.94</v>
      </c>
      <c r="E98" s="5">
        <v>19.989999999999998</v>
      </c>
      <c r="F98" s="4" t="s">
        <v>8225</v>
      </c>
      <c r="G98" s="2" t="s">
        <v>388</v>
      </c>
      <c r="H98" s="7" t="s">
        <v>123</v>
      </c>
      <c r="I98" s="2" t="s">
        <v>1689</v>
      </c>
      <c r="J98" s="2" t="s">
        <v>354</v>
      </c>
      <c r="K98" s="2" t="s">
        <v>304</v>
      </c>
      <c r="L98" s="2" t="s">
        <v>6118</v>
      </c>
      <c r="M98" s="8" t="str">
        <f>HYPERLINK("http://slimages.macys.com/is/image/MCY/12938515 ")</f>
        <v xml:space="preserve">http://slimages.macys.com/is/image/MCY/12938515 </v>
      </c>
    </row>
    <row r="99" spans="1:13" ht="60" x14ac:dyDescent="0.25">
      <c r="A99" s="7" t="s">
        <v>8226</v>
      </c>
      <c r="B99" s="2" t="s">
        <v>8227</v>
      </c>
      <c r="C99" s="4">
        <v>2</v>
      </c>
      <c r="D99" s="5">
        <v>7.94</v>
      </c>
      <c r="E99" s="5">
        <v>21.99</v>
      </c>
      <c r="F99" s="4" t="s">
        <v>8228</v>
      </c>
      <c r="G99" s="2" t="s">
        <v>303</v>
      </c>
      <c r="H99" s="7" t="s">
        <v>228</v>
      </c>
      <c r="I99" s="2" t="s">
        <v>389</v>
      </c>
      <c r="J99" s="2" t="s">
        <v>354</v>
      </c>
      <c r="K99" s="2" t="s">
        <v>304</v>
      </c>
      <c r="L99" s="2" t="s">
        <v>390</v>
      </c>
      <c r="M99" s="8" t="str">
        <f>HYPERLINK("http://slimages.macys.com/is/image/MCY/12121575 ")</f>
        <v xml:space="preserve">http://slimages.macys.com/is/image/MCY/12121575 </v>
      </c>
    </row>
    <row r="100" spans="1:13" ht="72" x14ac:dyDescent="0.25">
      <c r="A100" s="7" t="s">
        <v>8229</v>
      </c>
      <c r="B100" s="2" t="s">
        <v>8224</v>
      </c>
      <c r="C100" s="4">
        <v>1</v>
      </c>
      <c r="D100" s="5">
        <v>7.94</v>
      </c>
      <c r="E100" s="5">
        <v>19.989999999999998</v>
      </c>
      <c r="F100" s="4" t="s">
        <v>8225</v>
      </c>
      <c r="G100" s="2" t="s">
        <v>388</v>
      </c>
      <c r="H100" s="7" t="s">
        <v>514</v>
      </c>
      <c r="I100" s="2" t="s">
        <v>1689</v>
      </c>
      <c r="J100" s="2" t="s">
        <v>354</v>
      </c>
      <c r="K100" s="2" t="s">
        <v>304</v>
      </c>
      <c r="L100" s="2" t="s">
        <v>6118</v>
      </c>
      <c r="M100" s="8" t="str">
        <f>HYPERLINK("http://slimages.macys.com/is/image/MCY/12938515 ")</f>
        <v xml:space="preserve">http://slimages.macys.com/is/image/MCY/12938515 </v>
      </c>
    </row>
    <row r="101" spans="1:13" ht="60" x14ac:dyDescent="0.25">
      <c r="A101" s="7" t="s">
        <v>8230</v>
      </c>
      <c r="B101" s="2" t="s">
        <v>8231</v>
      </c>
      <c r="C101" s="4">
        <v>1</v>
      </c>
      <c r="D101" s="5">
        <v>7.71</v>
      </c>
      <c r="E101" s="5">
        <v>16.989999999999998</v>
      </c>
      <c r="F101" s="4" t="s">
        <v>8232</v>
      </c>
      <c r="G101" s="2" t="s">
        <v>86</v>
      </c>
      <c r="H101" s="7" t="s">
        <v>196</v>
      </c>
      <c r="I101" s="2" t="s">
        <v>515</v>
      </c>
      <c r="J101" s="2" t="s">
        <v>827</v>
      </c>
      <c r="K101" s="2" t="s">
        <v>304</v>
      </c>
      <c r="L101" s="2" t="s">
        <v>358</v>
      </c>
      <c r="M101" s="8" t="str">
        <f>HYPERLINK("http://slimages.macys.com/is/image/MCY/11860745 ")</f>
        <v xml:space="preserve">http://slimages.macys.com/is/image/MCY/11860745 </v>
      </c>
    </row>
    <row r="102" spans="1:13" ht="60" x14ac:dyDescent="0.25">
      <c r="A102" s="7" t="s">
        <v>8233</v>
      </c>
      <c r="B102" s="2" t="s">
        <v>8234</v>
      </c>
      <c r="C102" s="4">
        <v>1</v>
      </c>
      <c r="D102" s="5">
        <v>7.71</v>
      </c>
      <c r="E102" s="5">
        <v>16.989999999999998</v>
      </c>
      <c r="F102" s="4" t="s">
        <v>8235</v>
      </c>
      <c r="G102" s="2" t="s">
        <v>62</v>
      </c>
      <c r="H102" s="7" t="s">
        <v>228</v>
      </c>
      <c r="I102" s="2" t="s">
        <v>515</v>
      </c>
      <c r="J102" s="2" t="s">
        <v>827</v>
      </c>
      <c r="K102" s="2" t="s">
        <v>304</v>
      </c>
      <c r="L102" s="2" t="s">
        <v>358</v>
      </c>
      <c r="M102" s="8" t="str">
        <f>HYPERLINK("http://slimages.macys.com/is/image/MCY/10410441 ")</f>
        <v xml:space="preserve">http://slimages.macys.com/is/image/MCY/10410441 </v>
      </c>
    </row>
    <row r="103" spans="1:13" ht="84" x14ac:dyDescent="0.25">
      <c r="A103" s="7" t="s">
        <v>8236</v>
      </c>
      <c r="B103" s="2" t="s">
        <v>8237</v>
      </c>
      <c r="C103" s="4">
        <v>1</v>
      </c>
      <c r="D103" s="5">
        <v>7.7</v>
      </c>
      <c r="E103" s="5">
        <v>19.989999999999998</v>
      </c>
      <c r="F103" s="4">
        <v>26564110</v>
      </c>
      <c r="G103" s="2"/>
      <c r="H103" s="7" t="s">
        <v>144</v>
      </c>
      <c r="I103" s="2" t="s">
        <v>321</v>
      </c>
      <c r="J103" s="2" t="s">
        <v>2552</v>
      </c>
      <c r="K103" s="2" t="s">
        <v>304</v>
      </c>
      <c r="L103" s="2" t="s">
        <v>2553</v>
      </c>
      <c r="M103" s="8" t="str">
        <f>HYPERLINK("http://slimages.macys.com/is/image/MCY/10943971 ")</f>
        <v xml:space="preserve">http://slimages.macys.com/is/image/MCY/10943971 </v>
      </c>
    </row>
    <row r="104" spans="1:13" ht="84" x14ac:dyDescent="0.25">
      <c r="A104" s="7" t="s">
        <v>8238</v>
      </c>
      <c r="B104" s="2" t="s">
        <v>8237</v>
      </c>
      <c r="C104" s="4">
        <v>1</v>
      </c>
      <c r="D104" s="5">
        <v>7.7</v>
      </c>
      <c r="E104" s="5">
        <v>19.989999999999998</v>
      </c>
      <c r="F104" s="4">
        <v>26564110</v>
      </c>
      <c r="G104" s="2"/>
      <c r="H104" s="7" t="s">
        <v>68</v>
      </c>
      <c r="I104" s="2" t="s">
        <v>321</v>
      </c>
      <c r="J104" s="2" t="s">
        <v>2552</v>
      </c>
      <c r="K104" s="2" t="s">
        <v>304</v>
      </c>
      <c r="L104" s="2" t="s">
        <v>2553</v>
      </c>
      <c r="M104" s="8" t="str">
        <f>HYPERLINK("http://slimages.macys.com/is/image/MCY/10943971 ")</f>
        <v xml:space="preserve">http://slimages.macys.com/is/image/MCY/10943971 </v>
      </c>
    </row>
    <row r="105" spans="1:13" ht="60" x14ac:dyDescent="0.25">
      <c r="A105" s="7" t="s">
        <v>3985</v>
      </c>
      <c r="B105" s="2" t="s">
        <v>3986</v>
      </c>
      <c r="C105" s="4">
        <v>1</v>
      </c>
      <c r="D105" s="5">
        <v>7.6</v>
      </c>
      <c r="E105" s="5">
        <v>17.28</v>
      </c>
      <c r="F105" s="4">
        <v>18389710</v>
      </c>
      <c r="G105" s="2" t="s">
        <v>48</v>
      </c>
      <c r="H105" s="7" t="s">
        <v>675</v>
      </c>
      <c r="I105" s="2" t="s">
        <v>153</v>
      </c>
      <c r="J105" s="2" t="s">
        <v>154</v>
      </c>
      <c r="K105" s="2" t="s">
        <v>304</v>
      </c>
      <c r="L105" s="2" t="s">
        <v>38</v>
      </c>
      <c r="M105" s="8" t="str">
        <f>HYPERLINK("http://slimages.macys.com/is/image/MCY/14608342 ")</f>
        <v xml:space="preserve">http://slimages.macys.com/is/image/MCY/14608342 </v>
      </c>
    </row>
    <row r="106" spans="1:13" ht="60" x14ac:dyDescent="0.25">
      <c r="A106" s="7" t="s">
        <v>8239</v>
      </c>
      <c r="B106" s="2" t="s">
        <v>3986</v>
      </c>
      <c r="C106" s="4">
        <v>2</v>
      </c>
      <c r="D106" s="5">
        <v>7.6</v>
      </c>
      <c r="E106" s="5">
        <v>17.28</v>
      </c>
      <c r="F106" s="4">
        <v>18389710</v>
      </c>
      <c r="G106" s="2" t="s">
        <v>48</v>
      </c>
      <c r="H106" s="7" t="s">
        <v>91</v>
      </c>
      <c r="I106" s="2" t="s">
        <v>153</v>
      </c>
      <c r="J106" s="2" t="s">
        <v>154</v>
      </c>
      <c r="K106" s="2" t="s">
        <v>304</v>
      </c>
      <c r="L106" s="2" t="s">
        <v>38</v>
      </c>
      <c r="M106" s="8" t="str">
        <f>HYPERLINK("http://slimages.macys.com/is/image/MCY/14608342 ")</f>
        <v xml:space="preserve">http://slimages.macys.com/is/image/MCY/14608342 </v>
      </c>
    </row>
    <row r="107" spans="1:13" ht="60" x14ac:dyDescent="0.25">
      <c r="A107" s="7" t="s">
        <v>4916</v>
      </c>
      <c r="B107" s="2" t="s">
        <v>3986</v>
      </c>
      <c r="C107" s="4">
        <v>1</v>
      </c>
      <c r="D107" s="5">
        <v>7.6</v>
      </c>
      <c r="E107" s="5">
        <v>17.28</v>
      </c>
      <c r="F107" s="4">
        <v>18389710</v>
      </c>
      <c r="G107" s="2" t="s">
        <v>48</v>
      </c>
      <c r="H107" s="7" t="s">
        <v>442</v>
      </c>
      <c r="I107" s="2" t="s">
        <v>153</v>
      </c>
      <c r="J107" s="2" t="s">
        <v>154</v>
      </c>
      <c r="K107" s="2" t="s">
        <v>304</v>
      </c>
      <c r="L107" s="2" t="s">
        <v>38</v>
      </c>
      <c r="M107" s="8" t="str">
        <f>HYPERLINK("http://slimages.macys.com/is/image/MCY/14608342 ")</f>
        <v xml:space="preserve">http://slimages.macys.com/is/image/MCY/14608342 </v>
      </c>
    </row>
    <row r="108" spans="1:13" ht="60" x14ac:dyDescent="0.25">
      <c r="A108" s="7" t="s">
        <v>1723</v>
      </c>
      <c r="B108" s="2" t="s">
        <v>1724</v>
      </c>
      <c r="C108" s="4">
        <v>1</v>
      </c>
      <c r="D108" s="5">
        <v>7.6</v>
      </c>
      <c r="E108" s="5">
        <v>17.28</v>
      </c>
      <c r="F108" s="4">
        <v>18385510</v>
      </c>
      <c r="G108" s="2" t="s">
        <v>28</v>
      </c>
      <c r="H108" s="7" t="s">
        <v>675</v>
      </c>
      <c r="I108" s="2" t="s">
        <v>153</v>
      </c>
      <c r="J108" s="2" t="s">
        <v>154</v>
      </c>
      <c r="K108" s="2" t="s">
        <v>304</v>
      </c>
      <c r="L108" s="2" t="s">
        <v>38</v>
      </c>
      <c r="M108" s="8" t="str">
        <f>HYPERLINK("http://slimages.macys.com/is/image/MCY/14608274 ")</f>
        <v xml:space="preserve">http://slimages.macys.com/is/image/MCY/14608274 </v>
      </c>
    </row>
    <row r="109" spans="1:13" ht="60" x14ac:dyDescent="0.25">
      <c r="A109" s="7" t="s">
        <v>8240</v>
      </c>
      <c r="B109" s="2" t="s">
        <v>1724</v>
      </c>
      <c r="C109" s="4">
        <v>1</v>
      </c>
      <c r="D109" s="5">
        <v>7.6</v>
      </c>
      <c r="E109" s="5">
        <v>17.28</v>
      </c>
      <c r="F109" s="4">
        <v>18385510</v>
      </c>
      <c r="G109" s="2" t="s">
        <v>28</v>
      </c>
      <c r="H109" s="7" t="s">
        <v>42</v>
      </c>
      <c r="I109" s="2" t="s">
        <v>153</v>
      </c>
      <c r="J109" s="2" t="s">
        <v>154</v>
      </c>
      <c r="K109" s="2" t="s">
        <v>304</v>
      </c>
      <c r="L109" s="2" t="s">
        <v>38</v>
      </c>
      <c r="M109" s="8" t="str">
        <f>HYPERLINK("http://slimages.macys.com/is/image/MCY/14608274 ")</f>
        <v xml:space="preserve">http://slimages.macys.com/is/image/MCY/14608274 </v>
      </c>
    </row>
    <row r="110" spans="1:13" ht="60" x14ac:dyDescent="0.25">
      <c r="A110" s="7" t="s">
        <v>5383</v>
      </c>
      <c r="B110" s="2" t="s">
        <v>1724</v>
      </c>
      <c r="C110" s="4">
        <v>1</v>
      </c>
      <c r="D110" s="5">
        <v>7.6</v>
      </c>
      <c r="E110" s="5">
        <v>17.28</v>
      </c>
      <c r="F110" s="4">
        <v>18385510</v>
      </c>
      <c r="G110" s="2" t="s">
        <v>28</v>
      </c>
      <c r="H110" s="7" t="s">
        <v>442</v>
      </c>
      <c r="I110" s="2" t="s">
        <v>153</v>
      </c>
      <c r="J110" s="2" t="s">
        <v>154</v>
      </c>
      <c r="K110" s="2" t="s">
        <v>304</v>
      </c>
      <c r="L110" s="2" t="s">
        <v>38</v>
      </c>
      <c r="M110" s="8" t="str">
        <f>HYPERLINK("http://slimages.macys.com/is/image/MCY/14608274 ")</f>
        <v xml:space="preserve">http://slimages.macys.com/is/image/MCY/14608274 </v>
      </c>
    </row>
    <row r="111" spans="1:13" ht="60" x14ac:dyDescent="0.25">
      <c r="A111" s="7" t="s">
        <v>6839</v>
      </c>
      <c r="B111" s="2" t="s">
        <v>3986</v>
      </c>
      <c r="C111" s="4">
        <v>1</v>
      </c>
      <c r="D111" s="5">
        <v>7.6</v>
      </c>
      <c r="E111" s="5">
        <v>17.28</v>
      </c>
      <c r="F111" s="4">
        <v>18389710</v>
      </c>
      <c r="G111" s="2" t="s">
        <v>48</v>
      </c>
      <c r="H111" s="7" t="s">
        <v>42</v>
      </c>
      <c r="I111" s="2" t="s">
        <v>153</v>
      </c>
      <c r="J111" s="2" t="s">
        <v>154</v>
      </c>
      <c r="K111" s="2" t="s">
        <v>304</v>
      </c>
      <c r="L111" s="2" t="s">
        <v>38</v>
      </c>
      <c r="M111" s="8" t="str">
        <f>HYPERLINK("http://slimages.macys.com/is/image/MCY/14608342 ")</f>
        <v xml:space="preserve">http://slimages.macys.com/is/image/MCY/14608342 </v>
      </c>
    </row>
    <row r="112" spans="1:13" ht="60" x14ac:dyDescent="0.25">
      <c r="A112" s="7" t="s">
        <v>8241</v>
      </c>
      <c r="B112" s="2" t="s">
        <v>8242</v>
      </c>
      <c r="C112" s="4">
        <v>1</v>
      </c>
      <c r="D112" s="5">
        <v>7.59</v>
      </c>
      <c r="E112" s="5">
        <v>17.989999999999998</v>
      </c>
      <c r="F112" s="4" t="s">
        <v>8243</v>
      </c>
      <c r="G112" s="2" t="s">
        <v>171</v>
      </c>
      <c r="H112" s="7" t="s">
        <v>514</v>
      </c>
      <c r="I112" s="2" t="s">
        <v>515</v>
      </c>
      <c r="J112" s="2" t="s">
        <v>875</v>
      </c>
      <c r="K112" s="2" t="s">
        <v>304</v>
      </c>
      <c r="L112" s="2" t="s">
        <v>4196</v>
      </c>
      <c r="M112" s="8" t="str">
        <f>HYPERLINK("http://slimages.macys.com/is/image/MCY/11640024 ")</f>
        <v xml:space="preserve">http://slimages.macys.com/is/image/MCY/11640024 </v>
      </c>
    </row>
    <row r="113" spans="1:13" ht="60" x14ac:dyDescent="0.25">
      <c r="A113" s="7" t="s">
        <v>8244</v>
      </c>
      <c r="B113" s="2" t="s">
        <v>8245</v>
      </c>
      <c r="C113" s="4">
        <v>1</v>
      </c>
      <c r="D113" s="5">
        <v>7.5</v>
      </c>
      <c r="E113" s="5">
        <v>19.989999999999998</v>
      </c>
      <c r="F113" s="4" t="s">
        <v>8246</v>
      </c>
      <c r="G113" s="2" t="s">
        <v>657</v>
      </c>
      <c r="H113" s="7" t="s">
        <v>774</v>
      </c>
      <c r="I113" s="2" t="s">
        <v>342</v>
      </c>
      <c r="J113" s="2" t="s">
        <v>1872</v>
      </c>
      <c r="K113" s="2" t="s">
        <v>304</v>
      </c>
      <c r="L113" s="2" t="s">
        <v>8247</v>
      </c>
      <c r="M113" s="8" t="str">
        <f>HYPERLINK("http://slimages.macys.com/is/image/MCY/11636033 ")</f>
        <v xml:space="preserve">http://slimages.macys.com/is/image/MCY/11636033 </v>
      </c>
    </row>
    <row r="114" spans="1:13" ht="60" x14ac:dyDescent="0.25">
      <c r="A114" s="7" t="s">
        <v>1734</v>
      </c>
      <c r="B114" s="2" t="s">
        <v>458</v>
      </c>
      <c r="C114" s="4">
        <v>3</v>
      </c>
      <c r="D114" s="5">
        <v>7.5</v>
      </c>
      <c r="E114" s="5">
        <v>16.989999999999998</v>
      </c>
      <c r="F114" s="4" t="s">
        <v>459</v>
      </c>
      <c r="G114" s="2" t="s">
        <v>347</v>
      </c>
      <c r="H114" s="7" t="s">
        <v>228</v>
      </c>
      <c r="I114" s="2" t="s">
        <v>30</v>
      </c>
      <c r="J114" s="2" t="s">
        <v>446</v>
      </c>
      <c r="K114" s="2" t="s">
        <v>304</v>
      </c>
      <c r="L114" s="2" t="s">
        <v>460</v>
      </c>
      <c r="M114" s="8" t="str">
        <f>HYPERLINK("http://slimages.macys.com/is/image/MCY/12071760 ")</f>
        <v xml:space="preserve">http://slimages.macys.com/is/image/MCY/12071760 </v>
      </c>
    </row>
    <row r="115" spans="1:13" ht="84" x14ac:dyDescent="0.25">
      <c r="A115" s="7" t="s">
        <v>8248</v>
      </c>
      <c r="B115" s="2" t="s">
        <v>6845</v>
      </c>
      <c r="C115" s="4">
        <v>1</v>
      </c>
      <c r="D115" s="5">
        <v>7.5</v>
      </c>
      <c r="E115" s="5">
        <v>14.99</v>
      </c>
      <c r="F115" s="4" t="s">
        <v>3315</v>
      </c>
      <c r="G115" s="2" t="s">
        <v>62</v>
      </c>
      <c r="H115" s="7" t="s">
        <v>228</v>
      </c>
      <c r="I115" s="2" t="s">
        <v>30</v>
      </c>
      <c r="J115" s="2" t="s">
        <v>446</v>
      </c>
      <c r="K115" s="2" t="s">
        <v>304</v>
      </c>
      <c r="L115" s="2" t="s">
        <v>3316</v>
      </c>
      <c r="M115" s="8" t="str">
        <f>HYPERLINK("http://slimages.macys.com/is/image/MCY/10031506 ")</f>
        <v xml:space="preserve">http://slimages.macys.com/is/image/MCY/10031506 </v>
      </c>
    </row>
    <row r="116" spans="1:13" ht="72" x14ac:dyDescent="0.25">
      <c r="A116" s="7" t="s">
        <v>8249</v>
      </c>
      <c r="B116" s="2" t="s">
        <v>6842</v>
      </c>
      <c r="C116" s="4">
        <v>1</v>
      </c>
      <c r="D116" s="5">
        <v>7.5</v>
      </c>
      <c r="E116" s="5">
        <v>16.989999999999998</v>
      </c>
      <c r="F116" s="4" t="s">
        <v>6843</v>
      </c>
      <c r="G116" s="2" t="s">
        <v>657</v>
      </c>
      <c r="H116" s="7" t="s">
        <v>217</v>
      </c>
      <c r="I116" s="2" t="s">
        <v>30</v>
      </c>
      <c r="J116" s="2" t="s">
        <v>446</v>
      </c>
      <c r="K116" s="2" t="s">
        <v>304</v>
      </c>
      <c r="L116" s="2" t="s">
        <v>4095</v>
      </c>
      <c r="M116" s="8" t="str">
        <f>HYPERLINK("http://slimages.macys.com/is/image/MCY/12071766 ")</f>
        <v xml:space="preserve">http://slimages.macys.com/is/image/MCY/12071766 </v>
      </c>
    </row>
    <row r="117" spans="1:13" ht="96" x14ac:dyDescent="0.25">
      <c r="A117" s="7" t="s">
        <v>8250</v>
      </c>
      <c r="B117" s="2" t="s">
        <v>444</v>
      </c>
      <c r="C117" s="4">
        <v>1</v>
      </c>
      <c r="D117" s="5">
        <v>7.5</v>
      </c>
      <c r="E117" s="5">
        <v>16.989999999999998</v>
      </c>
      <c r="F117" s="4" t="s">
        <v>445</v>
      </c>
      <c r="G117" s="2" t="s">
        <v>28</v>
      </c>
      <c r="H117" s="7" t="s">
        <v>284</v>
      </c>
      <c r="I117" s="2" t="s">
        <v>30</v>
      </c>
      <c r="J117" s="2" t="s">
        <v>446</v>
      </c>
      <c r="K117" s="2" t="s">
        <v>304</v>
      </c>
      <c r="L117" s="2" t="s">
        <v>447</v>
      </c>
      <c r="M117" s="8" t="str">
        <f>HYPERLINK("http://slimages.macys.com/is/image/MCY/10172233 ")</f>
        <v xml:space="preserve">http://slimages.macys.com/is/image/MCY/10172233 </v>
      </c>
    </row>
    <row r="118" spans="1:13" ht="96" x14ac:dyDescent="0.25">
      <c r="A118" s="7" t="s">
        <v>8251</v>
      </c>
      <c r="B118" s="2" t="s">
        <v>444</v>
      </c>
      <c r="C118" s="4">
        <v>2</v>
      </c>
      <c r="D118" s="5">
        <v>7.5</v>
      </c>
      <c r="E118" s="5">
        <v>16.989999999999998</v>
      </c>
      <c r="F118" s="4" t="s">
        <v>445</v>
      </c>
      <c r="G118" s="2" t="s">
        <v>28</v>
      </c>
      <c r="H118" s="7" t="s">
        <v>159</v>
      </c>
      <c r="I118" s="2" t="s">
        <v>30</v>
      </c>
      <c r="J118" s="2" t="s">
        <v>446</v>
      </c>
      <c r="K118" s="2" t="s">
        <v>304</v>
      </c>
      <c r="L118" s="2" t="s">
        <v>447</v>
      </c>
      <c r="M118" s="8" t="str">
        <f>HYPERLINK("http://slimages.macys.com/is/image/MCY/10172233 ")</f>
        <v xml:space="preserve">http://slimages.macys.com/is/image/MCY/10172233 </v>
      </c>
    </row>
    <row r="119" spans="1:13" ht="60" x14ac:dyDescent="0.25">
      <c r="A119" s="7" t="s">
        <v>457</v>
      </c>
      <c r="B119" s="2" t="s">
        <v>458</v>
      </c>
      <c r="C119" s="4">
        <v>3</v>
      </c>
      <c r="D119" s="5">
        <v>7.5</v>
      </c>
      <c r="E119" s="5">
        <v>16.989999999999998</v>
      </c>
      <c r="F119" s="4" t="s">
        <v>459</v>
      </c>
      <c r="G119" s="2" t="s">
        <v>347</v>
      </c>
      <c r="H119" s="7" t="s">
        <v>159</v>
      </c>
      <c r="I119" s="2" t="s">
        <v>30</v>
      </c>
      <c r="J119" s="2" t="s">
        <v>446</v>
      </c>
      <c r="K119" s="2" t="s">
        <v>304</v>
      </c>
      <c r="L119" s="2" t="s">
        <v>460</v>
      </c>
      <c r="M119" s="8" t="str">
        <f>HYPERLINK("http://slimages.macys.com/is/image/MCY/12071760 ")</f>
        <v xml:space="preserve">http://slimages.macys.com/is/image/MCY/12071760 </v>
      </c>
    </row>
    <row r="120" spans="1:13" ht="60" x14ac:dyDescent="0.25">
      <c r="A120" s="7" t="s">
        <v>8252</v>
      </c>
      <c r="B120" s="2" t="s">
        <v>458</v>
      </c>
      <c r="C120" s="4">
        <v>1</v>
      </c>
      <c r="D120" s="5">
        <v>7.5</v>
      </c>
      <c r="E120" s="5">
        <v>16.989999999999998</v>
      </c>
      <c r="F120" s="4" t="s">
        <v>459</v>
      </c>
      <c r="G120" s="2" t="s">
        <v>347</v>
      </c>
      <c r="H120" s="7" t="s">
        <v>284</v>
      </c>
      <c r="I120" s="2" t="s">
        <v>30</v>
      </c>
      <c r="J120" s="2" t="s">
        <v>446</v>
      </c>
      <c r="K120" s="2" t="s">
        <v>304</v>
      </c>
      <c r="L120" s="2" t="s">
        <v>460</v>
      </c>
      <c r="M120" s="8" t="str">
        <f>HYPERLINK("http://slimages.macys.com/is/image/MCY/12071760 ")</f>
        <v xml:space="preserve">http://slimages.macys.com/is/image/MCY/12071760 </v>
      </c>
    </row>
    <row r="121" spans="1:13" ht="96" x14ac:dyDescent="0.25">
      <c r="A121" s="7" t="s">
        <v>8253</v>
      </c>
      <c r="B121" s="2" t="s">
        <v>444</v>
      </c>
      <c r="C121" s="4">
        <v>2</v>
      </c>
      <c r="D121" s="5">
        <v>7.5</v>
      </c>
      <c r="E121" s="5">
        <v>16.989999999999998</v>
      </c>
      <c r="F121" s="4" t="s">
        <v>445</v>
      </c>
      <c r="G121" s="2" t="s">
        <v>28</v>
      </c>
      <c r="H121" s="7" t="s">
        <v>228</v>
      </c>
      <c r="I121" s="2" t="s">
        <v>30</v>
      </c>
      <c r="J121" s="2" t="s">
        <v>446</v>
      </c>
      <c r="K121" s="2" t="s">
        <v>304</v>
      </c>
      <c r="L121" s="2" t="s">
        <v>447</v>
      </c>
      <c r="M121" s="8" t="str">
        <f>HYPERLINK("http://slimages.macys.com/is/image/MCY/10172233 ")</f>
        <v xml:space="preserve">http://slimages.macys.com/is/image/MCY/10172233 </v>
      </c>
    </row>
    <row r="122" spans="1:13" ht="60" x14ac:dyDescent="0.25">
      <c r="A122" s="7" t="s">
        <v>8254</v>
      </c>
      <c r="B122" s="2" t="s">
        <v>925</v>
      </c>
      <c r="C122" s="4">
        <v>1</v>
      </c>
      <c r="D122" s="5">
        <v>7.4</v>
      </c>
      <c r="E122" s="5">
        <v>18.5</v>
      </c>
      <c r="F122" s="4" t="s">
        <v>926</v>
      </c>
      <c r="G122" s="2" t="s">
        <v>437</v>
      </c>
      <c r="H122" s="7" t="s">
        <v>311</v>
      </c>
      <c r="I122" s="2" t="s">
        <v>690</v>
      </c>
      <c r="J122" s="2" t="s">
        <v>58</v>
      </c>
      <c r="K122" s="2" t="s">
        <v>304</v>
      </c>
      <c r="L122" s="2" t="s">
        <v>38</v>
      </c>
      <c r="M122" s="8" t="str">
        <f>HYPERLINK("http://slimages.macys.com/is/image/MCY/13049179 ")</f>
        <v xml:space="preserve">http://slimages.macys.com/is/image/MCY/13049179 </v>
      </c>
    </row>
    <row r="123" spans="1:13" ht="60" x14ac:dyDescent="0.25">
      <c r="A123" s="7" t="s">
        <v>8255</v>
      </c>
      <c r="B123" s="2" t="s">
        <v>7419</v>
      </c>
      <c r="C123" s="4">
        <v>1</v>
      </c>
      <c r="D123" s="5">
        <v>7.39</v>
      </c>
      <c r="E123" s="5">
        <v>16.989999999999998</v>
      </c>
      <c r="F123" s="4" t="s">
        <v>8256</v>
      </c>
      <c r="G123" s="2" t="s">
        <v>200</v>
      </c>
      <c r="H123" s="7" t="s">
        <v>578</v>
      </c>
      <c r="I123" s="2" t="s">
        <v>292</v>
      </c>
      <c r="J123" s="2" t="s">
        <v>354</v>
      </c>
      <c r="K123" s="2" t="s">
        <v>304</v>
      </c>
      <c r="L123" s="2" t="s">
        <v>100</v>
      </c>
      <c r="M123" s="8" t="str">
        <f>HYPERLINK("http://slimages.macys.com/is/image/MCY/12951244 ")</f>
        <v xml:space="preserve">http://slimages.macys.com/is/image/MCY/12951244 </v>
      </c>
    </row>
    <row r="124" spans="1:13" ht="60" x14ac:dyDescent="0.25">
      <c r="A124" s="7" t="s">
        <v>8257</v>
      </c>
      <c r="B124" s="2" t="s">
        <v>1694</v>
      </c>
      <c r="C124" s="4">
        <v>1</v>
      </c>
      <c r="D124" s="5">
        <v>7.35</v>
      </c>
      <c r="E124" s="5">
        <v>21.99</v>
      </c>
      <c r="F124" s="4" t="s">
        <v>4015</v>
      </c>
      <c r="G124" s="2" t="s">
        <v>62</v>
      </c>
      <c r="H124" s="7" t="s">
        <v>578</v>
      </c>
      <c r="I124" s="2" t="s">
        <v>515</v>
      </c>
      <c r="J124" s="2" t="s">
        <v>516</v>
      </c>
      <c r="K124" s="2" t="s">
        <v>304</v>
      </c>
      <c r="L124" s="2" t="s">
        <v>125</v>
      </c>
      <c r="M124" s="8" t="str">
        <f>HYPERLINK("http://slimages.macys.com/is/image/MCY/11860783 ")</f>
        <v xml:space="preserve">http://slimages.macys.com/is/image/MCY/11860783 </v>
      </c>
    </row>
    <row r="125" spans="1:13" ht="60" x14ac:dyDescent="0.25">
      <c r="A125" s="7" t="s">
        <v>8258</v>
      </c>
      <c r="B125" s="2" t="s">
        <v>1694</v>
      </c>
      <c r="C125" s="4">
        <v>1</v>
      </c>
      <c r="D125" s="5">
        <v>7.35</v>
      </c>
      <c r="E125" s="5">
        <v>21.99</v>
      </c>
      <c r="F125" s="4" t="s">
        <v>4015</v>
      </c>
      <c r="G125" s="2" t="s">
        <v>62</v>
      </c>
      <c r="H125" s="7" t="s">
        <v>311</v>
      </c>
      <c r="I125" s="2" t="s">
        <v>515</v>
      </c>
      <c r="J125" s="2" t="s">
        <v>516</v>
      </c>
      <c r="K125" s="2" t="s">
        <v>304</v>
      </c>
      <c r="L125" s="2" t="s">
        <v>125</v>
      </c>
      <c r="M125" s="8" t="str">
        <f>HYPERLINK("http://slimages.macys.com/is/image/MCY/11860783 ")</f>
        <v xml:space="preserve">http://slimages.macys.com/is/image/MCY/11860783 </v>
      </c>
    </row>
    <row r="126" spans="1:13" ht="72" x14ac:dyDescent="0.25">
      <c r="A126" s="7" t="s">
        <v>4016</v>
      </c>
      <c r="B126" s="2" t="s">
        <v>4017</v>
      </c>
      <c r="C126" s="4">
        <v>3</v>
      </c>
      <c r="D126" s="5">
        <v>7.29</v>
      </c>
      <c r="E126" s="5">
        <v>18</v>
      </c>
      <c r="F126" s="4" t="s">
        <v>4018</v>
      </c>
      <c r="G126" s="2" t="s">
        <v>4019</v>
      </c>
      <c r="H126" s="7" t="s">
        <v>789</v>
      </c>
      <c r="I126" s="2" t="s">
        <v>523</v>
      </c>
      <c r="J126" s="2" t="s">
        <v>1042</v>
      </c>
      <c r="K126" s="2" t="s">
        <v>304</v>
      </c>
      <c r="L126" s="2" t="s">
        <v>4020</v>
      </c>
      <c r="M126" s="8" t="str">
        <f>HYPERLINK("http://slimages.macys.com/is/image/MCY/10428877 ")</f>
        <v xml:space="preserve">http://slimages.macys.com/is/image/MCY/10428877 </v>
      </c>
    </row>
    <row r="127" spans="1:13" ht="72" x14ac:dyDescent="0.25">
      <c r="A127" s="7" t="s">
        <v>8259</v>
      </c>
      <c r="B127" s="2" t="s">
        <v>4017</v>
      </c>
      <c r="C127" s="4">
        <v>9</v>
      </c>
      <c r="D127" s="5">
        <v>7.29</v>
      </c>
      <c r="E127" s="5">
        <v>18</v>
      </c>
      <c r="F127" s="4" t="s">
        <v>4018</v>
      </c>
      <c r="G127" s="2" t="s">
        <v>4019</v>
      </c>
      <c r="H127" s="7" t="s">
        <v>72</v>
      </c>
      <c r="I127" s="2" t="s">
        <v>523</v>
      </c>
      <c r="J127" s="2" t="s">
        <v>1042</v>
      </c>
      <c r="K127" s="2" t="s">
        <v>304</v>
      </c>
      <c r="L127" s="2" t="s">
        <v>4020</v>
      </c>
      <c r="M127" s="8" t="str">
        <f>HYPERLINK("http://slimages.macys.com/is/image/MCY/10428877 ")</f>
        <v xml:space="preserve">http://slimages.macys.com/is/image/MCY/10428877 </v>
      </c>
    </row>
    <row r="128" spans="1:13" ht="72" x14ac:dyDescent="0.25">
      <c r="A128" s="7" t="s">
        <v>8260</v>
      </c>
      <c r="B128" s="2" t="s">
        <v>8261</v>
      </c>
      <c r="C128" s="4">
        <v>1</v>
      </c>
      <c r="D128" s="5">
        <v>7.25</v>
      </c>
      <c r="E128" s="5">
        <v>20</v>
      </c>
      <c r="F128" s="4" t="s">
        <v>6266</v>
      </c>
      <c r="G128" s="2" t="s">
        <v>36</v>
      </c>
      <c r="H128" s="7" t="s">
        <v>786</v>
      </c>
      <c r="I128" s="2" t="s">
        <v>50</v>
      </c>
      <c r="J128" s="2" t="s">
        <v>901</v>
      </c>
      <c r="K128" s="2" t="s">
        <v>304</v>
      </c>
      <c r="L128" s="2" t="s">
        <v>5455</v>
      </c>
      <c r="M128" s="8" t="str">
        <f>HYPERLINK("http://slimages.macys.com/is/image/MCY/11722010 ")</f>
        <v xml:space="preserve">http://slimages.macys.com/is/image/MCY/11722010 </v>
      </c>
    </row>
    <row r="129" spans="1:13" ht="60" x14ac:dyDescent="0.25">
      <c r="A129" s="7" t="s">
        <v>8262</v>
      </c>
      <c r="B129" s="2" t="s">
        <v>4918</v>
      </c>
      <c r="C129" s="4">
        <v>2</v>
      </c>
      <c r="D129" s="5">
        <v>7.2</v>
      </c>
      <c r="E129" s="5">
        <v>13.99</v>
      </c>
      <c r="F129" s="4" t="s">
        <v>4919</v>
      </c>
      <c r="G129" s="2" t="s">
        <v>582</v>
      </c>
      <c r="H129" s="7" t="s">
        <v>284</v>
      </c>
      <c r="I129" s="2" t="s">
        <v>523</v>
      </c>
      <c r="J129" s="2" t="s">
        <v>969</v>
      </c>
      <c r="K129" s="2" t="s">
        <v>304</v>
      </c>
      <c r="L129" s="2" t="s">
        <v>970</v>
      </c>
      <c r="M129" s="8" t="str">
        <f>HYPERLINK("http://slimages.macys.com/is/image/MCY/11646790 ")</f>
        <v xml:space="preserve">http://slimages.macys.com/is/image/MCY/11646790 </v>
      </c>
    </row>
    <row r="130" spans="1:13" ht="60" x14ac:dyDescent="0.25">
      <c r="A130" s="7" t="s">
        <v>947</v>
      </c>
      <c r="B130" s="2" t="s">
        <v>942</v>
      </c>
      <c r="C130" s="4">
        <v>1</v>
      </c>
      <c r="D130" s="5">
        <v>7.2</v>
      </c>
      <c r="E130" s="5">
        <v>18</v>
      </c>
      <c r="F130" s="4" t="s">
        <v>943</v>
      </c>
      <c r="G130" s="2" t="s">
        <v>41</v>
      </c>
      <c r="H130" s="7"/>
      <c r="I130" s="2" t="s">
        <v>523</v>
      </c>
      <c r="J130" s="2" t="s">
        <v>937</v>
      </c>
      <c r="K130" s="2" t="s">
        <v>304</v>
      </c>
      <c r="L130" s="2" t="s">
        <v>944</v>
      </c>
      <c r="M130" s="8" t="str">
        <f>HYPERLINK("http://slimages.macys.com/is/image/MCY/10426043 ")</f>
        <v xml:space="preserve">http://slimages.macys.com/is/image/MCY/10426043 </v>
      </c>
    </row>
    <row r="131" spans="1:13" ht="60" x14ac:dyDescent="0.25">
      <c r="A131" s="7" t="s">
        <v>2575</v>
      </c>
      <c r="B131" s="2" t="s">
        <v>942</v>
      </c>
      <c r="C131" s="4">
        <v>3</v>
      </c>
      <c r="D131" s="5">
        <v>7.2</v>
      </c>
      <c r="E131" s="5">
        <v>18</v>
      </c>
      <c r="F131" s="4" t="s">
        <v>2576</v>
      </c>
      <c r="G131" s="2" t="s">
        <v>165</v>
      </c>
      <c r="H131" s="7"/>
      <c r="I131" s="2" t="s">
        <v>523</v>
      </c>
      <c r="J131" s="2" t="s">
        <v>937</v>
      </c>
      <c r="K131" s="2" t="s">
        <v>304</v>
      </c>
      <c r="L131" s="2" t="s">
        <v>944</v>
      </c>
      <c r="M131" s="8" t="str">
        <f>HYPERLINK("http://slimages.macys.com/is/image/MCY/10426043 ")</f>
        <v xml:space="preserve">http://slimages.macys.com/is/image/MCY/10426043 </v>
      </c>
    </row>
    <row r="132" spans="1:13" ht="60" x14ac:dyDescent="0.25">
      <c r="A132" s="7" t="s">
        <v>941</v>
      </c>
      <c r="B132" s="2" t="s">
        <v>942</v>
      </c>
      <c r="C132" s="4">
        <v>3</v>
      </c>
      <c r="D132" s="5">
        <v>7.2</v>
      </c>
      <c r="E132" s="5">
        <v>18</v>
      </c>
      <c r="F132" s="4" t="s">
        <v>943</v>
      </c>
      <c r="G132" s="2" t="s">
        <v>165</v>
      </c>
      <c r="H132" s="7"/>
      <c r="I132" s="2" t="s">
        <v>523</v>
      </c>
      <c r="J132" s="2" t="s">
        <v>937</v>
      </c>
      <c r="K132" s="2" t="s">
        <v>304</v>
      </c>
      <c r="L132" s="2" t="s">
        <v>944</v>
      </c>
      <c r="M132" s="8" t="str">
        <f>HYPERLINK("http://slimages.macys.com/is/image/MCY/10426043 ")</f>
        <v xml:space="preserve">http://slimages.macys.com/is/image/MCY/10426043 </v>
      </c>
    </row>
    <row r="133" spans="1:13" ht="72" x14ac:dyDescent="0.25">
      <c r="A133" s="7" t="s">
        <v>946</v>
      </c>
      <c r="B133" s="2" t="s">
        <v>935</v>
      </c>
      <c r="C133" s="4">
        <v>2</v>
      </c>
      <c r="D133" s="5">
        <v>7.2</v>
      </c>
      <c r="E133" s="5">
        <v>18</v>
      </c>
      <c r="F133" s="4" t="s">
        <v>936</v>
      </c>
      <c r="G133" s="2" t="s">
        <v>62</v>
      </c>
      <c r="H133" s="7"/>
      <c r="I133" s="2" t="s">
        <v>523</v>
      </c>
      <c r="J133" s="2" t="s">
        <v>937</v>
      </c>
      <c r="K133" s="2" t="s">
        <v>304</v>
      </c>
      <c r="L133" s="2" t="s">
        <v>938</v>
      </c>
      <c r="M133" s="8" t="str">
        <f>HYPERLINK("http://slimages.macys.com/is/image/MCY/9628134 ")</f>
        <v xml:space="preserve">http://slimages.macys.com/is/image/MCY/9628134 </v>
      </c>
    </row>
    <row r="134" spans="1:13" ht="72" x14ac:dyDescent="0.25">
      <c r="A134" s="7" t="s">
        <v>934</v>
      </c>
      <c r="B134" s="2" t="s">
        <v>935</v>
      </c>
      <c r="C134" s="4">
        <v>3</v>
      </c>
      <c r="D134" s="5">
        <v>7.2</v>
      </c>
      <c r="E134" s="5">
        <v>18</v>
      </c>
      <c r="F134" s="4" t="s">
        <v>936</v>
      </c>
      <c r="G134" s="2" t="s">
        <v>41</v>
      </c>
      <c r="H134" s="7"/>
      <c r="I134" s="2" t="s">
        <v>523</v>
      </c>
      <c r="J134" s="2" t="s">
        <v>937</v>
      </c>
      <c r="K134" s="2" t="s">
        <v>304</v>
      </c>
      <c r="L134" s="2" t="s">
        <v>938</v>
      </c>
      <c r="M134" s="8" t="str">
        <f>HYPERLINK("http://slimages.macys.com/is/image/MCY/9628134 ")</f>
        <v xml:space="preserve">http://slimages.macys.com/is/image/MCY/9628134 </v>
      </c>
    </row>
    <row r="135" spans="1:13" ht="60" x14ac:dyDescent="0.25">
      <c r="A135" s="7" t="s">
        <v>1737</v>
      </c>
      <c r="B135" s="2" t="s">
        <v>1738</v>
      </c>
      <c r="C135" s="4">
        <v>2</v>
      </c>
      <c r="D135" s="5">
        <v>7.12</v>
      </c>
      <c r="E135" s="5">
        <v>16.989999999999998</v>
      </c>
      <c r="F135" s="4" t="s">
        <v>1739</v>
      </c>
      <c r="G135" s="2" t="s">
        <v>297</v>
      </c>
      <c r="H135" s="7" t="s">
        <v>159</v>
      </c>
      <c r="I135" s="2" t="s">
        <v>218</v>
      </c>
      <c r="J135" s="2" t="s">
        <v>1740</v>
      </c>
      <c r="K135" s="2" t="s">
        <v>304</v>
      </c>
      <c r="L135" s="2" t="s">
        <v>125</v>
      </c>
      <c r="M135" s="8" t="str">
        <f>HYPERLINK("http://slimages.macys.com/is/image/MCY/12235404 ")</f>
        <v xml:space="preserve">http://slimages.macys.com/is/image/MCY/12235404 </v>
      </c>
    </row>
    <row r="136" spans="1:13" ht="60" x14ac:dyDescent="0.25">
      <c r="A136" s="7" t="s">
        <v>8263</v>
      </c>
      <c r="B136" s="2" t="s">
        <v>5393</v>
      </c>
      <c r="C136" s="4">
        <v>1</v>
      </c>
      <c r="D136" s="5">
        <v>7.12</v>
      </c>
      <c r="E136" s="5">
        <v>19.989999999999998</v>
      </c>
      <c r="F136" s="4" t="s">
        <v>5394</v>
      </c>
      <c r="G136" s="2" t="s">
        <v>86</v>
      </c>
      <c r="H136" s="7" t="s">
        <v>228</v>
      </c>
      <c r="I136" s="2" t="s">
        <v>389</v>
      </c>
      <c r="J136" s="2" t="s">
        <v>354</v>
      </c>
      <c r="K136" s="2" t="s">
        <v>304</v>
      </c>
      <c r="L136" s="2" t="s">
        <v>596</v>
      </c>
      <c r="M136" s="8" t="str">
        <f>HYPERLINK("http://slimages.macys.com/is/image/MCY/12121982 ")</f>
        <v xml:space="preserve">http://slimages.macys.com/is/image/MCY/12121982 </v>
      </c>
    </row>
    <row r="137" spans="1:13" ht="60" x14ac:dyDescent="0.25">
      <c r="A137" s="7" t="s">
        <v>5388</v>
      </c>
      <c r="B137" s="2" t="s">
        <v>5389</v>
      </c>
      <c r="C137" s="4">
        <v>1</v>
      </c>
      <c r="D137" s="5">
        <v>7.12</v>
      </c>
      <c r="E137" s="5">
        <v>19.989999999999998</v>
      </c>
      <c r="F137" s="4" t="s">
        <v>5390</v>
      </c>
      <c r="G137" s="2" t="s">
        <v>103</v>
      </c>
      <c r="H137" s="7" t="s">
        <v>159</v>
      </c>
      <c r="I137" s="2" t="s">
        <v>389</v>
      </c>
      <c r="J137" s="2" t="s">
        <v>354</v>
      </c>
      <c r="K137" s="2" t="s">
        <v>304</v>
      </c>
      <c r="L137" s="2" t="s">
        <v>596</v>
      </c>
      <c r="M137" s="8" t="str">
        <f>HYPERLINK("http://slimages.macys.com/is/image/MCY/12670165 ")</f>
        <v xml:space="preserve">http://slimages.macys.com/is/image/MCY/12670165 </v>
      </c>
    </row>
    <row r="138" spans="1:13" ht="60" x14ac:dyDescent="0.25">
      <c r="A138" s="7" t="s">
        <v>5392</v>
      </c>
      <c r="B138" s="2" t="s">
        <v>5393</v>
      </c>
      <c r="C138" s="4">
        <v>2</v>
      </c>
      <c r="D138" s="5">
        <v>7.12</v>
      </c>
      <c r="E138" s="5">
        <v>19.989999999999998</v>
      </c>
      <c r="F138" s="4" t="s">
        <v>5394</v>
      </c>
      <c r="G138" s="2" t="s">
        <v>86</v>
      </c>
      <c r="H138" s="7" t="s">
        <v>159</v>
      </c>
      <c r="I138" s="2" t="s">
        <v>389</v>
      </c>
      <c r="J138" s="2" t="s">
        <v>354</v>
      </c>
      <c r="K138" s="2" t="s">
        <v>304</v>
      </c>
      <c r="L138" s="2" t="s">
        <v>596</v>
      </c>
      <c r="M138" s="8" t="str">
        <f>HYPERLINK("http://slimages.macys.com/is/image/MCY/12121982 ")</f>
        <v xml:space="preserve">http://slimages.macys.com/is/image/MCY/12121982 </v>
      </c>
    </row>
    <row r="139" spans="1:13" ht="60" x14ac:dyDescent="0.25">
      <c r="A139" s="7" t="s">
        <v>8264</v>
      </c>
      <c r="B139" s="2" t="s">
        <v>8265</v>
      </c>
      <c r="C139" s="4">
        <v>1</v>
      </c>
      <c r="D139" s="5">
        <v>7</v>
      </c>
      <c r="E139" s="5">
        <v>16</v>
      </c>
      <c r="F139" s="4" t="s">
        <v>8266</v>
      </c>
      <c r="G139" s="2" t="s">
        <v>62</v>
      </c>
      <c r="H139" s="7"/>
      <c r="I139" s="2" t="s">
        <v>523</v>
      </c>
      <c r="J139" s="2" t="s">
        <v>4086</v>
      </c>
      <c r="K139" s="2"/>
      <c r="L139" s="2"/>
      <c r="M139" s="8" t="str">
        <f>HYPERLINK("http://slimages.macys.com/is/image/MCY/1209106 ")</f>
        <v xml:space="preserve">http://slimages.macys.com/is/image/MCY/1209106 </v>
      </c>
    </row>
    <row r="140" spans="1:13" ht="60" x14ac:dyDescent="0.25">
      <c r="A140" s="7" t="s">
        <v>4927</v>
      </c>
      <c r="B140" s="2" t="s">
        <v>968</v>
      </c>
      <c r="C140" s="4">
        <v>1</v>
      </c>
      <c r="D140" s="5">
        <v>7</v>
      </c>
      <c r="E140" s="5">
        <v>14.99</v>
      </c>
      <c r="F140" s="4">
        <v>7135</v>
      </c>
      <c r="G140" s="2" t="s">
        <v>657</v>
      </c>
      <c r="H140" s="7" t="s">
        <v>228</v>
      </c>
      <c r="I140" s="2" t="s">
        <v>523</v>
      </c>
      <c r="J140" s="2" t="s">
        <v>969</v>
      </c>
      <c r="K140" s="2" t="s">
        <v>304</v>
      </c>
      <c r="L140" s="2" t="s">
        <v>970</v>
      </c>
      <c r="M140" s="8" t="str">
        <f>HYPERLINK("http://slimages.macys.com/is/image/MCY/13040252 ")</f>
        <v xml:space="preserve">http://slimages.macys.com/is/image/MCY/13040252 </v>
      </c>
    </row>
    <row r="141" spans="1:13" ht="60" x14ac:dyDescent="0.25">
      <c r="A141" s="7" t="s">
        <v>8267</v>
      </c>
      <c r="B141" s="2" t="s">
        <v>968</v>
      </c>
      <c r="C141" s="4">
        <v>1</v>
      </c>
      <c r="D141" s="5">
        <v>7</v>
      </c>
      <c r="E141" s="5">
        <v>14.99</v>
      </c>
      <c r="F141" s="4">
        <v>7135</v>
      </c>
      <c r="G141" s="2" t="s">
        <v>36</v>
      </c>
      <c r="H141" s="7" t="s">
        <v>284</v>
      </c>
      <c r="I141" s="2" t="s">
        <v>523</v>
      </c>
      <c r="J141" s="2" t="s">
        <v>969</v>
      </c>
      <c r="K141" s="2" t="s">
        <v>304</v>
      </c>
      <c r="L141" s="2" t="s">
        <v>970</v>
      </c>
      <c r="M141" s="8" t="str">
        <f>HYPERLINK("http://slimages.macys.com/is/image/MCY/13040275 ")</f>
        <v xml:space="preserve">http://slimages.macys.com/is/image/MCY/13040275 </v>
      </c>
    </row>
    <row r="142" spans="1:13" ht="60" x14ac:dyDescent="0.25">
      <c r="A142" s="7" t="s">
        <v>3320</v>
      </c>
      <c r="B142" s="2" t="s">
        <v>968</v>
      </c>
      <c r="C142" s="4">
        <v>1</v>
      </c>
      <c r="D142" s="5">
        <v>7</v>
      </c>
      <c r="E142" s="5">
        <v>14.99</v>
      </c>
      <c r="F142" s="4">
        <v>7135</v>
      </c>
      <c r="G142" s="2" t="s">
        <v>36</v>
      </c>
      <c r="H142" s="7" t="s">
        <v>196</v>
      </c>
      <c r="I142" s="2" t="s">
        <v>523</v>
      </c>
      <c r="J142" s="2" t="s">
        <v>969</v>
      </c>
      <c r="K142" s="2" t="s">
        <v>304</v>
      </c>
      <c r="L142" s="2" t="s">
        <v>970</v>
      </c>
      <c r="M142" s="8" t="str">
        <f>HYPERLINK("http://slimages.macys.com/is/image/MCY/13040275 ")</f>
        <v xml:space="preserve">http://slimages.macys.com/is/image/MCY/13040275 </v>
      </c>
    </row>
    <row r="143" spans="1:13" ht="60" x14ac:dyDescent="0.25">
      <c r="A143" s="7" t="s">
        <v>978</v>
      </c>
      <c r="B143" s="2" t="s">
        <v>968</v>
      </c>
      <c r="C143" s="4">
        <v>1</v>
      </c>
      <c r="D143" s="5">
        <v>7</v>
      </c>
      <c r="E143" s="5">
        <v>14.99</v>
      </c>
      <c r="F143" s="4">
        <v>7135</v>
      </c>
      <c r="G143" s="2" t="s">
        <v>36</v>
      </c>
      <c r="H143" s="7" t="s">
        <v>228</v>
      </c>
      <c r="I143" s="2" t="s">
        <v>523</v>
      </c>
      <c r="J143" s="2" t="s">
        <v>969</v>
      </c>
      <c r="K143" s="2" t="s">
        <v>304</v>
      </c>
      <c r="L143" s="2" t="s">
        <v>970</v>
      </c>
      <c r="M143" s="8" t="str">
        <f>HYPERLINK("http://slimages.macys.com/is/image/MCY/13040275 ")</f>
        <v xml:space="preserve">http://slimages.macys.com/is/image/MCY/13040275 </v>
      </c>
    </row>
    <row r="144" spans="1:13" ht="60" x14ac:dyDescent="0.25">
      <c r="A144" s="7" t="s">
        <v>4928</v>
      </c>
      <c r="B144" s="2" t="s">
        <v>968</v>
      </c>
      <c r="C144" s="4">
        <v>5</v>
      </c>
      <c r="D144" s="5">
        <v>7</v>
      </c>
      <c r="E144" s="5">
        <v>14.99</v>
      </c>
      <c r="F144" s="4">
        <v>7135</v>
      </c>
      <c r="G144" s="2" t="s">
        <v>36</v>
      </c>
      <c r="H144" s="7" t="s">
        <v>159</v>
      </c>
      <c r="I144" s="2" t="s">
        <v>523</v>
      </c>
      <c r="J144" s="2" t="s">
        <v>969</v>
      </c>
      <c r="K144" s="2" t="s">
        <v>304</v>
      </c>
      <c r="L144" s="2" t="s">
        <v>970</v>
      </c>
      <c r="M144" s="8" t="str">
        <f>HYPERLINK("http://slimages.macys.com/is/image/MCY/13040275 ")</f>
        <v xml:space="preserve">http://slimages.macys.com/is/image/MCY/13040275 </v>
      </c>
    </row>
    <row r="145" spans="1:13" ht="60" x14ac:dyDescent="0.25">
      <c r="A145" s="7" t="s">
        <v>967</v>
      </c>
      <c r="B145" s="2" t="s">
        <v>968</v>
      </c>
      <c r="C145" s="4">
        <v>2</v>
      </c>
      <c r="D145" s="5">
        <v>7</v>
      </c>
      <c r="E145" s="5">
        <v>14.99</v>
      </c>
      <c r="F145" s="4">
        <v>7135</v>
      </c>
      <c r="G145" s="2" t="s">
        <v>657</v>
      </c>
      <c r="H145" s="7" t="s">
        <v>159</v>
      </c>
      <c r="I145" s="2" t="s">
        <v>523</v>
      </c>
      <c r="J145" s="2" t="s">
        <v>969</v>
      </c>
      <c r="K145" s="2" t="s">
        <v>304</v>
      </c>
      <c r="L145" s="2" t="s">
        <v>970</v>
      </c>
      <c r="M145" s="8" t="str">
        <f>HYPERLINK("http://slimages.macys.com/is/image/MCY/13040252 ")</f>
        <v xml:space="preserve">http://slimages.macys.com/is/image/MCY/13040252 </v>
      </c>
    </row>
    <row r="146" spans="1:13" ht="60" x14ac:dyDescent="0.25">
      <c r="A146" s="7" t="s">
        <v>8268</v>
      </c>
      <c r="B146" s="2" t="s">
        <v>1750</v>
      </c>
      <c r="C146" s="4">
        <v>4</v>
      </c>
      <c r="D146" s="5">
        <v>6.93</v>
      </c>
      <c r="E146" s="5">
        <v>16.989999999999998</v>
      </c>
      <c r="F146" s="4" t="s">
        <v>1751</v>
      </c>
      <c r="G146" s="2" t="s">
        <v>297</v>
      </c>
      <c r="H146" s="7" t="s">
        <v>196</v>
      </c>
      <c r="I146" s="2" t="s">
        <v>515</v>
      </c>
      <c r="J146" s="2" t="s">
        <v>827</v>
      </c>
      <c r="K146" s="2" t="s">
        <v>304</v>
      </c>
      <c r="L146" s="2" t="s">
        <v>125</v>
      </c>
      <c r="M146" s="8" t="str">
        <f>HYPERLINK("http://slimages.macys.com/is/image/MCY/13119364 ")</f>
        <v xml:space="preserve">http://slimages.macys.com/is/image/MCY/13119364 </v>
      </c>
    </row>
    <row r="147" spans="1:13" ht="60" x14ac:dyDescent="0.25">
      <c r="A147" s="7" t="s">
        <v>8269</v>
      </c>
      <c r="B147" s="2" t="s">
        <v>5403</v>
      </c>
      <c r="C147" s="4">
        <v>1</v>
      </c>
      <c r="D147" s="5">
        <v>6.88</v>
      </c>
      <c r="E147" s="5">
        <v>16.989999999999998</v>
      </c>
      <c r="F147" s="4" t="s">
        <v>5404</v>
      </c>
      <c r="G147" s="2" t="s">
        <v>62</v>
      </c>
      <c r="H147" s="7" t="s">
        <v>228</v>
      </c>
      <c r="I147" s="2" t="s">
        <v>515</v>
      </c>
      <c r="J147" s="2" t="s">
        <v>827</v>
      </c>
      <c r="K147" s="2" t="s">
        <v>304</v>
      </c>
      <c r="L147" s="2" t="s">
        <v>5405</v>
      </c>
      <c r="M147" s="8" t="str">
        <f>HYPERLINK("http://slimages.macys.com/is/image/MCY/12507660 ")</f>
        <v xml:space="preserve">http://slimages.macys.com/is/image/MCY/12507660 </v>
      </c>
    </row>
    <row r="148" spans="1:13" ht="60" x14ac:dyDescent="0.25">
      <c r="A148" s="7" t="s">
        <v>8270</v>
      </c>
      <c r="B148" s="2" t="s">
        <v>4064</v>
      </c>
      <c r="C148" s="4">
        <v>1</v>
      </c>
      <c r="D148" s="5">
        <v>6.85</v>
      </c>
      <c r="E148" s="5">
        <v>13.7</v>
      </c>
      <c r="F148" s="4" t="s">
        <v>4065</v>
      </c>
      <c r="G148" s="2" t="s">
        <v>657</v>
      </c>
      <c r="H148" s="7" t="s">
        <v>166</v>
      </c>
      <c r="I148" s="2" t="s">
        <v>487</v>
      </c>
      <c r="J148" s="2" t="s">
        <v>488</v>
      </c>
      <c r="K148" s="2" t="s">
        <v>304</v>
      </c>
      <c r="L148" s="2" t="s">
        <v>206</v>
      </c>
      <c r="M148" s="8" t="str">
        <f>HYPERLINK("http://slimages.macys.com/is/image/MCY/12068356 ")</f>
        <v xml:space="preserve">http://slimages.macys.com/is/image/MCY/12068356 </v>
      </c>
    </row>
    <row r="149" spans="1:13" ht="60" x14ac:dyDescent="0.25">
      <c r="A149" s="7" t="s">
        <v>7549</v>
      </c>
      <c r="B149" s="2" t="s">
        <v>2589</v>
      </c>
      <c r="C149" s="4">
        <v>1</v>
      </c>
      <c r="D149" s="5">
        <v>6.81</v>
      </c>
      <c r="E149" s="5">
        <v>16.989999999999998</v>
      </c>
      <c r="F149" s="4" t="s">
        <v>2590</v>
      </c>
      <c r="G149" s="2" t="s">
        <v>48</v>
      </c>
      <c r="H149" s="7" t="s">
        <v>159</v>
      </c>
      <c r="I149" s="2" t="s">
        <v>515</v>
      </c>
      <c r="J149" s="2" t="s">
        <v>827</v>
      </c>
      <c r="K149" s="2" t="s">
        <v>304</v>
      </c>
      <c r="L149" s="2" t="s">
        <v>358</v>
      </c>
      <c r="M149" s="8" t="str">
        <f>HYPERLINK("http://slimages.macys.com/is/image/MCY/12507563 ")</f>
        <v xml:space="preserve">http://slimages.macys.com/is/image/MCY/12507563 </v>
      </c>
    </row>
    <row r="150" spans="1:13" ht="60" x14ac:dyDescent="0.25">
      <c r="A150" s="7" t="s">
        <v>8271</v>
      </c>
      <c r="B150" s="2" t="s">
        <v>8272</v>
      </c>
      <c r="C150" s="4">
        <v>1</v>
      </c>
      <c r="D150" s="5">
        <v>6.8</v>
      </c>
      <c r="E150" s="5">
        <v>13.6</v>
      </c>
      <c r="F150" s="4" t="s">
        <v>8273</v>
      </c>
      <c r="G150" s="2" t="s">
        <v>653</v>
      </c>
      <c r="H150" s="7" t="s">
        <v>179</v>
      </c>
      <c r="I150" s="2" t="s">
        <v>487</v>
      </c>
      <c r="J150" s="2" t="s">
        <v>488</v>
      </c>
      <c r="K150" s="2" t="s">
        <v>304</v>
      </c>
      <c r="L150" s="2" t="s">
        <v>75</v>
      </c>
      <c r="M150" s="8" t="str">
        <f>HYPERLINK("http://slimages.macys.com/is/image/MCY/12077593 ")</f>
        <v xml:space="preserve">http://slimages.macys.com/is/image/MCY/12077593 </v>
      </c>
    </row>
    <row r="151" spans="1:13" ht="60" x14ac:dyDescent="0.25">
      <c r="A151" s="7" t="s">
        <v>8274</v>
      </c>
      <c r="B151" s="2" t="s">
        <v>512</v>
      </c>
      <c r="C151" s="4">
        <v>1</v>
      </c>
      <c r="D151" s="5">
        <v>6.76</v>
      </c>
      <c r="E151" s="5">
        <v>16.989999999999998</v>
      </c>
      <c r="F151" s="4" t="s">
        <v>8275</v>
      </c>
      <c r="G151" s="2" t="s">
        <v>653</v>
      </c>
      <c r="H151" s="7" t="s">
        <v>196</v>
      </c>
      <c r="I151" s="2" t="s">
        <v>515</v>
      </c>
      <c r="J151" s="2" t="s">
        <v>827</v>
      </c>
      <c r="K151" s="2" t="s">
        <v>304</v>
      </c>
      <c r="L151" s="2" t="s">
        <v>358</v>
      </c>
      <c r="M151" s="8" t="str">
        <f>HYPERLINK("http://slimages.macys.com/is/image/MCY/11464207 ")</f>
        <v xml:space="preserve">http://slimages.macys.com/is/image/MCY/11464207 </v>
      </c>
    </row>
    <row r="152" spans="1:13" ht="60" x14ac:dyDescent="0.25">
      <c r="A152" s="7" t="s">
        <v>7552</v>
      </c>
      <c r="B152" s="2" t="s">
        <v>4097</v>
      </c>
      <c r="C152" s="4">
        <v>1</v>
      </c>
      <c r="D152" s="5">
        <v>6.75</v>
      </c>
      <c r="E152" s="5">
        <v>16.989999999999998</v>
      </c>
      <c r="F152" s="4" t="s">
        <v>7553</v>
      </c>
      <c r="G152" s="2" t="s">
        <v>892</v>
      </c>
      <c r="H152" s="7" t="s">
        <v>144</v>
      </c>
      <c r="I152" s="2" t="s">
        <v>321</v>
      </c>
      <c r="J152" s="2" t="s">
        <v>477</v>
      </c>
      <c r="K152" s="2" t="s">
        <v>304</v>
      </c>
      <c r="L152" s="2" t="s">
        <v>125</v>
      </c>
      <c r="M152" s="8" t="str">
        <f>HYPERLINK("http://slimages.macys.com/is/image/MCY/13860370 ")</f>
        <v xml:space="preserve">http://slimages.macys.com/is/image/MCY/13860370 </v>
      </c>
    </row>
    <row r="153" spans="1:13" ht="60" x14ac:dyDescent="0.25">
      <c r="A153" s="7" t="s">
        <v>8276</v>
      </c>
      <c r="B153" s="2" t="s">
        <v>3347</v>
      </c>
      <c r="C153" s="4">
        <v>1</v>
      </c>
      <c r="D153" s="5">
        <v>6.7</v>
      </c>
      <c r="E153" s="5">
        <v>11.99</v>
      </c>
      <c r="F153" s="4" t="s">
        <v>3348</v>
      </c>
      <c r="G153" s="2" t="s">
        <v>48</v>
      </c>
      <c r="H153" s="7" t="s">
        <v>144</v>
      </c>
      <c r="I153" s="2" t="s">
        <v>73</v>
      </c>
      <c r="J153" s="2" t="s">
        <v>1963</v>
      </c>
      <c r="K153" s="2" t="s">
        <v>304</v>
      </c>
      <c r="L153" s="2" t="s">
        <v>100</v>
      </c>
      <c r="M153" s="8" t="str">
        <f>HYPERLINK("http://slimages.macys.com/is/image/MCY/11229110 ")</f>
        <v xml:space="preserve">http://slimages.macys.com/is/image/MCY/11229110 </v>
      </c>
    </row>
    <row r="154" spans="1:13" ht="60" x14ac:dyDescent="0.25">
      <c r="A154" s="7" t="s">
        <v>1802</v>
      </c>
      <c r="B154" s="2" t="s">
        <v>1800</v>
      </c>
      <c r="C154" s="4">
        <v>1</v>
      </c>
      <c r="D154" s="5">
        <v>6.7</v>
      </c>
      <c r="E154" s="5">
        <v>16.989999999999998</v>
      </c>
      <c r="F154" s="4" t="s">
        <v>1801</v>
      </c>
      <c r="G154" s="2" t="s">
        <v>527</v>
      </c>
      <c r="H154" s="7" t="s">
        <v>284</v>
      </c>
      <c r="I154" s="2" t="s">
        <v>515</v>
      </c>
      <c r="J154" s="2" t="s">
        <v>827</v>
      </c>
      <c r="K154" s="2" t="s">
        <v>304</v>
      </c>
      <c r="L154" s="2" t="s">
        <v>358</v>
      </c>
      <c r="M154" s="8" t="str">
        <f>HYPERLINK("http://slimages.macys.com/is/image/MCY/12052318 ")</f>
        <v xml:space="preserve">http://slimages.macys.com/is/image/MCY/12052318 </v>
      </c>
    </row>
    <row r="155" spans="1:13" ht="60" x14ac:dyDescent="0.25">
      <c r="A155" s="7" t="s">
        <v>8277</v>
      </c>
      <c r="B155" s="2" t="s">
        <v>8278</v>
      </c>
      <c r="C155" s="4">
        <v>1</v>
      </c>
      <c r="D155" s="5">
        <v>6.65</v>
      </c>
      <c r="E155" s="5">
        <v>13.7</v>
      </c>
      <c r="F155" s="4" t="s">
        <v>8279</v>
      </c>
      <c r="G155" s="2"/>
      <c r="H155" s="7" t="s">
        <v>311</v>
      </c>
      <c r="I155" s="2" t="s">
        <v>487</v>
      </c>
      <c r="J155" s="2" t="s">
        <v>488</v>
      </c>
      <c r="K155" s="2" t="s">
        <v>304</v>
      </c>
      <c r="L155" s="2" t="s">
        <v>38</v>
      </c>
      <c r="M155" s="8" t="str">
        <f>HYPERLINK("http://slimages.macys.com/is/image/MCY/11230949 ")</f>
        <v xml:space="preserve">http://slimages.macys.com/is/image/MCY/11230949 </v>
      </c>
    </row>
    <row r="156" spans="1:13" ht="60" x14ac:dyDescent="0.25">
      <c r="A156" s="7" t="s">
        <v>8280</v>
      </c>
      <c r="B156" s="2" t="s">
        <v>1807</v>
      </c>
      <c r="C156" s="4">
        <v>1</v>
      </c>
      <c r="D156" s="5">
        <v>6.63</v>
      </c>
      <c r="E156" s="5">
        <v>17.989999999999998</v>
      </c>
      <c r="F156" s="4" t="s">
        <v>1808</v>
      </c>
      <c r="G156" s="2" t="s">
        <v>86</v>
      </c>
      <c r="H156" s="7" t="s">
        <v>442</v>
      </c>
      <c r="I156" s="2" t="s">
        <v>483</v>
      </c>
      <c r="J156" s="2" t="s">
        <v>536</v>
      </c>
      <c r="K156" s="2" t="s">
        <v>304</v>
      </c>
      <c r="L156" s="2" t="s">
        <v>119</v>
      </c>
      <c r="M156" s="8" t="str">
        <f>HYPERLINK("http://slimages.macys.com/is/image/MCY/12466222 ")</f>
        <v xml:space="preserve">http://slimages.macys.com/is/image/MCY/12466222 </v>
      </c>
    </row>
    <row r="157" spans="1:13" ht="60" x14ac:dyDescent="0.25">
      <c r="A157" s="7" t="s">
        <v>6294</v>
      </c>
      <c r="B157" s="2" t="s">
        <v>1006</v>
      </c>
      <c r="C157" s="4">
        <v>4</v>
      </c>
      <c r="D157" s="5">
        <v>6.52</v>
      </c>
      <c r="E157" s="5">
        <v>14.99</v>
      </c>
      <c r="F157" s="4" t="s">
        <v>1007</v>
      </c>
      <c r="G157" s="2" t="s">
        <v>28</v>
      </c>
      <c r="H157" s="7" t="s">
        <v>317</v>
      </c>
      <c r="I157" s="2" t="s">
        <v>292</v>
      </c>
      <c r="J157" s="2" t="s">
        <v>354</v>
      </c>
      <c r="K157" s="2" t="s">
        <v>304</v>
      </c>
      <c r="L157" s="2" t="s">
        <v>119</v>
      </c>
      <c r="M157" s="8" t="str">
        <f>HYPERLINK("http://slimages.macys.com/is/image/MCY/11776479 ")</f>
        <v xml:space="preserve">http://slimages.macys.com/is/image/MCY/11776479 </v>
      </c>
    </row>
    <row r="158" spans="1:13" ht="60" x14ac:dyDescent="0.25">
      <c r="A158" s="7" t="s">
        <v>1005</v>
      </c>
      <c r="B158" s="2" t="s">
        <v>1006</v>
      </c>
      <c r="C158" s="4">
        <v>4</v>
      </c>
      <c r="D158" s="5">
        <v>6.52</v>
      </c>
      <c r="E158" s="5">
        <v>14.99</v>
      </c>
      <c r="F158" s="4" t="s">
        <v>1007</v>
      </c>
      <c r="G158" s="2" t="s">
        <v>28</v>
      </c>
      <c r="H158" s="7" t="s">
        <v>123</v>
      </c>
      <c r="I158" s="2" t="s">
        <v>292</v>
      </c>
      <c r="J158" s="2" t="s">
        <v>354</v>
      </c>
      <c r="K158" s="2" t="s">
        <v>304</v>
      </c>
      <c r="L158" s="2" t="s">
        <v>119</v>
      </c>
      <c r="M158" s="8" t="str">
        <f>HYPERLINK("http://slimages.macys.com/is/image/MCY/11776479 ")</f>
        <v xml:space="preserve">http://slimages.macys.com/is/image/MCY/11776479 </v>
      </c>
    </row>
    <row r="159" spans="1:13" ht="60" x14ac:dyDescent="0.25">
      <c r="A159" s="7" t="s">
        <v>1809</v>
      </c>
      <c r="B159" s="2" t="s">
        <v>1006</v>
      </c>
      <c r="C159" s="4">
        <v>2</v>
      </c>
      <c r="D159" s="5">
        <v>6.52</v>
      </c>
      <c r="E159" s="5">
        <v>14.99</v>
      </c>
      <c r="F159" s="4" t="s">
        <v>1007</v>
      </c>
      <c r="G159" s="2" t="s">
        <v>28</v>
      </c>
      <c r="H159" s="7" t="s">
        <v>166</v>
      </c>
      <c r="I159" s="2" t="s">
        <v>292</v>
      </c>
      <c r="J159" s="2" t="s">
        <v>354</v>
      </c>
      <c r="K159" s="2" t="s">
        <v>304</v>
      </c>
      <c r="L159" s="2" t="s">
        <v>119</v>
      </c>
      <c r="M159" s="8" t="str">
        <f>HYPERLINK("http://slimages.macys.com/is/image/MCY/11776479 ")</f>
        <v xml:space="preserve">http://slimages.macys.com/is/image/MCY/11776479 </v>
      </c>
    </row>
    <row r="160" spans="1:13" ht="60" x14ac:dyDescent="0.25">
      <c r="A160" s="7" t="s">
        <v>6293</v>
      </c>
      <c r="B160" s="2" t="s">
        <v>1006</v>
      </c>
      <c r="C160" s="4">
        <v>2</v>
      </c>
      <c r="D160" s="5">
        <v>6.52</v>
      </c>
      <c r="E160" s="5">
        <v>14.99</v>
      </c>
      <c r="F160" s="4" t="s">
        <v>1007</v>
      </c>
      <c r="G160" s="2" t="s">
        <v>28</v>
      </c>
      <c r="H160" s="7" t="s">
        <v>618</v>
      </c>
      <c r="I160" s="2" t="s">
        <v>292</v>
      </c>
      <c r="J160" s="2" t="s">
        <v>354</v>
      </c>
      <c r="K160" s="2" t="s">
        <v>304</v>
      </c>
      <c r="L160" s="2" t="s">
        <v>119</v>
      </c>
      <c r="M160" s="8" t="str">
        <f>HYPERLINK("http://slimages.macys.com/is/image/MCY/11776479 ")</f>
        <v xml:space="preserve">http://slimages.macys.com/is/image/MCY/11776479 </v>
      </c>
    </row>
    <row r="161" spans="1:13" ht="60" x14ac:dyDescent="0.25">
      <c r="A161" s="7" t="s">
        <v>8281</v>
      </c>
      <c r="B161" s="2" t="s">
        <v>7585</v>
      </c>
      <c r="C161" s="4">
        <v>1</v>
      </c>
      <c r="D161" s="5">
        <v>6.52</v>
      </c>
      <c r="E161" s="5">
        <v>16.989999999999998</v>
      </c>
      <c r="F161" s="4" t="s">
        <v>7586</v>
      </c>
      <c r="G161" s="2" t="s">
        <v>62</v>
      </c>
      <c r="H161" s="7" t="s">
        <v>228</v>
      </c>
      <c r="I161" s="2" t="s">
        <v>218</v>
      </c>
      <c r="J161" s="2" t="s">
        <v>1740</v>
      </c>
      <c r="K161" s="2" t="s">
        <v>304</v>
      </c>
      <c r="L161" s="2" t="s">
        <v>125</v>
      </c>
      <c r="M161" s="8" t="str">
        <f>HYPERLINK("http://slimages.macys.com/is/image/MCY/12688496 ")</f>
        <v xml:space="preserve">http://slimages.macys.com/is/image/MCY/12688496 </v>
      </c>
    </row>
    <row r="162" spans="1:13" ht="60" x14ac:dyDescent="0.25">
      <c r="A162" s="7" t="s">
        <v>5442</v>
      </c>
      <c r="B162" s="2" t="s">
        <v>1006</v>
      </c>
      <c r="C162" s="4">
        <v>3</v>
      </c>
      <c r="D162" s="5">
        <v>6.52</v>
      </c>
      <c r="E162" s="5">
        <v>14.99</v>
      </c>
      <c r="F162" s="4" t="s">
        <v>1007</v>
      </c>
      <c r="G162" s="2" t="s">
        <v>28</v>
      </c>
      <c r="H162" s="7" t="s">
        <v>311</v>
      </c>
      <c r="I162" s="2" t="s">
        <v>292</v>
      </c>
      <c r="J162" s="2" t="s">
        <v>354</v>
      </c>
      <c r="K162" s="2" t="s">
        <v>304</v>
      </c>
      <c r="L162" s="2" t="s">
        <v>119</v>
      </c>
      <c r="M162" s="8" t="str">
        <f>HYPERLINK("http://slimages.macys.com/is/image/MCY/11776479 ")</f>
        <v xml:space="preserve">http://slimages.macys.com/is/image/MCY/11776479 </v>
      </c>
    </row>
    <row r="163" spans="1:13" ht="60" x14ac:dyDescent="0.25">
      <c r="A163" s="7" t="s">
        <v>5443</v>
      </c>
      <c r="B163" s="2" t="s">
        <v>1006</v>
      </c>
      <c r="C163" s="4">
        <v>4</v>
      </c>
      <c r="D163" s="5">
        <v>6.52</v>
      </c>
      <c r="E163" s="5">
        <v>14.99</v>
      </c>
      <c r="F163" s="4" t="s">
        <v>1007</v>
      </c>
      <c r="G163" s="2" t="s">
        <v>28</v>
      </c>
      <c r="H163" s="7" t="s">
        <v>379</v>
      </c>
      <c r="I163" s="2" t="s">
        <v>292</v>
      </c>
      <c r="J163" s="2" t="s">
        <v>354</v>
      </c>
      <c r="K163" s="2" t="s">
        <v>304</v>
      </c>
      <c r="L163" s="2" t="s">
        <v>119</v>
      </c>
      <c r="M163" s="8" t="str">
        <f>HYPERLINK("http://slimages.macys.com/is/image/MCY/11776479 ")</f>
        <v xml:space="preserve">http://slimages.macys.com/is/image/MCY/11776479 </v>
      </c>
    </row>
    <row r="164" spans="1:13" ht="60" x14ac:dyDescent="0.25">
      <c r="A164" s="7" t="s">
        <v>8282</v>
      </c>
      <c r="B164" s="2" t="s">
        <v>8283</v>
      </c>
      <c r="C164" s="4">
        <v>1</v>
      </c>
      <c r="D164" s="5">
        <v>6.5</v>
      </c>
      <c r="E164" s="5">
        <v>16.989999999999998</v>
      </c>
      <c r="F164" s="4" t="s">
        <v>8284</v>
      </c>
      <c r="G164" s="2" t="s">
        <v>41</v>
      </c>
      <c r="H164" s="7" t="s">
        <v>144</v>
      </c>
      <c r="I164" s="2" t="s">
        <v>321</v>
      </c>
      <c r="J164" s="2" t="s">
        <v>477</v>
      </c>
      <c r="K164" s="2" t="s">
        <v>304</v>
      </c>
      <c r="L164" s="2" t="s">
        <v>358</v>
      </c>
      <c r="M164" s="8" t="str">
        <f>HYPERLINK("http://slimages.macys.com/is/image/MCY/12239272 ")</f>
        <v xml:space="preserve">http://slimages.macys.com/is/image/MCY/12239272 </v>
      </c>
    </row>
    <row r="165" spans="1:13" ht="84" x14ac:dyDescent="0.25">
      <c r="A165" s="7" t="s">
        <v>8285</v>
      </c>
      <c r="B165" s="2" t="s">
        <v>7588</v>
      </c>
      <c r="C165" s="4">
        <v>1</v>
      </c>
      <c r="D165" s="5">
        <v>6.5</v>
      </c>
      <c r="E165" s="5">
        <v>16.989999999999998</v>
      </c>
      <c r="F165" s="4" t="s">
        <v>7589</v>
      </c>
      <c r="G165" s="2" t="s">
        <v>36</v>
      </c>
      <c r="H165" s="7" t="s">
        <v>144</v>
      </c>
      <c r="I165" s="2" t="s">
        <v>321</v>
      </c>
      <c r="J165" s="2" t="s">
        <v>477</v>
      </c>
      <c r="K165" s="2" t="s">
        <v>304</v>
      </c>
      <c r="L165" s="2" t="s">
        <v>1117</v>
      </c>
      <c r="M165" s="8" t="str">
        <f>HYPERLINK("http://slimages.macys.com/is/image/MCY/12239353 ")</f>
        <v xml:space="preserve">http://slimages.macys.com/is/image/MCY/12239353 </v>
      </c>
    </row>
    <row r="166" spans="1:13" ht="96" x14ac:dyDescent="0.25">
      <c r="A166" s="7" t="s">
        <v>8286</v>
      </c>
      <c r="B166" s="2" t="s">
        <v>1811</v>
      </c>
      <c r="C166" s="4">
        <v>1</v>
      </c>
      <c r="D166" s="5">
        <v>6.45</v>
      </c>
      <c r="E166" s="5">
        <v>16.989999999999998</v>
      </c>
      <c r="F166" s="4" t="s">
        <v>1812</v>
      </c>
      <c r="G166" s="2" t="s">
        <v>62</v>
      </c>
      <c r="H166" s="7" t="s">
        <v>159</v>
      </c>
      <c r="I166" s="2" t="s">
        <v>515</v>
      </c>
      <c r="J166" s="2" t="s">
        <v>827</v>
      </c>
      <c r="K166" s="2" t="s">
        <v>304</v>
      </c>
      <c r="L166" s="2" t="s">
        <v>1813</v>
      </c>
      <c r="M166" s="8" t="str">
        <f>HYPERLINK("http://slimages.macys.com/is/image/MCY/12686957 ")</f>
        <v xml:space="preserve">http://slimages.macys.com/is/image/MCY/12686957 </v>
      </c>
    </row>
    <row r="167" spans="1:13" ht="60" x14ac:dyDescent="0.25">
      <c r="A167" s="7" t="s">
        <v>6296</v>
      </c>
      <c r="B167" s="2" t="s">
        <v>1815</v>
      </c>
      <c r="C167" s="4">
        <v>1</v>
      </c>
      <c r="D167" s="5">
        <v>6.43</v>
      </c>
      <c r="E167" s="5">
        <v>16.989999999999998</v>
      </c>
      <c r="F167" s="4" t="s">
        <v>1816</v>
      </c>
      <c r="G167" s="2" t="s">
        <v>353</v>
      </c>
      <c r="H167" s="7" t="s">
        <v>159</v>
      </c>
      <c r="I167" s="2" t="s">
        <v>515</v>
      </c>
      <c r="J167" s="2" t="s">
        <v>827</v>
      </c>
      <c r="K167" s="2" t="s">
        <v>304</v>
      </c>
      <c r="L167" s="2" t="s">
        <v>358</v>
      </c>
      <c r="M167" s="8" t="str">
        <f>HYPERLINK("http://slimages.macys.com/is/image/MCY/13118981 ")</f>
        <v xml:space="preserve">http://slimages.macys.com/is/image/MCY/13118981 </v>
      </c>
    </row>
    <row r="168" spans="1:13" ht="60" x14ac:dyDescent="0.25">
      <c r="A168" s="7" t="s">
        <v>1012</v>
      </c>
      <c r="B168" s="2" t="s">
        <v>1013</v>
      </c>
      <c r="C168" s="4">
        <v>1</v>
      </c>
      <c r="D168" s="5">
        <v>6.4</v>
      </c>
      <c r="E168" s="5">
        <v>16</v>
      </c>
      <c r="F168" s="4" t="s">
        <v>1014</v>
      </c>
      <c r="G168" s="2" t="s">
        <v>165</v>
      </c>
      <c r="H168" s="7"/>
      <c r="I168" s="2" t="s">
        <v>523</v>
      </c>
      <c r="J168" s="2" t="s">
        <v>937</v>
      </c>
      <c r="K168" s="2" t="s">
        <v>304</v>
      </c>
      <c r="L168" s="2" t="s">
        <v>944</v>
      </c>
      <c r="M168" s="8" t="str">
        <f>HYPERLINK("http://slimages.macys.com/is/image/MCY/10425996 ")</f>
        <v xml:space="preserve">http://slimages.macys.com/is/image/MCY/10425996 </v>
      </c>
    </row>
    <row r="169" spans="1:13" ht="72" x14ac:dyDescent="0.25">
      <c r="A169" s="7" t="s">
        <v>8287</v>
      </c>
      <c r="B169" s="2" t="s">
        <v>4946</v>
      </c>
      <c r="C169" s="4">
        <v>1</v>
      </c>
      <c r="D169" s="5">
        <v>6.4</v>
      </c>
      <c r="E169" s="5">
        <v>16</v>
      </c>
      <c r="F169" s="4" t="s">
        <v>8288</v>
      </c>
      <c r="G169" s="2" t="s">
        <v>262</v>
      </c>
      <c r="H169" s="7"/>
      <c r="I169" s="2" t="s">
        <v>523</v>
      </c>
      <c r="J169" s="2" t="s">
        <v>937</v>
      </c>
      <c r="K169" s="2" t="s">
        <v>304</v>
      </c>
      <c r="L169" s="2" t="s">
        <v>938</v>
      </c>
      <c r="M169" s="8" t="str">
        <f>HYPERLINK("http://slimages.macys.com/is/image/MCY/9628116 ")</f>
        <v xml:space="preserve">http://slimages.macys.com/is/image/MCY/9628116 </v>
      </c>
    </row>
    <row r="170" spans="1:13" ht="60" x14ac:dyDescent="0.25">
      <c r="A170" s="7" t="s">
        <v>1011</v>
      </c>
      <c r="B170" s="2" t="s">
        <v>1009</v>
      </c>
      <c r="C170" s="4">
        <v>2</v>
      </c>
      <c r="D170" s="5">
        <v>6.4</v>
      </c>
      <c r="E170" s="5">
        <v>16</v>
      </c>
      <c r="F170" s="4" t="s">
        <v>1010</v>
      </c>
      <c r="G170" s="2" t="s">
        <v>165</v>
      </c>
      <c r="H170" s="7"/>
      <c r="I170" s="2" t="s">
        <v>523</v>
      </c>
      <c r="J170" s="2" t="s">
        <v>937</v>
      </c>
      <c r="K170" s="2" t="s">
        <v>304</v>
      </c>
      <c r="L170" s="2" t="s">
        <v>944</v>
      </c>
      <c r="M170" s="8" t="str">
        <f>HYPERLINK("http://slimages.macys.com/is/image/MCY/10426067 ")</f>
        <v xml:space="preserve">http://slimages.macys.com/is/image/MCY/10426067 </v>
      </c>
    </row>
    <row r="171" spans="1:13" ht="60" x14ac:dyDescent="0.25">
      <c r="A171" s="7" t="s">
        <v>1008</v>
      </c>
      <c r="B171" s="2" t="s">
        <v>1009</v>
      </c>
      <c r="C171" s="4">
        <v>1</v>
      </c>
      <c r="D171" s="5">
        <v>6.4</v>
      </c>
      <c r="E171" s="5">
        <v>16</v>
      </c>
      <c r="F171" s="4" t="s">
        <v>1010</v>
      </c>
      <c r="G171" s="2" t="s">
        <v>41</v>
      </c>
      <c r="H171" s="7"/>
      <c r="I171" s="2" t="s">
        <v>523</v>
      </c>
      <c r="J171" s="2" t="s">
        <v>937</v>
      </c>
      <c r="K171" s="2" t="s">
        <v>304</v>
      </c>
      <c r="L171" s="2" t="s">
        <v>944</v>
      </c>
      <c r="M171" s="8" t="str">
        <f>HYPERLINK("http://slimages.macys.com/is/image/MCY/10426067 ")</f>
        <v xml:space="preserve">http://slimages.macys.com/is/image/MCY/10426067 </v>
      </c>
    </row>
    <row r="172" spans="1:13" ht="60" x14ac:dyDescent="0.25">
      <c r="A172" s="7" t="s">
        <v>2613</v>
      </c>
      <c r="B172" s="2" t="s">
        <v>2614</v>
      </c>
      <c r="C172" s="4">
        <v>1</v>
      </c>
      <c r="D172" s="5">
        <v>6.4</v>
      </c>
      <c r="E172" s="5">
        <v>16</v>
      </c>
      <c r="F172" s="4" t="s">
        <v>2615</v>
      </c>
      <c r="G172" s="2" t="s">
        <v>62</v>
      </c>
      <c r="H172" s="7"/>
      <c r="I172" s="2" t="s">
        <v>523</v>
      </c>
      <c r="J172" s="2" t="s">
        <v>2616</v>
      </c>
      <c r="K172" s="2" t="s">
        <v>304</v>
      </c>
      <c r="L172" s="2" t="s">
        <v>358</v>
      </c>
      <c r="M172" s="8" t="str">
        <f>HYPERLINK("http://slimages.macys.com/is/image/MCY/9422607 ")</f>
        <v xml:space="preserve">http://slimages.macys.com/is/image/MCY/9422607 </v>
      </c>
    </row>
    <row r="173" spans="1:13" ht="72" x14ac:dyDescent="0.25">
      <c r="A173" s="7" t="s">
        <v>4945</v>
      </c>
      <c r="B173" s="2" t="s">
        <v>4946</v>
      </c>
      <c r="C173" s="4">
        <v>1</v>
      </c>
      <c r="D173" s="5">
        <v>6.4</v>
      </c>
      <c r="E173" s="5">
        <v>16</v>
      </c>
      <c r="F173" s="4" t="s">
        <v>4947</v>
      </c>
      <c r="G173" s="2" t="s">
        <v>62</v>
      </c>
      <c r="H173" s="7"/>
      <c r="I173" s="2" t="s">
        <v>523</v>
      </c>
      <c r="J173" s="2" t="s">
        <v>937</v>
      </c>
      <c r="K173" s="2" t="s">
        <v>304</v>
      </c>
      <c r="L173" s="2" t="s">
        <v>938</v>
      </c>
      <c r="M173" s="8" t="str">
        <f>HYPERLINK("http://slimages.macys.com/is/image/MCY/9628116 ")</f>
        <v xml:space="preserve">http://slimages.macys.com/is/image/MCY/9628116 </v>
      </c>
    </row>
    <row r="174" spans="1:13" ht="60" x14ac:dyDescent="0.25">
      <c r="A174" s="7" t="s">
        <v>8289</v>
      </c>
      <c r="B174" s="2" t="s">
        <v>7604</v>
      </c>
      <c r="C174" s="4">
        <v>1</v>
      </c>
      <c r="D174" s="5">
        <v>6.35</v>
      </c>
      <c r="E174" s="5">
        <v>16.989999999999998</v>
      </c>
      <c r="F174" s="4" t="s">
        <v>7605</v>
      </c>
      <c r="G174" s="2" t="s">
        <v>28</v>
      </c>
      <c r="H174" s="7" t="s">
        <v>284</v>
      </c>
      <c r="I174" s="2" t="s">
        <v>218</v>
      </c>
      <c r="J174" s="2" t="s">
        <v>1740</v>
      </c>
      <c r="K174" s="2" t="s">
        <v>304</v>
      </c>
      <c r="L174" s="2" t="s">
        <v>358</v>
      </c>
      <c r="M174" s="8" t="str">
        <f>HYPERLINK("http://slimages.macys.com/is/image/MCY/11464185 ")</f>
        <v xml:space="preserve">http://slimages.macys.com/is/image/MCY/11464185 </v>
      </c>
    </row>
    <row r="175" spans="1:13" ht="60" x14ac:dyDescent="0.25">
      <c r="A175" s="7" t="s">
        <v>8290</v>
      </c>
      <c r="B175" s="2" t="s">
        <v>8291</v>
      </c>
      <c r="C175" s="4">
        <v>1</v>
      </c>
      <c r="D175" s="5">
        <v>6.35</v>
      </c>
      <c r="E175" s="5">
        <v>12.7</v>
      </c>
      <c r="F175" s="4" t="s">
        <v>8292</v>
      </c>
      <c r="G175" s="2"/>
      <c r="H175" s="7" t="s">
        <v>209</v>
      </c>
      <c r="I175" s="2" t="s">
        <v>487</v>
      </c>
      <c r="J175" s="2" t="s">
        <v>488</v>
      </c>
      <c r="K175" s="2" t="s">
        <v>304</v>
      </c>
      <c r="L175" s="2" t="s">
        <v>206</v>
      </c>
      <c r="M175" s="8" t="str">
        <f>HYPERLINK("http://slimages.macys.com/is/image/MCY/12338623 ")</f>
        <v xml:space="preserve">http://slimages.macys.com/is/image/MCY/12338623 </v>
      </c>
    </row>
    <row r="176" spans="1:13" ht="60" x14ac:dyDescent="0.25">
      <c r="A176" s="7" t="s">
        <v>8293</v>
      </c>
      <c r="B176" s="2" t="s">
        <v>8294</v>
      </c>
      <c r="C176" s="4">
        <v>1</v>
      </c>
      <c r="D176" s="5">
        <v>6.35</v>
      </c>
      <c r="E176" s="5">
        <v>14.99</v>
      </c>
      <c r="F176" s="4" t="s">
        <v>8295</v>
      </c>
      <c r="G176" s="2" t="s">
        <v>165</v>
      </c>
      <c r="H176" s="7" t="s">
        <v>233</v>
      </c>
      <c r="I176" s="2" t="s">
        <v>153</v>
      </c>
      <c r="J176" s="2" t="s">
        <v>154</v>
      </c>
      <c r="K176" s="2" t="s">
        <v>304</v>
      </c>
      <c r="L176" s="2" t="s">
        <v>119</v>
      </c>
      <c r="M176" s="8" t="str">
        <f>HYPERLINK("http://slimages.macys.com/is/image/MCY/9935895 ")</f>
        <v xml:space="preserve">http://slimages.macys.com/is/image/MCY/9935895 </v>
      </c>
    </row>
    <row r="177" spans="1:13" ht="60" x14ac:dyDescent="0.25">
      <c r="A177" s="7" t="s">
        <v>8296</v>
      </c>
      <c r="B177" s="2" t="s">
        <v>2627</v>
      </c>
      <c r="C177" s="4">
        <v>1</v>
      </c>
      <c r="D177" s="5">
        <v>6.27</v>
      </c>
      <c r="E177" s="5">
        <v>16.989999999999998</v>
      </c>
      <c r="F177" s="4" t="s">
        <v>7614</v>
      </c>
      <c r="G177" s="2" t="s">
        <v>62</v>
      </c>
      <c r="H177" s="7" t="s">
        <v>159</v>
      </c>
      <c r="I177" s="2" t="s">
        <v>515</v>
      </c>
      <c r="J177" s="2" t="s">
        <v>827</v>
      </c>
      <c r="K177" s="2" t="s">
        <v>304</v>
      </c>
      <c r="L177" s="2" t="s">
        <v>358</v>
      </c>
      <c r="M177" s="8" t="str">
        <f>HYPERLINK("http://slimages.macys.com/is/image/MCY/13119480 ")</f>
        <v xml:space="preserve">http://slimages.macys.com/is/image/MCY/13119480 </v>
      </c>
    </row>
    <row r="178" spans="1:13" ht="60" x14ac:dyDescent="0.25">
      <c r="A178" s="7" t="s">
        <v>5461</v>
      </c>
      <c r="B178" s="2" t="s">
        <v>5462</v>
      </c>
      <c r="C178" s="4">
        <v>1</v>
      </c>
      <c r="D178" s="5">
        <v>6.25</v>
      </c>
      <c r="E178" s="5">
        <v>12.99</v>
      </c>
      <c r="F178" s="4">
        <v>5137</v>
      </c>
      <c r="G178" s="2" t="s">
        <v>28</v>
      </c>
      <c r="H178" s="7"/>
      <c r="I178" s="2" t="s">
        <v>523</v>
      </c>
      <c r="J178" s="2" t="s">
        <v>5463</v>
      </c>
      <c r="K178" s="2" t="s">
        <v>304</v>
      </c>
      <c r="L178" s="2" t="s">
        <v>100</v>
      </c>
      <c r="M178" s="8" t="str">
        <f>HYPERLINK("http://slimages.macys.com/is/image/MCY/13040167 ")</f>
        <v xml:space="preserve">http://slimages.macys.com/is/image/MCY/13040167 </v>
      </c>
    </row>
    <row r="179" spans="1:13" ht="60" x14ac:dyDescent="0.25">
      <c r="A179" s="7" t="s">
        <v>8297</v>
      </c>
      <c r="B179" s="2" t="s">
        <v>1840</v>
      </c>
      <c r="C179" s="4">
        <v>1</v>
      </c>
      <c r="D179" s="5">
        <v>6.18</v>
      </c>
      <c r="E179" s="5">
        <v>16.989999999999998</v>
      </c>
      <c r="F179" s="4" t="s">
        <v>1841</v>
      </c>
      <c r="G179" s="2" t="s">
        <v>28</v>
      </c>
      <c r="H179" s="7" t="s">
        <v>284</v>
      </c>
      <c r="I179" s="2" t="s">
        <v>515</v>
      </c>
      <c r="J179" s="2" t="s">
        <v>827</v>
      </c>
      <c r="K179" s="2" t="s">
        <v>304</v>
      </c>
      <c r="L179" s="2" t="s">
        <v>358</v>
      </c>
      <c r="M179" s="8" t="str">
        <f>HYPERLINK("http://slimages.macys.com/is/image/MCY/11605971 ")</f>
        <v xml:space="preserve">http://slimages.macys.com/is/image/MCY/11605971 </v>
      </c>
    </row>
    <row r="180" spans="1:13" ht="60" x14ac:dyDescent="0.25">
      <c r="A180" s="7" t="s">
        <v>4971</v>
      </c>
      <c r="B180" s="2" t="s">
        <v>1034</v>
      </c>
      <c r="C180" s="4">
        <v>1</v>
      </c>
      <c r="D180" s="5">
        <v>6</v>
      </c>
      <c r="E180" s="5">
        <v>11.99</v>
      </c>
      <c r="F180" s="4" t="s">
        <v>1035</v>
      </c>
      <c r="G180" s="2" t="s">
        <v>36</v>
      </c>
      <c r="H180" s="7" t="s">
        <v>159</v>
      </c>
      <c r="I180" s="2" t="s">
        <v>523</v>
      </c>
      <c r="J180" s="2" t="s">
        <v>969</v>
      </c>
      <c r="K180" s="2" t="s">
        <v>304</v>
      </c>
      <c r="L180" s="2" t="s">
        <v>1036</v>
      </c>
      <c r="M180" s="8" t="str">
        <f>HYPERLINK("http://slimages.macys.com/is/image/MCY/11647000 ")</f>
        <v xml:space="preserve">http://slimages.macys.com/is/image/MCY/11647000 </v>
      </c>
    </row>
    <row r="181" spans="1:13" ht="156" x14ac:dyDescent="0.25">
      <c r="A181" s="7" t="s">
        <v>5952</v>
      </c>
      <c r="B181" s="2" t="s">
        <v>5945</v>
      </c>
      <c r="C181" s="4">
        <v>3</v>
      </c>
      <c r="D181" s="5">
        <v>6</v>
      </c>
      <c r="E181" s="5">
        <v>14</v>
      </c>
      <c r="F181" s="4" t="s">
        <v>5946</v>
      </c>
      <c r="G181" s="2" t="s">
        <v>62</v>
      </c>
      <c r="H181" s="7" t="s">
        <v>159</v>
      </c>
      <c r="I181" s="2" t="s">
        <v>468</v>
      </c>
      <c r="J181" s="2" t="s">
        <v>5947</v>
      </c>
      <c r="K181" s="2" t="s">
        <v>304</v>
      </c>
      <c r="L181" s="2" t="s">
        <v>5948</v>
      </c>
      <c r="M181" s="8" t="str">
        <f>HYPERLINK("http://slimages.macys.com/is/image/MCY/13936126 ")</f>
        <v xml:space="preserve">http://slimages.macys.com/is/image/MCY/13936126 </v>
      </c>
    </row>
    <row r="182" spans="1:13" ht="60" x14ac:dyDescent="0.25">
      <c r="A182" s="7" t="s">
        <v>8298</v>
      </c>
      <c r="B182" s="2" t="s">
        <v>4969</v>
      </c>
      <c r="C182" s="4">
        <v>1</v>
      </c>
      <c r="D182" s="5">
        <v>6</v>
      </c>
      <c r="E182" s="5">
        <v>10.99</v>
      </c>
      <c r="F182" s="4" t="s">
        <v>4970</v>
      </c>
      <c r="G182" s="2" t="s">
        <v>28</v>
      </c>
      <c r="H182" s="7" t="s">
        <v>317</v>
      </c>
      <c r="I182" s="2" t="s">
        <v>80</v>
      </c>
      <c r="J182" s="2" t="s">
        <v>1857</v>
      </c>
      <c r="K182" s="2" t="s">
        <v>304</v>
      </c>
      <c r="L182" s="2" t="s">
        <v>119</v>
      </c>
      <c r="M182" s="8" t="str">
        <f>HYPERLINK("http://slimages.macys.com/is/image/MCY/11207821 ")</f>
        <v xml:space="preserve">http://slimages.macys.com/is/image/MCY/11207821 </v>
      </c>
    </row>
    <row r="183" spans="1:13" ht="96" x14ac:dyDescent="0.25">
      <c r="A183" s="7" t="s">
        <v>8299</v>
      </c>
      <c r="B183" s="2" t="s">
        <v>7655</v>
      </c>
      <c r="C183" s="4">
        <v>1</v>
      </c>
      <c r="D183" s="5">
        <v>5.91</v>
      </c>
      <c r="E183" s="5">
        <v>17.989999999999998</v>
      </c>
      <c r="F183" s="4" t="s">
        <v>7656</v>
      </c>
      <c r="G183" s="2" t="s">
        <v>874</v>
      </c>
      <c r="H183" s="7" t="s">
        <v>42</v>
      </c>
      <c r="I183" s="2" t="s">
        <v>483</v>
      </c>
      <c r="J183" s="2" t="s">
        <v>536</v>
      </c>
      <c r="K183" s="2" t="s">
        <v>304</v>
      </c>
      <c r="L183" s="2" t="s">
        <v>7657</v>
      </c>
      <c r="M183" s="8" t="str">
        <f>HYPERLINK("http://slimages.macys.com/is/image/MCY/11707450 ")</f>
        <v xml:space="preserve">http://slimages.macys.com/is/image/MCY/11707450 </v>
      </c>
    </row>
    <row r="184" spans="1:13" ht="60" x14ac:dyDescent="0.25">
      <c r="A184" s="7" t="s">
        <v>1038</v>
      </c>
      <c r="B184" s="2" t="s">
        <v>1039</v>
      </c>
      <c r="C184" s="4">
        <v>17</v>
      </c>
      <c r="D184" s="5">
        <v>5.87</v>
      </c>
      <c r="E184" s="5">
        <v>16</v>
      </c>
      <c r="F184" s="4" t="s">
        <v>1040</v>
      </c>
      <c r="G184" s="2" t="s">
        <v>1041</v>
      </c>
      <c r="H184" s="7" t="s">
        <v>72</v>
      </c>
      <c r="I184" s="2" t="s">
        <v>523</v>
      </c>
      <c r="J184" s="2" t="s">
        <v>1042</v>
      </c>
      <c r="K184" s="2" t="s">
        <v>304</v>
      </c>
      <c r="L184" s="2" t="s">
        <v>1043</v>
      </c>
      <c r="M184" s="8" t="str">
        <f>HYPERLINK("http://slimages.macys.com/is/image/MCY/11647558 ")</f>
        <v xml:space="preserve">http://slimages.macys.com/is/image/MCY/11647558 </v>
      </c>
    </row>
    <row r="185" spans="1:13" ht="60" x14ac:dyDescent="0.25">
      <c r="A185" s="7" t="s">
        <v>1048</v>
      </c>
      <c r="B185" s="2" t="s">
        <v>1039</v>
      </c>
      <c r="C185" s="4">
        <v>13</v>
      </c>
      <c r="D185" s="5">
        <v>5.87</v>
      </c>
      <c r="E185" s="5">
        <v>16</v>
      </c>
      <c r="F185" s="4" t="s">
        <v>1040</v>
      </c>
      <c r="G185" s="2" t="s">
        <v>1041</v>
      </c>
      <c r="H185" s="7" t="s">
        <v>789</v>
      </c>
      <c r="I185" s="2" t="s">
        <v>523</v>
      </c>
      <c r="J185" s="2" t="s">
        <v>1042</v>
      </c>
      <c r="K185" s="2" t="s">
        <v>304</v>
      </c>
      <c r="L185" s="2" t="s">
        <v>1043</v>
      </c>
      <c r="M185" s="8" t="str">
        <f>HYPERLINK("http://slimages.macys.com/is/image/MCY/11647558 ")</f>
        <v xml:space="preserve">http://slimages.macys.com/is/image/MCY/11647558 </v>
      </c>
    </row>
    <row r="186" spans="1:13" ht="60" x14ac:dyDescent="0.25">
      <c r="A186" s="7" t="s">
        <v>4126</v>
      </c>
      <c r="B186" s="2" t="s">
        <v>1045</v>
      </c>
      <c r="C186" s="4">
        <v>7</v>
      </c>
      <c r="D186" s="5">
        <v>5.87</v>
      </c>
      <c r="E186" s="5">
        <v>16</v>
      </c>
      <c r="F186" s="4" t="s">
        <v>1046</v>
      </c>
      <c r="G186" s="2" t="s">
        <v>1047</v>
      </c>
      <c r="H186" s="7" t="s">
        <v>72</v>
      </c>
      <c r="I186" s="2" t="s">
        <v>523</v>
      </c>
      <c r="J186" s="2" t="s">
        <v>1042</v>
      </c>
      <c r="K186" s="2" t="s">
        <v>304</v>
      </c>
      <c r="L186" s="2" t="s">
        <v>1043</v>
      </c>
      <c r="M186" s="8" t="str">
        <f>HYPERLINK("http://slimages.macys.com/is/image/MCY/11647571 ")</f>
        <v xml:space="preserve">http://slimages.macys.com/is/image/MCY/11647571 </v>
      </c>
    </row>
    <row r="187" spans="1:13" ht="60" x14ac:dyDescent="0.25">
      <c r="A187" s="7" t="s">
        <v>1868</v>
      </c>
      <c r="B187" s="2" t="s">
        <v>1869</v>
      </c>
      <c r="C187" s="4">
        <v>1</v>
      </c>
      <c r="D187" s="5">
        <v>5.85</v>
      </c>
      <c r="E187" s="5">
        <v>15.99</v>
      </c>
      <c r="F187" s="4" t="s">
        <v>1870</v>
      </c>
      <c r="G187" s="2" t="s">
        <v>262</v>
      </c>
      <c r="H187" s="7" t="s">
        <v>1871</v>
      </c>
      <c r="I187" s="2" t="s">
        <v>342</v>
      </c>
      <c r="J187" s="2" t="s">
        <v>1872</v>
      </c>
      <c r="K187" s="2" t="s">
        <v>304</v>
      </c>
      <c r="L187" s="2" t="s">
        <v>390</v>
      </c>
      <c r="M187" s="8" t="str">
        <f>HYPERLINK("http://slimages.macys.com/is/image/MCY/11636026 ")</f>
        <v xml:space="preserve">http://slimages.macys.com/is/image/MCY/11636026 </v>
      </c>
    </row>
    <row r="188" spans="1:13" ht="60" x14ac:dyDescent="0.25">
      <c r="A188" s="7" t="s">
        <v>8300</v>
      </c>
      <c r="B188" s="2" t="s">
        <v>3393</v>
      </c>
      <c r="C188" s="4">
        <v>1</v>
      </c>
      <c r="D188" s="5">
        <v>5.8</v>
      </c>
      <c r="E188" s="5">
        <v>13.19</v>
      </c>
      <c r="F188" s="4">
        <v>17892010</v>
      </c>
      <c r="G188" s="2"/>
      <c r="H188" s="7" t="s">
        <v>442</v>
      </c>
      <c r="I188" s="2" t="s">
        <v>153</v>
      </c>
      <c r="J188" s="2" t="s">
        <v>154</v>
      </c>
      <c r="K188" s="2" t="s">
        <v>304</v>
      </c>
      <c r="L188" s="2" t="s">
        <v>38</v>
      </c>
      <c r="M188" s="8" t="str">
        <f>HYPERLINK("http://slimages.macys.com/is/image/MCY/13341121 ")</f>
        <v xml:space="preserve">http://slimages.macys.com/is/image/MCY/13341121 </v>
      </c>
    </row>
    <row r="189" spans="1:13" ht="60" x14ac:dyDescent="0.25">
      <c r="A189" s="7" t="s">
        <v>8301</v>
      </c>
      <c r="B189" s="2" t="s">
        <v>1880</v>
      </c>
      <c r="C189" s="4">
        <v>1</v>
      </c>
      <c r="D189" s="5">
        <v>5.8</v>
      </c>
      <c r="E189" s="5">
        <v>13.19</v>
      </c>
      <c r="F189" s="4">
        <v>17894010</v>
      </c>
      <c r="G189" s="2"/>
      <c r="H189" s="7" t="s">
        <v>91</v>
      </c>
      <c r="I189" s="2" t="s">
        <v>153</v>
      </c>
      <c r="J189" s="2" t="s">
        <v>154</v>
      </c>
      <c r="K189" s="2" t="s">
        <v>304</v>
      </c>
      <c r="L189" s="2" t="s">
        <v>38</v>
      </c>
      <c r="M189" s="8" t="str">
        <f>HYPERLINK("http://slimages.macys.com/is/image/MCY/13729099 ")</f>
        <v xml:space="preserve">http://slimages.macys.com/is/image/MCY/13729099 </v>
      </c>
    </row>
    <row r="190" spans="1:13" ht="60" x14ac:dyDescent="0.25">
      <c r="A190" s="7" t="s">
        <v>8302</v>
      </c>
      <c r="B190" s="2" t="s">
        <v>1877</v>
      </c>
      <c r="C190" s="4">
        <v>1</v>
      </c>
      <c r="D190" s="5">
        <v>5.8</v>
      </c>
      <c r="E190" s="5">
        <v>13.19</v>
      </c>
      <c r="F190" s="4">
        <v>18633810</v>
      </c>
      <c r="G190" s="2" t="s">
        <v>752</v>
      </c>
      <c r="H190" s="7" t="s">
        <v>442</v>
      </c>
      <c r="I190" s="2" t="s">
        <v>153</v>
      </c>
      <c r="J190" s="2" t="s">
        <v>154</v>
      </c>
      <c r="K190" s="2" t="s">
        <v>304</v>
      </c>
      <c r="L190" s="2" t="s">
        <v>38</v>
      </c>
      <c r="M190" s="8" t="str">
        <f>HYPERLINK("http://slimages.macys.com/is/image/MCY/13941918 ")</f>
        <v xml:space="preserve">http://slimages.macys.com/is/image/MCY/13941918 </v>
      </c>
    </row>
    <row r="191" spans="1:13" ht="60" x14ac:dyDescent="0.25">
      <c r="A191" s="7" t="s">
        <v>8303</v>
      </c>
      <c r="B191" s="2" t="s">
        <v>1880</v>
      </c>
      <c r="C191" s="4">
        <v>1</v>
      </c>
      <c r="D191" s="5">
        <v>5.8</v>
      </c>
      <c r="E191" s="5">
        <v>13.19</v>
      </c>
      <c r="F191" s="4">
        <v>17894010</v>
      </c>
      <c r="G191" s="2"/>
      <c r="H191" s="7" t="s">
        <v>675</v>
      </c>
      <c r="I191" s="2" t="s">
        <v>153</v>
      </c>
      <c r="J191" s="2" t="s">
        <v>154</v>
      </c>
      <c r="K191" s="2" t="s">
        <v>304</v>
      </c>
      <c r="L191" s="2" t="s">
        <v>38</v>
      </c>
      <c r="M191" s="8" t="str">
        <f>HYPERLINK("http://slimages.macys.com/is/image/MCY/13729099 ")</f>
        <v xml:space="preserve">http://slimages.macys.com/is/image/MCY/13729099 </v>
      </c>
    </row>
    <row r="192" spans="1:13" ht="60" x14ac:dyDescent="0.25">
      <c r="A192" s="7" t="s">
        <v>8304</v>
      </c>
      <c r="B192" s="2" t="s">
        <v>8305</v>
      </c>
      <c r="C192" s="4">
        <v>1</v>
      </c>
      <c r="D192" s="5">
        <v>5.75</v>
      </c>
      <c r="E192" s="5">
        <v>14.99</v>
      </c>
      <c r="F192" s="4" t="s">
        <v>8306</v>
      </c>
      <c r="G192" s="2" t="s">
        <v>28</v>
      </c>
      <c r="H192" s="7"/>
      <c r="I192" s="2" t="s">
        <v>30</v>
      </c>
      <c r="J192" s="2" t="s">
        <v>1890</v>
      </c>
      <c r="K192" s="2" t="s">
        <v>304</v>
      </c>
      <c r="L192" s="2" t="s">
        <v>416</v>
      </c>
      <c r="M192" s="8" t="str">
        <f>HYPERLINK("http://slimages.macys.com/is/image/MCY/12224270 ")</f>
        <v xml:space="preserve">http://slimages.macys.com/is/image/MCY/12224270 </v>
      </c>
    </row>
    <row r="193" spans="1:13" ht="60" x14ac:dyDescent="0.25">
      <c r="A193" s="7" t="s">
        <v>1051</v>
      </c>
      <c r="B193" s="2" t="s">
        <v>1050</v>
      </c>
      <c r="C193" s="4">
        <v>1</v>
      </c>
      <c r="D193" s="5">
        <v>5.75</v>
      </c>
      <c r="E193" s="5">
        <v>11.99</v>
      </c>
      <c r="F193" s="4">
        <v>2581</v>
      </c>
      <c r="G193" s="2" t="s">
        <v>36</v>
      </c>
      <c r="H193" s="7" t="s">
        <v>159</v>
      </c>
      <c r="I193" s="2" t="s">
        <v>523</v>
      </c>
      <c r="J193" s="2" t="s">
        <v>921</v>
      </c>
      <c r="K193" s="2" t="s">
        <v>304</v>
      </c>
      <c r="L193" s="2" t="s">
        <v>323</v>
      </c>
      <c r="M193" s="8" t="str">
        <f>HYPERLINK("http://slimages.macys.com/is/image/MCY/13050177 ")</f>
        <v xml:space="preserve">http://slimages.macys.com/is/image/MCY/13050177 </v>
      </c>
    </row>
    <row r="194" spans="1:13" ht="156" x14ac:dyDescent="0.25">
      <c r="A194" s="7" t="s">
        <v>8307</v>
      </c>
      <c r="B194" s="2" t="s">
        <v>1902</v>
      </c>
      <c r="C194" s="4">
        <v>1</v>
      </c>
      <c r="D194" s="5">
        <v>5.65</v>
      </c>
      <c r="E194" s="5">
        <v>16.989999999999998</v>
      </c>
      <c r="F194" s="4" t="s">
        <v>1903</v>
      </c>
      <c r="G194" s="2" t="s">
        <v>388</v>
      </c>
      <c r="H194" s="7" t="s">
        <v>159</v>
      </c>
      <c r="I194" s="2" t="s">
        <v>342</v>
      </c>
      <c r="J194" s="2" t="s">
        <v>1789</v>
      </c>
      <c r="K194" s="2" t="s">
        <v>304</v>
      </c>
      <c r="L194" s="2" t="s">
        <v>1904</v>
      </c>
      <c r="M194" s="8" t="str">
        <f>HYPERLINK("http://slimages.macys.com/is/image/MCY/13339388 ")</f>
        <v xml:space="preserve">http://slimages.macys.com/is/image/MCY/13339388 </v>
      </c>
    </row>
    <row r="195" spans="1:13" ht="60" x14ac:dyDescent="0.25">
      <c r="A195" s="7" t="s">
        <v>8308</v>
      </c>
      <c r="B195" s="2" t="s">
        <v>1069</v>
      </c>
      <c r="C195" s="4">
        <v>3</v>
      </c>
      <c r="D195" s="5">
        <v>5.6</v>
      </c>
      <c r="E195" s="5">
        <v>14</v>
      </c>
      <c r="F195" s="4" t="s">
        <v>8309</v>
      </c>
      <c r="G195" s="2" t="s">
        <v>165</v>
      </c>
      <c r="H195" s="7"/>
      <c r="I195" s="2" t="s">
        <v>523</v>
      </c>
      <c r="J195" s="2" t="s">
        <v>937</v>
      </c>
      <c r="K195" s="2" t="s">
        <v>304</v>
      </c>
      <c r="L195" s="2" t="s">
        <v>224</v>
      </c>
      <c r="M195" s="8" t="str">
        <f>HYPERLINK("http://slimages.macys.com/is/image/MCY/11954954 ")</f>
        <v xml:space="preserve">http://slimages.macys.com/is/image/MCY/11954954 </v>
      </c>
    </row>
    <row r="196" spans="1:13" ht="60" x14ac:dyDescent="0.25">
      <c r="A196" s="7" t="s">
        <v>1071</v>
      </c>
      <c r="B196" s="2" t="s">
        <v>1060</v>
      </c>
      <c r="C196" s="4">
        <v>1</v>
      </c>
      <c r="D196" s="5">
        <v>5.6</v>
      </c>
      <c r="E196" s="5">
        <v>14</v>
      </c>
      <c r="F196" s="4" t="s">
        <v>1072</v>
      </c>
      <c r="G196" s="2" t="s">
        <v>752</v>
      </c>
      <c r="H196" s="7"/>
      <c r="I196" s="2" t="s">
        <v>523</v>
      </c>
      <c r="J196" s="2" t="s">
        <v>937</v>
      </c>
      <c r="K196" s="2" t="s">
        <v>304</v>
      </c>
      <c r="L196" s="2" t="s">
        <v>944</v>
      </c>
      <c r="M196" s="8" t="str">
        <f>HYPERLINK("http://slimages.macys.com/is/image/MCY/10425971 ")</f>
        <v xml:space="preserve">http://slimages.macys.com/is/image/MCY/10425971 </v>
      </c>
    </row>
    <row r="197" spans="1:13" ht="60" x14ac:dyDescent="0.25">
      <c r="A197" s="7" t="s">
        <v>1066</v>
      </c>
      <c r="B197" s="2" t="s">
        <v>1055</v>
      </c>
      <c r="C197" s="4">
        <v>2</v>
      </c>
      <c r="D197" s="5">
        <v>5.6</v>
      </c>
      <c r="E197" s="5">
        <v>14</v>
      </c>
      <c r="F197" s="4" t="s">
        <v>1067</v>
      </c>
      <c r="G197" s="2" t="s">
        <v>41</v>
      </c>
      <c r="H197" s="7"/>
      <c r="I197" s="2" t="s">
        <v>523</v>
      </c>
      <c r="J197" s="2" t="s">
        <v>937</v>
      </c>
      <c r="K197" s="2" t="s">
        <v>304</v>
      </c>
      <c r="L197" s="2" t="s">
        <v>263</v>
      </c>
      <c r="M197" s="8" t="str">
        <f>HYPERLINK("http://slimages.macys.com/is/image/MCY/12038119 ")</f>
        <v xml:space="preserve">http://slimages.macys.com/is/image/MCY/12038119 </v>
      </c>
    </row>
    <row r="198" spans="1:13" ht="60" x14ac:dyDescent="0.25">
      <c r="A198" s="7" t="s">
        <v>3406</v>
      </c>
      <c r="B198" s="2" t="s">
        <v>3407</v>
      </c>
      <c r="C198" s="4">
        <v>1</v>
      </c>
      <c r="D198" s="5">
        <v>5.6</v>
      </c>
      <c r="E198" s="5">
        <v>10.99</v>
      </c>
      <c r="F198" s="4" t="s">
        <v>3408</v>
      </c>
      <c r="G198" s="2" t="s">
        <v>36</v>
      </c>
      <c r="H198" s="7" t="s">
        <v>284</v>
      </c>
      <c r="I198" s="2" t="s">
        <v>523</v>
      </c>
      <c r="J198" s="2" t="s">
        <v>921</v>
      </c>
      <c r="K198" s="2" t="s">
        <v>304</v>
      </c>
      <c r="L198" s="2" t="s">
        <v>1334</v>
      </c>
      <c r="M198" s="8" t="str">
        <f>HYPERLINK("http://slimages.macys.com/is/image/MCY/11722357 ")</f>
        <v xml:space="preserve">http://slimages.macys.com/is/image/MCY/11722357 </v>
      </c>
    </row>
    <row r="199" spans="1:13" ht="60" x14ac:dyDescent="0.25">
      <c r="A199" s="7" t="s">
        <v>8310</v>
      </c>
      <c r="B199" s="2" t="s">
        <v>3407</v>
      </c>
      <c r="C199" s="4">
        <v>2</v>
      </c>
      <c r="D199" s="5">
        <v>5.6</v>
      </c>
      <c r="E199" s="5">
        <v>10.99</v>
      </c>
      <c r="F199" s="4" t="s">
        <v>3408</v>
      </c>
      <c r="G199" s="2" t="s">
        <v>41</v>
      </c>
      <c r="H199" s="7" t="s">
        <v>284</v>
      </c>
      <c r="I199" s="2" t="s">
        <v>523</v>
      </c>
      <c r="J199" s="2" t="s">
        <v>921</v>
      </c>
      <c r="K199" s="2" t="s">
        <v>304</v>
      </c>
      <c r="L199" s="2" t="s">
        <v>1334</v>
      </c>
      <c r="M199" s="8" t="str">
        <f>HYPERLINK("http://slimages.macys.com/is/image/MCY/11722357 ")</f>
        <v xml:space="preserve">http://slimages.macys.com/is/image/MCY/11722357 </v>
      </c>
    </row>
    <row r="200" spans="1:13" ht="60" x14ac:dyDescent="0.25">
      <c r="A200" s="7" t="s">
        <v>8311</v>
      </c>
      <c r="B200" s="2" t="s">
        <v>8312</v>
      </c>
      <c r="C200" s="4">
        <v>1</v>
      </c>
      <c r="D200" s="5">
        <v>5.59</v>
      </c>
      <c r="E200" s="5">
        <v>14.99</v>
      </c>
      <c r="F200" s="4" t="s">
        <v>8313</v>
      </c>
      <c r="G200" s="2" t="s">
        <v>653</v>
      </c>
      <c r="H200" s="7" t="s">
        <v>1151</v>
      </c>
      <c r="I200" s="2" t="s">
        <v>515</v>
      </c>
      <c r="J200" s="2" t="s">
        <v>516</v>
      </c>
      <c r="K200" s="2" t="s">
        <v>304</v>
      </c>
      <c r="L200" s="2" t="s">
        <v>358</v>
      </c>
      <c r="M200" s="8" t="str">
        <f>HYPERLINK("http://slimages.macys.com/is/image/MCY/11860803 ")</f>
        <v xml:space="preserve">http://slimages.macys.com/is/image/MCY/11860803 </v>
      </c>
    </row>
    <row r="201" spans="1:13" ht="60" x14ac:dyDescent="0.25">
      <c r="A201" s="7" t="s">
        <v>8314</v>
      </c>
      <c r="B201" s="2" t="s">
        <v>8312</v>
      </c>
      <c r="C201" s="4">
        <v>1</v>
      </c>
      <c r="D201" s="5">
        <v>5.59</v>
      </c>
      <c r="E201" s="5">
        <v>14.99</v>
      </c>
      <c r="F201" s="4" t="s">
        <v>8313</v>
      </c>
      <c r="G201" s="2" t="s">
        <v>653</v>
      </c>
      <c r="H201" s="7" t="s">
        <v>63</v>
      </c>
      <c r="I201" s="2" t="s">
        <v>515</v>
      </c>
      <c r="J201" s="2" t="s">
        <v>516</v>
      </c>
      <c r="K201" s="2" t="s">
        <v>304</v>
      </c>
      <c r="L201" s="2" t="s">
        <v>358</v>
      </c>
      <c r="M201" s="8" t="str">
        <f>HYPERLINK("http://slimages.macys.com/is/image/MCY/11860803 ")</f>
        <v xml:space="preserve">http://slimages.macys.com/is/image/MCY/11860803 </v>
      </c>
    </row>
    <row r="202" spans="1:13" ht="60" x14ac:dyDescent="0.25">
      <c r="A202" s="7" t="s">
        <v>6954</v>
      </c>
      <c r="B202" s="2" t="s">
        <v>521</v>
      </c>
      <c r="C202" s="4">
        <v>1</v>
      </c>
      <c r="D202" s="5">
        <v>5.5</v>
      </c>
      <c r="E202" s="5">
        <v>14</v>
      </c>
      <c r="F202" s="4" t="s">
        <v>522</v>
      </c>
      <c r="G202" s="2" t="s">
        <v>41</v>
      </c>
      <c r="H202" s="7"/>
      <c r="I202" s="2" t="s">
        <v>523</v>
      </c>
      <c r="J202" s="2" t="s">
        <v>524</v>
      </c>
      <c r="K202" s="2" t="s">
        <v>304</v>
      </c>
      <c r="L202" s="2" t="s">
        <v>224</v>
      </c>
      <c r="M202" s="8" t="str">
        <f>HYPERLINK("http://slimages.macys.com/is/image/MCY/11797079 ")</f>
        <v xml:space="preserve">http://slimages.macys.com/is/image/MCY/11797079 </v>
      </c>
    </row>
    <row r="203" spans="1:13" ht="60" x14ac:dyDescent="0.25">
      <c r="A203" s="7" t="s">
        <v>1079</v>
      </c>
      <c r="B203" s="2" t="s">
        <v>1078</v>
      </c>
      <c r="C203" s="4">
        <v>3</v>
      </c>
      <c r="D203" s="5">
        <v>5.5</v>
      </c>
      <c r="E203" s="5">
        <v>12.99</v>
      </c>
      <c r="F203" s="4">
        <v>6133</v>
      </c>
      <c r="G203" s="2" t="s">
        <v>36</v>
      </c>
      <c r="H203" s="7" t="s">
        <v>196</v>
      </c>
      <c r="I203" s="2" t="s">
        <v>523</v>
      </c>
      <c r="J203" s="2" t="s">
        <v>969</v>
      </c>
      <c r="K203" s="2" t="s">
        <v>304</v>
      </c>
      <c r="L203" s="2" t="s">
        <v>1036</v>
      </c>
      <c r="M203" s="8" t="str">
        <f>HYPERLINK("http://slimages.macys.com/is/image/MCY/13403932 ")</f>
        <v xml:space="preserve">http://slimages.macys.com/is/image/MCY/13403932 </v>
      </c>
    </row>
    <row r="204" spans="1:13" ht="60" x14ac:dyDescent="0.25">
      <c r="A204" s="7" t="s">
        <v>8315</v>
      </c>
      <c r="B204" s="2" t="s">
        <v>1078</v>
      </c>
      <c r="C204" s="4">
        <v>1</v>
      </c>
      <c r="D204" s="5">
        <v>5.5</v>
      </c>
      <c r="E204" s="5">
        <v>12.99</v>
      </c>
      <c r="F204" s="4">
        <v>6133</v>
      </c>
      <c r="G204" s="2" t="s">
        <v>36</v>
      </c>
      <c r="H204" s="7" t="s">
        <v>228</v>
      </c>
      <c r="I204" s="2" t="s">
        <v>523</v>
      </c>
      <c r="J204" s="2" t="s">
        <v>969</v>
      </c>
      <c r="K204" s="2" t="s">
        <v>304</v>
      </c>
      <c r="L204" s="2" t="s">
        <v>1036</v>
      </c>
      <c r="M204" s="8" t="str">
        <f>HYPERLINK("http://slimages.macys.com/is/image/MCY/13403932 ")</f>
        <v xml:space="preserve">http://slimages.macys.com/is/image/MCY/13403932 </v>
      </c>
    </row>
    <row r="205" spans="1:13" ht="60" x14ac:dyDescent="0.25">
      <c r="A205" s="7" t="s">
        <v>6958</v>
      </c>
      <c r="B205" s="2" t="s">
        <v>1750</v>
      </c>
      <c r="C205" s="4">
        <v>1</v>
      </c>
      <c r="D205" s="5">
        <v>5.5</v>
      </c>
      <c r="E205" s="5">
        <v>10.99</v>
      </c>
      <c r="F205" s="4" t="s">
        <v>5966</v>
      </c>
      <c r="G205" s="2" t="s">
        <v>36</v>
      </c>
      <c r="H205" s="7" t="s">
        <v>228</v>
      </c>
      <c r="I205" s="2" t="s">
        <v>73</v>
      </c>
      <c r="J205" s="2" t="s">
        <v>1917</v>
      </c>
      <c r="K205" s="2" t="s">
        <v>304</v>
      </c>
      <c r="L205" s="2" t="s">
        <v>5967</v>
      </c>
      <c r="M205" s="8" t="str">
        <f>HYPERLINK("http://slimages.macys.com/is/image/MCY/12789105 ")</f>
        <v xml:space="preserve">http://slimages.macys.com/is/image/MCY/12789105 </v>
      </c>
    </row>
    <row r="206" spans="1:13" ht="60" x14ac:dyDescent="0.25">
      <c r="A206" s="7" t="s">
        <v>8316</v>
      </c>
      <c r="B206" s="2" t="s">
        <v>5939</v>
      </c>
      <c r="C206" s="4">
        <v>1</v>
      </c>
      <c r="D206" s="5">
        <v>5.5</v>
      </c>
      <c r="E206" s="5">
        <v>9.99</v>
      </c>
      <c r="F206" s="4" t="s">
        <v>8317</v>
      </c>
      <c r="G206" s="2" t="s">
        <v>36</v>
      </c>
      <c r="H206" s="7" t="s">
        <v>317</v>
      </c>
      <c r="I206" s="2" t="s">
        <v>73</v>
      </c>
      <c r="J206" s="2" t="s">
        <v>1963</v>
      </c>
      <c r="K206" s="2" t="s">
        <v>304</v>
      </c>
      <c r="L206" s="2" t="s">
        <v>100</v>
      </c>
      <c r="M206" s="8" t="str">
        <f>HYPERLINK("http://slimages.macys.com/is/image/MCY/11228231 ")</f>
        <v xml:space="preserve">http://slimages.macys.com/is/image/MCY/11228231 </v>
      </c>
    </row>
    <row r="207" spans="1:13" ht="60" x14ac:dyDescent="0.25">
      <c r="A207" s="7" t="s">
        <v>6969</v>
      </c>
      <c r="B207" s="2" t="s">
        <v>6970</v>
      </c>
      <c r="C207" s="4">
        <v>1</v>
      </c>
      <c r="D207" s="5">
        <v>5.25</v>
      </c>
      <c r="E207" s="5">
        <v>12.77</v>
      </c>
      <c r="F207" s="4">
        <v>17880810</v>
      </c>
      <c r="G207" s="2"/>
      <c r="H207" s="7" t="s">
        <v>442</v>
      </c>
      <c r="I207" s="2" t="s">
        <v>153</v>
      </c>
      <c r="J207" s="2" t="s">
        <v>3580</v>
      </c>
      <c r="K207" s="2" t="s">
        <v>304</v>
      </c>
      <c r="L207" s="2" t="s">
        <v>125</v>
      </c>
      <c r="M207" s="8" t="str">
        <f>HYPERLINK("http://slimages.macys.com/is/image/MCY/13728577 ")</f>
        <v xml:space="preserve">http://slimages.macys.com/is/image/MCY/13728577 </v>
      </c>
    </row>
    <row r="208" spans="1:13" ht="60" x14ac:dyDescent="0.25">
      <c r="A208" s="7" t="s">
        <v>8318</v>
      </c>
      <c r="B208" s="2" t="s">
        <v>6970</v>
      </c>
      <c r="C208" s="4">
        <v>1</v>
      </c>
      <c r="D208" s="5">
        <v>5.25</v>
      </c>
      <c r="E208" s="5">
        <v>12.77</v>
      </c>
      <c r="F208" s="4">
        <v>17880810</v>
      </c>
      <c r="G208" s="2"/>
      <c r="H208" s="7" t="s">
        <v>42</v>
      </c>
      <c r="I208" s="2" t="s">
        <v>153</v>
      </c>
      <c r="J208" s="2" t="s">
        <v>3580</v>
      </c>
      <c r="K208" s="2" t="s">
        <v>304</v>
      </c>
      <c r="L208" s="2" t="s">
        <v>125</v>
      </c>
      <c r="M208" s="8" t="str">
        <f>HYPERLINK("http://slimages.macys.com/is/image/MCY/13728577 ")</f>
        <v xml:space="preserve">http://slimages.macys.com/is/image/MCY/13728577 </v>
      </c>
    </row>
    <row r="209" spans="1:13" ht="96" x14ac:dyDescent="0.25">
      <c r="A209" s="7" t="s">
        <v>1956</v>
      </c>
      <c r="B209" s="2" t="s">
        <v>1946</v>
      </c>
      <c r="C209" s="4">
        <v>1</v>
      </c>
      <c r="D209" s="5">
        <v>5.25</v>
      </c>
      <c r="E209" s="5">
        <v>14.99</v>
      </c>
      <c r="F209" s="4" t="s">
        <v>1947</v>
      </c>
      <c r="G209" s="2"/>
      <c r="H209" s="7" t="s">
        <v>68</v>
      </c>
      <c r="I209" s="2" t="s">
        <v>92</v>
      </c>
      <c r="J209" s="2" t="s">
        <v>1076</v>
      </c>
      <c r="K209" s="2" t="s">
        <v>304</v>
      </c>
      <c r="L209" s="2" t="s">
        <v>1948</v>
      </c>
      <c r="M209" s="8" t="str">
        <f>HYPERLINK("http://slimages.macys.com/is/image/MCY/15654526 ")</f>
        <v xml:space="preserve">http://slimages.macys.com/is/image/MCY/15654526 </v>
      </c>
    </row>
    <row r="210" spans="1:13" ht="60" x14ac:dyDescent="0.25">
      <c r="A210" s="7" t="s">
        <v>8319</v>
      </c>
      <c r="B210" s="2" t="s">
        <v>1086</v>
      </c>
      <c r="C210" s="4">
        <v>2</v>
      </c>
      <c r="D210" s="5">
        <v>5.15</v>
      </c>
      <c r="E210" s="5">
        <v>11.99</v>
      </c>
      <c r="F210" s="4">
        <v>4217</v>
      </c>
      <c r="G210" s="2" t="s">
        <v>653</v>
      </c>
      <c r="H210" s="7" t="s">
        <v>196</v>
      </c>
      <c r="I210" s="2" t="s">
        <v>523</v>
      </c>
      <c r="J210" s="2" t="s">
        <v>921</v>
      </c>
      <c r="K210" s="2" t="s">
        <v>304</v>
      </c>
      <c r="L210" s="2" t="s">
        <v>323</v>
      </c>
      <c r="M210" s="8" t="str">
        <f>HYPERLINK("http://slimages.macys.com/is/image/MCY/13050187 ")</f>
        <v xml:space="preserve">http://slimages.macys.com/is/image/MCY/13050187 </v>
      </c>
    </row>
    <row r="211" spans="1:13" ht="60" x14ac:dyDescent="0.25">
      <c r="A211" s="7" t="s">
        <v>1087</v>
      </c>
      <c r="B211" s="2" t="s">
        <v>1086</v>
      </c>
      <c r="C211" s="4">
        <v>1</v>
      </c>
      <c r="D211" s="5">
        <v>5.15</v>
      </c>
      <c r="E211" s="5">
        <v>11.99</v>
      </c>
      <c r="F211" s="4">
        <v>4217</v>
      </c>
      <c r="G211" s="2" t="s">
        <v>653</v>
      </c>
      <c r="H211" s="7" t="s">
        <v>228</v>
      </c>
      <c r="I211" s="2" t="s">
        <v>523</v>
      </c>
      <c r="J211" s="2" t="s">
        <v>921</v>
      </c>
      <c r="K211" s="2" t="s">
        <v>304</v>
      </c>
      <c r="L211" s="2" t="s">
        <v>323</v>
      </c>
      <c r="M211" s="8" t="str">
        <f>HYPERLINK("http://slimages.macys.com/is/image/MCY/13050187 ")</f>
        <v xml:space="preserve">http://slimages.macys.com/is/image/MCY/13050187 </v>
      </c>
    </row>
    <row r="212" spans="1:13" ht="60" x14ac:dyDescent="0.25">
      <c r="A212" s="7" t="s">
        <v>1092</v>
      </c>
      <c r="B212" s="2" t="s">
        <v>1093</v>
      </c>
      <c r="C212" s="4">
        <v>2</v>
      </c>
      <c r="D212" s="5">
        <v>5.09</v>
      </c>
      <c r="E212" s="5">
        <v>14.98</v>
      </c>
      <c r="F212" s="4" t="s">
        <v>1094</v>
      </c>
      <c r="G212" s="2" t="s">
        <v>297</v>
      </c>
      <c r="H212" s="7" t="s">
        <v>531</v>
      </c>
      <c r="I212" s="2" t="s">
        <v>483</v>
      </c>
      <c r="J212" s="2" t="s">
        <v>536</v>
      </c>
      <c r="K212" s="2" t="s">
        <v>304</v>
      </c>
      <c r="L212" s="2" t="s">
        <v>125</v>
      </c>
      <c r="M212" s="8" t="str">
        <f>HYPERLINK("http://slimages.macys.com/is/image/MCY/12646583 ")</f>
        <v xml:space="preserve">http://slimages.macys.com/is/image/MCY/12646583 </v>
      </c>
    </row>
    <row r="213" spans="1:13" ht="60" x14ac:dyDescent="0.25">
      <c r="A213" s="7" t="s">
        <v>1968</v>
      </c>
      <c r="B213" s="2" t="s">
        <v>1969</v>
      </c>
      <c r="C213" s="4">
        <v>2</v>
      </c>
      <c r="D213" s="5">
        <v>4.9800000000000004</v>
      </c>
      <c r="E213" s="5">
        <v>12.99</v>
      </c>
      <c r="F213" s="4" t="s">
        <v>1970</v>
      </c>
      <c r="G213" s="2" t="s">
        <v>437</v>
      </c>
      <c r="H213" s="7" t="s">
        <v>228</v>
      </c>
      <c r="I213" s="2" t="s">
        <v>515</v>
      </c>
      <c r="J213" s="2" t="s">
        <v>1971</v>
      </c>
      <c r="K213" s="2" t="s">
        <v>304</v>
      </c>
      <c r="L213" s="2" t="s">
        <v>119</v>
      </c>
      <c r="M213" s="8" t="str">
        <f>HYPERLINK("http://slimages.macys.com/is/image/MCY/13586213 ")</f>
        <v xml:space="preserve">http://slimages.macys.com/is/image/MCY/13586213 </v>
      </c>
    </row>
    <row r="214" spans="1:13" ht="60" x14ac:dyDescent="0.25">
      <c r="A214" s="7" t="s">
        <v>8320</v>
      </c>
      <c r="B214" s="2" t="s">
        <v>1969</v>
      </c>
      <c r="C214" s="4">
        <v>1</v>
      </c>
      <c r="D214" s="5">
        <v>4.9800000000000004</v>
      </c>
      <c r="E214" s="5">
        <v>12.99</v>
      </c>
      <c r="F214" s="4" t="s">
        <v>1970</v>
      </c>
      <c r="G214" s="2" t="s">
        <v>437</v>
      </c>
      <c r="H214" s="7" t="s">
        <v>159</v>
      </c>
      <c r="I214" s="2" t="s">
        <v>515</v>
      </c>
      <c r="J214" s="2" t="s">
        <v>1971</v>
      </c>
      <c r="K214" s="2" t="s">
        <v>304</v>
      </c>
      <c r="L214" s="2" t="s">
        <v>119</v>
      </c>
      <c r="M214" s="8" t="str">
        <f>HYPERLINK("http://slimages.macys.com/is/image/MCY/13586213 ")</f>
        <v xml:space="preserve">http://slimages.macys.com/is/image/MCY/13586213 </v>
      </c>
    </row>
    <row r="215" spans="1:13" ht="60" x14ac:dyDescent="0.25">
      <c r="A215" s="7" t="s">
        <v>8321</v>
      </c>
      <c r="B215" s="2" t="s">
        <v>4302</v>
      </c>
      <c r="C215" s="4">
        <v>1</v>
      </c>
      <c r="D215" s="5">
        <v>4.88</v>
      </c>
      <c r="E215" s="5">
        <v>9.99</v>
      </c>
      <c r="F215" s="4" t="s">
        <v>7729</v>
      </c>
      <c r="G215" s="2" t="s">
        <v>303</v>
      </c>
      <c r="H215" s="7" t="s">
        <v>311</v>
      </c>
      <c r="I215" s="2" t="s">
        <v>515</v>
      </c>
      <c r="J215" s="2" t="s">
        <v>516</v>
      </c>
      <c r="K215" s="2" t="s">
        <v>304</v>
      </c>
      <c r="L215" s="2" t="s">
        <v>119</v>
      </c>
      <c r="M215" s="8" t="str">
        <f>HYPERLINK("http://slimages.macys.com/is/image/MCY/11706720 ")</f>
        <v xml:space="preserve">http://slimages.macys.com/is/image/MCY/11706720 </v>
      </c>
    </row>
    <row r="216" spans="1:13" ht="60" x14ac:dyDescent="0.25">
      <c r="A216" s="7" t="s">
        <v>8322</v>
      </c>
      <c r="B216" s="2" t="s">
        <v>8323</v>
      </c>
      <c r="C216" s="4">
        <v>1</v>
      </c>
      <c r="D216" s="5">
        <v>4.87</v>
      </c>
      <c r="E216" s="5">
        <v>12.99</v>
      </c>
      <c r="F216" s="4" t="s">
        <v>8324</v>
      </c>
      <c r="G216" s="2" t="s">
        <v>36</v>
      </c>
      <c r="H216" s="7" t="s">
        <v>42</v>
      </c>
      <c r="I216" s="2" t="s">
        <v>483</v>
      </c>
      <c r="J216" s="2" t="s">
        <v>536</v>
      </c>
      <c r="K216" s="2" t="s">
        <v>304</v>
      </c>
      <c r="L216" s="2" t="s">
        <v>8325</v>
      </c>
      <c r="M216" s="8" t="str">
        <f>HYPERLINK("http://slimages.macys.com/is/image/MCY/11433069 ")</f>
        <v xml:space="preserve">http://slimages.macys.com/is/image/MCY/11433069 </v>
      </c>
    </row>
    <row r="217" spans="1:13" ht="72" x14ac:dyDescent="0.25">
      <c r="A217" s="7" t="s">
        <v>8326</v>
      </c>
      <c r="B217" s="2" t="s">
        <v>8327</v>
      </c>
      <c r="C217" s="4">
        <v>1</v>
      </c>
      <c r="D217" s="5">
        <v>4.8499999999999996</v>
      </c>
      <c r="E217" s="5">
        <v>14.99</v>
      </c>
      <c r="F217" s="4" t="s">
        <v>8328</v>
      </c>
      <c r="G217" s="2" t="s">
        <v>892</v>
      </c>
      <c r="H217" s="7" t="s">
        <v>144</v>
      </c>
      <c r="I217" s="2" t="s">
        <v>321</v>
      </c>
      <c r="J217" s="2" t="s">
        <v>3444</v>
      </c>
      <c r="K217" s="2" t="s">
        <v>304</v>
      </c>
      <c r="L217" s="2" t="s">
        <v>8329</v>
      </c>
      <c r="M217" s="8" t="str">
        <f>HYPERLINK("http://slimages.macys.com/is/image/MCY/12352661 ")</f>
        <v xml:space="preserve">http://slimages.macys.com/is/image/MCY/12352661 </v>
      </c>
    </row>
    <row r="218" spans="1:13" ht="60" x14ac:dyDescent="0.25">
      <c r="A218" s="7" t="s">
        <v>5980</v>
      </c>
      <c r="B218" s="2" t="s">
        <v>5978</v>
      </c>
      <c r="C218" s="4">
        <v>1</v>
      </c>
      <c r="D218" s="5">
        <v>4.8499999999999996</v>
      </c>
      <c r="E218" s="5">
        <v>10.99</v>
      </c>
      <c r="F218" s="4" t="s">
        <v>5979</v>
      </c>
      <c r="G218" s="2" t="s">
        <v>86</v>
      </c>
      <c r="H218" s="7" t="s">
        <v>284</v>
      </c>
      <c r="I218" s="2" t="s">
        <v>389</v>
      </c>
      <c r="J218" s="2" t="s">
        <v>354</v>
      </c>
      <c r="K218" s="2" t="s">
        <v>304</v>
      </c>
      <c r="L218" s="2" t="s">
        <v>100</v>
      </c>
      <c r="M218" s="8" t="str">
        <f>HYPERLINK("http://slimages.macys.com/is/image/MCY/11135810 ")</f>
        <v xml:space="preserve">http://slimages.macys.com/is/image/MCY/11135810 </v>
      </c>
    </row>
    <row r="219" spans="1:13" ht="72" x14ac:dyDescent="0.25">
      <c r="A219" s="7" t="s">
        <v>8330</v>
      </c>
      <c r="B219" s="2" t="s">
        <v>8327</v>
      </c>
      <c r="C219" s="4">
        <v>1</v>
      </c>
      <c r="D219" s="5">
        <v>4.8499999999999996</v>
      </c>
      <c r="E219" s="5">
        <v>14.99</v>
      </c>
      <c r="F219" s="4" t="s">
        <v>8328</v>
      </c>
      <c r="G219" s="2" t="s">
        <v>892</v>
      </c>
      <c r="H219" s="7" t="s">
        <v>68</v>
      </c>
      <c r="I219" s="2" t="s">
        <v>321</v>
      </c>
      <c r="J219" s="2" t="s">
        <v>3444</v>
      </c>
      <c r="K219" s="2" t="s">
        <v>304</v>
      </c>
      <c r="L219" s="2" t="s">
        <v>8329</v>
      </c>
      <c r="M219" s="8" t="str">
        <f>HYPERLINK("http://slimages.macys.com/is/image/MCY/12352661 ")</f>
        <v xml:space="preserve">http://slimages.macys.com/is/image/MCY/12352661 </v>
      </c>
    </row>
    <row r="220" spans="1:13" ht="108" x14ac:dyDescent="0.25">
      <c r="A220" s="7" t="s">
        <v>8331</v>
      </c>
      <c r="B220" s="2" t="s">
        <v>8332</v>
      </c>
      <c r="C220" s="4">
        <v>1</v>
      </c>
      <c r="D220" s="5">
        <v>4.8499999999999996</v>
      </c>
      <c r="E220" s="5">
        <v>14.99</v>
      </c>
      <c r="F220" s="4" t="s">
        <v>8333</v>
      </c>
      <c r="G220" s="2" t="s">
        <v>353</v>
      </c>
      <c r="H220" s="7" t="s">
        <v>68</v>
      </c>
      <c r="I220" s="2" t="s">
        <v>321</v>
      </c>
      <c r="J220" s="2" t="s">
        <v>3444</v>
      </c>
      <c r="K220" s="2" t="s">
        <v>304</v>
      </c>
      <c r="L220" s="2" t="s">
        <v>161</v>
      </c>
      <c r="M220" s="8" t="str">
        <f>HYPERLINK("http://slimages.macys.com/is/image/MCY/11228339 ")</f>
        <v xml:space="preserve">http://slimages.macys.com/is/image/MCY/11228339 </v>
      </c>
    </row>
    <row r="221" spans="1:13" ht="60" x14ac:dyDescent="0.25">
      <c r="A221" s="7" t="s">
        <v>6992</v>
      </c>
      <c r="B221" s="2" t="s">
        <v>6993</v>
      </c>
      <c r="C221" s="4">
        <v>1</v>
      </c>
      <c r="D221" s="5">
        <v>4.8</v>
      </c>
      <c r="E221" s="5">
        <v>9.99</v>
      </c>
      <c r="F221" s="4">
        <v>16638110</v>
      </c>
      <c r="G221" s="2"/>
      <c r="H221" s="7" t="s">
        <v>233</v>
      </c>
      <c r="I221" s="2" t="s">
        <v>153</v>
      </c>
      <c r="J221" s="2" t="s">
        <v>154</v>
      </c>
      <c r="K221" s="2" t="s">
        <v>304</v>
      </c>
      <c r="L221" s="2" t="s">
        <v>206</v>
      </c>
      <c r="M221" s="8" t="str">
        <f>HYPERLINK("http://slimages.macys.com/is/image/MCY/10705162 ")</f>
        <v xml:space="preserve">http://slimages.macys.com/is/image/MCY/10705162 </v>
      </c>
    </row>
    <row r="222" spans="1:13" ht="60" x14ac:dyDescent="0.25">
      <c r="A222" s="7" t="s">
        <v>8334</v>
      </c>
      <c r="B222" s="2" t="s">
        <v>1988</v>
      </c>
      <c r="C222" s="4">
        <v>1</v>
      </c>
      <c r="D222" s="5">
        <v>4.79</v>
      </c>
      <c r="E222" s="5">
        <v>12.99</v>
      </c>
      <c r="F222" s="4" t="s">
        <v>1989</v>
      </c>
      <c r="G222" s="2" t="s">
        <v>48</v>
      </c>
      <c r="H222" s="7" t="s">
        <v>284</v>
      </c>
      <c r="I222" s="2" t="s">
        <v>515</v>
      </c>
      <c r="J222" s="2" t="s">
        <v>1971</v>
      </c>
      <c r="K222" s="2" t="s">
        <v>304</v>
      </c>
      <c r="L222" s="2" t="s">
        <v>119</v>
      </c>
      <c r="M222" s="8" t="str">
        <f>HYPERLINK("http://slimages.macys.com/is/image/MCY/11530999 ")</f>
        <v xml:space="preserve">http://slimages.macys.com/is/image/MCY/11530999 </v>
      </c>
    </row>
    <row r="223" spans="1:13" ht="60" x14ac:dyDescent="0.25">
      <c r="A223" s="7" t="s">
        <v>8335</v>
      </c>
      <c r="B223" s="2" t="s">
        <v>1988</v>
      </c>
      <c r="C223" s="4">
        <v>1</v>
      </c>
      <c r="D223" s="5">
        <v>4.79</v>
      </c>
      <c r="E223" s="5">
        <v>12.99</v>
      </c>
      <c r="F223" s="4" t="s">
        <v>1989</v>
      </c>
      <c r="G223" s="2" t="s">
        <v>48</v>
      </c>
      <c r="H223" s="7" t="s">
        <v>159</v>
      </c>
      <c r="I223" s="2" t="s">
        <v>515</v>
      </c>
      <c r="J223" s="2" t="s">
        <v>1971</v>
      </c>
      <c r="K223" s="2" t="s">
        <v>304</v>
      </c>
      <c r="L223" s="2" t="s">
        <v>119</v>
      </c>
      <c r="M223" s="8" t="str">
        <f>HYPERLINK("http://slimages.macys.com/is/image/MCY/11530999 ")</f>
        <v xml:space="preserve">http://slimages.macys.com/is/image/MCY/11530999 </v>
      </c>
    </row>
    <row r="224" spans="1:13" ht="60" x14ac:dyDescent="0.25">
      <c r="A224" s="7" t="s">
        <v>1993</v>
      </c>
      <c r="B224" s="2" t="s">
        <v>1991</v>
      </c>
      <c r="C224" s="4">
        <v>2</v>
      </c>
      <c r="D224" s="5">
        <v>4.75</v>
      </c>
      <c r="E224" s="5">
        <v>8.99</v>
      </c>
      <c r="F224" s="4" t="s">
        <v>1992</v>
      </c>
      <c r="G224" s="2" t="s">
        <v>653</v>
      </c>
      <c r="H224" s="7" t="s">
        <v>228</v>
      </c>
      <c r="I224" s="2" t="s">
        <v>73</v>
      </c>
      <c r="J224" s="2" t="s">
        <v>1917</v>
      </c>
      <c r="K224" s="2" t="s">
        <v>304</v>
      </c>
      <c r="L224" s="2" t="s">
        <v>125</v>
      </c>
      <c r="M224" s="8" t="str">
        <f>HYPERLINK("http://slimages.macys.com/is/image/MCY/13726811 ")</f>
        <v xml:space="preserve">http://slimages.macys.com/is/image/MCY/13726811 </v>
      </c>
    </row>
    <row r="225" spans="1:13" ht="60" x14ac:dyDescent="0.25">
      <c r="A225" s="7" t="s">
        <v>8336</v>
      </c>
      <c r="B225" s="2" t="s">
        <v>1991</v>
      </c>
      <c r="C225" s="4">
        <v>1</v>
      </c>
      <c r="D225" s="5">
        <v>4.75</v>
      </c>
      <c r="E225" s="5">
        <v>8.99</v>
      </c>
      <c r="F225" s="4" t="s">
        <v>1992</v>
      </c>
      <c r="G225" s="2" t="s">
        <v>653</v>
      </c>
      <c r="H225" s="7" t="s">
        <v>196</v>
      </c>
      <c r="I225" s="2" t="s">
        <v>73</v>
      </c>
      <c r="J225" s="2" t="s">
        <v>1917</v>
      </c>
      <c r="K225" s="2" t="s">
        <v>304</v>
      </c>
      <c r="L225" s="2" t="s">
        <v>125</v>
      </c>
      <c r="M225" s="8" t="str">
        <f>HYPERLINK("http://slimages.macys.com/is/image/MCY/13726811 ")</f>
        <v xml:space="preserve">http://slimages.macys.com/is/image/MCY/13726811 </v>
      </c>
    </row>
    <row r="226" spans="1:13" ht="60" x14ac:dyDescent="0.25">
      <c r="A226" s="7" t="s">
        <v>5982</v>
      </c>
      <c r="B226" s="2" t="s">
        <v>5983</v>
      </c>
      <c r="C226" s="4">
        <v>1</v>
      </c>
      <c r="D226" s="5">
        <v>4.72</v>
      </c>
      <c r="E226" s="5">
        <v>10.99</v>
      </c>
      <c r="F226" s="4" t="s">
        <v>5984</v>
      </c>
      <c r="G226" s="2" t="s">
        <v>657</v>
      </c>
      <c r="H226" s="7" t="s">
        <v>284</v>
      </c>
      <c r="I226" s="2" t="s">
        <v>389</v>
      </c>
      <c r="J226" s="2" t="s">
        <v>354</v>
      </c>
      <c r="K226" s="2" t="s">
        <v>304</v>
      </c>
      <c r="L226" s="2" t="s">
        <v>358</v>
      </c>
      <c r="M226" s="8" t="str">
        <f>HYPERLINK("http://slimages.macys.com/is/image/MCY/9439416 ")</f>
        <v xml:space="preserve">http://slimages.macys.com/is/image/MCY/9439416 </v>
      </c>
    </row>
    <row r="227" spans="1:13" ht="60" x14ac:dyDescent="0.25">
      <c r="A227" s="7" t="s">
        <v>8337</v>
      </c>
      <c r="B227" s="2" t="s">
        <v>5043</v>
      </c>
      <c r="C227" s="4">
        <v>1</v>
      </c>
      <c r="D227" s="5">
        <v>4.71</v>
      </c>
      <c r="E227" s="5">
        <v>12.99</v>
      </c>
      <c r="F227" s="4" t="s">
        <v>5044</v>
      </c>
      <c r="G227" s="2" t="s">
        <v>437</v>
      </c>
      <c r="H227" s="7" t="s">
        <v>123</v>
      </c>
      <c r="I227" s="2" t="s">
        <v>218</v>
      </c>
      <c r="J227" s="2" t="s">
        <v>2008</v>
      </c>
      <c r="K227" s="2" t="s">
        <v>304</v>
      </c>
      <c r="L227" s="2" t="s">
        <v>5045</v>
      </c>
      <c r="M227" s="8" t="str">
        <f>HYPERLINK("http://slimages.macys.com/is/image/MCY/12684319 ")</f>
        <v xml:space="preserve">http://slimages.macys.com/is/image/MCY/12684319 </v>
      </c>
    </row>
    <row r="228" spans="1:13" ht="60" x14ac:dyDescent="0.25">
      <c r="A228" s="7" t="s">
        <v>2001</v>
      </c>
      <c r="B228" s="2" t="s">
        <v>2002</v>
      </c>
      <c r="C228" s="4">
        <v>1</v>
      </c>
      <c r="D228" s="5">
        <v>4.6500000000000004</v>
      </c>
      <c r="E228" s="5">
        <v>14.99</v>
      </c>
      <c r="F228" s="4" t="s">
        <v>2003</v>
      </c>
      <c r="G228" s="2" t="s">
        <v>657</v>
      </c>
      <c r="H228" s="7" t="s">
        <v>123</v>
      </c>
      <c r="I228" s="2" t="s">
        <v>292</v>
      </c>
      <c r="J228" s="2" t="s">
        <v>354</v>
      </c>
      <c r="K228" s="2" t="s">
        <v>304</v>
      </c>
      <c r="L228" s="2" t="s">
        <v>125</v>
      </c>
      <c r="M228" s="8" t="str">
        <f>HYPERLINK("http://slimages.macys.com/is/image/MCY/13893167 ")</f>
        <v xml:space="preserve">http://slimages.macys.com/is/image/MCY/13893167 </v>
      </c>
    </row>
    <row r="229" spans="1:13" ht="60" x14ac:dyDescent="0.25">
      <c r="A229" s="7" t="s">
        <v>8338</v>
      </c>
      <c r="B229" s="2" t="s">
        <v>8339</v>
      </c>
      <c r="C229" s="4">
        <v>2</v>
      </c>
      <c r="D229" s="5">
        <v>4.5999999999999996</v>
      </c>
      <c r="E229" s="5">
        <v>9.99</v>
      </c>
      <c r="F229" s="4" t="s">
        <v>8340</v>
      </c>
      <c r="G229" s="2" t="s">
        <v>582</v>
      </c>
      <c r="H229" s="7"/>
      <c r="I229" s="2" t="s">
        <v>483</v>
      </c>
      <c r="J229" s="2" t="s">
        <v>2710</v>
      </c>
      <c r="K229" s="2" t="s">
        <v>304</v>
      </c>
      <c r="L229" s="2" t="s">
        <v>2711</v>
      </c>
      <c r="M229" s="8" t="str">
        <f>HYPERLINK("http://slimages.macys.com/is/image/MCY/11636755 ")</f>
        <v xml:space="preserve">http://slimages.macys.com/is/image/MCY/11636755 </v>
      </c>
    </row>
    <row r="230" spans="1:13" ht="60" x14ac:dyDescent="0.25">
      <c r="A230" s="7" t="s">
        <v>8341</v>
      </c>
      <c r="B230" s="2" t="s">
        <v>8339</v>
      </c>
      <c r="C230" s="4">
        <v>4</v>
      </c>
      <c r="D230" s="5">
        <v>4.5999999999999996</v>
      </c>
      <c r="E230" s="5">
        <v>9.99</v>
      </c>
      <c r="F230" s="4" t="s">
        <v>8340</v>
      </c>
      <c r="G230" s="2" t="s">
        <v>582</v>
      </c>
      <c r="H230" s="7" t="s">
        <v>604</v>
      </c>
      <c r="I230" s="2" t="s">
        <v>483</v>
      </c>
      <c r="J230" s="2" t="s">
        <v>2710</v>
      </c>
      <c r="K230" s="2" t="s">
        <v>304</v>
      </c>
      <c r="L230" s="2" t="s">
        <v>2711</v>
      </c>
      <c r="M230" s="8" t="str">
        <f>HYPERLINK("http://slimages.macys.com/is/image/MCY/11636755 ")</f>
        <v xml:space="preserve">http://slimages.macys.com/is/image/MCY/11636755 </v>
      </c>
    </row>
    <row r="231" spans="1:13" ht="84" x14ac:dyDescent="0.25">
      <c r="A231" s="7" t="s">
        <v>8342</v>
      </c>
      <c r="B231" s="2" t="s">
        <v>2011</v>
      </c>
      <c r="C231" s="4">
        <v>1</v>
      </c>
      <c r="D231" s="5">
        <v>4.59</v>
      </c>
      <c r="E231" s="5">
        <v>12.99</v>
      </c>
      <c r="F231" s="4" t="s">
        <v>2012</v>
      </c>
      <c r="G231" s="2" t="s">
        <v>28</v>
      </c>
      <c r="H231" s="7" t="s">
        <v>284</v>
      </c>
      <c r="I231" s="2" t="s">
        <v>515</v>
      </c>
      <c r="J231" s="2" t="s">
        <v>827</v>
      </c>
      <c r="K231" s="2" t="s">
        <v>304</v>
      </c>
      <c r="L231" s="2" t="s">
        <v>1117</v>
      </c>
      <c r="M231" s="8" t="str">
        <f>HYPERLINK("http://slimages.macys.com/is/image/MCY/11606013 ")</f>
        <v xml:space="preserve">http://slimages.macys.com/is/image/MCY/11606013 </v>
      </c>
    </row>
    <row r="232" spans="1:13" ht="60" x14ac:dyDescent="0.25">
      <c r="A232" s="7" t="s">
        <v>5049</v>
      </c>
      <c r="B232" s="2" t="s">
        <v>1122</v>
      </c>
      <c r="C232" s="4">
        <v>1</v>
      </c>
      <c r="D232" s="5">
        <v>4.55</v>
      </c>
      <c r="E232" s="5">
        <v>11.99</v>
      </c>
      <c r="F232" s="4" t="s">
        <v>1123</v>
      </c>
      <c r="G232" s="2" t="s">
        <v>36</v>
      </c>
      <c r="H232" s="7" t="s">
        <v>228</v>
      </c>
      <c r="I232" s="2" t="s">
        <v>523</v>
      </c>
      <c r="J232" s="2" t="s">
        <v>921</v>
      </c>
      <c r="K232" s="2" t="s">
        <v>304</v>
      </c>
      <c r="L232" s="2" t="s">
        <v>323</v>
      </c>
      <c r="M232" s="8" t="str">
        <f>HYPERLINK("http://slimages.macys.com/is/image/MCY/8345547 ")</f>
        <v xml:space="preserve">http://slimages.macys.com/is/image/MCY/8345547 </v>
      </c>
    </row>
    <row r="233" spans="1:13" ht="60" x14ac:dyDescent="0.25">
      <c r="A233" s="7" t="s">
        <v>3465</v>
      </c>
      <c r="B233" s="2" t="s">
        <v>3466</v>
      </c>
      <c r="C233" s="4">
        <v>2</v>
      </c>
      <c r="D233" s="5">
        <v>4.5</v>
      </c>
      <c r="E233" s="5">
        <v>10.99</v>
      </c>
      <c r="F233" s="4" t="s">
        <v>3467</v>
      </c>
      <c r="G233" s="2" t="s">
        <v>28</v>
      </c>
      <c r="H233" s="7" t="s">
        <v>284</v>
      </c>
      <c r="I233" s="2" t="s">
        <v>523</v>
      </c>
      <c r="J233" s="2" t="s">
        <v>921</v>
      </c>
      <c r="K233" s="2" t="s">
        <v>304</v>
      </c>
      <c r="L233" s="2" t="s">
        <v>3468</v>
      </c>
      <c r="M233" s="8" t="str">
        <f>HYPERLINK("http://slimages.macys.com/is/image/MCY/11247949 ")</f>
        <v xml:space="preserve">http://slimages.macys.com/is/image/MCY/11247949 </v>
      </c>
    </row>
    <row r="234" spans="1:13" ht="60" x14ac:dyDescent="0.25">
      <c r="A234" s="7" t="s">
        <v>8343</v>
      </c>
      <c r="B234" s="2" t="s">
        <v>3466</v>
      </c>
      <c r="C234" s="4">
        <v>1</v>
      </c>
      <c r="D234" s="5">
        <v>4.5</v>
      </c>
      <c r="E234" s="5">
        <v>10.99</v>
      </c>
      <c r="F234" s="4" t="s">
        <v>3467</v>
      </c>
      <c r="G234" s="2" t="s">
        <v>28</v>
      </c>
      <c r="H234" s="7" t="s">
        <v>159</v>
      </c>
      <c r="I234" s="2" t="s">
        <v>523</v>
      </c>
      <c r="J234" s="2" t="s">
        <v>921</v>
      </c>
      <c r="K234" s="2" t="s">
        <v>304</v>
      </c>
      <c r="L234" s="2" t="s">
        <v>3468</v>
      </c>
      <c r="M234" s="8" t="str">
        <f>HYPERLINK("http://slimages.macys.com/is/image/MCY/11247949 ")</f>
        <v xml:space="preserve">http://slimages.macys.com/is/image/MCY/11247949 </v>
      </c>
    </row>
    <row r="235" spans="1:13" ht="60" x14ac:dyDescent="0.25">
      <c r="A235" s="7" t="s">
        <v>8344</v>
      </c>
      <c r="B235" s="2" t="s">
        <v>5990</v>
      </c>
      <c r="C235" s="4">
        <v>1</v>
      </c>
      <c r="D235" s="5">
        <v>4.43</v>
      </c>
      <c r="E235" s="5">
        <v>10.99</v>
      </c>
      <c r="F235" s="4" t="s">
        <v>5991</v>
      </c>
      <c r="G235" s="2" t="s">
        <v>134</v>
      </c>
      <c r="H235" s="7" t="s">
        <v>123</v>
      </c>
      <c r="I235" s="2" t="s">
        <v>218</v>
      </c>
      <c r="J235" s="2" t="s">
        <v>2008</v>
      </c>
      <c r="K235" s="2" t="s">
        <v>304</v>
      </c>
      <c r="L235" s="2" t="s">
        <v>119</v>
      </c>
      <c r="M235" s="8" t="str">
        <f>HYPERLINK("http://slimages.macys.com/is/image/MCY/11953331 ")</f>
        <v xml:space="preserve">http://slimages.macys.com/is/image/MCY/11953331 </v>
      </c>
    </row>
    <row r="236" spans="1:13" ht="60" x14ac:dyDescent="0.25">
      <c r="A236" s="7" t="s">
        <v>8345</v>
      </c>
      <c r="B236" s="2" t="s">
        <v>8346</v>
      </c>
      <c r="C236" s="4">
        <v>1</v>
      </c>
      <c r="D236" s="5">
        <v>4.4000000000000004</v>
      </c>
      <c r="E236" s="5">
        <v>8.99</v>
      </c>
      <c r="F236" s="4">
        <v>16475214</v>
      </c>
      <c r="G236" s="2"/>
      <c r="H236" s="7" t="s">
        <v>438</v>
      </c>
      <c r="I236" s="2" t="s">
        <v>153</v>
      </c>
      <c r="J236" s="2" t="s">
        <v>154</v>
      </c>
      <c r="K236" s="2" t="s">
        <v>304</v>
      </c>
      <c r="L236" s="2" t="s">
        <v>38</v>
      </c>
      <c r="M236" s="8" t="str">
        <f>HYPERLINK("http://slimages.macys.com/is/image/MCY/11186577 ")</f>
        <v xml:space="preserve">http://slimages.macys.com/is/image/MCY/11186577 </v>
      </c>
    </row>
    <row r="237" spans="1:13" ht="60" x14ac:dyDescent="0.25">
      <c r="A237" s="7" t="s">
        <v>8347</v>
      </c>
      <c r="B237" s="2" t="s">
        <v>8348</v>
      </c>
      <c r="C237" s="4">
        <v>1</v>
      </c>
      <c r="D237" s="5">
        <v>4.4000000000000004</v>
      </c>
      <c r="E237" s="5">
        <v>8.99</v>
      </c>
      <c r="F237" s="4">
        <v>16236010</v>
      </c>
      <c r="G237" s="2"/>
      <c r="H237" s="7" t="s">
        <v>233</v>
      </c>
      <c r="I237" s="2" t="s">
        <v>153</v>
      </c>
      <c r="J237" s="2" t="s">
        <v>154</v>
      </c>
      <c r="K237" s="2" t="s">
        <v>304</v>
      </c>
      <c r="L237" s="2" t="s">
        <v>38</v>
      </c>
      <c r="M237" s="8" t="str">
        <f>HYPERLINK("http://slimages.macys.com/is/image/MCY/11186621 ")</f>
        <v xml:space="preserve">http://slimages.macys.com/is/image/MCY/11186621 </v>
      </c>
    </row>
    <row r="238" spans="1:13" ht="60" x14ac:dyDescent="0.25">
      <c r="A238" s="7" t="s">
        <v>1135</v>
      </c>
      <c r="B238" s="2" t="s">
        <v>1136</v>
      </c>
      <c r="C238" s="4">
        <v>1</v>
      </c>
      <c r="D238" s="5">
        <v>4.38</v>
      </c>
      <c r="E238" s="5">
        <v>11.98</v>
      </c>
      <c r="F238" s="4">
        <v>10006013400</v>
      </c>
      <c r="G238" s="2" t="s">
        <v>107</v>
      </c>
      <c r="H238" s="7" t="s">
        <v>531</v>
      </c>
      <c r="I238" s="2" t="s">
        <v>483</v>
      </c>
      <c r="J238" s="2" t="s">
        <v>536</v>
      </c>
      <c r="K238" s="2" t="s">
        <v>304</v>
      </c>
      <c r="L238" s="2" t="s">
        <v>125</v>
      </c>
      <c r="M238" s="8" t="str">
        <f>HYPERLINK("http://slimages.macys.com/is/image/MCY/12646586 ")</f>
        <v xml:space="preserve">http://slimages.macys.com/is/image/MCY/12646586 </v>
      </c>
    </row>
    <row r="239" spans="1:13" ht="60" x14ac:dyDescent="0.25">
      <c r="A239" s="7" t="s">
        <v>8349</v>
      </c>
      <c r="B239" s="2" t="s">
        <v>1122</v>
      </c>
      <c r="C239" s="4">
        <v>1</v>
      </c>
      <c r="D239" s="5">
        <v>4.3499999999999996</v>
      </c>
      <c r="E239" s="5">
        <v>10.99</v>
      </c>
      <c r="F239" s="4" t="s">
        <v>1123</v>
      </c>
      <c r="G239" s="2" t="s">
        <v>653</v>
      </c>
      <c r="H239" s="7" t="s">
        <v>159</v>
      </c>
      <c r="I239" s="2" t="s">
        <v>523</v>
      </c>
      <c r="J239" s="2" t="s">
        <v>921</v>
      </c>
      <c r="K239" s="2" t="s">
        <v>304</v>
      </c>
      <c r="L239" s="2" t="s">
        <v>323</v>
      </c>
      <c r="M239" s="8" t="str">
        <f>HYPERLINK("http://slimages.macys.com/is/image/MCY/11722264 ")</f>
        <v xml:space="preserve">http://slimages.macys.com/is/image/MCY/11722264 </v>
      </c>
    </row>
    <row r="240" spans="1:13" ht="60" x14ac:dyDescent="0.25">
      <c r="A240" s="7" t="s">
        <v>8350</v>
      </c>
      <c r="B240" s="2" t="s">
        <v>1122</v>
      </c>
      <c r="C240" s="4">
        <v>1</v>
      </c>
      <c r="D240" s="5">
        <v>4.3499999999999996</v>
      </c>
      <c r="E240" s="5">
        <v>10.99</v>
      </c>
      <c r="F240" s="4" t="s">
        <v>1123</v>
      </c>
      <c r="G240" s="2" t="s">
        <v>892</v>
      </c>
      <c r="H240" s="7" t="s">
        <v>284</v>
      </c>
      <c r="I240" s="2" t="s">
        <v>523</v>
      </c>
      <c r="J240" s="2" t="s">
        <v>921</v>
      </c>
      <c r="K240" s="2" t="s">
        <v>304</v>
      </c>
      <c r="L240" s="2" t="s">
        <v>323</v>
      </c>
      <c r="M240" s="8" t="str">
        <f>HYPERLINK("http://slimages.macys.com/is/image/MCY/11722264 ")</f>
        <v xml:space="preserve">http://slimages.macys.com/is/image/MCY/11722264 </v>
      </c>
    </row>
    <row r="241" spans="1:13" ht="60" x14ac:dyDescent="0.25">
      <c r="A241" s="7" t="s">
        <v>8351</v>
      </c>
      <c r="B241" s="2" t="s">
        <v>1139</v>
      </c>
      <c r="C241" s="4">
        <v>1</v>
      </c>
      <c r="D241" s="5">
        <v>4.3099999999999996</v>
      </c>
      <c r="E241" s="5">
        <v>10.99</v>
      </c>
      <c r="F241" s="4" t="s">
        <v>1140</v>
      </c>
      <c r="G241" s="2" t="s">
        <v>62</v>
      </c>
      <c r="H241" s="7" t="s">
        <v>196</v>
      </c>
      <c r="I241" s="2" t="s">
        <v>389</v>
      </c>
      <c r="J241" s="2" t="s">
        <v>354</v>
      </c>
      <c r="K241" s="2" t="s">
        <v>304</v>
      </c>
      <c r="L241" s="2" t="s">
        <v>358</v>
      </c>
      <c r="M241" s="8" t="str">
        <f>HYPERLINK("http://slimages.macys.com/is/image/MCY/11855530 ")</f>
        <v xml:space="preserve">http://slimages.macys.com/is/image/MCY/11855530 </v>
      </c>
    </row>
    <row r="242" spans="1:13" ht="60" x14ac:dyDescent="0.25">
      <c r="A242" s="7" t="s">
        <v>8352</v>
      </c>
      <c r="B242" s="2" t="s">
        <v>5993</v>
      </c>
      <c r="C242" s="4">
        <v>1</v>
      </c>
      <c r="D242" s="5">
        <v>4.2699999999999996</v>
      </c>
      <c r="E242" s="5">
        <v>10.99</v>
      </c>
      <c r="F242" s="4" t="s">
        <v>5994</v>
      </c>
      <c r="G242" s="2" t="s">
        <v>86</v>
      </c>
      <c r="H242" s="7" t="s">
        <v>311</v>
      </c>
      <c r="I242" s="2" t="s">
        <v>218</v>
      </c>
      <c r="J242" s="2" t="s">
        <v>2008</v>
      </c>
      <c r="K242" s="2" t="s">
        <v>304</v>
      </c>
      <c r="L242" s="2" t="s">
        <v>119</v>
      </c>
      <c r="M242" s="8" t="str">
        <f>HYPERLINK("http://slimages.macys.com/is/image/MCY/12684312 ")</f>
        <v xml:space="preserve">http://slimages.macys.com/is/image/MCY/12684312 </v>
      </c>
    </row>
    <row r="243" spans="1:13" ht="60" x14ac:dyDescent="0.25">
      <c r="A243" s="7" t="s">
        <v>8353</v>
      </c>
      <c r="B243" s="2" t="s">
        <v>2058</v>
      </c>
      <c r="C243" s="4">
        <v>3</v>
      </c>
      <c r="D243" s="5">
        <v>4.25</v>
      </c>
      <c r="E243" s="5">
        <v>7.99</v>
      </c>
      <c r="F243" s="4" t="s">
        <v>2059</v>
      </c>
      <c r="G243" s="2" t="s">
        <v>41</v>
      </c>
      <c r="H243" s="7" t="s">
        <v>311</v>
      </c>
      <c r="I243" s="2" t="s">
        <v>73</v>
      </c>
      <c r="J243" s="2" t="s">
        <v>1963</v>
      </c>
      <c r="K243" s="2" t="s">
        <v>304</v>
      </c>
      <c r="L243" s="2" t="s">
        <v>119</v>
      </c>
      <c r="M243" s="8" t="str">
        <f>HYPERLINK("http://slimages.macys.com/is/image/MCY/11272141 ")</f>
        <v xml:space="preserve">http://slimages.macys.com/is/image/MCY/11272141 </v>
      </c>
    </row>
    <row r="244" spans="1:13" ht="60" x14ac:dyDescent="0.25">
      <c r="A244" s="7" t="s">
        <v>8354</v>
      </c>
      <c r="B244" s="2" t="s">
        <v>7767</v>
      </c>
      <c r="C244" s="4">
        <v>1</v>
      </c>
      <c r="D244" s="5">
        <v>4.25</v>
      </c>
      <c r="E244" s="5">
        <v>10.99</v>
      </c>
      <c r="F244" s="4" t="s">
        <v>7768</v>
      </c>
      <c r="G244" s="2" t="s">
        <v>476</v>
      </c>
      <c r="H244" s="7"/>
      <c r="I244" s="2" t="s">
        <v>312</v>
      </c>
      <c r="J244" s="2" t="s">
        <v>2077</v>
      </c>
      <c r="K244" s="2" t="s">
        <v>304</v>
      </c>
      <c r="L244" s="2" t="s">
        <v>125</v>
      </c>
      <c r="M244" s="8" t="str">
        <f>HYPERLINK("http://slimages.macys.com/is/image/MCY/12045140 ")</f>
        <v xml:space="preserve">http://slimages.macys.com/is/image/MCY/12045140 </v>
      </c>
    </row>
    <row r="245" spans="1:13" ht="60" x14ac:dyDescent="0.25">
      <c r="A245" s="7" t="s">
        <v>2073</v>
      </c>
      <c r="B245" s="2" t="s">
        <v>1991</v>
      </c>
      <c r="C245" s="4">
        <v>1</v>
      </c>
      <c r="D245" s="5">
        <v>4.25</v>
      </c>
      <c r="E245" s="5">
        <v>5.99</v>
      </c>
      <c r="F245" s="4" t="s">
        <v>2061</v>
      </c>
      <c r="G245" s="2" t="s">
        <v>653</v>
      </c>
      <c r="H245" s="7" t="s">
        <v>63</v>
      </c>
      <c r="I245" s="2" t="s">
        <v>73</v>
      </c>
      <c r="J245" s="2" t="s">
        <v>1963</v>
      </c>
      <c r="K245" s="2" t="s">
        <v>304</v>
      </c>
      <c r="L245" s="2" t="s">
        <v>125</v>
      </c>
      <c r="M245" s="8" t="str">
        <f>HYPERLINK("http://slimages.macys.com/is/image/MCY/13726811 ")</f>
        <v xml:space="preserve">http://slimages.macys.com/is/image/MCY/13726811 </v>
      </c>
    </row>
    <row r="246" spans="1:13" ht="60" x14ac:dyDescent="0.25">
      <c r="A246" s="7" t="s">
        <v>8355</v>
      </c>
      <c r="B246" s="2" t="s">
        <v>2058</v>
      </c>
      <c r="C246" s="4">
        <v>1</v>
      </c>
      <c r="D246" s="5">
        <v>4.25</v>
      </c>
      <c r="E246" s="5">
        <v>7.99</v>
      </c>
      <c r="F246" s="4" t="s">
        <v>2059</v>
      </c>
      <c r="G246" s="2" t="s">
        <v>36</v>
      </c>
      <c r="H246" s="7" t="s">
        <v>68</v>
      </c>
      <c r="I246" s="2" t="s">
        <v>73</v>
      </c>
      <c r="J246" s="2" t="s">
        <v>1963</v>
      </c>
      <c r="K246" s="2" t="s">
        <v>304</v>
      </c>
      <c r="L246" s="2" t="s">
        <v>119</v>
      </c>
      <c r="M246" s="8" t="str">
        <f>HYPERLINK("http://slimages.macys.com/is/image/MCY/11272141 ")</f>
        <v xml:space="preserve">http://slimages.macys.com/is/image/MCY/11272141 </v>
      </c>
    </row>
    <row r="247" spans="1:13" ht="60" x14ac:dyDescent="0.25">
      <c r="A247" s="7" t="s">
        <v>6365</v>
      </c>
      <c r="B247" s="2" t="s">
        <v>2058</v>
      </c>
      <c r="C247" s="4">
        <v>1</v>
      </c>
      <c r="D247" s="5">
        <v>4.25</v>
      </c>
      <c r="E247" s="5">
        <v>7.99</v>
      </c>
      <c r="F247" s="4" t="s">
        <v>2059</v>
      </c>
      <c r="G247" s="2" t="s">
        <v>36</v>
      </c>
      <c r="H247" s="7" t="s">
        <v>123</v>
      </c>
      <c r="I247" s="2" t="s">
        <v>73</v>
      </c>
      <c r="J247" s="2" t="s">
        <v>1963</v>
      </c>
      <c r="K247" s="2" t="s">
        <v>304</v>
      </c>
      <c r="L247" s="2" t="s">
        <v>119</v>
      </c>
      <c r="M247" s="8" t="str">
        <f>HYPERLINK("http://slimages.macys.com/is/image/MCY/11272141 ")</f>
        <v xml:space="preserve">http://slimages.macys.com/is/image/MCY/11272141 </v>
      </c>
    </row>
    <row r="248" spans="1:13" ht="60" x14ac:dyDescent="0.25">
      <c r="A248" s="7" t="s">
        <v>6364</v>
      </c>
      <c r="B248" s="2" t="s">
        <v>2058</v>
      </c>
      <c r="C248" s="4">
        <v>2</v>
      </c>
      <c r="D248" s="5">
        <v>4.25</v>
      </c>
      <c r="E248" s="5">
        <v>7.99</v>
      </c>
      <c r="F248" s="4" t="s">
        <v>2059</v>
      </c>
      <c r="G248" s="2" t="s">
        <v>36</v>
      </c>
      <c r="H248" s="7" t="s">
        <v>311</v>
      </c>
      <c r="I248" s="2" t="s">
        <v>73</v>
      </c>
      <c r="J248" s="2" t="s">
        <v>1963</v>
      </c>
      <c r="K248" s="2" t="s">
        <v>304</v>
      </c>
      <c r="L248" s="2" t="s">
        <v>119</v>
      </c>
      <c r="M248" s="8" t="str">
        <f>HYPERLINK("http://slimages.macys.com/is/image/MCY/11272141 ")</f>
        <v xml:space="preserve">http://slimages.macys.com/is/image/MCY/11272141 </v>
      </c>
    </row>
    <row r="249" spans="1:13" ht="60" x14ac:dyDescent="0.25">
      <c r="A249" s="7" t="s">
        <v>8356</v>
      </c>
      <c r="B249" s="2" t="s">
        <v>2058</v>
      </c>
      <c r="C249" s="4">
        <v>1</v>
      </c>
      <c r="D249" s="5">
        <v>4.25</v>
      </c>
      <c r="E249" s="5">
        <v>7.99</v>
      </c>
      <c r="F249" s="4" t="s">
        <v>2059</v>
      </c>
      <c r="G249" s="2" t="s">
        <v>41</v>
      </c>
      <c r="H249" s="7" t="s">
        <v>68</v>
      </c>
      <c r="I249" s="2" t="s">
        <v>73</v>
      </c>
      <c r="J249" s="2" t="s">
        <v>1963</v>
      </c>
      <c r="K249" s="2" t="s">
        <v>304</v>
      </c>
      <c r="L249" s="2" t="s">
        <v>119</v>
      </c>
      <c r="M249" s="8" t="str">
        <f>HYPERLINK("http://slimages.macys.com/is/image/MCY/11272141 ")</f>
        <v xml:space="preserve">http://slimages.macys.com/is/image/MCY/11272141 </v>
      </c>
    </row>
    <row r="250" spans="1:13" ht="60" x14ac:dyDescent="0.25">
      <c r="A250" s="7" t="s">
        <v>8357</v>
      </c>
      <c r="B250" s="2" t="s">
        <v>2058</v>
      </c>
      <c r="C250" s="4">
        <v>1</v>
      </c>
      <c r="D250" s="5">
        <v>4.25</v>
      </c>
      <c r="E250" s="5">
        <v>7.99</v>
      </c>
      <c r="F250" s="4" t="s">
        <v>2059</v>
      </c>
      <c r="G250" s="2" t="s">
        <v>41</v>
      </c>
      <c r="H250" s="7" t="s">
        <v>123</v>
      </c>
      <c r="I250" s="2" t="s">
        <v>73</v>
      </c>
      <c r="J250" s="2" t="s">
        <v>1963</v>
      </c>
      <c r="K250" s="2" t="s">
        <v>304</v>
      </c>
      <c r="L250" s="2" t="s">
        <v>119</v>
      </c>
      <c r="M250" s="8" t="str">
        <f>HYPERLINK("http://slimages.macys.com/is/image/MCY/11272141 ")</f>
        <v xml:space="preserve">http://slimages.macys.com/is/image/MCY/11272141 </v>
      </c>
    </row>
    <row r="251" spans="1:13" ht="60" x14ac:dyDescent="0.25">
      <c r="A251" s="7" t="s">
        <v>8358</v>
      </c>
      <c r="B251" s="2" t="s">
        <v>6367</v>
      </c>
      <c r="C251" s="4">
        <v>1</v>
      </c>
      <c r="D251" s="5">
        <v>4.22</v>
      </c>
      <c r="E251" s="5">
        <v>9.99</v>
      </c>
      <c r="F251" s="4" t="s">
        <v>6368</v>
      </c>
      <c r="G251" s="2" t="s">
        <v>129</v>
      </c>
      <c r="H251" s="7" t="s">
        <v>514</v>
      </c>
      <c r="I251" s="2" t="s">
        <v>515</v>
      </c>
      <c r="J251" s="2" t="s">
        <v>875</v>
      </c>
      <c r="K251" s="2" t="s">
        <v>304</v>
      </c>
      <c r="L251" s="2" t="s">
        <v>119</v>
      </c>
      <c r="M251" s="8" t="str">
        <f>HYPERLINK("http://slimages.macys.com/is/image/MCY/12953207 ")</f>
        <v xml:space="preserve">http://slimages.macys.com/is/image/MCY/12953207 </v>
      </c>
    </row>
    <row r="252" spans="1:13" ht="60" x14ac:dyDescent="0.25">
      <c r="A252" s="7" t="s">
        <v>2081</v>
      </c>
      <c r="B252" s="2" t="s">
        <v>2075</v>
      </c>
      <c r="C252" s="4">
        <v>4</v>
      </c>
      <c r="D252" s="5">
        <v>4.1500000000000004</v>
      </c>
      <c r="E252" s="5">
        <v>10.99</v>
      </c>
      <c r="F252" s="4" t="s">
        <v>2076</v>
      </c>
      <c r="G252" s="2"/>
      <c r="H252" s="7"/>
      <c r="I252" s="2" t="s">
        <v>312</v>
      </c>
      <c r="J252" s="2" t="s">
        <v>2077</v>
      </c>
      <c r="K252" s="2" t="s">
        <v>304</v>
      </c>
      <c r="L252" s="2" t="s">
        <v>2078</v>
      </c>
      <c r="M252" s="8" t="str">
        <f>HYPERLINK("http://slimages.macys.com/is/image/MCY/12045142 ")</f>
        <v xml:space="preserve">http://slimages.macys.com/is/image/MCY/12045142 </v>
      </c>
    </row>
    <row r="253" spans="1:13" ht="60" x14ac:dyDescent="0.25">
      <c r="A253" s="7" t="s">
        <v>8359</v>
      </c>
      <c r="B253" s="2" t="s">
        <v>8360</v>
      </c>
      <c r="C253" s="4">
        <v>1</v>
      </c>
      <c r="D253" s="5">
        <v>4.1500000000000004</v>
      </c>
      <c r="E253" s="5">
        <v>9.99</v>
      </c>
      <c r="F253" s="4" t="s">
        <v>8361</v>
      </c>
      <c r="G253" s="2" t="s">
        <v>262</v>
      </c>
      <c r="H253" s="7" t="s">
        <v>159</v>
      </c>
      <c r="I253" s="2" t="s">
        <v>468</v>
      </c>
      <c r="J253" s="2" t="s">
        <v>469</v>
      </c>
      <c r="K253" s="2" t="s">
        <v>304</v>
      </c>
      <c r="L253" s="2" t="s">
        <v>119</v>
      </c>
      <c r="M253" s="8" t="str">
        <f>HYPERLINK("http://slimages.macys.com/is/image/MCY/12809148 ")</f>
        <v xml:space="preserve">http://slimages.macys.com/is/image/MCY/12809148 </v>
      </c>
    </row>
    <row r="254" spans="1:13" ht="60" x14ac:dyDescent="0.25">
      <c r="A254" s="7" t="s">
        <v>2074</v>
      </c>
      <c r="B254" s="2" t="s">
        <v>2075</v>
      </c>
      <c r="C254" s="4">
        <v>1</v>
      </c>
      <c r="D254" s="5">
        <v>4.1500000000000004</v>
      </c>
      <c r="E254" s="5">
        <v>10.99</v>
      </c>
      <c r="F254" s="4" t="s">
        <v>2076</v>
      </c>
      <c r="G254" s="2"/>
      <c r="H254" s="7"/>
      <c r="I254" s="2" t="s">
        <v>312</v>
      </c>
      <c r="J254" s="2" t="s">
        <v>2077</v>
      </c>
      <c r="K254" s="2" t="s">
        <v>304</v>
      </c>
      <c r="L254" s="2" t="s">
        <v>2078</v>
      </c>
      <c r="M254" s="8" t="str">
        <f>HYPERLINK("http://slimages.macys.com/is/image/MCY/12045142 ")</f>
        <v xml:space="preserve">http://slimages.macys.com/is/image/MCY/12045142 </v>
      </c>
    </row>
    <row r="255" spans="1:13" ht="60" x14ac:dyDescent="0.25">
      <c r="A255" s="7" t="s">
        <v>2080</v>
      </c>
      <c r="B255" s="2" t="s">
        <v>2075</v>
      </c>
      <c r="C255" s="4">
        <v>1</v>
      </c>
      <c r="D255" s="5">
        <v>4.1500000000000004</v>
      </c>
      <c r="E255" s="5">
        <v>10.99</v>
      </c>
      <c r="F255" s="4" t="s">
        <v>2076</v>
      </c>
      <c r="G255" s="2"/>
      <c r="H255" s="7"/>
      <c r="I255" s="2" t="s">
        <v>312</v>
      </c>
      <c r="J255" s="2" t="s">
        <v>2077</v>
      </c>
      <c r="K255" s="2" t="s">
        <v>304</v>
      </c>
      <c r="L255" s="2" t="s">
        <v>2078</v>
      </c>
      <c r="M255" s="8" t="str">
        <f>HYPERLINK("http://slimages.macys.com/is/image/MCY/12045142 ")</f>
        <v xml:space="preserve">http://slimages.macys.com/is/image/MCY/12045142 </v>
      </c>
    </row>
    <row r="256" spans="1:13" ht="84" x14ac:dyDescent="0.25">
      <c r="A256" s="7" t="s">
        <v>8362</v>
      </c>
      <c r="B256" s="2" t="s">
        <v>6375</v>
      </c>
      <c r="C256" s="4">
        <v>1</v>
      </c>
      <c r="D256" s="5">
        <v>4.05</v>
      </c>
      <c r="E256" s="5">
        <v>9.99</v>
      </c>
      <c r="F256" s="4" t="s">
        <v>6376</v>
      </c>
      <c r="G256" s="2" t="s">
        <v>582</v>
      </c>
      <c r="H256" s="7" t="s">
        <v>123</v>
      </c>
      <c r="I256" s="2" t="s">
        <v>515</v>
      </c>
      <c r="J256" s="2" t="s">
        <v>875</v>
      </c>
      <c r="K256" s="2" t="s">
        <v>304</v>
      </c>
      <c r="L256" s="2" t="s">
        <v>8363</v>
      </c>
      <c r="M256" s="8" t="str">
        <f>HYPERLINK("http://slimages.macys.com/is/image/MCY/12953221 ")</f>
        <v xml:space="preserve">http://slimages.macys.com/is/image/MCY/12953221 </v>
      </c>
    </row>
    <row r="257" spans="1:13" ht="60" x14ac:dyDescent="0.25">
      <c r="A257" s="7" t="s">
        <v>6005</v>
      </c>
      <c r="B257" s="2" t="s">
        <v>6006</v>
      </c>
      <c r="C257" s="4">
        <v>2</v>
      </c>
      <c r="D257" s="5">
        <v>4.05</v>
      </c>
      <c r="E257" s="5">
        <v>12.99</v>
      </c>
      <c r="F257" s="4" t="s">
        <v>6007</v>
      </c>
      <c r="G257" s="2" t="s">
        <v>437</v>
      </c>
      <c r="H257" s="7" t="s">
        <v>531</v>
      </c>
      <c r="I257" s="2" t="s">
        <v>483</v>
      </c>
      <c r="J257" s="2" t="s">
        <v>536</v>
      </c>
      <c r="K257" s="2" t="s">
        <v>304</v>
      </c>
      <c r="L257" s="2" t="s">
        <v>2711</v>
      </c>
      <c r="M257" s="8" t="str">
        <f>HYPERLINK("http://slimages.macys.com/is/image/MCY/12230704 ")</f>
        <v xml:space="preserve">http://slimages.macys.com/is/image/MCY/12230704 </v>
      </c>
    </row>
    <row r="258" spans="1:13" ht="60" x14ac:dyDescent="0.25">
      <c r="A258" s="7" t="s">
        <v>1145</v>
      </c>
      <c r="B258" s="2" t="s">
        <v>1146</v>
      </c>
      <c r="C258" s="4">
        <v>4</v>
      </c>
      <c r="D258" s="5">
        <v>4.03</v>
      </c>
      <c r="E258" s="5">
        <v>11.98</v>
      </c>
      <c r="F258" s="4">
        <v>10006013300</v>
      </c>
      <c r="G258" s="2" t="s">
        <v>1147</v>
      </c>
      <c r="H258" s="7" t="s">
        <v>531</v>
      </c>
      <c r="I258" s="2" t="s">
        <v>483</v>
      </c>
      <c r="J258" s="2" t="s">
        <v>536</v>
      </c>
      <c r="K258" s="2" t="s">
        <v>304</v>
      </c>
      <c r="L258" s="2" t="s">
        <v>125</v>
      </c>
      <c r="M258" s="8" t="str">
        <f>HYPERLINK("http://slimages.macys.com/is/image/MCY/12465711 ")</f>
        <v xml:space="preserve">http://slimages.macys.com/is/image/MCY/12465711 </v>
      </c>
    </row>
    <row r="259" spans="1:13" ht="60" x14ac:dyDescent="0.25">
      <c r="A259" s="7" t="s">
        <v>6379</v>
      </c>
      <c r="B259" s="2" t="s">
        <v>6380</v>
      </c>
      <c r="C259" s="4">
        <v>1</v>
      </c>
      <c r="D259" s="5">
        <v>4</v>
      </c>
      <c r="E259" s="5">
        <v>8</v>
      </c>
      <c r="F259" s="4" t="s">
        <v>6381</v>
      </c>
      <c r="G259" s="2" t="s">
        <v>48</v>
      </c>
      <c r="H259" s="7" t="s">
        <v>209</v>
      </c>
      <c r="I259" s="2" t="s">
        <v>487</v>
      </c>
      <c r="J259" s="2" t="s">
        <v>488</v>
      </c>
      <c r="K259" s="2" t="s">
        <v>304</v>
      </c>
      <c r="L259" s="2" t="s">
        <v>206</v>
      </c>
      <c r="M259" s="8" t="str">
        <f>HYPERLINK("http://slimages.macys.com/is/image/MCY/12338634 ")</f>
        <v xml:space="preserve">http://slimages.macys.com/is/image/MCY/12338634 </v>
      </c>
    </row>
    <row r="260" spans="1:13" ht="60" x14ac:dyDescent="0.25">
      <c r="A260" s="7" t="s">
        <v>8364</v>
      </c>
      <c r="B260" s="2" t="s">
        <v>1153</v>
      </c>
      <c r="C260" s="4">
        <v>1</v>
      </c>
      <c r="D260" s="5">
        <v>4</v>
      </c>
      <c r="E260" s="5">
        <v>9.99</v>
      </c>
      <c r="F260" s="4" t="s">
        <v>1154</v>
      </c>
      <c r="G260" s="2" t="s">
        <v>86</v>
      </c>
      <c r="H260" s="7" t="s">
        <v>159</v>
      </c>
      <c r="I260" s="2" t="s">
        <v>468</v>
      </c>
      <c r="J260" s="2" t="s">
        <v>469</v>
      </c>
      <c r="K260" s="2" t="s">
        <v>304</v>
      </c>
      <c r="L260" s="2" t="s">
        <v>119</v>
      </c>
      <c r="M260" s="8" t="str">
        <f>HYPERLINK("http://slimages.macys.com/is/image/MCY/12506792 ")</f>
        <v xml:space="preserve">http://slimages.macys.com/is/image/MCY/12506792 </v>
      </c>
    </row>
    <row r="261" spans="1:13" ht="60" x14ac:dyDescent="0.25">
      <c r="A261" s="7" t="s">
        <v>8365</v>
      </c>
      <c r="B261" s="2" t="s">
        <v>8366</v>
      </c>
      <c r="C261" s="4">
        <v>2</v>
      </c>
      <c r="D261" s="5">
        <v>4</v>
      </c>
      <c r="E261" s="5">
        <v>9.99</v>
      </c>
      <c r="F261" s="4" t="s">
        <v>8367</v>
      </c>
      <c r="G261" s="2" t="s">
        <v>62</v>
      </c>
      <c r="H261" s="7" t="s">
        <v>228</v>
      </c>
      <c r="I261" s="2" t="s">
        <v>468</v>
      </c>
      <c r="J261" s="2" t="s">
        <v>469</v>
      </c>
      <c r="K261" s="2" t="s">
        <v>304</v>
      </c>
      <c r="L261" s="2" t="s">
        <v>119</v>
      </c>
      <c r="M261" s="8" t="str">
        <f>HYPERLINK("http://slimages.macys.com/is/image/MCY/12506652 ")</f>
        <v xml:space="preserve">http://slimages.macys.com/is/image/MCY/12506652 </v>
      </c>
    </row>
    <row r="262" spans="1:13" ht="60" x14ac:dyDescent="0.25">
      <c r="A262" s="7" t="s">
        <v>8368</v>
      </c>
      <c r="B262" s="2" t="s">
        <v>6012</v>
      </c>
      <c r="C262" s="4">
        <v>1</v>
      </c>
      <c r="D262" s="5">
        <v>4</v>
      </c>
      <c r="E262" s="5">
        <v>8</v>
      </c>
      <c r="F262" s="4" t="s">
        <v>6013</v>
      </c>
      <c r="G262" s="2"/>
      <c r="H262" s="7" t="s">
        <v>209</v>
      </c>
      <c r="I262" s="2" t="s">
        <v>487</v>
      </c>
      <c r="J262" s="2" t="s">
        <v>488</v>
      </c>
      <c r="K262" s="2" t="s">
        <v>304</v>
      </c>
      <c r="L262" s="2" t="s">
        <v>206</v>
      </c>
      <c r="M262" s="8" t="str">
        <f>HYPERLINK("http://slimages.macys.com/is/image/MCY/12236155 ")</f>
        <v xml:space="preserve">http://slimages.macys.com/is/image/MCY/12236155 </v>
      </c>
    </row>
    <row r="263" spans="1:13" ht="60" x14ac:dyDescent="0.25">
      <c r="A263" s="7" t="s">
        <v>8369</v>
      </c>
      <c r="B263" s="2" t="s">
        <v>6387</v>
      </c>
      <c r="C263" s="4">
        <v>1</v>
      </c>
      <c r="D263" s="5">
        <v>4</v>
      </c>
      <c r="E263" s="5">
        <v>8</v>
      </c>
      <c r="F263" s="4" t="s">
        <v>6388</v>
      </c>
      <c r="G263" s="2" t="s">
        <v>41</v>
      </c>
      <c r="H263" s="7" t="s">
        <v>209</v>
      </c>
      <c r="I263" s="2" t="s">
        <v>487</v>
      </c>
      <c r="J263" s="2" t="s">
        <v>488</v>
      </c>
      <c r="K263" s="2" t="s">
        <v>304</v>
      </c>
      <c r="L263" s="2" t="s">
        <v>206</v>
      </c>
      <c r="M263" s="8" t="str">
        <f>HYPERLINK("http://slimages.macys.com/is/image/MCY/12338634 ")</f>
        <v xml:space="preserve">http://slimages.macys.com/is/image/MCY/12338634 </v>
      </c>
    </row>
    <row r="264" spans="1:13" ht="60" x14ac:dyDescent="0.25">
      <c r="A264" s="7" t="s">
        <v>1152</v>
      </c>
      <c r="B264" s="2" t="s">
        <v>1153</v>
      </c>
      <c r="C264" s="4">
        <v>1</v>
      </c>
      <c r="D264" s="5">
        <v>4</v>
      </c>
      <c r="E264" s="5">
        <v>9.99</v>
      </c>
      <c r="F264" s="4" t="s">
        <v>1154</v>
      </c>
      <c r="G264" s="2" t="s">
        <v>86</v>
      </c>
      <c r="H264" s="7" t="s">
        <v>217</v>
      </c>
      <c r="I264" s="2" t="s">
        <v>468</v>
      </c>
      <c r="J264" s="2" t="s">
        <v>469</v>
      </c>
      <c r="K264" s="2" t="s">
        <v>304</v>
      </c>
      <c r="L264" s="2" t="s">
        <v>119</v>
      </c>
      <c r="M264" s="8" t="str">
        <f>HYPERLINK("http://slimages.macys.com/is/image/MCY/12506792 ")</f>
        <v xml:space="preserve">http://slimages.macys.com/is/image/MCY/12506792 </v>
      </c>
    </row>
    <row r="265" spans="1:13" ht="60" x14ac:dyDescent="0.25">
      <c r="A265" s="7" t="s">
        <v>5587</v>
      </c>
      <c r="B265" s="2" t="s">
        <v>5588</v>
      </c>
      <c r="C265" s="4">
        <v>19</v>
      </c>
      <c r="D265" s="5">
        <v>3.9</v>
      </c>
      <c r="E265" s="5">
        <v>7.99</v>
      </c>
      <c r="F265" s="4" t="s">
        <v>5589</v>
      </c>
      <c r="G265" s="2" t="s">
        <v>1047</v>
      </c>
      <c r="H265" s="7" t="s">
        <v>5590</v>
      </c>
      <c r="I265" s="2" t="s">
        <v>523</v>
      </c>
      <c r="J265" s="2" t="s">
        <v>5056</v>
      </c>
      <c r="K265" s="2" t="s">
        <v>304</v>
      </c>
      <c r="L265" s="2" t="s">
        <v>358</v>
      </c>
      <c r="M265" s="8" t="str">
        <f>HYPERLINK("http://slimages.macys.com/is/image/MCY/3254673 ")</f>
        <v xml:space="preserve">http://slimages.macys.com/is/image/MCY/3254673 </v>
      </c>
    </row>
    <row r="266" spans="1:13" ht="60" x14ac:dyDescent="0.25">
      <c r="A266" s="7" t="s">
        <v>5583</v>
      </c>
      <c r="B266" s="2" t="s">
        <v>5584</v>
      </c>
      <c r="C266" s="4">
        <v>1</v>
      </c>
      <c r="D266" s="5">
        <v>3.9</v>
      </c>
      <c r="E266" s="5">
        <v>7.99</v>
      </c>
      <c r="F266" s="4" t="s">
        <v>5585</v>
      </c>
      <c r="G266" s="2" t="s">
        <v>1047</v>
      </c>
      <c r="H266" s="7" t="s">
        <v>5586</v>
      </c>
      <c r="I266" s="2" t="s">
        <v>523</v>
      </c>
      <c r="J266" s="2" t="s">
        <v>5056</v>
      </c>
      <c r="K266" s="2" t="s">
        <v>304</v>
      </c>
      <c r="L266" s="2" t="s">
        <v>358</v>
      </c>
      <c r="M266" s="8" t="str">
        <f>HYPERLINK("http://slimages.macys.com/is/image/MCY/8847919 ")</f>
        <v xml:space="preserve">http://slimages.macys.com/is/image/MCY/8847919 </v>
      </c>
    </row>
    <row r="267" spans="1:13" ht="60" x14ac:dyDescent="0.25">
      <c r="A267" s="7" t="s">
        <v>5053</v>
      </c>
      <c r="B267" s="2" t="s">
        <v>5054</v>
      </c>
      <c r="C267" s="4">
        <v>2</v>
      </c>
      <c r="D267" s="5">
        <v>3.9</v>
      </c>
      <c r="E267" s="5">
        <v>7.99</v>
      </c>
      <c r="F267" s="4" t="s">
        <v>5055</v>
      </c>
      <c r="G267" s="2" t="s">
        <v>1047</v>
      </c>
      <c r="H267" s="7"/>
      <c r="I267" s="2" t="s">
        <v>523</v>
      </c>
      <c r="J267" s="2" t="s">
        <v>5056</v>
      </c>
      <c r="K267" s="2" t="s">
        <v>304</v>
      </c>
      <c r="L267" s="2" t="s">
        <v>358</v>
      </c>
      <c r="M267" s="8" t="str">
        <f>HYPERLINK("http://slimages.macys.com/is/image/MCY/3254673 ")</f>
        <v xml:space="preserve">http://slimages.macys.com/is/image/MCY/3254673 </v>
      </c>
    </row>
    <row r="268" spans="1:13" ht="60" x14ac:dyDescent="0.25">
      <c r="A268" s="7" t="s">
        <v>8370</v>
      </c>
      <c r="B268" s="2" t="s">
        <v>8371</v>
      </c>
      <c r="C268" s="4">
        <v>1</v>
      </c>
      <c r="D268" s="5">
        <v>3.8</v>
      </c>
      <c r="E268" s="5">
        <v>10.99</v>
      </c>
      <c r="F268" s="4">
        <v>64786</v>
      </c>
      <c r="G268" s="2" t="s">
        <v>437</v>
      </c>
      <c r="H268" s="7" t="s">
        <v>266</v>
      </c>
      <c r="I268" s="2" t="s">
        <v>523</v>
      </c>
      <c r="J268" s="2" t="s">
        <v>1227</v>
      </c>
      <c r="K268" s="2" t="s">
        <v>304</v>
      </c>
      <c r="L268" s="2" t="s">
        <v>323</v>
      </c>
      <c r="M268" s="8" t="str">
        <f>HYPERLINK("http://slimages.macys.com/is/image/MCY/11869828 ")</f>
        <v xml:space="preserve">http://slimages.macys.com/is/image/MCY/11869828 </v>
      </c>
    </row>
    <row r="269" spans="1:13" ht="60" x14ac:dyDescent="0.25">
      <c r="A269" s="7" t="s">
        <v>8372</v>
      </c>
      <c r="B269" s="2" t="s">
        <v>7791</v>
      </c>
      <c r="C269" s="4">
        <v>1</v>
      </c>
      <c r="D269" s="5">
        <v>3.66</v>
      </c>
      <c r="E269" s="5">
        <v>7.99</v>
      </c>
      <c r="F269" s="4" t="s">
        <v>7792</v>
      </c>
      <c r="G269" s="2" t="s">
        <v>28</v>
      </c>
      <c r="H269" s="7" t="s">
        <v>618</v>
      </c>
      <c r="I269" s="2" t="s">
        <v>292</v>
      </c>
      <c r="J269" s="2" t="s">
        <v>354</v>
      </c>
      <c r="K269" s="2" t="s">
        <v>304</v>
      </c>
      <c r="L269" s="2" t="s">
        <v>119</v>
      </c>
      <c r="M269" s="8" t="str">
        <f>HYPERLINK("http://slimages.macys.com/is/image/MCY/11527193 ")</f>
        <v xml:space="preserve">http://slimages.macys.com/is/image/MCY/11527193 </v>
      </c>
    </row>
    <row r="270" spans="1:13" ht="60" x14ac:dyDescent="0.25">
      <c r="A270" s="7" t="s">
        <v>8373</v>
      </c>
      <c r="B270" s="2" t="s">
        <v>8374</v>
      </c>
      <c r="C270" s="4">
        <v>1</v>
      </c>
      <c r="D270" s="5">
        <v>3.66</v>
      </c>
      <c r="E270" s="5">
        <v>7.99</v>
      </c>
      <c r="F270" s="4" t="s">
        <v>8375</v>
      </c>
      <c r="G270" s="2" t="s">
        <v>41</v>
      </c>
      <c r="H270" s="7" t="s">
        <v>618</v>
      </c>
      <c r="I270" s="2" t="s">
        <v>292</v>
      </c>
      <c r="J270" s="2" t="s">
        <v>354</v>
      </c>
      <c r="K270" s="2" t="s">
        <v>304</v>
      </c>
      <c r="L270" s="2" t="s">
        <v>119</v>
      </c>
      <c r="M270" s="8" t="str">
        <f>HYPERLINK("http://slimages.macys.com/is/image/MCY/12001187 ")</f>
        <v xml:space="preserve">http://slimages.macys.com/is/image/MCY/12001187 </v>
      </c>
    </row>
    <row r="271" spans="1:13" ht="60" x14ac:dyDescent="0.25">
      <c r="A271" s="7" t="s">
        <v>2682</v>
      </c>
      <c r="B271" s="2" t="s">
        <v>2113</v>
      </c>
      <c r="C271" s="4">
        <v>1</v>
      </c>
      <c r="D271" s="5">
        <v>3.58</v>
      </c>
      <c r="E271" s="5">
        <v>8.99</v>
      </c>
      <c r="F271" s="4" t="s">
        <v>2114</v>
      </c>
      <c r="G271" s="2" t="s">
        <v>297</v>
      </c>
      <c r="H271" s="7" t="s">
        <v>442</v>
      </c>
      <c r="I271" s="2" t="s">
        <v>483</v>
      </c>
      <c r="J271" s="2" t="s">
        <v>536</v>
      </c>
      <c r="K271" s="2" t="s">
        <v>304</v>
      </c>
      <c r="L271" s="2" t="s">
        <v>119</v>
      </c>
      <c r="M271" s="8" t="str">
        <f>HYPERLINK("http://slimages.macys.com/is/image/MCY/13987501 ")</f>
        <v xml:space="preserve">http://slimages.macys.com/is/image/MCY/13987501 </v>
      </c>
    </row>
    <row r="272" spans="1:13" ht="60" x14ac:dyDescent="0.25">
      <c r="A272" s="7" t="s">
        <v>2681</v>
      </c>
      <c r="B272" s="2" t="s">
        <v>2113</v>
      </c>
      <c r="C272" s="4">
        <v>2</v>
      </c>
      <c r="D272" s="5">
        <v>3.58</v>
      </c>
      <c r="E272" s="5">
        <v>8.99</v>
      </c>
      <c r="F272" s="4" t="s">
        <v>2114</v>
      </c>
      <c r="G272" s="2" t="s">
        <v>297</v>
      </c>
      <c r="H272" s="7" t="s">
        <v>590</v>
      </c>
      <c r="I272" s="2" t="s">
        <v>483</v>
      </c>
      <c r="J272" s="2" t="s">
        <v>536</v>
      </c>
      <c r="K272" s="2" t="s">
        <v>304</v>
      </c>
      <c r="L272" s="2" t="s">
        <v>119</v>
      </c>
      <c r="M272" s="8" t="str">
        <f>HYPERLINK("http://slimages.macys.com/is/image/MCY/13987501 ")</f>
        <v xml:space="preserve">http://slimages.macys.com/is/image/MCY/13987501 </v>
      </c>
    </row>
    <row r="273" spans="1:13" ht="60" x14ac:dyDescent="0.25">
      <c r="A273" s="7" t="s">
        <v>2112</v>
      </c>
      <c r="B273" s="2" t="s">
        <v>2113</v>
      </c>
      <c r="C273" s="4">
        <v>3</v>
      </c>
      <c r="D273" s="5">
        <v>3.58</v>
      </c>
      <c r="E273" s="5">
        <v>8.99</v>
      </c>
      <c r="F273" s="4" t="s">
        <v>2114</v>
      </c>
      <c r="G273" s="2" t="s">
        <v>297</v>
      </c>
      <c r="H273" s="7"/>
      <c r="I273" s="2" t="s">
        <v>483</v>
      </c>
      <c r="J273" s="2" t="s">
        <v>536</v>
      </c>
      <c r="K273" s="2" t="s">
        <v>304</v>
      </c>
      <c r="L273" s="2" t="s">
        <v>119</v>
      </c>
      <c r="M273" s="8" t="str">
        <f>HYPERLINK("http://slimages.macys.com/is/image/MCY/13987501 ")</f>
        <v xml:space="preserve">http://slimages.macys.com/is/image/MCY/13987501 </v>
      </c>
    </row>
    <row r="274" spans="1:13" ht="60" x14ac:dyDescent="0.25">
      <c r="A274" s="7" t="s">
        <v>2115</v>
      </c>
      <c r="B274" s="2" t="s">
        <v>2113</v>
      </c>
      <c r="C274" s="4">
        <v>2</v>
      </c>
      <c r="D274" s="5">
        <v>3.58</v>
      </c>
      <c r="E274" s="5">
        <v>8.99</v>
      </c>
      <c r="F274" s="4" t="s">
        <v>2114</v>
      </c>
      <c r="G274" s="2" t="s">
        <v>297</v>
      </c>
      <c r="H274" s="7" t="s">
        <v>149</v>
      </c>
      <c r="I274" s="2" t="s">
        <v>483</v>
      </c>
      <c r="J274" s="2" t="s">
        <v>536</v>
      </c>
      <c r="K274" s="2" t="s">
        <v>304</v>
      </c>
      <c r="L274" s="2" t="s">
        <v>119</v>
      </c>
      <c r="M274" s="8" t="str">
        <f>HYPERLINK("http://slimages.macys.com/is/image/MCY/13987501 ")</f>
        <v xml:space="preserve">http://slimages.macys.com/is/image/MCY/13987501 </v>
      </c>
    </row>
    <row r="275" spans="1:13" ht="60" x14ac:dyDescent="0.25">
      <c r="A275" s="7" t="s">
        <v>2680</v>
      </c>
      <c r="B275" s="2" t="s">
        <v>2113</v>
      </c>
      <c r="C275" s="4">
        <v>2</v>
      </c>
      <c r="D275" s="5">
        <v>3.58</v>
      </c>
      <c r="E275" s="5">
        <v>8.99</v>
      </c>
      <c r="F275" s="4" t="s">
        <v>2114</v>
      </c>
      <c r="G275" s="2" t="s">
        <v>297</v>
      </c>
      <c r="H275" s="7" t="s">
        <v>482</v>
      </c>
      <c r="I275" s="2" t="s">
        <v>483</v>
      </c>
      <c r="J275" s="2" t="s">
        <v>536</v>
      </c>
      <c r="K275" s="2" t="s">
        <v>304</v>
      </c>
      <c r="L275" s="2" t="s">
        <v>119</v>
      </c>
      <c r="M275" s="8" t="str">
        <f>HYPERLINK("http://slimages.macys.com/is/image/MCY/13987501 ")</f>
        <v xml:space="preserve">http://slimages.macys.com/is/image/MCY/13987501 </v>
      </c>
    </row>
    <row r="276" spans="1:13" ht="60" x14ac:dyDescent="0.25">
      <c r="A276" s="7" t="s">
        <v>2118</v>
      </c>
      <c r="B276" s="2" t="s">
        <v>2117</v>
      </c>
      <c r="C276" s="4">
        <v>1</v>
      </c>
      <c r="D276" s="5">
        <v>3.51</v>
      </c>
      <c r="E276" s="5">
        <v>8.99</v>
      </c>
      <c r="F276" s="4">
        <v>10006320100</v>
      </c>
      <c r="G276" s="2" t="s">
        <v>134</v>
      </c>
      <c r="H276" s="7" t="s">
        <v>590</v>
      </c>
      <c r="I276" s="2" t="s">
        <v>483</v>
      </c>
      <c r="J276" s="2" t="s">
        <v>536</v>
      </c>
      <c r="K276" s="2" t="s">
        <v>304</v>
      </c>
      <c r="L276" s="2" t="s">
        <v>38</v>
      </c>
      <c r="M276" s="8" t="str">
        <f>HYPERLINK("http://slimages.macys.com/is/image/MCY/13987499 ")</f>
        <v xml:space="preserve">http://slimages.macys.com/is/image/MCY/13987499 </v>
      </c>
    </row>
    <row r="277" spans="1:13" ht="60" x14ac:dyDescent="0.25">
      <c r="A277" s="7" t="s">
        <v>2116</v>
      </c>
      <c r="B277" s="2" t="s">
        <v>2117</v>
      </c>
      <c r="C277" s="4">
        <v>2</v>
      </c>
      <c r="D277" s="5">
        <v>3.51</v>
      </c>
      <c r="E277" s="5">
        <v>8.99</v>
      </c>
      <c r="F277" s="4">
        <v>10006320100</v>
      </c>
      <c r="G277" s="2" t="s">
        <v>134</v>
      </c>
      <c r="H277" s="7"/>
      <c r="I277" s="2" t="s">
        <v>483</v>
      </c>
      <c r="J277" s="2" t="s">
        <v>536</v>
      </c>
      <c r="K277" s="2" t="s">
        <v>304</v>
      </c>
      <c r="L277" s="2" t="s">
        <v>38</v>
      </c>
      <c r="M277" s="8" t="str">
        <f>HYPERLINK("http://slimages.macys.com/is/image/MCY/13987499 ")</f>
        <v xml:space="preserve">http://slimages.macys.com/is/image/MCY/13987499 </v>
      </c>
    </row>
    <row r="278" spans="1:13" ht="60" x14ac:dyDescent="0.25">
      <c r="A278" s="7" t="s">
        <v>2119</v>
      </c>
      <c r="B278" s="2" t="s">
        <v>2117</v>
      </c>
      <c r="C278" s="4">
        <v>3</v>
      </c>
      <c r="D278" s="5">
        <v>3.51</v>
      </c>
      <c r="E278" s="5">
        <v>8.99</v>
      </c>
      <c r="F278" s="4">
        <v>10006320100</v>
      </c>
      <c r="G278" s="2" t="s">
        <v>134</v>
      </c>
      <c r="H278" s="7" t="s">
        <v>149</v>
      </c>
      <c r="I278" s="2" t="s">
        <v>483</v>
      </c>
      <c r="J278" s="2" t="s">
        <v>536</v>
      </c>
      <c r="K278" s="2" t="s">
        <v>304</v>
      </c>
      <c r="L278" s="2" t="s">
        <v>38</v>
      </c>
      <c r="M278" s="8" t="str">
        <f>HYPERLINK("http://slimages.macys.com/is/image/MCY/13987499 ")</f>
        <v xml:space="preserve">http://slimages.macys.com/is/image/MCY/13987499 </v>
      </c>
    </row>
    <row r="279" spans="1:13" ht="60" x14ac:dyDescent="0.25">
      <c r="A279" s="7" t="s">
        <v>4281</v>
      </c>
      <c r="B279" s="2" t="s">
        <v>2117</v>
      </c>
      <c r="C279" s="4">
        <v>2</v>
      </c>
      <c r="D279" s="5">
        <v>3.51</v>
      </c>
      <c r="E279" s="5">
        <v>8.99</v>
      </c>
      <c r="F279" s="4">
        <v>10006320100</v>
      </c>
      <c r="G279" s="2" t="s">
        <v>134</v>
      </c>
      <c r="H279" s="7" t="s">
        <v>482</v>
      </c>
      <c r="I279" s="2" t="s">
        <v>483</v>
      </c>
      <c r="J279" s="2" t="s">
        <v>536</v>
      </c>
      <c r="K279" s="2" t="s">
        <v>304</v>
      </c>
      <c r="L279" s="2" t="s">
        <v>38</v>
      </c>
      <c r="M279" s="8" t="str">
        <f>HYPERLINK("http://slimages.macys.com/is/image/MCY/13987499 ")</f>
        <v xml:space="preserve">http://slimages.macys.com/is/image/MCY/13987499 </v>
      </c>
    </row>
    <row r="280" spans="1:13" ht="60" x14ac:dyDescent="0.25">
      <c r="A280" s="7" t="s">
        <v>8376</v>
      </c>
      <c r="B280" s="2" t="s">
        <v>8377</v>
      </c>
      <c r="C280" s="4">
        <v>1</v>
      </c>
      <c r="D280" s="5">
        <v>3.5</v>
      </c>
      <c r="E280" s="5">
        <v>8.14</v>
      </c>
      <c r="F280" s="4">
        <v>18494710</v>
      </c>
      <c r="G280" s="2" t="s">
        <v>62</v>
      </c>
      <c r="H280" s="7" t="s">
        <v>42</v>
      </c>
      <c r="I280" s="2" t="s">
        <v>153</v>
      </c>
      <c r="J280" s="2" t="s">
        <v>154</v>
      </c>
      <c r="K280" s="2" t="s">
        <v>304</v>
      </c>
      <c r="L280" s="2" t="s">
        <v>206</v>
      </c>
      <c r="M280" s="8" t="str">
        <f>HYPERLINK("http://slimages.macys.com/is/image/MCY/14661922 ")</f>
        <v xml:space="preserve">http://slimages.macys.com/is/image/MCY/14661922 </v>
      </c>
    </row>
    <row r="281" spans="1:13" ht="60" x14ac:dyDescent="0.25">
      <c r="A281" s="7" t="s">
        <v>8378</v>
      </c>
      <c r="B281" s="2" t="s">
        <v>8379</v>
      </c>
      <c r="C281" s="4">
        <v>1</v>
      </c>
      <c r="D281" s="5">
        <v>3.5</v>
      </c>
      <c r="E281" s="5">
        <v>8</v>
      </c>
      <c r="F281" s="4">
        <v>18197610</v>
      </c>
      <c r="G281" s="2" t="s">
        <v>48</v>
      </c>
      <c r="H281" s="7" t="s">
        <v>442</v>
      </c>
      <c r="I281" s="2" t="s">
        <v>153</v>
      </c>
      <c r="J281" s="2" t="s">
        <v>154</v>
      </c>
      <c r="K281" s="2" t="s">
        <v>304</v>
      </c>
      <c r="L281" s="2" t="s">
        <v>38</v>
      </c>
      <c r="M281" s="8" t="str">
        <f>HYPERLINK("http://slimages.macys.com/is/image/MCY/14608364 ")</f>
        <v xml:space="preserve">http://slimages.macys.com/is/image/MCY/14608364 </v>
      </c>
    </row>
    <row r="282" spans="1:13" ht="60" x14ac:dyDescent="0.25">
      <c r="A282" s="7" t="s">
        <v>8380</v>
      </c>
      <c r="B282" s="2" t="s">
        <v>5062</v>
      </c>
      <c r="C282" s="4">
        <v>2</v>
      </c>
      <c r="D282" s="5">
        <v>3.48</v>
      </c>
      <c r="E282" s="5">
        <v>5.99</v>
      </c>
      <c r="F282" s="4" t="s">
        <v>5063</v>
      </c>
      <c r="G282" s="2" t="s">
        <v>28</v>
      </c>
      <c r="H282" s="7" t="s">
        <v>68</v>
      </c>
      <c r="I282" s="2" t="s">
        <v>80</v>
      </c>
      <c r="J282" s="2" t="s">
        <v>1857</v>
      </c>
      <c r="K282" s="2" t="s">
        <v>304</v>
      </c>
      <c r="L282" s="2" t="s">
        <v>125</v>
      </c>
      <c r="M282" s="8" t="str">
        <f>HYPERLINK("http://slimages.macys.com/is/image/MCY/2581838 ")</f>
        <v xml:space="preserve">http://slimages.macys.com/is/image/MCY/2581838 </v>
      </c>
    </row>
    <row r="283" spans="1:13" ht="60" x14ac:dyDescent="0.25">
      <c r="A283" s="7" t="s">
        <v>8381</v>
      </c>
      <c r="B283" s="2" t="s">
        <v>8382</v>
      </c>
      <c r="C283" s="4">
        <v>1</v>
      </c>
      <c r="D283" s="5">
        <v>3.48</v>
      </c>
      <c r="E283" s="5">
        <v>5.99</v>
      </c>
      <c r="F283" s="4" t="s">
        <v>8383</v>
      </c>
      <c r="G283" s="2" t="s">
        <v>171</v>
      </c>
      <c r="H283" s="7" t="s">
        <v>68</v>
      </c>
      <c r="I283" s="2" t="s">
        <v>80</v>
      </c>
      <c r="J283" s="2" t="s">
        <v>1857</v>
      </c>
      <c r="K283" s="2" t="s">
        <v>304</v>
      </c>
      <c r="L283" s="2" t="s">
        <v>119</v>
      </c>
      <c r="M283" s="8" t="str">
        <f>HYPERLINK("http://slimages.macys.com/is/image/MCY/11271628 ")</f>
        <v xml:space="preserve">http://slimages.macys.com/is/image/MCY/11271628 </v>
      </c>
    </row>
    <row r="284" spans="1:13" ht="60" x14ac:dyDescent="0.25">
      <c r="A284" s="7" t="s">
        <v>6439</v>
      </c>
      <c r="B284" s="2" t="s">
        <v>2128</v>
      </c>
      <c r="C284" s="4">
        <v>1</v>
      </c>
      <c r="D284" s="5">
        <v>3.48</v>
      </c>
      <c r="E284" s="5">
        <v>5.99</v>
      </c>
      <c r="F284" s="4" t="s">
        <v>2129</v>
      </c>
      <c r="G284" s="2" t="s">
        <v>62</v>
      </c>
      <c r="H284" s="7" t="s">
        <v>311</v>
      </c>
      <c r="I284" s="2" t="s">
        <v>80</v>
      </c>
      <c r="J284" s="2" t="s">
        <v>1857</v>
      </c>
      <c r="K284" s="2" t="s">
        <v>304</v>
      </c>
      <c r="L284" s="2" t="s">
        <v>125</v>
      </c>
      <c r="M284" s="8" t="str">
        <f>HYPERLINK("http://slimages.macys.com/is/image/MCY/12751351 ")</f>
        <v xml:space="preserve">http://slimages.macys.com/is/image/MCY/12751351 </v>
      </c>
    </row>
    <row r="285" spans="1:13" ht="108" x14ac:dyDescent="0.25">
      <c r="A285" s="7" t="s">
        <v>6445</v>
      </c>
      <c r="B285" s="2" t="s">
        <v>565</v>
      </c>
      <c r="C285" s="4">
        <v>3</v>
      </c>
      <c r="D285" s="5">
        <v>3.45</v>
      </c>
      <c r="E285" s="5">
        <v>7.99</v>
      </c>
      <c r="F285" s="4" t="s">
        <v>566</v>
      </c>
      <c r="G285" s="2" t="s">
        <v>28</v>
      </c>
      <c r="H285" s="7" t="s">
        <v>311</v>
      </c>
      <c r="I285" s="2" t="s">
        <v>292</v>
      </c>
      <c r="J285" s="2" t="s">
        <v>354</v>
      </c>
      <c r="K285" s="2" t="s">
        <v>304</v>
      </c>
      <c r="L285" s="2" t="s">
        <v>567</v>
      </c>
      <c r="M285" s="8" t="str">
        <f>HYPERLINK("http://slimages.macys.com/is/image/MCY/12684419 ")</f>
        <v xml:space="preserve">http://slimages.macys.com/is/image/MCY/12684419 </v>
      </c>
    </row>
    <row r="286" spans="1:13" ht="60" x14ac:dyDescent="0.25">
      <c r="A286" s="7" t="s">
        <v>6443</v>
      </c>
      <c r="B286" s="2" t="s">
        <v>6444</v>
      </c>
      <c r="C286" s="4">
        <v>1</v>
      </c>
      <c r="D286" s="5">
        <v>3.45</v>
      </c>
      <c r="E286" s="5">
        <v>7.99</v>
      </c>
      <c r="F286" s="4">
        <v>100017100</v>
      </c>
      <c r="G286" s="2" t="s">
        <v>657</v>
      </c>
      <c r="H286" s="7" t="s">
        <v>578</v>
      </c>
      <c r="I286" s="2" t="s">
        <v>292</v>
      </c>
      <c r="J286" s="2" t="s">
        <v>354</v>
      </c>
      <c r="K286" s="2" t="s">
        <v>304</v>
      </c>
      <c r="L286" s="2" t="s">
        <v>119</v>
      </c>
      <c r="M286" s="8" t="str">
        <f>HYPERLINK("http://slimages.macys.com/is/image/MCY/9542293 ")</f>
        <v xml:space="preserve">http://slimages.macys.com/is/image/MCY/9542293 </v>
      </c>
    </row>
    <row r="287" spans="1:13" ht="60" x14ac:dyDescent="0.25">
      <c r="A287" s="7" t="s">
        <v>8384</v>
      </c>
      <c r="B287" s="2" t="s">
        <v>6444</v>
      </c>
      <c r="C287" s="4">
        <v>1</v>
      </c>
      <c r="D287" s="5">
        <v>3.45</v>
      </c>
      <c r="E287" s="5">
        <v>7.99</v>
      </c>
      <c r="F287" s="4">
        <v>100017100</v>
      </c>
      <c r="G287" s="2" t="s">
        <v>657</v>
      </c>
      <c r="H287" s="7" t="s">
        <v>1151</v>
      </c>
      <c r="I287" s="2" t="s">
        <v>292</v>
      </c>
      <c r="J287" s="2" t="s">
        <v>354</v>
      </c>
      <c r="K287" s="2" t="s">
        <v>304</v>
      </c>
      <c r="L287" s="2" t="s">
        <v>119</v>
      </c>
      <c r="M287" s="8" t="str">
        <f>HYPERLINK("http://slimages.macys.com/is/image/MCY/9542293 ")</f>
        <v xml:space="preserve">http://slimages.macys.com/is/image/MCY/9542293 </v>
      </c>
    </row>
    <row r="288" spans="1:13" ht="60" x14ac:dyDescent="0.25">
      <c r="A288" s="7" t="s">
        <v>8385</v>
      </c>
      <c r="B288" s="2" t="s">
        <v>1173</v>
      </c>
      <c r="C288" s="4">
        <v>1</v>
      </c>
      <c r="D288" s="5">
        <v>3.4</v>
      </c>
      <c r="E288" s="5">
        <v>6.99</v>
      </c>
      <c r="F288" s="4">
        <v>7128</v>
      </c>
      <c r="G288" s="2" t="s">
        <v>86</v>
      </c>
      <c r="H288" s="7" t="s">
        <v>284</v>
      </c>
      <c r="I288" s="2" t="s">
        <v>523</v>
      </c>
      <c r="J288" s="2" t="s">
        <v>969</v>
      </c>
      <c r="K288" s="2" t="s">
        <v>304</v>
      </c>
      <c r="L288" s="2" t="s">
        <v>1036</v>
      </c>
      <c r="M288" s="8" t="str">
        <f>HYPERLINK("http://slimages.macys.com/is/image/MCY/14718518 ")</f>
        <v xml:space="preserve">http://slimages.macys.com/is/image/MCY/14718518 </v>
      </c>
    </row>
    <row r="289" spans="1:13" ht="60" x14ac:dyDescent="0.25">
      <c r="A289" s="7" t="s">
        <v>8386</v>
      </c>
      <c r="B289" s="2" t="s">
        <v>1173</v>
      </c>
      <c r="C289" s="4">
        <v>1</v>
      </c>
      <c r="D289" s="5">
        <v>3.4</v>
      </c>
      <c r="E289" s="5">
        <v>6.99</v>
      </c>
      <c r="F289" s="4">
        <v>7128</v>
      </c>
      <c r="G289" s="2" t="s">
        <v>103</v>
      </c>
      <c r="H289" s="7" t="s">
        <v>284</v>
      </c>
      <c r="I289" s="2" t="s">
        <v>523</v>
      </c>
      <c r="J289" s="2" t="s">
        <v>969</v>
      </c>
      <c r="K289" s="2" t="s">
        <v>304</v>
      </c>
      <c r="L289" s="2" t="s">
        <v>1036</v>
      </c>
      <c r="M289" s="8" t="str">
        <f>HYPERLINK("http://slimages.macys.com/is/image/MCY/14718518 ")</f>
        <v xml:space="preserve">http://slimages.macys.com/is/image/MCY/14718518 </v>
      </c>
    </row>
    <row r="290" spans="1:13" ht="60" x14ac:dyDescent="0.25">
      <c r="A290" s="7" t="s">
        <v>2133</v>
      </c>
      <c r="B290" s="2" t="s">
        <v>2134</v>
      </c>
      <c r="C290" s="4">
        <v>4</v>
      </c>
      <c r="D290" s="5">
        <v>3.39</v>
      </c>
      <c r="E290" s="5">
        <v>8.99</v>
      </c>
      <c r="F290" s="4" t="s">
        <v>2135</v>
      </c>
      <c r="G290" s="2" t="s">
        <v>1265</v>
      </c>
      <c r="H290" s="7"/>
      <c r="I290" s="2" t="s">
        <v>483</v>
      </c>
      <c r="J290" s="2" t="s">
        <v>536</v>
      </c>
      <c r="K290" s="2" t="s">
        <v>304</v>
      </c>
      <c r="L290" s="2" t="s">
        <v>206</v>
      </c>
      <c r="M290" s="8" t="str">
        <f>HYPERLINK("http://slimages.macys.com/is/image/MCY/13337500 ")</f>
        <v xml:space="preserve">http://slimages.macys.com/is/image/MCY/13337500 </v>
      </c>
    </row>
    <row r="291" spans="1:13" ht="60" x14ac:dyDescent="0.25">
      <c r="A291" s="7" t="s">
        <v>2691</v>
      </c>
      <c r="B291" s="2" t="s">
        <v>2134</v>
      </c>
      <c r="C291" s="4">
        <v>1</v>
      </c>
      <c r="D291" s="5">
        <v>3.39</v>
      </c>
      <c r="E291" s="5">
        <v>8.99</v>
      </c>
      <c r="F291" s="4" t="s">
        <v>2135</v>
      </c>
      <c r="G291" s="2" t="s">
        <v>1265</v>
      </c>
      <c r="H291" s="7" t="s">
        <v>149</v>
      </c>
      <c r="I291" s="2" t="s">
        <v>483</v>
      </c>
      <c r="J291" s="2" t="s">
        <v>536</v>
      </c>
      <c r="K291" s="2" t="s">
        <v>304</v>
      </c>
      <c r="L291" s="2" t="s">
        <v>206</v>
      </c>
      <c r="M291" s="8" t="str">
        <f>HYPERLINK("http://slimages.macys.com/is/image/MCY/13337500 ")</f>
        <v xml:space="preserve">http://slimages.macys.com/is/image/MCY/13337500 </v>
      </c>
    </row>
    <row r="292" spans="1:13" ht="60" x14ac:dyDescent="0.25">
      <c r="A292" s="7" t="s">
        <v>2692</v>
      </c>
      <c r="B292" s="2" t="s">
        <v>2134</v>
      </c>
      <c r="C292" s="4">
        <v>1</v>
      </c>
      <c r="D292" s="5">
        <v>3.39</v>
      </c>
      <c r="E292" s="5">
        <v>8.99</v>
      </c>
      <c r="F292" s="4" t="s">
        <v>2135</v>
      </c>
      <c r="G292" s="2" t="s">
        <v>1265</v>
      </c>
      <c r="H292" s="7" t="s">
        <v>482</v>
      </c>
      <c r="I292" s="2" t="s">
        <v>483</v>
      </c>
      <c r="J292" s="2" t="s">
        <v>536</v>
      </c>
      <c r="K292" s="2" t="s">
        <v>304</v>
      </c>
      <c r="L292" s="2" t="s">
        <v>206</v>
      </c>
      <c r="M292" s="8" t="str">
        <f>HYPERLINK("http://slimages.macys.com/is/image/MCY/13337500 ")</f>
        <v xml:space="preserve">http://slimages.macys.com/is/image/MCY/13337500 </v>
      </c>
    </row>
    <row r="293" spans="1:13" ht="72" x14ac:dyDescent="0.25">
      <c r="A293" s="7" t="s">
        <v>4330</v>
      </c>
      <c r="B293" s="2" t="s">
        <v>4328</v>
      </c>
      <c r="C293" s="4">
        <v>1</v>
      </c>
      <c r="D293" s="5">
        <v>3.36</v>
      </c>
      <c r="E293" s="5">
        <v>7.99</v>
      </c>
      <c r="F293" s="4" t="s">
        <v>4329</v>
      </c>
      <c r="G293" s="2" t="s">
        <v>86</v>
      </c>
      <c r="H293" s="7" t="s">
        <v>1151</v>
      </c>
      <c r="I293" s="2" t="s">
        <v>1689</v>
      </c>
      <c r="J293" s="2" t="s">
        <v>354</v>
      </c>
      <c r="K293" s="2" t="s">
        <v>304</v>
      </c>
      <c r="L293" s="2" t="s">
        <v>1922</v>
      </c>
      <c r="M293" s="8" t="str">
        <f>HYPERLINK("http://slimages.macys.com/is/image/MCY/12495246 ")</f>
        <v xml:space="preserve">http://slimages.macys.com/is/image/MCY/12495246 </v>
      </c>
    </row>
    <row r="294" spans="1:13" ht="60" x14ac:dyDescent="0.25">
      <c r="A294" s="7" t="s">
        <v>8387</v>
      </c>
      <c r="B294" s="2" t="s">
        <v>4339</v>
      </c>
      <c r="C294" s="4">
        <v>1</v>
      </c>
      <c r="D294" s="5">
        <v>3.33</v>
      </c>
      <c r="E294" s="5">
        <v>7.99</v>
      </c>
      <c r="F294" s="4" t="s">
        <v>4340</v>
      </c>
      <c r="G294" s="2" t="s">
        <v>41</v>
      </c>
      <c r="H294" s="7" t="s">
        <v>166</v>
      </c>
      <c r="I294" s="2" t="s">
        <v>292</v>
      </c>
      <c r="J294" s="2" t="s">
        <v>354</v>
      </c>
      <c r="K294" s="2" t="s">
        <v>304</v>
      </c>
      <c r="L294" s="2" t="s">
        <v>571</v>
      </c>
      <c r="M294" s="8" t="str">
        <f>HYPERLINK("http://slimages.macys.com/is/image/MCY/12951266 ")</f>
        <v xml:space="preserve">http://slimages.macys.com/is/image/MCY/12951266 </v>
      </c>
    </row>
    <row r="295" spans="1:13" ht="60" x14ac:dyDescent="0.25">
      <c r="A295" s="7" t="s">
        <v>8388</v>
      </c>
      <c r="B295" s="2" t="s">
        <v>2138</v>
      </c>
      <c r="C295" s="4">
        <v>3</v>
      </c>
      <c r="D295" s="5">
        <v>3.3</v>
      </c>
      <c r="E295" s="5">
        <v>7.99</v>
      </c>
      <c r="F295" s="4" t="s">
        <v>2139</v>
      </c>
      <c r="G295" s="2" t="s">
        <v>62</v>
      </c>
      <c r="H295" s="7" t="s">
        <v>123</v>
      </c>
      <c r="I295" s="2" t="s">
        <v>1689</v>
      </c>
      <c r="J295" s="2" t="s">
        <v>354</v>
      </c>
      <c r="K295" s="2" t="s">
        <v>304</v>
      </c>
      <c r="L295" s="2" t="s">
        <v>119</v>
      </c>
      <c r="M295" s="8" t="str">
        <f t="shared" ref="M295:M315" si="0">HYPERLINK("http://slimages.macys.com/is/image/MCY/10178138 ")</f>
        <v xml:space="preserve">http://slimages.macys.com/is/image/MCY/10178138 </v>
      </c>
    </row>
    <row r="296" spans="1:13" ht="60" x14ac:dyDescent="0.25">
      <c r="A296" s="7" t="s">
        <v>6447</v>
      </c>
      <c r="B296" s="2" t="s">
        <v>2138</v>
      </c>
      <c r="C296" s="4">
        <v>5</v>
      </c>
      <c r="D296" s="5">
        <v>3.3</v>
      </c>
      <c r="E296" s="5">
        <v>7.99</v>
      </c>
      <c r="F296" s="4" t="s">
        <v>2139</v>
      </c>
      <c r="G296" s="2" t="s">
        <v>62</v>
      </c>
      <c r="H296" s="7" t="s">
        <v>1151</v>
      </c>
      <c r="I296" s="2" t="s">
        <v>1689</v>
      </c>
      <c r="J296" s="2" t="s">
        <v>354</v>
      </c>
      <c r="K296" s="2" t="s">
        <v>304</v>
      </c>
      <c r="L296" s="2" t="s">
        <v>119</v>
      </c>
      <c r="M296" s="8" t="str">
        <f t="shared" si="0"/>
        <v xml:space="preserve">http://slimages.macys.com/is/image/MCY/10178138 </v>
      </c>
    </row>
    <row r="297" spans="1:13" ht="60" x14ac:dyDescent="0.25">
      <c r="A297" s="7" t="s">
        <v>8389</v>
      </c>
      <c r="B297" s="2" t="s">
        <v>2138</v>
      </c>
      <c r="C297" s="4">
        <v>2</v>
      </c>
      <c r="D297" s="5">
        <v>3.3</v>
      </c>
      <c r="E297" s="5">
        <v>7.99</v>
      </c>
      <c r="F297" s="4" t="s">
        <v>2139</v>
      </c>
      <c r="G297" s="2" t="s">
        <v>62</v>
      </c>
      <c r="H297" s="7" t="s">
        <v>578</v>
      </c>
      <c r="I297" s="2" t="s">
        <v>1689</v>
      </c>
      <c r="J297" s="2" t="s">
        <v>354</v>
      </c>
      <c r="K297" s="2" t="s">
        <v>304</v>
      </c>
      <c r="L297" s="2" t="s">
        <v>119</v>
      </c>
      <c r="M297" s="8" t="str">
        <f t="shared" si="0"/>
        <v xml:space="preserve">http://slimages.macys.com/is/image/MCY/10178138 </v>
      </c>
    </row>
    <row r="298" spans="1:13" ht="60" x14ac:dyDescent="0.25">
      <c r="A298" s="7" t="s">
        <v>2137</v>
      </c>
      <c r="B298" s="2" t="s">
        <v>2138</v>
      </c>
      <c r="C298" s="4">
        <v>3</v>
      </c>
      <c r="D298" s="5">
        <v>3.3</v>
      </c>
      <c r="E298" s="5">
        <v>7.99</v>
      </c>
      <c r="F298" s="4" t="s">
        <v>2139</v>
      </c>
      <c r="G298" s="2" t="s">
        <v>793</v>
      </c>
      <c r="H298" s="7" t="s">
        <v>123</v>
      </c>
      <c r="I298" s="2" t="s">
        <v>1689</v>
      </c>
      <c r="J298" s="2" t="s">
        <v>354</v>
      </c>
      <c r="K298" s="2" t="s">
        <v>304</v>
      </c>
      <c r="L298" s="2" t="s">
        <v>119</v>
      </c>
      <c r="M298" s="8" t="str">
        <f t="shared" si="0"/>
        <v xml:space="preserve">http://slimages.macys.com/is/image/MCY/10178138 </v>
      </c>
    </row>
    <row r="299" spans="1:13" ht="60" x14ac:dyDescent="0.25">
      <c r="A299" s="7" t="s">
        <v>2141</v>
      </c>
      <c r="B299" s="2" t="s">
        <v>2138</v>
      </c>
      <c r="C299" s="4">
        <v>7</v>
      </c>
      <c r="D299" s="5">
        <v>3.3</v>
      </c>
      <c r="E299" s="5">
        <v>7.99</v>
      </c>
      <c r="F299" s="4" t="s">
        <v>2139</v>
      </c>
      <c r="G299" s="2" t="s">
        <v>62</v>
      </c>
      <c r="H299" s="7" t="s">
        <v>311</v>
      </c>
      <c r="I299" s="2" t="s">
        <v>1689</v>
      </c>
      <c r="J299" s="2" t="s">
        <v>354</v>
      </c>
      <c r="K299" s="2" t="s">
        <v>304</v>
      </c>
      <c r="L299" s="2" t="s">
        <v>119</v>
      </c>
      <c r="M299" s="8" t="str">
        <f t="shared" si="0"/>
        <v xml:space="preserve">http://slimages.macys.com/is/image/MCY/10178138 </v>
      </c>
    </row>
    <row r="300" spans="1:13" ht="60" x14ac:dyDescent="0.25">
      <c r="A300" s="7" t="s">
        <v>8390</v>
      </c>
      <c r="B300" s="2" t="s">
        <v>2138</v>
      </c>
      <c r="C300" s="4">
        <v>4</v>
      </c>
      <c r="D300" s="5">
        <v>3.3</v>
      </c>
      <c r="E300" s="5">
        <v>7.99</v>
      </c>
      <c r="F300" s="4" t="s">
        <v>2139</v>
      </c>
      <c r="G300" s="2" t="s">
        <v>793</v>
      </c>
      <c r="H300" s="7" t="s">
        <v>514</v>
      </c>
      <c r="I300" s="2" t="s">
        <v>1689</v>
      </c>
      <c r="J300" s="2" t="s">
        <v>354</v>
      </c>
      <c r="K300" s="2" t="s">
        <v>304</v>
      </c>
      <c r="L300" s="2" t="s">
        <v>119</v>
      </c>
      <c r="M300" s="8" t="str">
        <f t="shared" si="0"/>
        <v xml:space="preserve">http://slimages.macys.com/is/image/MCY/10178138 </v>
      </c>
    </row>
    <row r="301" spans="1:13" ht="60" x14ac:dyDescent="0.25">
      <c r="A301" s="7" t="s">
        <v>8391</v>
      </c>
      <c r="B301" s="2" t="s">
        <v>2138</v>
      </c>
      <c r="C301" s="4">
        <v>1</v>
      </c>
      <c r="D301" s="5">
        <v>3.3</v>
      </c>
      <c r="E301" s="5">
        <v>7.99</v>
      </c>
      <c r="F301" s="4" t="s">
        <v>2139</v>
      </c>
      <c r="G301" s="2" t="s">
        <v>793</v>
      </c>
      <c r="H301" s="7" t="s">
        <v>63</v>
      </c>
      <c r="I301" s="2" t="s">
        <v>1689</v>
      </c>
      <c r="J301" s="2" t="s">
        <v>354</v>
      </c>
      <c r="K301" s="2" t="s">
        <v>304</v>
      </c>
      <c r="L301" s="2" t="s">
        <v>119</v>
      </c>
      <c r="M301" s="8" t="str">
        <f t="shared" si="0"/>
        <v xml:space="preserve">http://slimages.macys.com/is/image/MCY/10178138 </v>
      </c>
    </row>
    <row r="302" spans="1:13" ht="60" x14ac:dyDescent="0.25">
      <c r="A302" s="7" t="s">
        <v>8392</v>
      </c>
      <c r="B302" s="2" t="s">
        <v>2138</v>
      </c>
      <c r="C302" s="4">
        <v>3</v>
      </c>
      <c r="D302" s="5">
        <v>3.3</v>
      </c>
      <c r="E302" s="5">
        <v>7.99</v>
      </c>
      <c r="F302" s="4" t="s">
        <v>2139</v>
      </c>
      <c r="G302" s="2" t="s">
        <v>62</v>
      </c>
      <c r="H302" s="7" t="s">
        <v>63</v>
      </c>
      <c r="I302" s="2" t="s">
        <v>1689</v>
      </c>
      <c r="J302" s="2" t="s">
        <v>354</v>
      </c>
      <c r="K302" s="2" t="s">
        <v>304</v>
      </c>
      <c r="L302" s="2" t="s">
        <v>119</v>
      </c>
      <c r="M302" s="8" t="str">
        <f t="shared" si="0"/>
        <v xml:space="preserve">http://slimages.macys.com/is/image/MCY/10178138 </v>
      </c>
    </row>
    <row r="303" spans="1:13" ht="60" x14ac:dyDescent="0.25">
      <c r="A303" s="7" t="s">
        <v>6448</v>
      </c>
      <c r="B303" s="2" t="s">
        <v>2138</v>
      </c>
      <c r="C303" s="4">
        <v>4</v>
      </c>
      <c r="D303" s="5">
        <v>3.3</v>
      </c>
      <c r="E303" s="5">
        <v>7.99</v>
      </c>
      <c r="F303" s="4" t="s">
        <v>2139</v>
      </c>
      <c r="G303" s="2" t="s">
        <v>62</v>
      </c>
      <c r="H303" s="7" t="s">
        <v>514</v>
      </c>
      <c r="I303" s="2" t="s">
        <v>1689</v>
      </c>
      <c r="J303" s="2" t="s">
        <v>354</v>
      </c>
      <c r="K303" s="2" t="s">
        <v>304</v>
      </c>
      <c r="L303" s="2" t="s">
        <v>119</v>
      </c>
      <c r="M303" s="8" t="str">
        <f t="shared" si="0"/>
        <v xml:space="preserve">http://slimages.macys.com/is/image/MCY/10178138 </v>
      </c>
    </row>
    <row r="304" spans="1:13" ht="60" x14ac:dyDescent="0.25">
      <c r="A304" s="7" t="s">
        <v>8393</v>
      </c>
      <c r="B304" s="2" t="s">
        <v>2138</v>
      </c>
      <c r="C304" s="4">
        <v>1</v>
      </c>
      <c r="D304" s="5">
        <v>3.3</v>
      </c>
      <c r="E304" s="5">
        <v>7.99</v>
      </c>
      <c r="F304" s="4" t="s">
        <v>2139</v>
      </c>
      <c r="G304" s="2" t="s">
        <v>86</v>
      </c>
      <c r="H304" s="7" t="s">
        <v>63</v>
      </c>
      <c r="I304" s="2" t="s">
        <v>1689</v>
      </c>
      <c r="J304" s="2" t="s">
        <v>354</v>
      </c>
      <c r="K304" s="2" t="s">
        <v>304</v>
      </c>
      <c r="L304" s="2" t="s">
        <v>119</v>
      </c>
      <c r="M304" s="8" t="str">
        <f t="shared" si="0"/>
        <v xml:space="preserve">http://slimages.macys.com/is/image/MCY/10178138 </v>
      </c>
    </row>
    <row r="305" spans="1:13" ht="60" x14ac:dyDescent="0.25">
      <c r="A305" s="7" t="s">
        <v>2140</v>
      </c>
      <c r="B305" s="2" t="s">
        <v>2138</v>
      </c>
      <c r="C305" s="4">
        <v>2</v>
      </c>
      <c r="D305" s="5">
        <v>3.3</v>
      </c>
      <c r="E305" s="5">
        <v>7.99</v>
      </c>
      <c r="F305" s="4" t="s">
        <v>2139</v>
      </c>
      <c r="G305" s="2" t="s">
        <v>793</v>
      </c>
      <c r="H305" s="7" t="s">
        <v>1151</v>
      </c>
      <c r="I305" s="2" t="s">
        <v>1689</v>
      </c>
      <c r="J305" s="2" t="s">
        <v>354</v>
      </c>
      <c r="K305" s="2" t="s">
        <v>304</v>
      </c>
      <c r="L305" s="2" t="s">
        <v>119</v>
      </c>
      <c r="M305" s="8" t="str">
        <f t="shared" si="0"/>
        <v xml:space="preserve">http://slimages.macys.com/is/image/MCY/10178138 </v>
      </c>
    </row>
    <row r="306" spans="1:13" ht="60" x14ac:dyDescent="0.25">
      <c r="A306" s="7" t="s">
        <v>8394</v>
      </c>
      <c r="B306" s="2" t="s">
        <v>2138</v>
      </c>
      <c r="C306" s="4">
        <v>1</v>
      </c>
      <c r="D306" s="5">
        <v>3.3</v>
      </c>
      <c r="E306" s="5">
        <v>7.99</v>
      </c>
      <c r="F306" s="4" t="s">
        <v>2139</v>
      </c>
      <c r="G306" s="2" t="s">
        <v>582</v>
      </c>
      <c r="H306" s="7" t="s">
        <v>311</v>
      </c>
      <c r="I306" s="2" t="s">
        <v>1689</v>
      </c>
      <c r="J306" s="2" t="s">
        <v>354</v>
      </c>
      <c r="K306" s="2" t="s">
        <v>304</v>
      </c>
      <c r="L306" s="2" t="s">
        <v>119</v>
      </c>
      <c r="M306" s="8" t="str">
        <f t="shared" si="0"/>
        <v xml:space="preserve">http://slimages.macys.com/is/image/MCY/10178138 </v>
      </c>
    </row>
    <row r="307" spans="1:13" ht="60" x14ac:dyDescent="0.25">
      <c r="A307" s="7" t="s">
        <v>2142</v>
      </c>
      <c r="B307" s="2" t="s">
        <v>2138</v>
      </c>
      <c r="C307" s="4">
        <v>4</v>
      </c>
      <c r="D307" s="5">
        <v>3.3</v>
      </c>
      <c r="E307" s="5">
        <v>7.99</v>
      </c>
      <c r="F307" s="4" t="s">
        <v>2139</v>
      </c>
      <c r="G307" s="2" t="s">
        <v>793</v>
      </c>
      <c r="H307" s="7" t="s">
        <v>311</v>
      </c>
      <c r="I307" s="2" t="s">
        <v>1689</v>
      </c>
      <c r="J307" s="2" t="s">
        <v>354</v>
      </c>
      <c r="K307" s="2" t="s">
        <v>304</v>
      </c>
      <c r="L307" s="2" t="s">
        <v>119</v>
      </c>
      <c r="M307" s="8" t="str">
        <f t="shared" si="0"/>
        <v xml:space="preserve">http://slimages.macys.com/is/image/MCY/10178138 </v>
      </c>
    </row>
    <row r="308" spans="1:13" ht="60" x14ac:dyDescent="0.25">
      <c r="A308" s="7" t="s">
        <v>8395</v>
      </c>
      <c r="B308" s="2" t="s">
        <v>2138</v>
      </c>
      <c r="C308" s="4">
        <v>1</v>
      </c>
      <c r="D308" s="5">
        <v>3.3</v>
      </c>
      <c r="E308" s="5">
        <v>7.99</v>
      </c>
      <c r="F308" s="4" t="s">
        <v>2139</v>
      </c>
      <c r="G308" s="2" t="s">
        <v>36</v>
      </c>
      <c r="H308" s="7" t="s">
        <v>578</v>
      </c>
      <c r="I308" s="2" t="s">
        <v>1689</v>
      </c>
      <c r="J308" s="2" t="s">
        <v>354</v>
      </c>
      <c r="K308" s="2" t="s">
        <v>304</v>
      </c>
      <c r="L308" s="2" t="s">
        <v>119</v>
      </c>
      <c r="M308" s="8" t="str">
        <f t="shared" si="0"/>
        <v xml:space="preserve">http://slimages.macys.com/is/image/MCY/10178138 </v>
      </c>
    </row>
    <row r="309" spans="1:13" ht="60" x14ac:dyDescent="0.25">
      <c r="A309" s="7" t="s">
        <v>8396</v>
      </c>
      <c r="B309" s="2" t="s">
        <v>2138</v>
      </c>
      <c r="C309" s="4">
        <v>1</v>
      </c>
      <c r="D309" s="5">
        <v>3.3</v>
      </c>
      <c r="E309" s="5">
        <v>7.99</v>
      </c>
      <c r="F309" s="4" t="s">
        <v>2139</v>
      </c>
      <c r="G309" s="2" t="s">
        <v>582</v>
      </c>
      <c r="H309" s="7" t="s">
        <v>123</v>
      </c>
      <c r="I309" s="2" t="s">
        <v>1689</v>
      </c>
      <c r="J309" s="2" t="s">
        <v>354</v>
      </c>
      <c r="K309" s="2" t="s">
        <v>304</v>
      </c>
      <c r="L309" s="2" t="s">
        <v>119</v>
      </c>
      <c r="M309" s="8" t="str">
        <f t="shared" si="0"/>
        <v xml:space="preserve">http://slimages.macys.com/is/image/MCY/10178138 </v>
      </c>
    </row>
    <row r="310" spans="1:13" ht="60" x14ac:dyDescent="0.25">
      <c r="A310" s="7" t="s">
        <v>8397</v>
      </c>
      <c r="B310" s="2" t="s">
        <v>2138</v>
      </c>
      <c r="C310" s="4">
        <v>1</v>
      </c>
      <c r="D310" s="5">
        <v>3.3</v>
      </c>
      <c r="E310" s="5">
        <v>7.99</v>
      </c>
      <c r="F310" s="4" t="s">
        <v>2139</v>
      </c>
      <c r="G310" s="2" t="s">
        <v>36</v>
      </c>
      <c r="H310" s="7" t="s">
        <v>311</v>
      </c>
      <c r="I310" s="2" t="s">
        <v>1689</v>
      </c>
      <c r="J310" s="2" t="s">
        <v>354</v>
      </c>
      <c r="K310" s="2" t="s">
        <v>304</v>
      </c>
      <c r="L310" s="2" t="s">
        <v>119</v>
      </c>
      <c r="M310" s="8" t="str">
        <f t="shared" si="0"/>
        <v xml:space="preserve">http://slimages.macys.com/is/image/MCY/10178138 </v>
      </c>
    </row>
    <row r="311" spans="1:13" ht="60" x14ac:dyDescent="0.25">
      <c r="A311" s="7" t="s">
        <v>8398</v>
      </c>
      <c r="B311" s="2" t="s">
        <v>2138</v>
      </c>
      <c r="C311" s="4">
        <v>1</v>
      </c>
      <c r="D311" s="5">
        <v>3.3</v>
      </c>
      <c r="E311" s="5">
        <v>7.99</v>
      </c>
      <c r="F311" s="4" t="s">
        <v>2139</v>
      </c>
      <c r="G311" s="2" t="s">
        <v>36</v>
      </c>
      <c r="H311" s="7" t="s">
        <v>123</v>
      </c>
      <c r="I311" s="2" t="s">
        <v>1689</v>
      </c>
      <c r="J311" s="2" t="s">
        <v>354</v>
      </c>
      <c r="K311" s="2" t="s">
        <v>304</v>
      </c>
      <c r="L311" s="2" t="s">
        <v>119</v>
      </c>
      <c r="M311" s="8" t="str">
        <f t="shared" si="0"/>
        <v xml:space="preserve">http://slimages.macys.com/is/image/MCY/10178138 </v>
      </c>
    </row>
    <row r="312" spans="1:13" ht="60" x14ac:dyDescent="0.25">
      <c r="A312" s="7" t="s">
        <v>6449</v>
      </c>
      <c r="B312" s="2" t="s">
        <v>2138</v>
      </c>
      <c r="C312" s="4">
        <v>1</v>
      </c>
      <c r="D312" s="5">
        <v>3.3</v>
      </c>
      <c r="E312" s="5">
        <v>7.99</v>
      </c>
      <c r="F312" s="4" t="s">
        <v>2139</v>
      </c>
      <c r="G312" s="2" t="s">
        <v>86</v>
      </c>
      <c r="H312" s="7" t="s">
        <v>578</v>
      </c>
      <c r="I312" s="2" t="s">
        <v>1689</v>
      </c>
      <c r="J312" s="2" t="s">
        <v>354</v>
      </c>
      <c r="K312" s="2" t="s">
        <v>304</v>
      </c>
      <c r="L312" s="2" t="s">
        <v>119</v>
      </c>
      <c r="M312" s="8" t="str">
        <f t="shared" si="0"/>
        <v xml:space="preserve">http://slimages.macys.com/is/image/MCY/10178138 </v>
      </c>
    </row>
    <row r="313" spans="1:13" ht="60" x14ac:dyDescent="0.25">
      <c r="A313" s="7" t="s">
        <v>8399</v>
      </c>
      <c r="B313" s="2" t="s">
        <v>2138</v>
      </c>
      <c r="C313" s="4">
        <v>1</v>
      </c>
      <c r="D313" s="5">
        <v>3.3</v>
      </c>
      <c r="E313" s="5">
        <v>7.99</v>
      </c>
      <c r="F313" s="4" t="s">
        <v>2139</v>
      </c>
      <c r="G313" s="2" t="s">
        <v>582</v>
      </c>
      <c r="H313" s="7" t="s">
        <v>514</v>
      </c>
      <c r="I313" s="2" t="s">
        <v>1689</v>
      </c>
      <c r="J313" s="2" t="s">
        <v>354</v>
      </c>
      <c r="K313" s="2" t="s">
        <v>304</v>
      </c>
      <c r="L313" s="2" t="s">
        <v>119</v>
      </c>
      <c r="M313" s="8" t="str">
        <f t="shared" si="0"/>
        <v xml:space="preserve">http://slimages.macys.com/is/image/MCY/10178138 </v>
      </c>
    </row>
    <row r="314" spans="1:13" ht="60" x14ac:dyDescent="0.25">
      <c r="A314" s="7" t="s">
        <v>8400</v>
      </c>
      <c r="B314" s="2" t="s">
        <v>2138</v>
      </c>
      <c r="C314" s="4">
        <v>1</v>
      </c>
      <c r="D314" s="5">
        <v>3.3</v>
      </c>
      <c r="E314" s="5">
        <v>7.99</v>
      </c>
      <c r="F314" s="4" t="s">
        <v>2139</v>
      </c>
      <c r="G314" s="2" t="s">
        <v>86</v>
      </c>
      <c r="H314" s="7" t="s">
        <v>514</v>
      </c>
      <c r="I314" s="2" t="s">
        <v>1689</v>
      </c>
      <c r="J314" s="2" t="s">
        <v>354</v>
      </c>
      <c r="K314" s="2" t="s">
        <v>304</v>
      </c>
      <c r="L314" s="2" t="s">
        <v>119</v>
      </c>
      <c r="M314" s="8" t="str">
        <f t="shared" si="0"/>
        <v xml:space="preserve">http://slimages.macys.com/is/image/MCY/10178138 </v>
      </c>
    </row>
    <row r="315" spans="1:13" ht="60" x14ac:dyDescent="0.25">
      <c r="A315" s="7" t="s">
        <v>6451</v>
      </c>
      <c r="B315" s="2" t="s">
        <v>2138</v>
      </c>
      <c r="C315" s="4">
        <v>1</v>
      </c>
      <c r="D315" s="5">
        <v>3.3</v>
      </c>
      <c r="E315" s="5">
        <v>7.99</v>
      </c>
      <c r="F315" s="4" t="s">
        <v>2139</v>
      </c>
      <c r="G315" s="2" t="s">
        <v>86</v>
      </c>
      <c r="H315" s="7" t="s">
        <v>1151</v>
      </c>
      <c r="I315" s="2" t="s">
        <v>1689</v>
      </c>
      <c r="J315" s="2" t="s">
        <v>354</v>
      </c>
      <c r="K315" s="2" t="s">
        <v>304</v>
      </c>
      <c r="L315" s="2" t="s">
        <v>119</v>
      </c>
      <c r="M315" s="8" t="str">
        <f t="shared" si="0"/>
        <v xml:space="preserve">http://slimages.macys.com/is/image/MCY/10178138 </v>
      </c>
    </row>
    <row r="316" spans="1:13" ht="60" x14ac:dyDescent="0.25">
      <c r="A316" s="7" t="s">
        <v>8401</v>
      </c>
      <c r="B316" s="2" t="s">
        <v>7060</v>
      </c>
      <c r="C316" s="4">
        <v>1</v>
      </c>
      <c r="D316" s="5">
        <v>3.29</v>
      </c>
      <c r="E316" s="5">
        <v>7.99</v>
      </c>
      <c r="F316" s="4" t="s">
        <v>7061</v>
      </c>
      <c r="G316" s="2" t="s">
        <v>582</v>
      </c>
      <c r="H316" s="7" t="s">
        <v>311</v>
      </c>
      <c r="I316" s="2" t="s">
        <v>1689</v>
      </c>
      <c r="J316" s="2" t="s">
        <v>354</v>
      </c>
      <c r="K316" s="2" t="s">
        <v>304</v>
      </c>
      <c r="L316" s="2" t="s">
        <v>119</v>
      </c>
      <c r="M316" s="8" t="str">
        <f>HYPERLINK("http://slimages.macys.com/is/image/MCY/12465532 ")</f>
        <v xml:space="preserve">http://slimages.macys.com/is/image/MCY/12465532 </v>
      </c>
    </row>
    <row r="317" spans="1:13" ht="60" x14ac:dyDescent="0.25">
      <c r="A317" s="7" t="s">
        <v>7087</v>
      </c>
      <c r="B317" s="2" t="s">
        <v>7073</v>
      </c>
      <c r="C317" s="4">
        <v>1</v>
      </c>
      <c r="D317" s="5">
        <v>3.29</v>
      </c>
      <c r="E317" s="5">
        <v>7.99</v>
      </c>
      <c r="F317" s="4" t="s">
        <v>7074</v>
      </c>
      <c r="G317" s="2" t="s">
        <v>582</v>
      </c>
      <c r="H317" s="7" t="s">
        <v>123</v>
      </c>
      <c r="I317" s="2" t="s">
        <v>1689</v>
      </c>
      <c r="J317" s="2" t="s">
        <v>354</v>
      </c>
      <c r="K317" s="2" t="s">
        <v>304</v>
      </c>
      <c r="L317" s="2" t="s">
        <v>119</v>
      </c>
      <c r="M317" s="8" t="str">
        <f>HYPERLINK("http://slimages.macys.com/is/image/MCY/13077225 ")</f>
        <v xml:space="preserve">http://slimages.macys.com/is/image/MCY/13077225 </v>
      </c>
    </row>
    <row r="318" spans="1:13" ht="60" x14ac:dyDescent="0.25">
      <c r="A318" s="7" t="s">
        <v>8402</v>
      </c>
      <c r="B318" s="2" t="s">
        <v>7073</v>
      </c>
      <c r="C318" s="4">
        <v>1</v>
      </c>
      <c r="D318" s="5">
        <v>3.29</v>
      </c>
      <c r="E318" s="5">
        <v>7.99</v>
      </c>
      <c r="F318" s="4" t="s">
        <v>7074</v>
      </c>
      <c r="G318" s="2" t="s">
        <v>582</v>
      </c>
      <c r="H318" s="7" t="s">
        <v>514</v>
      </c>
      <c r="I318" s="2" t="s">
        <v>1689</v>
      </c>
      <c r="J318" s="2" t="s">
        <v>354</v>
      </c>
      <c r="K318" s="2" t="s">
        <v>304</v>
      </c>
      <c r="L318" s="2" t="s">
        <v>119</v>
      </c>
      <c r="M318" s="8" t="str">
        <f>HYPERLINK("http://slimages.macys.com/is/image/MCY/13077225 ")</f>
        <v xml:space="preserve">http://slimages.macys.com/is/image/MCY/13077225 </v>
      </c>
    </row>
    <row r="319" spans="1:13" ht="60" x14ac:dyDescent="0.25">
      <c r="A319" s="7" t="s">
        <v>7052</v>
      </c>
      <c r="B319" s="2" t="s">
        <v>7053</v>
      </c>
      <c r="C319" s="4">
        <v>1</v>
      </c>
      <c r="D319" s="5">
        <v>3.29</v>
      </c>
      <c r="E319" s="5">
        <v>7.99</v>
      </c>
      <c r="F319" s="4" t="s">
        <v>7054</v>
      </c>
      <c r="G319" s="2" t="s">
        <v>103</v>
      </c>
      <c r="H319" s="7" t="s">
        <v>514</v>
      </c>
      <c r="I319" s="2" t="s">
        <v>1689</v>
      </c>
      <c r="J319" s="2" t="s">
        <v>354</v>
      </c>
      <c r="K319" s="2" t="s">
        <v>304</v>
      </c>
      <c r="L319" s="2" t="s">
        <v>119</v>
      </c>
      <c r="M319" s="8" t="str">
        <f>HYPERLINK("http://slimages.macys.com/is/image/MCY/12465569 ")</f>
        <v xml:space="preserve">http://slimages.macys.com/is/image/MCY/12465569 </v>
      </c>
    </row>
    <row r="320" spans="1:13" ht="60" x14ac:dyDescent="0.25">
      <c r="A320" s="7" t="s">
        <v>8403</v>
      </c>
      <c r="B320" s="2" t="s">
        <v>7056</v>
      </c>
      <c r="C320" s="4">
        <v>1</v>
      </c>
      <c r="D320" s="5">
        <v>3.29</v>
      </c>
      <c r="E320" s="5">
        <v>7.99</v>
      </c>
      <c r="F320" s="4" t="s">
        <v>7057</v>
      </c>
      <c r="G320" s="2" t="s">
        <v>582</v>
      </c>
      <c r="H320" s="7" t="s">
        <v>514</v>
      </c>
      <c r="I320" s="2" t="s">
        <v>1689</v>
      </c>
      <c r="J320" s="2" t="s">
        <v>354</v>
      </c>
      <c r="K320" s="2" t="s">
        <v>304</v>
      </c>
      <c r="L320" s="2" t="s">
        <v>119</v>
      </c>
      <c r="M320" s="8" t="str">
        <f>HYPERLINK("http://slimages.macys.com/is/image/MCY/12465528 ")</f>
        <v xml:space="preserve">http://slimages.macys.com/is/image/MCY/12465528 </v>
      </c>
    </row>
    <row r="321" spans="1:13" ht="60" x14ac:dyDescent="0.25">
      <c r="A321" s="7" t="s">
        <v>7871</v>
      </c>
      <c r="B321" s="2" t="s">
        <v>4357</v>
      </c>
      <c r="C321" s="4">
        <v>1</v>
      </c>
      <c r="D321" s="5">
        <v>3.29</v>
      </c>
      <c r="E321" s="5">
        <v>7.99</v>
      </c>
      <c r="F321" s="4" t="s">
        <v>4358</v>
      </c>
      <c r="G321" s="2" t="s">
        <v>86</v>
      </c>
      <c r="H321" s="7" t="s">
        <v>514</v>
      </c>
      <c r="I321" s="2" t="s">
        <v>1689</v>
      </c>
      <c r="J321" s="2" t="s">
        <v>354</v>
      </c>
      <c r="K321" s="2" t="s">
        <v>304</v>
      </c>
      <c r="L321" s="2" t="s">
        <v>119</v>
      </c>
      <c r="M321" s="8" t="str">
        <f>HYPERLINK("http://slimages.macys.com/is/image/MCY/11499070 ")</f>
        <v xml:space="preserve">http://slimages.macys.com/is/image/MCY/11499070 </v>
      </c>
    </row>
    <row r="322" spans="1:13" ht="60" x14ac:dyDescent="0.25">
      <c r="A322" s="7" t="s">
        <v>8404</v>
      </c>
      <c r="B322" s="2" t="s">
        <v>7079</v>
      </c>
      <c r="C322" s="4">
        <v>1</v>
      </c>
      <c r="D322" s="5">
        <v>3.29</v>
      </c>
      <c r="E322" s="5">
        <v>7.99</v>
      </c>
      <c r="F322" s="4" t="s">
        <v>7080</v>
      </c>
      <c r="G322" s="2" t="s">
        <v>582</v>
      </c>
      <c r="H322" s="7" t="s">
        <v>578</v>
      </c>
      <c r="I322" s="2" t="s">
        <v>1689</v>
      </c>
      <c r="J322" s="2" t="s">
        <v>354</v>
      </c>
      <c r="K322" s="2" t="s">
        <v>304</v>
      </c>
      <c r="L322" s="2" t="s">
        <v>119</v>
      </c>
      <c r="M322" s="8" t="str">
        <f>HYPERLINK("http://slimages.macys.com/is/image/MCY/12465598 ")</f>
        <v xml:space="preserve">http://slimages.macys.com/is/image/MCY/12465598 </v>
      </c>
    </row>
    <row r="323" spans="1:13" ht="60" x14ac:dyDescent="0.25">
      <c r="A323" s="7" t="s">
        <v>7078</v>
      </c>
      <c r="B323" s="2" t="s">
        <v>7079</v>
      </c>
      <c r="C323" s="4">
        <v>4</v>
      </c>
      <c r="D323" s="5">
        <v>3.29</v>
      </c>
      <c r="E323" s="5">
        <v>7.99</v>
      </c>
      <c r="F323" s="4" t="s">
        <v>7080</v>
      </c>
      <c r="G323" s="2" t="s">
        <v>582</v>
      </c>
      <c r="H323" s="7" t="s">
        <v>514</v>
      </c>
      <c r="I323" s="2" t="s">
        <v>1689</v>
      </c>
      <c r="J323" s="2" t="s">
        <v>354</v>
      </c>
      <c r="K323" s="2" t="s">
        <v>304</v>
      </c>
      <c r="L323" s="2" t="s">
        <v>119</v>
      </c>
      <c r="M323" s="8" t="str">
        <f>HYPERLINK("http://slimages.macys.com/is/image/MCY/12465598 ")</f>
        <v xml:space="preserve">http://slimages.macys.com/is/image/MCY/12465598 </v>
      </c>
    </row>
    <row r="324" spans="1:13" ht="60" x14ac:dyDescent="0.25">
      <c r="A324" s="7" t="s">
        <v>8405</v>
      </c>
      <c r="B324" s="2" t="s">
        <v>7079</v>
      </c>
      <c r="C324" s="4">
        <v>2</v>
      </c>
      <c r="D324" s="5">
        <v>3.29</v>
      </c>
      <c r="E324" s="5">
        <v>7.99</v>
      </c>
      <c r="F324" s="4" t="s">
        <v>7080</v>
      </c>
      <c r="G324" s="2" t="s">
        <v>582</v>
      </c>
      <c r="H324" s="7" t="s">
        <v>1151</v>
      </c>
      <c r="I324" s="2" t="s">
        <v>1689</v>
      </c>
      <c r="J324" s="2" t="s">
        <v>354</v>
      </c>
      <c r="K324" s="2" t="s">
        <v>304</v>
      </c>
      <c r="L324" s="2" t="s">
        <v>119</v>
      </c>
      <c r="M324" s="8" t="str">
        <f>HYPERLINK("http://slimages.macys.com/is/image/MCY/12465598 ")</f>
        <v xml:space="preserve">http://slimages.macys.com/is/image/MCY/12465598 </v>
      </c>
    </row>
    <row r="325" spans="1:13" ht="60" x14ac:dyDescent="0.25">
      <c r="A325" s="7" t="s">
        <v>8406</v>
      </c>
      <c r="B325" s="2" t="s">
        <v>7079</v>
      </c>
      <c r="C325" s="4">
        <v>2</v>
      </c>
      <c r="D325" s="5">
        <v>3.29</v>
      </c>
      <c r="E325" s="5">
        <v>7.99</v>
      </c>
      <c r="F325" s="4" t="s">
        <v>7080</v>
      </c>
      <c r="G325" s="2" t="s">
        <v>582</v>
      </c>
      <c r="H325" s="7" t="s">
        <v>123</v>
      </c>
      <c r="I325" s="2" t="s">
        <v>1689</v>
      </c>
      <c r="J325" s="2" t="s">
        <v>354</v>
      </c>
      <c r="K325" s="2" t="s">
        <v>304</v>
      </c>
      <c r="L325" s="2" t="s">
        <v>119</v>
      </c>
      <c r="M325" s="8" t="str">
        <f>HYPERLINK("http://slimages.macys.com/is/image/MCY/12465598 ")</f>
        <v xml:space="preserve">http://slimages.macys.com/is/image/MCY/12465598 </v>
      </c>
    </row>
    <row r="326" spans="1:13" ht="60" x14ac:dyDescent="0.25">
      <c r="A326" s="7" t="s">
        <v>8407</v>
      </c>
      <c r="B326" s="2" t="s">
        <v>7079</v>
      </c>
      <c r="C326" s="4">
        <v>2</v>
      </c>
      <c r="D326" s="5">
        <v>3.29</v>
      </c>
      <c r="E326" s="5">
        <v>7.99</v>
      </c>
      <c r="F326" s="4" t="s">
        <v>7080</v>
      </c>
      <c r="G326" s="2" t="s">
        <v>582</v>
      </c>
      <c r="H326" s="7" t="s">
        <v>311</v>
      </c>
      <c r="I326" s="2" t="s">
        <v>1689</v>
      </c>
      <c r="J326" s="2" t="s">
        <v>354</v>
      </c>
      <c r="K326" s="2" t="s">
        <v>304</v>
      </c>
      <c r="L326" s="2" t="s">
        <v>119</v>
      </c>
      <c r="M326" s="8" t="str">
        <f>HYPERLINK("http://slimages.macys.com/is/image/MCY/12465598 ")</f>
        <v xml:space="preserve">http://slimages.macys.com/is/image/MCY/12465598 </v>
      </c>
    </row>
    <row r="327" spans="1:13" ht="60" x14ac:dyDescent="0.25">
      <c r="A327" s="7" t="s">
        <v>5654</v>
      </c>
      <c r="B327" s="2" t="s">
        <v>5655</v>
      </c>
      <c r="C327" s="4">
        <v>1</v>
      </c>
      <c r="D327" s="5">
        <v>3.29</v>
      </c>
      <c r="E327" s="5">
        <v>7.99</v>
      </c>
      <c r="F327" s="4" t="s">
        <v>5656</v>
      </c>
      <c r="G327" s="2" t="s">
        <v>86</v>
      </c>
      <c r="H327" s="7" t="s">
        <v>123</v>
      </c>
      <c r="I327" s="2" t="s">
        <v>1689</v>
      </c>
      <c r="J327" s="2" t="s">
        <v>354</v>
      </c>
      <c r="K327" s="2" t="s">
        <v>304</v>
      </c>
      <c r="L327" s="2" t="s">
        <v>119</v>
      </c>
      <c r="M327" s="8" t="str">
        <f>HYPERLINK("http://slimages.macys.com/is/image/MCY/12493876 ")</f>
        <v xml:space="preserve">http://slimages.macys.com/is/image/MCY/12493876 </v>
      </c>
    </row>
    <row r="328" spans="1:13" ht="60" x14ac:dyDescent="0.25">
      <c r="A328" s="7" t="s">
        <v>7094</v>
      </c>
      <c r="B328" s="2" t="s">
        <v>7095</v>
      </c>
      <c r="C328" s="4">
        <v>1</v>
      </c>
      <c r="D328" s="5">
        <v>3.21</v>
      </c>
      <c r="E328" s="5">
        <v>7.99</v>
      </c>
      <c r="F328" s="4" t="s">
        <v>7096</v>
      </c>
      <c r="G328" s="2" t="s">
        <v>41</v>
      </c>
      <c r="H328" s="7" t="s">
        <v>514</v>
      </c>
      <c r="I328" s="2" t="s">
        <v>483</v>
      </c>
      <c r="J328" s="2" t="s">
        <v>536</v>
      </c>
      <c r="K328" s="2" t="s">
        <v>304</v>
      </c>
      <c r="L328" s="2" t="s">
        <v>38</v>
      </c>
      <c r="M328" s="8" t="str">
        <f>HYPERLINK("http://slimages.macys.com/is/image/MCY/13987340 ")</f>
        <v xml:space="preserve">http://slimages.macys.com/is/image/MCY/13987340 </v>
      </c>
    </row>
    <row r="329" spans="1:13" ht="60" x14ac:dyDescent="0.25">
      <c r="A329" s="7" t="s">
        <v>1178</v>
      </c>
      <c r="B329" s="2" t="s">
        <v>1176</v>
      </c>
      <c r="C329" s="4">
        <v>1</v>
      </c>
      <c r="D329" s="5">
        <v>3.21</v>
      </c>
      <c r="E329" s="5">
        <v>7.99</v>
      </c>
      <c r="F329" s="4" t="s">
        <v>1177</v>
      </c>
      <c r="G329" s="2" t="s">
        <v>527</v>
      </c>
      <c r="H329" s="7" t="s">
        <v>1151</v>
      </c>
      <c r="I329" s="2" t="s">
        <v>483</v>
      </c>
      <c r="J329" s="2" t="s">
        <v>536</v>
      </c>
      <c r="K329" s="2" t="s">
        <v>304</v>
      </c>
      <c r="L329" s="2" t="s">
        <v>119</v>
      </c>
      <c r="M329" s="8" t="str">
        <f>HYPERLINK("http://slimages.macys.com/is/image/MCY/13987326 ")</f>
        <v xml:space="preserve">http://slimages.macys.com/is/image/MCY/13987326 </v>
      </c>
    </row>
    <row r="330" spans="1:13" ht="60" x14ac:dyDescent="0.25">
      <c r="A330" s="7" t="s">
        <v>1175</v>
      </c>
      <c r="B330" s="2" t="s">
        <v>1176</v>
      </c>
      <c r="C330" s="4">
        <v>2</v>
      </c>
      <c r="D330" s="5">
        <v>3.21</v>
      </c>
      <c r="E330" s="5">
        <v>7.99</v>
      </c>
      <c r="F330" s="4" t="s">
        <v>1177</v>
      </c>
      <c r="G330" s="2" t="s">
        <v>527</v>
      </c>
      <c r="H330" s="7" t="s">
        <v>514</v>
      </c>
      <c r="I330" s="2" t="s">
        <v>483</v>
      </c>
      <c r="J330" s="2" t="s">
        <v>536</v>
      </c>
      <c r="K330" s="2" t="s">
        <v>304</v>
      </c>
      <c r="L330" s="2" t="s">
        <v>119</v>
      </c>
      <c r="M330" s="8" t="str">
        <f>HYPERLINK("http://slimages.macys.com/is/image/MCY/13987326 ")</f>
        <v xml:space="preserve">http://slimages.macys.com/is/image/MCY/13987326 </v>
      </c>
    </row>
    <row r="331" spans="1:13" ht="60" x14ac:dyDescent="0.25">
      <c r="A331" s="7" t="s">
        <v>8408</v>
      </c>
      <c r="B331" s="2" t="s">
        <v>8409</v>
      </c>
      <c r="C331" s="4">
        <v>1</v>
      </c>
      <c r="D331" s="5">
        <v>3.16</v>
      </c>
      <c r="E331" s="5">
        <v>7.99</v>
      </c>
      <c r="F331" s="4" t="s">
        <v>8410</v>
      </c>
      <c r="G331" s="2" t="s">
        <v>28</v>
      </c>
      <c r="H331" s="7" t="s">
        <v>514</v>
      </c>
      <c r="I331" s="2" t="s">
        <v>483</v>
      </c>
      <c r="J331" s="2" t="s">
        <v>536</v>
      </c>
      <c r="K331" s="2" t="s">
        <v>304</v>
      </c>
      <c r="L331" s="2" t="s">
        <v>38</v>
      </c>
      <c r="M331" s="8" t="str">
        <f>HYPERLINK("http://slimages.macys.com/is/image/MCY/11389109 ")</f>
        <v xml:space="preserve">http://slimages.macys.com/is/image/MCY/11389109 </v>
      </c>
    </row>
    <row r="332" spans="1:13" ht="60" x14ac:dyDescent="0.25">
      <c r="A332" s="7" t="s">
        <v>584</v>
      </c>
      <c r="B332" s="2" t="s">
        <v>585</v>
      </c>
      <c r="C332" s="4">
        <v>1</v>
      </c>
      <c r="D332" s="5">
        <v>3.14</v>
      </c>
      <c r="E332" s="5">
        <v>7.99</v>
      </c>
      <c r="F332" s="4">
        <v>10004192500</v>
      </c>
      <c r="G332" s="2" t="s">
        <v>171</v>
      </c>
      <c r="H332" s="7" t="s">
        <v>586</v>
      </c>
      <c r="I332" s="2" t="s">
        <v>483</v>
      </c>
      <c r="J332" s="2" t="s">
        <v>536</v>
      </c>
      <c r="K332" s="2" t="s">
        <v>304</v>
      </c>
      <c r="L332" s="2" t="s">
        <v>75</v>
      </c>
      <c r="M332" s="8" t="str">
        <f>HYPERLINK("http://slimages.macys.com/is/image/MCY/11519409 ")</f>
        <v xml:space="preserve">http://slimages.macys.com/is/image/MCY/11519409 </v>
      </c>
    </row>
    <row r="333" spans="1:13" ht="60" x14ac:dyDescent="0.25">
      <c r="A333" s="7" t="s">
        <v>8411</v>
      </c>
      <c r="B333" s="2" t="s">
        <v>585</v>
      </c>
      <c r="C333" s="4">
        <v>2</v>
      </c>
      <c r="D333" s="5">
        <v>3.14</v>
      </c>
      <c r="E333" s="5">
        <v>7.99</v>
      </c>
      <c r="F333" s="4">
        <v>10004192500</v>
      </c>
      <c r="G333" s="2" t="s">
        <v>171</v>
      </c>
      <c r="H333" s="7" t="s">
        <v>604</v>
      </c>
      <c r="I333" s="2" t="s">
        <v>483</v>
      </c>
      <c r="J333" s="2" t="s">
        <v>536</v>
      </c>
      <c r="K333" s="2" t="s">
        <v>304</v>
      </c>
      <c r="L333" s="2" t="s">
        <v>75</v>
      </c>
      <c r="M333" s="8" t="str">
        <f>HYPERLINK("http://slimages.macys.com/is/image/MCY/11519409 ")</f>
        <v xml:space="preserve">http://slimages.macys.com/is/image/MCY/11519409 </v>
      </c>
    </row>
    <row r="334" spans="1:13" ht="60" x14ac:dyDescent="0.25">
      <c r="A334" s="7" t="s">
        <v>4377</v>
      </c>
      <c r="B334" s="2" t="s">
        <v>4378</v>
      </c>
      <c r="C334" s="4">
        <v>1</v>
      </c>
      <c r="D334" s="5">
        <v>3.07</v>
      </c>
      <c r="E334" s="5">
        <v>6.99</v>
      </c>
      <c r="F334" s="4" t="s">
        <v>4379</v>
      </c>
      <c r="G334" s="2" t="s">
        <v>297</v>
      </c>
      <c r="H334" s="7"/>
      <c r="I334" s="2" t="s">
        <v>483</v>
      </c>
      <c r="J334" s="2" t="s">
        <v>536</v>
      </c>
      <c r="K334" s="2"/>
      <c r="L334" s="2" t="s">
        <v>119</v>
      </c>
      <c r="M334" s="8" t="str">
        <f>HYPERLINK("http://slimages.macys.com/is/image/MCY/12465941 ")</f>
        <v xml:space="preserve">http://slimages.macys.com/is/image/MCY/12465941 </v>
      </c>
    </row>
    <row r="335" spans="1:13" ht="60" x14ac:dyDescent="0.25">
      <c r="A335" s="7" t="s">
        <v>2162</v>
      </c>
      <c r="B335" s="2" t="s">
        <v>2163</v>
      </c>
      <c r="C335" s="4">
        <v>1</v>
      </c>
      <c r="D335" s="5">
        <v>3.05</v>
      </c>
      <c r="E335" s="5">
        <v>7.99</v>
      </c>
      <c r="F335" s="4" t="s">
        <v>2164</v>
      </c>
      <c r="G335" s="2" t="s">
        <v>28</v>
      </c>
      <c r="H335" s="7" t="s">
        <v>1151</v>
      </c>
      <c r="I335" s="2" t="s">
        <v>483</v>
      </c>
      <c r="J335" s="2" t="s">
        <v>536</v>
      </c>
      <c r="K335" s="2" t="s">
        <v>304</v>
      </c>
      <c r="L335" s="2" t="s">
        <v>119</v>
      </c>
      <c r="M335" s="8" t="str">
        <f>HYPERLINK("http://slimages.macys.com/is/image/MCY/11436914 ")</f>
        <v xml:space="preserve">http://slimages.macys.com/is/image/MCY/11436914 </v>
      </c>
    </row>
    <row r="336" spans="1:13" ht="60" x14ac:dyDescent="0.25">
      <c r="A336" s="7" t="s">
        <v>1182</v>
      </c>
      <c r="B336" s="2" t="s">
        <v>1183</v>
      </c>
      <c r="C336" s="4">
        <v>1</v>
      </c>
      <c r="D336" s="5">
        <v>3.03</v>
      </c>
      <c r="E336" s="5">
        <v>7.99</v>
      </c>
      <c r="F336" s="4" t="s">
        <v>1184</v>
      </c>
      <c r="G336" s="2" t="s">
        <v>41</v>
      </c>
      <c r="H336" s="7" t="s">
        <v>514</v>
      </c>
      <c r="I336" s="2" t="s">
        <v>483</v>
      </c>
      <c r="J336" s="2" t="s">
        <v>536</v>
      </c>
      <c r="K336" s="2" t="s">
        <v>304</v>
      </c>
      <c r="L336" s="2" t="s">
        <v>38</v>
      </c>
      <c r="M336" s="8" t="str">
        <f>HYPERLINK("http://slimages.macys.com/is/image/MCY/13987599 ")</f>
        <v xml:space="preserve">http://slimages.macys.com/is/image/MCY/13987599 </v>
      </c>
    </row>
    <row r="337" spans="1:13" ht="60" x14ac:dyDescent="0.25">
      <c r="A337" s="7" t="s">
        <v>5661</v>
      </c>
      <c r="B337" s="2" t="s">
        <v>4386</v>
      </c>
      <c r="C337" s="4">
        <v>1</v>
      </c>
      <c r="D337" s="5">
        <v>3.03</v>
      </c>
      <c r="E337" s="5">
        <v>7.99</v>
      </c>
      <c r="F337" s="4" t="s">
        <v>4387</v>
      </c>
      <c r="G337" s="2" t="s">
        <v>28</v>
      </c>
      <c r="H337" s="7" t="s">
        <v>578</v>
      </c>
      <c r="I337" s="2" t="s">
        <v>483</v>
      </c>
      <c r="J337" s="2" t="s">
        <v>536</v>
      </c>
      <c r="K337" s="2" t="s">
        <v>304</v>
      </c>
      <c r="L337" s="2" t="s">
        <v>100</v>
      </c>
      <c r="M337" s="8" t="str">
        <f>HYPERLINK("http://slimages.macys.com/is/image/MCY/13336558 ")</f>
        <v xml:space="preserve">http://slimages.macys.com/is/image/MCY/13336558 </v>
      </c>
    </row>
    <row r="338" spans="1:13" ht="60" x14ac:dyDescent="0.25">
      <c r="A338" s="7" t="s">
        <v>1189</v>
      </c>
      <c r="B338" s="2" t="s">
        <v>1190</v>
      </c>
      <c r="C338" s="4">
        <v>2</v>
      </c>
      <c r="D338" s="5">
        <v>3.01</v>
      </c>
      <c r="E338" s="5">
        <v>7.99</v>
      </c>
      <c r="F338" s="4" t="s">
        <v>1191</v>
      </c>
      <c r="G338" s="2" t="s">
        <v>527</v>
      </c>
      <c r="H338" s="7" t="s">
        <v>514</v>
      </c>
      <c r="I338" s="2" t="s">
        <v>483</v>
      </c>
      <c r="J338" s="2" t="s">
        <v>536</v>
      </c>
      <c r="K338" s="2" t="s">
        <v>304</v>
      </c>
      <c r="L338" s="2" t="s">
        <v>206</v>
      </c>
      <c r="M338" s="8" t="str">
        <f>HYPERLINK("http://slimages.macys.com/is/image/MCY/13336562 ")</f>
        <v xml:space="preserve">http://slimages.macys.com/is/image/MCY/13336562 </v>
      </c>
    </row>
    <row r="339" spans="1:13" ht="60" x14ac:dyDescent="0.25">
      <c r="A339" s="7" t="s">
        <v>8412</v>
      </c>
      <c r="B339" s="2" t="s">
        <v>8413</v>
      </c>
      <c r="C339" s="4">
        <v>1</v>
      </c>
      <c r="D339" s="5">
        <v>2.94</v>
      </c>
      <c r="E339" s="5">
        <v>7.99</v>
      </c>
      <c r="F339" s="4" t="s">
        <v>8414</v>
      </c>
      <c r="G339" s="2" t="s">
        <v>36</v>
      </c>
      <c r="H339" s="7" t="s">
        <v>578</v>
      </c>
      <c r="I339" s="2" t="s">
        <v>483</v>
      </c>
      <c r="J339" s="2" t="s">
        <v>536</v>
      </c>
      <c r="K339" s="2" t="s">
        <v>304</v>
      </c>
      <c r="L339" s="2" t="s">
        <v>100</v>
      </c>
      <c r="M339" s="8" t="str">
        <f>HYPERLINK("http://slimages.macys.com/is/image/MCY/12461818 ")</f>
        <v xml:space="preserve">http://slimages.macys.com/is/image/MCY/12461818 </v>
      </c>
    </row>
    <row r="340" spans="1:13" ht="60" x14ac:dyDescent="0.25">
      <c r="A340" s="7" t="s">
        <v>8415</v>
      </c>
      <c r="B340" s="2" t="s">
        <v>4428</v>
      </c>
      <c r="C340" s="4">
        <v>1</v>
      </c>
      <c r="D340" s="5">
        <v>2.93</v>
      </c>
      <c r="E340" s="5">
        <v>8.99</v>
      </c>
      <c r="F340" s="4">
        <v>10006317700</v>
      </c>
      <c r="G340" s="2" t="s">
        <v>134</v>
      </c>
      <c r="H340" s="7" t="s">
        <v>149</v>
      </c>
      <c r="I340" s="2" t="s">
        <v>483</v>
      </c>
      <c r="J340" s="2" t="s">
        <v>536</v>
      </c>
      <c r="K340" s="2" t="s">
        <v>304</v>
      </c>
      <c r="L340" s="2" t="s">
        <v>38</v>
      </c>
      <c r="M340" s="8" t="str">
        <f>HYPERLINK("http://slimages.macys.com/is/image/MCY/13987487 ")</f>
        <v xml:space="preserve">http://slimages.macys.com/is/image/MCY/13987487 </v>
      </c>
    </row>
    <row r="341" spans="1:13" ht="60" x14ac:dyDescent="0.25">
      <c r="A341" s="7" t="s">
        <v>7883</v>
      </c>
      <c r="B341" s="2" t="s">
        <v>5669</v>
      </c>
      <c r="C341" s="4">
        <v>1</v>
      </c>
      <c r="D341" s="5">
        <v>2.91</v>
      </c>
      <c r="E341" s="5">
        <v>6.99</v>
      </c>
      <c r="F341" s="4" t="s">
        <v>5670</v>
      </c>
      <c r="G341" s="2" t="s">
        <v>48</v>
      </c>
      <c r="H341" s="7" t="s">
        <v>42</v>
      </c>
      <c r="I341" s="2" t="s">
        <v>483</v>
      </c>
      <c r="J341" s="2" t="s">
        <v>536</v>
      </c>
      <c r="K341" s="2" t="s">
        <v>304</v>
      </c>
      <c r="L341" s="2" t="s">
        <v>119</v>
      </c>
      <c r="M341" s="8" t="str">
        <f>HYPERLINK("http://slimages.macys.com/is/image/MCY/11436908 ")</f>
        <v xml:space="preserve">http://slimages.macys.com/is/image/MCY/11436908 </v>
      </c>
    </row>
    <row r="342" spans="1:13" ht="60" x14ac:dyDescent="0.25">
      <c r="A342" s="7" t="s">
        <v>8416</v>
      </c>
      <c r="B342" s="2" t="s">
        <v>2706</v>
      </c>
      <c r="C342" s="4">
        <v>1</v>
      </c>
      <c r="D342" s="5">
        <v>2.88</v>
      </c>
      <c r="E342" s="5">
        <v>6.99</v>
      </c>
      <c r="F342" s="4" t="s">
        <v>2707</v>
      </c>
      <c r="G342" s="2" t="s">
        <v>62</v>
      </c>
      <c r="H342" s="7" t="s">
        <v>590</v>
      </c>
      <c r="I342" s="2" t="s">
        <v>483</v>
      </c>
      <c r="J342" s="2" t="s">
        <v>536</v>
      </c>
      <c r="K342" s="2" t="s">
        <v>304</v>
      </c>
      <c r="L342" s="2" t="s">
        <v>119</v>
      </c>
      <c r="M342" s="8" t="str">
        <f>HYPERLINK("http://slimages.macys.com/is/image/MCY/8882367 ")</f>
        <v xml:space="preserve">http://slimages.macys.com/is/image/MCY/8882367 </v>
      </c>
    </row>
    <row r="343" spans="1:13" ht="60" x14ac:dyDescent="0.25">
      <c r="A343" s="7" t="s">
        <v>8417</v>
      </c>
      <c r="B343" s="2" t="s">
        <v>1209</v>
      </c>
      <c r="C343" s="4">
        <v>2</v>
      </c>
      <c r="D343" s="5">
        <v>2.85</v>
      </c>
      <c r="E343" s="5">
        <v>4.99</v>
      </c>
      <c r="F343" s="4">
        <v>4114</v>
      </c>
      <c r="G343" s="2" t="s">
        <v>653</v>
      </c>
      <c r="H343" s="7" t="s">
        <v>284</v>
      </c>
      <c r="I343" s="2" t="s">
        <v>523</v>
      </c>
      <c r="J343" s="2" t="s">
        <v>921</v>
      </c>
      <c r="K343" s="2" t="s">
        <v>304</v>
      </c>
      <c r="L343" s="2" t="s">
        <v>323</v>
      </c>
      <c r="M343" s="8" t="str">
        <f>HYPERLINK("http://slimages.macys.com/is/image/MCY/13050228 ")</f>
        <v xml:space="preserve">http://slimages.macys.com/is/image/MCY/13050228 </v>
      </c>
    </row>
    <row r="344" spans="1:13" ht="120" x14ac:dyDescent="0.25">
      <c r="A344" s="7" t="s">
        <v>597</v>
      </c>
      <c r="B344" s="2" t="s">
        <v>598</v>
      </c>
      <c r="C344" s="4">
        <v>1</v>
      </c>
      <c r="D344" s="5">
        <v>2.84</v>
      </c>
      <c r="E344" s="5">
        <v>7.99</v>
      </c>
      <c r="F344" s="4" t="s">
        <v>599</v>
      </c>
      <c r="G344" s="2" t="s">
        <v>62</v>
      </c>
      <c r="H344" s="7"/>
      <c r="I344" s="2" t="s">
        <v>483</v>
      </c>
      <c r="J344" s="2" t="s">
        <v>536</v>
      </c>
      <c r="K344" s="2" t="s">
        <v>304</v>
      </c>
      <c r="L344" s="2" t="s">
        <v>600</v>
      </c>
      <c r="M344" s="8" t="str">
        <f>HYPERLINK("http://slimages.macys.com/is/image/MCY/14384837 ")</f>
        <v xml:space="preserve">http://slimages.macys.com/is/image/MCY/14384837 </v>
      </c>
    </row>
    <row r="345" spans="1:13" ht="120" x14ac:dyDescent="0.25">
      <c r="A345" s="7" t="s">
        <v>2199</v>
      </c>
      <c r="B345" s="2" t="s">
        <v>598</v>
      </c>
      <c r="C345" s="4">
        <v>1</v>
      </c>
      <c r="D345" s="5">
        <v>2.84</v>
      </c>
      <c r="E345" s="5">
        <v>7.99</v>
      </c>
      <c r="F345" s="4" t="s">
        <v>599</v>
      </c>
      <c r="G345" s="2" t="s">
        <v>62</v>
      </c>
      <c r="H345" s="7" t="s">
        <v>590</v>
      </c>
      <c r="I345" s="2" t="s">
        <v>483</v>
      </c>
      <c r="J345" s="2" t="s">
        <v>536</v>
      </c>
      <c r="K345" s="2" t="s">
        <v>304</v>
      </c>
      <c r="L345" s="2" t="s">
        <v>600</v>
      </c>
      <c r="M345" s="8" t="str">
        <f>HYPERLINK("http://slimages.macys.com/is/image/MCY/14384837 ")</f>
        <v xml:space="preserve">http://slimages.macys.com/is/image/MCY/14384837 </v>
      </c>
    </row>
    <row r="346" spans="1:13" ht="60" x14ac:dyDescent="0.25">
      <c r="A346" s="7" t="s">
        <v>8418</v>
      </c>
      <c r="B346" s="2" t="s">
        <v>8419</v>
      </c>
      <c r="C346" s="4">
        <v>1</v>
      </c>
      <c r="D346" s="5">
        <v>2.83</v>
      </c>
      <c r="E346" s="5">
        <v>7.99</v>
      </c>
      <c r="F346" s="4" t="s">
        <v>8420</v>
      </c>
      <c r="G346" s="2" t="s">
        <v>41</v>
      </c>
      <c r="H346" s="7" t="s">
        <v>578</v>
      </c>
      <c r="I346" s="2" t="s">
        <v>483</v>
      </c>
      <c r="J346" s="2" t="s">
        <v>536</v>
      </c>
      <c r="K346" s="2" t="s">
        <v>304</v>
      </c>
      <c r="L346" s="2" t="s">
        <v>206</v>
      </c>
      <c r="M346" s="8" t="str">
        <f>HYPERLINK("http://slimages.macys.com/is/image/MCY/11525783 ")</f>
        <v xml:space="preserve">http://slimages.macys.com/is/image/MCY/11525783 </v>
      </c>
    </row>
    <row r="347" spans="1:13" ht="60" x14ac:dyDescent="0.25">
      <c r="A347" s="7" t="s">
        <v>2208</v>
      </c>
      <c r="B347" s="2" t="s">
        <v>2209</v>
      </c>
      <c r="C347" s="4">
        <v>6</v>
      </c>
      <c r="D347" s="5">
        <v>2.77</v>
      </c>
      <c r="E347" s="5">
        <v>7.99</v>
      </c>
      <c r="F347" s="4">
        <v>10004191600</v>
      </c>
      <c r="G347" s="2" t="s">
        <v>1360</v>
      </c>
      <c r="H347" s="7" t="s">
        <v>586</v>
      </c>
      <c r="I347" s="2" t="s">
        <v>483</v>
      </c>
      <c r="J347" s="2" t="s">
        <v>536</v>
      </c>
      <c r="K347" s="2" t="s">
        <v>304</v>
      </c>
      <c r="L347" s="2" t="s">
        <v>119</v>
      </c>
      <c r="M347" s="8" t="str">
        <f>HYPERLINK("http://slimages.macys.com/is/image/MCY/11547113 ")</f>
        <v xml:space="preserve">http://slimages.macys.com/is/image/MCY/11547113 </v>
      </c>
    </row>
    <row r="348" spans="1:13" ht="60" x14ac:dyDescent="0.25">
      <c r="A348" s="7" t="s">
        <v>2210</v>
      </c>
      <c r="B348" s="2" t="s">
        <v>602</v>
      </c>
      <c r="C348" s="4">
        <v>1</v>
      </c>
      <c r="D348" s="5">
        <v>2.77</v>
      </c>
      <c r="E348" s="5">
        <v>7.99</v>
      </c>
      <c r="F348" s="4" t="s">
        <v>603</v>
      </c>
      <c r="G348" s="2" t="s">
        <v>297</v>
      </c>
      <c r="H348" s="7" t="s">
        <v>586</v>
      </c>
      <c r="I348" s="2" t="s">
        <v>483</v>
      </c>
      <c r="J348" s="2" t="s">
        <v>536</v>
      </c>
      <c r="K348" s="2" t="s">
        <v>304</v>
      </c>
      <c r="L348" s="2" t="s">
        <v>119</v>
      </c>
      <c r="M348" s="8" t="str">
        <f>HYPERLINK("http://slimages.macys.com/is/image/MCY/11520409 ")</f>
        <v xml:space="preserve">http://slimages.macys.com/is/image/MCY/11520409 </v>
      </c>
    </row>
    <row r="349" spans="1:13" ht="60" x14ac:dyDescent="0.25">
      <c r="A349" s="7" t="s">
        <v>2212</v>
      </c>
      <c r="B349" s="2" t="s">
        <v>2209</v>
      </c>
      <c r="C349" s="4">
        <v>6</v>
      </c>
      <c r="D349" s="5">
        <v>2.77</v>
      </c>
      <c r="E349" s="5">
        <v>7.99</v>
      </c>
      <c r="F349" s="4">
        <v>10004191600</v>
      </c>
      <c r="G349" s="2" t="s">
        <v>1360</v>
      </c>
      <c r="H349" s="7"/>
      <c r="I349" s="2" t="s">
        <v>483</v>
      </c>
      <c r="J349" s="2" t="s">
        <v>536</v>
      </c>
      <c r="K349" s="2" t="s">
        <v>304</v>
      </c>
      <c r="L349" s="2" t="s">
        <v>119</v>
      </c>
      <c r="M349" s="8" t="str">
        <f>HYPERLINK("http://slimages.macys.com/is/image/MCY/11547113 ")</f>
        <v xml:space="preserve">http://slimages.macys.com/is/image/MCY/11547113 </v>
      </c>
    </row>
    <row r="350" spans="1:13" ht="60" x14ac:dyDescent="0.25">
      <c r="A350" s="7" t="s">
        <v>605</v>
      </c>
      <c r="B350" s="2" t="s">
        <v>602</v>
      </c>
      <c r="C350" s="4">
        <v>4</v>
      </c>
      <c r="D350" s="5">
        <v>2.77</v>
      </c>
      <c r="E350" s="5">
        <v>7.99</v>
      </c>
      <c r="F350" s="4" t="s">
        <v>603</v>
      </c>
      <c r="G350" s="2" t="s">
        <v>297</v>
      </c>
      <c r="H350" s="7"/>
      <c r="I350" s="2" t="s">
        <v>483</v>
      </c>
      <c r="J350" s="2" t="s">
        <v>536</v>
      </c>
      <c r="K350" s="2" t="s">
        <v>304</v>
      </c>
      <c r="L350" s="2" t="s">
        <v>119</v>
      </c>
      <c r="M350" s="8" t="str">
        <f>HYPERLINK("http://slimages.macys.com/is/image/MCY/11520409 ")</f>
        <v xml:space="preserve">http://slimages.macys.com/is/image/MCY/11520409 </v>
      </c>
    </row>
    <row r="351" spans="1:13" ht="60" x14ac:dyDescent="0.25">
      <c r="A351" s="7" t="s">
        <v>8421</v>
      </c>
      <c r="B351" s="2" t="s">
        <v>1217</v>
      </c>
      <c r="C351" s="4">
        <v>4</v>
      </c>
      <c r="D351" s="5">
        <v>2.77</v>
      </c>
      <c r="E351" s="5">
        <v>7.99</v>
      </c>
      <c r="F351" s="4">
        <v>10005049100</v>
      </c>
      <c r="G351" s="2" t="s">
        <v>527</v>
      </c>
      <c r="H351" s="7" t="s">
        <v>586</v>
      </c>
      <c r="I351" s="2" t="s">
        <v>483</v>
      </c>
      <c r="J351" s="2" t="s">
        <v>536</v>
      </c>
      <c r="K351" s="2" t="s">
        <v>304</v>
      </c>
      <c r="L351" s="2" t="s">
        <v>119</v>
      </c>
      <c r="M351" s="8" t="str">
        <f>HYPERLINK("http://slimages.macys.com/is/image/MCY/11520375 ")</f>
        <v xml:space="preserve">http://slimages.macys.com/is/image/MCY/11520375 </v>
      </c>
    </row>
    <row r="352" spans="1:13" ht="60" x14ac:dyDescent="0.25">
      <c r="A352" s="7" t="s">
        <v>1216</v>
      </c>
      <c r="B352" s="2" t="s">
        <v>1217</v>
      </c>
      <c r="C352" s="4">
        <v>7</v>
      </c>
      <c r="D352" s="5">
        <v>2.77</v>
      </c>
      <c r="E352" s="5">
        <v>7.99</v>
      </c>
      <c r="F352" s="4">
        <v>10005049100</v>
      </c>
      <c r="G352" s="2" t="s">
        <v>527</v>
      </c>
      <c r="H352" s="7" t="s">
        <v>604</v>
      </c>
      <c r="I352" s="2" t="s">
        <v>483</v>
      </c>
      <c r="J352" s="2" t="s">
        <v>536</v>
      </c>
      <c r="K352" s="2" t="s">
        <v>304</v>
      </c>
      <c r="L352" s="2" t="s">
        <v>119</v>
      </c>
      <c r="M352" s="8" t="str">
        <f>HYPERLINK("http://slimages.macys.com/is/image/MCY/11520375 ")</f>
        <v xml:space="preserve">http://slimages.macys.com/is/image/MCY/11520375 </v>
      </c>
    </row>
    <row r="353" spans="1:13" ht="60" x14ac:dyDescent="0.25">
      <c r="A353" s="7" t="s">
        <v>2211</v>
      </c>
      <c r="B353" s="2" t="s">
        <v>2209</v>
      </c>
      <c r="C353" s="4">
        <v>5</v>
      </c>
      <c r="D353" s="5">
        <v>2.77</v>
      </c>
      <c r="E353" s="5">
        <v>7.99</v>
      </c>
      <c r="F353" s="4">
        <v>10004191600</v>
      </c>
      <c r="G353" s="2" t="s">
        <v>1360</v>
      </c>
      <c r="H353" s="7" t="s">
        <v>604</v>
      </c>
      <c r="I353" s="2" t="s">
        <v>483</v>
      </c>
      <c r="J353" s="2" t="s">
        <v>536</v>
      </c>
      <c r="K353" s="2" t="s">
        <v>304</v>
      </c>
      <c r="L353" s="2" t="s">
        <v>119</v>
      </c>
      <c r="M353" s="8" t="str">
        <f>HYPERLINK("http://slimages.macys.com/is/image/MCY/11547113 ")</f>
        <v xml:space="preserve">http://slimages.macys.com/is/image/MCY/11547113 </v>
      </c>
    </row>
    <row r="354" spans="1:13" ht="60" x14ac:dyDescent="0.25">
      <c r="A354" s="7" t="s">
        <v>601</v>
      </c>
      <c r="B354" s="2" t="s">
        <v>602</v>
      </c>
      <c r="C354" s="4">
        <v>5</v>
      </c>
      <c r="D354" s="5">
        <v>2.77</v>
      </c>
      <c r="E354" s="5">
        <v>7.99</v>
      </c>
      <c r="F354" s="4" t="s">
        <v>603</v>
      </c>
      <c r="G354" s="2" t="s">
        <v>297</v>
      </c>
      <c r="H354" s="7" t="s">
        <v>604</v>
      </c>
      <c r="I354" s="2" t="s">
        <v>483</v>
      </c>
      <c r="J354" s="2" t="s">
        <v>536</v>
      </c>
      <c r="K354" s="2" t="s">
        <v>304</v>
      </c>
      <c r="L354" s="2" t="s">
        <v>119</v>
      </c>
      <c r="M354" s="8" t="str">
        <f>HYPERLINK("http://slimages.macys.com/is/image/MCY/11520409 ")</f>
        <v xml:space="preserve">http://slimages.macys.com/is/image/MCY/11520409 </v>
      </c>
    </row>
    <row r="355" spans="1:13" ht="60" x14ac:dyDescent="0.25">
      <c r="A355" s="7" t="s">
        <v>5679</v>
      </c>
      <c r="B355" s="2" t="s">
        <v>1217</v>
      </c>
      <c r="C355" s="4">
        <v>5</v>
      </c>
      <c r="D355" s="5">
        <v>2.77</v>
      </c>
      <c r="E355" s="5">
        <v>7.99</v>
      </c>
      <c r="F355" s="4">
        <v>10005049100</v>
      </c>
      <c r="G355" s="2" t="s">
        <v>527</v>
      </c>
      <c r="H355" s="7"/>
      <c r="I355" s="2" t="s">
        <v>483</v>
      </c>
      <c r="J355" s="2" t="s">
        <v>536</v>
      </c>
      <c r="K355" s="2" t="s">
        <v>304</v>
      </c>
      <c r="L355" s="2" t="s">
        <v>119</v>
      </c>
      <c r="M355" s="8" t="str">
        <f>HYPERLINK("http://slimages.macys.com/is/image/MCY/11520375 ")</f>
        <v xml:space="preserve">http://slimages.macys.com/is/image/MCY/11520375 </v>
      </c>
    </row>
    <row r="356" spans="1:13" ht="60" x14ac:dyDescent="0.25">
      <c r="A356" s="7" t="s">
        <v>8422</v>
      </c>
      <c r="B356" s="2" t="s">
        <v>6481</v>
      </c>
      <c r="C356" s="4">
        <v>3</v>
      </c>
      <c r="D356" s="5">
        <v>2.75</v>
      </c>
      <c r="E356" s="5">
        <v>6.99</v>
      </c>
      <c r="F356" s="4" t="s">
        <v>6482</v>
      </c>
      <c r="G356" s="2" t="s">
        <v>41</v>
      </c>
      <c r="H356" s="7" t="s">
        <v>42</v>
      </c>
      <c r="I356" s="2" t="s">
        <v>483</v>
      </c>
      <c r="J356" s="2" t="s">
        <v>536</v>
      </c>
      <c r="K356" s="2" t="s">
        <v>304</v>
      </c>
      <c r="L356" s="2" t="s">
        <v>38</v>
      </c>
      <c r="M356" s="8" t="str">
        <f>HYPERLINK("http://slimages.macys.com/is/image/MCY/13987340 ")</f>
        <v xml:space="preserve">http://slimages.macys.com/is/image/MCY/13987340 </v>
      </c>
    </row>
    <row r="357" spans="1:13" ht="60" x14ac:dyDescent="0.25">
      <c r="A357" s="7" t="s">
        <v>6483</v>
      </c>
      <c r="B357" s="2" t="s">
        <v>6481</v>
      </c>
      <c r="C357" s="4">
        <v>3</v>
      </c>
      <c r="D357" s="5">
        <v>2.75</v>
      </c>
      <c r="E357" s="5">
        <v>6.99</v>
      </c>
      <c r="F357" s="4" t="s">
        <v>6482</v>
      </c>
      <c r="G357" s="2" t="s">
        <v>41</v>
      </c>
      <c r="H357" s="7" t="s">
        <v>91</v>
      </c>
      <c r="I357" s="2" t="s">
        <v>483</v>
      </c>
      <c r="J357" s="2" t="s">
        <v>536</v>
      </c>
      <c r="K357" s="2" t="s">
        <v>304</v>
      </c>
      <c r="L357" s="2" t="s">
        <v>38</v>
      </c>
      <c r="M357" s="8" t="str">
        <f>HYPERLINK("http://slimages.macys.com/is/image/MCY/13987340 ")</f>
        <v xml:space="preserve">http://slimages.macys.com/is/image/MCY/13987340 </v>
      </c>
    </row>
    <row r="358" spans="1:13" ht="60" x14ac:dyDescent="0.25">
      <c r="A358" s="7" t="s">
        <v>2217</v>
      </c>
      <c r="B358" s="2" t="s">
        <v>1219</v>
      </c>
      <c r="C358" s="4">
        <v>3</v>
      </c>
      <c r="D358" s="5">
        <v>2.75</v>
      </c>
      <c r="E358" s="5">
        <v>6.99</v>
      </c>
      <c r="F358" s="4" t="s">
        <v>1220</v>
      </c>
      <c r="G358" s="2" t="s">
        <v>527</v>
      </c>
      <c r="H358" s="7" t="s">
        <v>42</v>
      </c>
      <c r="I358" s="2" t="s">
        <v>483</v>
      </c>
      <c r="J358" s="2" t="s">
        <v>536</v>
      </c>
      <c r="K358" s="2" t="s">
        <v>304</v>
      </c>
      <c r="L358" s="2" t="s">
        <v>119</v>
      </c>
      <c r="M358" s="8" t="str">
        <f>HYPERLINK("http://slimages.macys.com/is/image/MCY/13987326 ")</f>
        <v xml:space="preserve">http://slimages.macys.com/is/image/MCY/13987326 </v>
      </c>
    </row>
    <row r="359" spans="1:13" ht="60" x14ac:dyDescent="0.25">
      <c r="A359" s="7" t="s">
        <v>2213</v>
      </c>
      <c r="B359" s="2" t="s">
        <v>1219</v>
      </c>
      <c r="C359" s="4">
        <v>1</v>
      </c>
      <c r="D359" s="5">
        <v>2.75</v>
      </c>
      <c r="E359" s="5">
        <v>6.99</v>
      </c>
      <c r="F359" s="4" t="s">
        <v>1220</v>
      </c>
      <c r="G359" s="2" t="s">
        <v>527</v>
      </c>
      <c r="H359" s="7" t="s">
        <v>442</v>
      </c>
      <c r="I359" s="2" t="s">
        <v>483</v>
      </c>
      <c r="J359" s="2" t="s">
        <v>536</v>
      </c>
      <c r="K359" s="2" t="s">
        <v>304</v>
      </c>
      <c r="L359" s="2" t="s">
        <v>119</v>
      </c>
      <c r="M359" s="8" t="str">
        <f>HYPERLINK("http://slimages.macys.com/is/image/MCY/13987326 ")</f>
        <v xml:space="preserve">http://slimages.macys.com/is/image/MCY/13987326 </v>
      </c>
    </row>
    <row r="360" spans="1:13" ht="60" x14ac:dyDescent="0.25">
      <c r="A360" s="7" t="s">
        <v>1218</v>
      </c>
      <c r="B360" s="2" t="s">
        <v>1219</v>
      </c>
      <c r="C360" s="4">
        <v>1</v>
      </c>
      <c r="D360" s="5">
        <v>2.75</v>
      </c>
      <c r="E360" s="5">
        <v>6.99</v>
      </c>
      <c r="F360" s="4" t="s">
        <v>1220</v>
      </c>
      <c r="G360" s="2" t="s">
        <v>527</v>
      </c>
      <c r="H360" s="7" t="s">
        <v>590</v>
      </c>
      <c r="I360" s="2" t="s">
        <v>483</v>
      </c>
      <c r="J360" s="2" t="s">
        <v>536</v>
      </c>
      <c r="K360" s="2" t="s">
        <v>304</v>
      </c>
      <c r="L360" s="2" t="s">
        <v>119</v>
      </c>
      <c r="M360" s="8" t="str">
        <f>HYPERLINK("http://slimages.macys.com/is/image/MCY/13987326 ")</f>
        <v xml:space="preserve">http://slimages.macys.com/is/image/MCY/13987326 </v>
      </c>
    </row>
    <row r="361" spans="1:13" ht="60" x14ac:dyDescent="0.25">
      <c r="A361" s="7" t="s">
        <v>8423</v>
      </c>
      <c r="B361" s="2" t="s">
        <v>4457</v>
      </c>
      <c r="C361" s="4">
        <v>1</v>
      </c>
      <c r="D361" s="5">
        <v>2.71</v>
      </c>
      <c r="E361" s="5">
        <v>7.99</v>
      </c>
      <c r="F361" s="4" t="s">
        <v>4458</v>
      </c>
      <c r="G361" s="2" t="s">
        <v>36</v>
      </c>
      <c r="H361" s="7" t="s">
        <v>578</v>
      </c>
      <c r="I361" s="2" t="s">
        <v>483</v>
      </c>
      <c r="J361" s="2" t="s">
        <v>536</v>
      </c>
      <c r="K361" s="2" t="s">
        <v>304</v>
      </c>
      <c r="L361" s="2" t="s">
        <v>596</v>
      </c>
      <c r="M361" s="8" t="str">
        <f>HYPERLINK("http://slimages.macys.com/is/image/MCY/12466357 ")</f>
        <v xml:space="preserve">http://slimages.macys.com/is/image/MCY/12466357 </v>
      </c>
    </row>
    <row r="362" spans="1:13" ht="60" x14ac:dyDescent="0.25">
      <c r="A362" s="7" t="s">
        <v>8424</v>
      </c>
      <c r="B362" s="2" t="s">
        <v>1229</v>
      </c>
      <c r="C362" s="4">
        <v>1</v>
      </c>
      <c r="D362" s="5">
        <v>2.68</v>
      </c>
      <c r="E362" s="5">
        <v>7.99</v>
      </c>
      <c r="F362" s="4" t="s">
        <v>1230</v>
      </c>
      <c r="G362" s="2" t="s">
        <v>41</v>
      </c>
      <c r="H362" s="7" t="s">
        <v>578</v>
      </c>
      <c r="I362" s="2" t="s">
        <v>483</v>
      </c>
      <c r="J362" s="2" t="s">
        <v>536</v>
      </c>
      <c r="K362" s="2" t="s">
        <v>304</v>
      </c>
      <c r="L362" s="2" t="s">
        <v>38</v>
      </c>
      <c r="M362" s="8" t="str">
        <f>HYPERLINK("http://slimages.macys.com/is/image/MCY/13987603 ")</f>
        <v xml:space="preserve">http://slimages.macys.com/is/image/MCY/13987603 </v>
      </c>
    </row>
    <row r="363" spans="1:13" ht="60" x14ac:dyDescent="0.25">
      <c r="A363" s="7" t="s">
        <v>4471</v>
      </c>
      <c r="B363" s="2" t="s">
        <v>4472</v>
      </c>
      <c r="C363" s="4">
        <v>1</v>
      </c>
      <c r="D363" s="5">
        <v>2.68</v>
      </c>
      <c r="E363" s="5">
        <v>7.99</v>
      </c>
      <c r="F363" s="4" t="s">
        <v>4473</v>
      </c>
      <c r="G363" s="2" t="s">
        <v>62</v>
      </c>
      <c r="H363" s="7" t="s">
        <v>578</v>
      </c>
      <c r="I363" s="2" t="s">
        <v>483</v>
      </c>
      <c r="J363" s="2" t="s">
        <v>536</v>
      </c>
      <c r="K363" s="2" t="s">
        <v>304</v>
      </c>
      <c r="L363" s="2" t="s">
        <v>100</v>
      </c>
      <c r="M363" s="8" t="str">
        <f>HYPERLINK("http://slimages.macys.com/is/image/MCY/12463166 ")</f>
        <v xml:space="preserve">http://slimages.macys.com/is/image/MCY/12463166 </v>
      </c>
    </row>
    <row r="364" spans="1:13" ht="84" x14ac:dyDescent="0.25">
      <c r="A364" s="7" t="s">
        <v>2238</v>
      </c>
      <c r="B364" s="2" t="s">
        <v>2228</v>
      </c>
      <c r="C364" s="4">
        <v>1</v>
      </c>
      <c r="D364" s="5">
        <v>2.67</v>
      </c>
      <c r="E364" s="5">
        <v>7.99</v>
      </c>
      <c r="F364" s="4" t="s">
        <v>2229</v>
      </c>
      <c r="G364" s="2" t="s">
        <v>527</v>
      </c>
      <c r="H364" s="7" t="s">
        <v>590</v>
      </c>
      <c r="I364" s="2" t="s">
        <v>483</v>
      </c>
      <c r="J364" s="2" t="s">
        <v>536</v>
      </c>
      <c r="K364" s="2" t="s">
        <v>304</v>
      </c>
      <c r="L364" s="2" t="s">
        <v>2230</v>
      </c>
      <c r="M364" s="8" t="str">
        <f>HYPERLINK("http://slimages.macys.com/is/image/MCY/14385110 ")</f>
        <v xml:space="preserve">http://slimages.macys.com/is/image/MCY/14385110 </v>
      </c>
    </row>
    <row r="365" spans="1:13" ht="60" x14ac:dyDescent="0.25">
      <c r="A365" s="7" t="s">
        <v>6499</v>
      </c>
      <c r="B365" s="2" t="s">
        <v>1233</v>
      </c>
      <c r="C365" s="4">
        <v>1</v>
      </c>
      <c r="D365" s="5">
        <v>2.67</v>
      </c>
      <c r="E365" s="5">
        <v>6.99</v>
      </c>
      <c r="F365" s="4" t="s">
        <v>1234</v>
      </c>
      <c r="G365" s="2" t="s">
        <v>171</v>
      </c>
      <c r="H365" s="7" t="s">
        <v>149</v>
      </c>
      <c r="I365" s="2" t="s">
        <v>483</v>
      </c>
      <c r="J365" s="2" t="s">
        <v>536</v>
      </c>
      <c r="K365" s="2" t="s">
        <v>304</v>
      </c>
      <c r="L365" s="2" t="s">
        <v>119</v>
      </c>
      <c r="M365" s="8" t="str">
        <f>HYPERLINK("http://slimages.macys.com/is/image/MCY/12646582 ")</f>
        <v xml:space="preserve">http://slimages.macys.com/is/image/MCY/12646582 </v>
      </c>
    </row>
    <row r="366" spans="1:13" ht="60" x14ac:dyDescent="0.25">
      <c r="A366" s="7" t="s">
        <v>8425</v>
      </c>
      <c r="B366" s="2" t="s">
        <v>8426</v>
      </c>
      <c r="C366" s="4">
        <v>1</v>
      </c>
      <c r="D366" s="5">
        <v>2.65</v>
      </c>
      <c r="E366" s="5">
        <v>7.99</v>
      </c>
      <c r="F366" s="4" t="s">
        <v>8427</v>
      </c>
      <c r="G366" s="2" t="s">
        <v>1302</v>
      </c>
      <c r="H366" s="7" t="s">
        <v>578</v>
      </c>
      <c r="I366" s="2" t="s">
        <v>483</v>
      </c>
      <c r="J366" s="2" t="s">
        <v>536</v>
      </c>
      <c r="K366" s="2" t="s">
        <v>304</v>
      </c>
      <c r="L366" s="2" t="s">
        <v>100</v>
      </c>
      <c r="M366" s="8" t="str">
        <f>HYPERLINK("http://slimages.macys.com/is/image/MCY/11855964 ")</f>
        <v xml:space="preserve">http://slimages.macys.com/is/image/MCY/11855964 </v>
      </c>
    </row>
    <row r="367" spans="1:13" ht="60" x14ac:dyDescent="0.25">
      <c r="A367" s="7" t="s">
        <v>6030</v>
      </c>
      <c r="B367" s="2" t="s">
        <v>1236</v>
      </c>
      <c r="C367" s="4">
        <v>1</v>
      </c>
      <c r="D367" s="5">
        <v>2.65</v>
      </c>
      <c r="E367" s="5">
        <v>6.99</v>
      </c>
      <c r="F367" s="4" t="s">
        <v>1237</v>
      </c>
      <c r="G367" s="2" t="s">
        <v>41</v>
      </c>
      <c r="H367" s="7" t="s">
        <v>42</v>
      </c>
      <c r="I367" s="2" t="s">
        <v>483</v>
      </c>
      <c r="J367" s="2" t="s">
        <v>536</v>
      </c>
      <c r="K367" s="2" t="s">
        <v>304</v>
      </c>
      <c r="L367" s="2" t="s">
        <v>100</v>
      </c>
      <c r="M367" s="8" t="str">
        <f>HYPERLINK("http://slimages.macys.com/is/image/MCY/13337374 ")</f>
        <v xml:space="preserve">http://slimages.macys.com/is/image/MCY/13337374 </v>
      </c>
    </row>
    <row r="368" spans="1:13" ht="60" x14ac:dyDescent="0.25">
      <c r="A368" s="7" t="s">
        <v>8428</v>
      </c>
      <c r="B368" s="2" t="s">
        <v>8429</v>
      </c>
      <c r="C368" s="4">
        <v>1</v>
      </c>
      <c r="D368" s="5">
        <v>2.65</v>
      </c>
      <c r="E368" s="5">
        <v>6.99</v>
      </c>
      <c r="F368" s="4">
        <v>10005486600</v>
      </c>
      <c r="G368" s="2" t="s">
        <v>41</v>
      </c>
      <c r="H368" s="7" t="s">
        <v>482</v>
      </c>
      <c r="I368" s="2" t="s">
        <v>483</v>
      </c>
      <c r="J368" s="2" t="s">
        <v>536</v>
      </c>
      <c r="K368" s="2" t="s">
        <v>304</v>
      </c>
      <c r="L368" s="2" t="s">
        <v>206</v>
      </c>
      <c r="M368" s="8" t="str">
        <f>HYPERLINK("http://slimages.macys.com/is/image/MCY/12466215 ")</f>
        <v xml:space="preserve">http://slimages.macys.com/is/image/MCY/12466215 </v>
      </c>
    </row>
    <row r="369" spans="1:13" ht="60" x14ac:dyDescent="0.25">
      <c r="A369" s="7" t="s">
        <v>2245</v>
      </c>
      <c r="B369" s="2" t="s">
        <v>2246</v>
      </c>
      <c r="C369" s="4">
        <v>1</v>
      </c>
      <c r="D369" s="5">
        <v>2.64</v>
      </c>
      <c r="E369" s="5">
        <v>6.99</v>
      </c>
      <c r="F369" s="4" t="s">
        <v>2247</v>
      </c>
      <c r="G369" s="2" t="s">
        <v>262</v>
      </c>
      <c r="H369" s="7"/>
      <c r="I369" s="2" t="s">
        <v>483</v>
      </c>
      <c r="J369" s="2" t="s">
        <v>536</v>
      </c>
      <c r="K369" s="2" t="s">
        <v>304</v>
      </c>
      <c r="L369" s="2" t="s">
        <v>119</v>
      </c>
      <c r="M369" s="8" t="str">
        <f>HYPERLINK("http://slimages.macys.com/is/image/MCY/13987489 ")</f>
        <v xml:space="preserve">http://slimages.macys.com/is/image/MCY/13987489 </v>
      </c>
    </row>
    <row r="370" spans="1:13" ht="108" x14ac:dyDescent="0.25">
      <c r="A370" s="7" t="s">
        <v>8430</v>
      </c>
      <c r="B370" s="2" t="s">
        <v>8431</v>
      </c>
      <c r="C370" s="4">
        <v>3</v>
      </c>
      <c r="D370" s="5">
        <v>2.64</v>
      </c>
      <c r="E370" s="5">
        <v>6.99</v>
      </c>
      <c r="F370" s="4" t="s">
        <v>8432</v>
      </c>
      <c r="G370" s="2" t="s">
        <v>171</v>
      </c>
      <c r="H370" s="7" t="s">
        <v>604</v>
      </c>
      <c r="I370" s="2" t="s">
        <v>483</v>
      </c>
      <c r="J370" s="2" t="s">
        <v>536</v>
      </c>
      <c r="K370" s="2" t="s">
        <v>304</v>
      </c>
      <c r="L370" s="2" t="s">
        <v>8433</v>
      </c>
      <c r="M370" s="8" t="str">
        <f>HYPERLINK("http://slimages.macys.com/is/image/MCY/11435760 ")</f>
        <v xml:space="preserve">http://slimages.macys.com/is/image/MCY/11435760 </v>
      </c>
    </row>
    <row r="371" spans="1:13" ht="108" x14ac:dyDescent="0.25">
      <c r="A371" s="7" t="s">
        <v>8434</v>
      </c>
      <c r="B371" s="2" t="s">
        <v>8431</v>
      </c>
      <c r="C371" s="4">
        <v>2</v>
      </c>
      <c r="D371" s="5">
        <v>2.64</v>
      </c>
      <c r="E371" s="5">
        <v>6.99</v>
      </c>
      <c r="F371" s="4" t="s">
        <v>8432</v>
      </c>
      <c r="G371" s="2" t="s">
        <v>171</v>
      </c>
      <c r="H371" s="7" t="s">
        <v>586</v>
      </c>
      <c r="I371" s="2" t="s">
        <v>483</v>
      </c>
      <c r="J371" s="2" t="s">
        <v>536</v>
      </c>
      <c r="K371" s="2" t="s">
        <v>304</v>
      </c>
      <c r="L371" s="2" t="s">
        <v>8433</v>
      </c>
      <c r="M371" s="8" t="str">
        <f>HYPERLINK("http://slimages.macys.com/is/image/MCY/11435760 ")</f>
        <v xml:space="preserve">http://slimages.macys.com/is/image/MCY/11435760 </v>
      </c>
    </row>
    <row r="372" spans="1:13" ht="60" x14ac:dyDescent="0.25">
      <c r="A372" s="7" t="s">
        <v>8435</v>
      </c>
      <c r="B372" s="2" t="s">
        <v>4501</v>
      </c>
      <c r="C372" s="4">
        <v>1</v>
      </c>
      <c r="D372" s="5">
        <v>2.63</v>
      </c>
      <c r="E372" s="5">
        <v>7.99</v>
      </c>
      <c r="F372" s="4" t="s">
        <v>4502</v>
      </c>
      <c r="G372" s="2" t="s">
        <v>353</v>
      </c>
      <c r="H372" s="7" t="s">
        <v>514</v>
      </c>
      <c r="I372" s="2" t="s">
        <v>483</v>
      </c>
      <c r="J372" s="2" t="s">
        <v>536</v>
      </c>
      <c r="K372" s="2"/>
      <c r="L372" s="2"/>
      <c r="M372" s="8" t="str">
        <f>HYPERLINK("http://slimages.macys.com/is/image/MCY/12239826 ")</f>
        <v xml:space="preserve">http://slimages.macys.com/is/image/MCY/12239826 </v>
      </c>
    </row>
    <row r="373" spans="1:13" ht="60" x14ac:dyDescent="0.25">
      <c r="A373" s="7" t="s">
        <v>8436</v>
      </c>
      <c r="B373" s="2" t="s">
        <v>6032</v>
      </c>
      <c r="C373" s="4">
        <v>1</v>
      </c>
      <c r="D373" s="5">
        <v>2.63</v>
      </c>
      <c r="E373" s="5">
        <v>6.99</v>
      </c>
      <c r="F373" s="4" t="s">
        <v>6033</v>
      </c>
      <c r="G373" s="2" t="s">
        <v>171</v>
      </c>
      <c r="H373" s="7" t="s">
        <v>42</v>
      </c>
      <c r="I373" s="2" t="s">
        <v>483</v>
      </c>
      <c r="J373" s="2" t="s">
        <v>536</v>
      </c>
      <c r="K373" s="2" t="s">
        <v>304</v>
      </c>
      <c r="L373" s="2" t="s">
        <v>100</v>
      </c>
      <c r="M373" s="8" t="str">
        <f>HYPERLINK("http://slimages.macys.com/is/image/MCY/11378313 ")</f>
        <v xml:space="preserve">http://slimages.macys.com/is/image/MCY/11378313 </v>
      </c>
    </row>
    <row r="374" spans="1:13" ht="60" x14ac:dyDescent="0.25">
      <c r="A374" s="7" t="s">
        <v>8437</v>
      </c>
      <c r="B374" s="2" t="s">
        <v>8438</v>
      </c>
      <c r="C374" s="4">
        <v>1</v>
      </c>
      <c r="D374" s="5">
        <v>2.63</v>
      </c>
      <c r="E374" s="5">
        <v>5.99</v>
      </c>
      <c r="F374" s="4" t="s">
        <v>8439</v>
      </c>
      <c r="G374" s="2" t="s">
        <v>62</v>
      </c>
      <c r="H374" s="7" t="s">
        <v>149</v>
      </c>
      <c r="I374" s="2" t="s">
        <v>483</v>
      </c>
      <c r="J374" s="2" t="s">
        <v>536</v>
      </c>
      <c r="K374" s="2" t="s">
        <v>304</v>
      </c>
      <c r="L374" s="2" t="s">
        <v>119</v>
      </c>
      <c r="M374" s="8" t="str">
        <f>HYPERLINK("http://slimages.macys.com/is/image/MCY/11384952 ")</f>
        <v xml:space="preserve">http://slimages.macys.com/is/image/MCY/11384952 </v>
      </c>
    </row>
    <row r="375" spans="1:13" ht="60" x14ac:dyDescent="0.25">
      <c r="A375" s="7" t="s">
        <v>8440</v>
      </c>
      <c r="B375" s="2" t="s">
        <v>6518</v>
      </c>
      <c r="C375" s="4">
        <v>1</v>
      </c>
      <c r="D375" s="5">
        <v>2.62</v>
      </c>
      <c r="E375" s="5">
        <v>6.99</v>
      </c>
      <c r="F375" s="4" t="s">
        <v>6519</v>
      </c>
      <c r="G375" s="2" t="s">
        <v>28</v>
      </c>
      <c r="H375" s="7" t="s">
        <v>590</v>
      </c>
      <c r="I375" s="2" t="s">
        <v>483</v>
      </c>
      <c r="J375" s="2" t="s">
        <v>536</v>
      </c>
      <c r="K375" s="2" t="s">
        <v>304</v>
      </c>
      <c r="L375" s="2" t="s">
        <v>100</v>
      </c>
      <c r="M375" s="8" t="str">
        <f>HYPERLINK("http://slimages.macys.com/is/image/MCY/11524593 ")</f>
        <v xml:space="preserve">http://slimages.macys.com/is/image/MCY/11524593 </v>
      </c>
    </row>
    <row r="376" spans="1:13" ht="60" x14ac:dyDescent="0.25">
      <c r="A376" s="7" t="s">
        <v>6517</v>
      </c>
      <c r="B376" s="2" t="s">
        <v>6518</v>
      </c>
      <c r="C376" s="4">
        <v>1</v>
      </c>
      <c r="D376" s="5">
        <v>2.62</v>
      </c>
      <c r="E376" s="5">
        <v>6.99</v>
      </c>
      <c r="F376" s="4" t="s">
        <v>6519</v>
      </c>
      <c r="G376" s="2" t="s">
        <v>28</v>
      </c>
      <c r="H376" s="7" t="s">
        <v>149</v>
      </c>
      <c r="I376" s="2" t="s">
        <v>483</v>
      </c>
      <c r="J376" s="2" t="s">
        <v>536</v>
      </c>
      <c r="K376" s="2" t="s">
        <v>304</v>
      </c>
      <c r="L376" s="2" t="s">
        <v>100</v>
      </c>
      <c r="M376" s="8" t="str">
        <f>HYPERLINK("http://slimages.macys.com/is/image/MCY/11524593 ")</f>
        <v xml:space="preserve">http://slimages.macys.com/is/image/MCY/11524593 </v>
      </c>
    </row>
    <row r="377" spans="1:13" ht="60" x14ac:dyDescent="0.25">
      <c r="A377" s="7" t="s">
        <v>8441</v>
      </c>
      <c r="B377" s="2" t="s">
        <v>1240</v>
      </c>
      <c r="C377" s="4">
        <v>1</v>
      </c>
      <c r="D377" s="5">
        <v>2.62</v>
      </c>
      <c r="E377" s="5">
        <v>6.99</v>
      </c>
      <c r="F377" s="4" t="s">
        <v>1241</v>
      </c>
      <c r="G377" s="2" t="s">
        <v>28</v>
      </c>
      <c r="H377" s="7" t="s">
        <v>442</v>
      </c>
      <c r="I377" s="2" t="s">
        <v>483</v>
      </c>
      <c r="J377" s="2" t="s">
        <v>536</v>
      </c>
      <c r="K377" s="2" t="s">
        <v>304</v>
      </c>
      <c r="L377" s="2" t="s">
        <v>100</v>
      </c>
      <c r="M377" s="8" t="str">
        <f>HYPERLINK("http://slimages.macys.com/is/image/MCY/13336558 ")</f>
        <v xml:space="preserve">http://slimages.macys.com/is/image/MCY/13336558 </v>
      </c>
    </row>
    <row r="378" spans="1:13" ht="60" x14ac:dyDescent="0.25">
      <c r="A378" s="7" t="s">
        <v>5688</v>
      </c>
      <c r="B378" s="2" t="s">
        <v>1246</v>
      </c>
      <c r="C378" s="4">
        <v>1</v>
      </c>
      <c r="D378" s="5">
        <v>2.62</v>
      </c>
      <c r="E378" s="5">
        <v>6.99</v>
      </c>
      <c r="F378" s="4" t="s">
        <v>1247</v>
      </c>
      <c r="G378" s="2" t="s">
        <v>41</v>
      </c>
      <c r="H378" s="7" t="s">
        <v>91</v>
      </c>
      <c r="I378" s="2" t="s">
        <v>483</v>
      </c>
      <c r="J378" s="2" t="s">
        <v>536</v>
      </c>
      <c r="K378" s="2" t="s">
        <v>304</v>
      </c>
      <c r="L378" s="2" t="s">
        <v>100</v>
      </c>
      <c r="M378" s="8" t="str">
        <f>HYPERLINK("http://slimages.macys.com/is/image/MCY/13337544 ")</f>
        <v xml:space="preserve">http://slimages.macys.com/is/image/MCY/13337544 </v>
      </c>
    </row>
    <row r="379" spans="1:13" ht="60" x14ac:dyDescent="0.25">
      <c r="A379" s="7" t="s">
        <v>2266</v>
      </c>
      <c r="B379" s="2" t="s">
        <v>2254</v>
      </c>
      <c r="C379" s="4">
        <v>1</v>
      </c>
      <c r="D379" s="5">
        <v>2.62</v>
      </c>
      <c r="E379" s="5">
        <v>5.99</v>
      </c>
      <c r="F379" s="4" t="s">
        <v>2255</v>
      </c>
      <c r="G379" s="2" t="s">
        <v>657</v>
      </c>
      <c r="H379" s="7" t="s">
        <v>442</v>
      </c>
      <c r="I379" s="2" t="s">
        <v>483</v>
      </c>
      <c r="J379" s="2" t="s">
        <v>536</v>
      </c>
      <c r="K379" s="2" t="s">
        <v>304</v>
      </c>
      <c r="L379" s="2" t="s">
        <v>119</v>
      </c>
      <c r="M379" s="8" t="str">
        <f>HYPERLINK("http://slimages.macys.com/is/image/MCY/12644604 ")</f>
        <v xml:space="preserve">http://slimages.macys.com/is/image/MCY/12644604 </v>
      </c>
    </row>
    <row r="380" spans="1:13" ht="60" x14ac:dyDescent="0.25">
      <c r="A380" s="7" t="s">
        <v>8442</v>
      </c>
      <c r="B380" s="2" t="s">
        <v>8443</v>
      </c>
      <c r="C380" s="4">
        <v>1</v>
      </c>
      <c r="D380" s="5">
        <v>2.62</v>
      </c>
      <c r="E380" s="5">
        <v>6.99</v>
      </c>
      <c r="F380" s="4" t="s">
        <v>8444</v>
      </c>
      <c r="G380" s="2" t="s">
        <v>36</v>
      </c>
      <c r="H380" s="7" t="s">
        <v>590</v>
      </c>
      <c r="I380" s="2" t="s">
        <v>483</v>
      </c>
      <c r="J380" s="2" t="s">
        <v>536</v>
      </c>
      <c r="K380" s="2" t="s">
        <v>304</v>
      </c>
      <c r="L380" s="2" t="s">
        <v>100</v>
      </c>
      <c r="M380" s="8" t="str">
        <f>HYPERLINK("http://slimages.macys.com/is/image/MCY/11855828 ")</f>
        <v xml:space="preserve">http://slimages.macys.com/is/image/MCY/11855828 </v>
      </c>
    </row>
    <row r="381" spans="1:13" ht="60" x14ac:dyDescent="0.25">
      <c r="A381" s="7" t="s">
        <v>8445</v>
      </c>
      <c r="B381" s="2" t="s">
        <v>6518</v>
      </c>
      <c r="C381" s="4">
        <v>2</v>
      </c>
      <c r="D381" s="5">
        <v>2.62</v>
      </c>
      <c r="E381" s="5">
        <v>6.99</v>
      </c>
      <c r="F381" s="4" t="s">
        <v>6519</v>
      </c>
      <c r="G381" s="2" t="s">
        <v>28</v>
      </c>
      <c r="H381" s="7" t="s">
        <v>442</v>
      </c>
      <c r="I381" s="2" t="s">
        <v>483</v>
      </c>
      <c r="J381" s="2" t="s">
        <v>536</v>
      </c>
      <c r="K381" s="2" t="s">
        <v>304</v>
      </c>
      <c r="L381" s="2" t="s">
        <v>100</v>
      </c>
      <c r="M381" s="8" t="str">
        <f>HYPERLINK("http://slimages.macys.com/is/image/MCY/11524593 ")</f>
        <v xml:space="preserve">http://slimages.macys.com/is/image/MCY/11524593 </v>
      </c>
    </row>
    <row r="382" spans="1:13" ht="60" x14ac:dyDescent="0.25">
      <c r="A382" s="7" t="s">
        <v>2253</v>
      </c>
      <c r="B382" s="2" t="s">
        <v>2254</v>
      </c>
      <c r="C382" s="4">
        <v>1</v>
      </c>
      <c r="D382" s="5">
        <v>2.62</v>
      </c>
      <c r="E382" s="5">
        <v>5.99</v>
      </c>
      <c r="F382" s="4" t="s">
        <v>2255</v>
      </c>
      <c r="G382" s="2" t="s">
        <v>657</v>
      </c>
      <c r="H382" s="7" t="s">
        <v>42</v>
      </c>
      <c r="I382" s="2" t="s">
        <v>483</v>
      </c>
      <c r="J382" s="2" t="s">
        <v>536</v>
      </c>
      <c r="K382" s="2" t="s">
        <v>304</v>
      </c>
      <c r="L382" s="2" t="s">
        <v>119</v>
      </c>
      <c r="M382" s="8" t="str">
        <f>HYPERLINK("http://slimages.macys.com/is/image/MCY/12644604 ")</f>
        <v xml:space="preserve">http://slimages.macys.com/is/image/MCY/12644604 </v>
      </c>
    </row>
    <row r="383" spans="1:13" ht="60" x14ac:dyDescent="0.25">
      <c r="A383" s="7" t="s">
        <v>2273</v>
      </c>
      <c r="B383" s="2" t="s">
        <v>1253</v>
      </c>
      <c r="C383" s="4">
        <v>1</v>
      </c>
      <c r="D383" s="5">
        <v>2.61</v>
      </c>
      <c r="E383" s="5">
        <v>6.99</v>
      </c>
      <c r="F383" s="4" t="s">
        <v>1254</v>
      </c>
      <c r="G383" s="2" t="s">
        <v>171</v>
      </c>
      <c r="H383" s="7" t="s">
        <v>442</v>
      </c>
      <c r="I383" s="2" t="s">
        <v>483</v>
      </c>
      <c r="J383" s="2" t="s">
        <v>536</v>
      </c>
      <c r="K383" s="2" t="s">
        <v>304</v>
      </c>
      <c r="L383" s="2" t="s">
        <v>38</v>
      </c>
      <c r="M383" s="8" t="str">
        <f>HYPERLINK("http://slimages.macys.com/is/image/MCY/13987491 ")</f>
        <v xml:space="preserve">http://slimages.macys.com/is/image/MCY/13987491 </v>
      </c>
    </row>
    <row r="384" spans="1:13" ht="60" x14ac:dyDescent="0.25">
      <c r="A384" s="7" t="s">
        <v>5689</v>
      </c>
      <c r="B384" s="2" t="s">
        <v>1253</v>
      </c>
      <c r="C384" s="4">
        <v>3</v>
      </c>
      <c r="D384" s="5">
        <v>2.61</v>
      </c>
      <c r="E384" s="5">
        <v>6.99</v>
      </c>
      <c r="F384" s="4" t="s">
        <v>1254</v>
      </c>
      <c r="G384" s="2" t="s">
        <v>171</v>
      </c>
      <c r="H384" s="7"/>
      <c r="I384" s="2" t="s">
        <v>483</v>
      </c>
      <c r="J384" s="2" t="s">
        <v>536</v>
      </c>
      <c r="K384" s="2" t="s">
        <v>304</v>
      </c>
      <c r="L384" s="2" t="s">
        <v>38</v>
      </c>
      <c r="M384" s="8" t="str">
        <f>HYPERLINK("http://slimages.macys.com/is/image/MCY/13987491 ")</f>
        <v xml:space="preserve">http://slimages.macys.com/is/image/MCY/13987491 </v>
      </c>
    </row>
    <row r="385" spans="1:13" ht="60" x14ac:dyDescent="0.25">
      <c r="A385" s="7" t="s">
        <v>6037</v>
      </c>
      <c r="B385" s="2" t="s">
        <v>2276</v>
      </c>
      <c r="C385" s="4">
        <v>3</v>
      </c>
      <c r="D385" s="5">
        <v>2.61</v>
      </c>
      <c r="E385" s="5">
        <v>6.99</v>
      </c>
      <c r="F385" s="4" t="s">
        <v>2277</v>
      </c>
      <c r="G385" s="2" t="s">
        <v>527</v>
      </c>
      <c r="H385" s="7" t="s">
        <v>42</v>
      </c>
      <c r="I385" s="2" t="s">
        <v>483</v>
      </c>
      <c r="J385" s="2" t="s">
        <v>536</v>
      </c>
      <c r="K385" s="2" t="s">
        <v>304</v>
      </c>
      <c r="L385" s="2" t="s">
        <v>206</v>
      </c>
      <c r="M385" s="8" t="str">
        <f>HYPERLINK("http://slimages.macys.com/is/image/MCY/13336562 ")</f>
        <v xml:space="preserve">http://slimages.macys.com/is/image/MCY/13336562 </v>
      </c>
    </row>
    <row r="386" spans="1:13" ht="60" x14ac:dyDescent="0.25">
      <c r="A386" s="7" t="s">
        <v>6523</v>
      </c>
      <c r="B386" s="2" t="s">
        <v>2271</v>
      </c>
      <c r="C386" s="4">
        <v>2</v>
      </c>
      <c r="D386" s="5">
        <v>2.61</v>
      </c>
      <c r="E386" s="5">
        <v>6.99</v>
      </c>
      <c r="F386" s="4" t="s">
        <v>2272</v>
      </c>
      <c r="G386" s="2" t="s">
        <v>1147</v>
      </c>
      <c r="H386" s="7" t="s">
        <v>442</v>
      </c>
      <c r="I386" s="2" t="s">
        <v>483</v>
      </c>
      <c r="J386" s="2" t="s">
        <v>536</v>
      </c>
      <c r="K386" s="2" t="s">
        <v>304</v>
      </c>
      <c r="L386" s="2" t="s">
        <v>38</v>
      </c>
      <c r="M386" s="8" t="str">
        <f>HYPERLINK("http://slimages.macys.com/is/image/MCY/13987297 ")</f>
        <v xml:space="preserve">http://slimages.macys.com/is/image/MCY/13987297 </v>
      </c>
    </row>
    <row r="387" spans="1:13" ht="60" x14ac:dyDescent="0.25">
      <c r="A387" s="7" t="s">
        <v>4524</v>
      </c>
      <c r="B387" s="2" t="s">
        <v>4518</v>
      </c>
      <c r="C387" s="4">
        <v>1</v>
      </c>
      <c r="D387" s="5">
        <v>2.61</v>
      </c>
      <c r="E387" s="5">
        <v>6.99</v>
      </c>
      <c r="F387" s="4" t="s">
        <v>4519</v>
      </c>
      <c r="G387" s="2" t="s">
        <v>171</v>
      </c>
      <c r="H387" s="7"/>
      <c r="I387" s="2" t="s">
        <v>483</v>
      </c>
      <c r="J387" s="2" t="s">
        <v>536</v>
      </c>
      <c r="K387" s="2" t="s">
        <v>304</v>
      </c>
      <c r="L387" s="2" t="s">
        <v>623</v>
      </c>
      <c r="M387" s="8" t="str">
        <f>HYPERLINK("http://slimages.macys.com/is/image/MCY/12466225 ")</f>
        <v xml:space="preserve">http://slimages.macys.com/is/image/MCY/12466225 </v>
      </c>
    </row>
    <row r="388" spans="1:13" ht="60" x14ac:dyDescent="0.25">
      <c r="A388" s="7" t="s">
        <v>8446</v>
      </c>
      <c r="B388" s="2" t="s">
        <v>2271</v>
      </c>
      <c r="C388" s="4">
        <v>1</v>
      </c>
      <c r="D388" s="5">
        <v>2.61</v>
      </c>
      <c r="E388" s="5">
        <v>6.99</v>
      </c>
      <c r="F388" s="4" t="s">
        <v>2272</v>
      </c>
      <c r="G388" s="2" t="s">
        <v>1147</v>
      </c>
      <c r="H388" s="7" t="s">
        <v>42</v>
      </c>
      <c r="I388" s="2" t="s">
        <v>483</v>
      </c>
      <c r="J388" s="2" t="s">
        <v>536</v>
      </c>
      <c r="K388" s="2" t="s">
        <v>304</v>
      </c>
      <c r="L388" s="2" t="s">
        <v>38</v>
      </c>
      <c r="M388" s="8" t="str">
        <f>HYPERLINK("http://slimages.macys.com/is/image/MCY/13987297 ")</f>
        <v xml:space="preserve">http://slimages.macys.com/is/image/MCY/13987297 </v>
      </c>
    </row>
    <row r="389" spans="1:13" ht="60" x14ac:dyDescent="0.25">
      <c r="A389" s="7" t="s">
        <v>2275</v>
      </c>
      <c r="B389" s="2" t="s">
        <v>2276</v>
      </c>
      <c r="C389" s="4">
        <v>3</v>
      </c>
      <c r="D389" s="5">
        <v>2.61</v>
      </c>
      <c r="E389" s="5">
        <v>6.99</v>
      </c>
      <c r="F389" s="4" t="s">
        <v>2277</v>
      </c>
      <c r="G389" s="2" t="s">
        <v>527</v>
      </c>
      <c r="H389" s="7" t="s">
        <v>91</v>
      </c>
      <c r="I389" s="2" t="s">
        <v>483</v>
      </c>
      <c r="J389" s="2" t="s">
        <v>536</v>
      </c>
      <c r="K389" s="2" t="s">
        <v>304</v>
      </c>
      <c r="L389" s="2" t="s">
        <v>206</v>
      </c>
      <c r="M389" s="8" t="str">
        <f>HYPERLINK("http://slimages.macys.com/is/image/MCY/13336562 ")</f>
        <v xml:space="preserve">http://slimages.macys.com/is/image/MCY/13336562 </v>
      </c>
    </row>
    <row r="390" spans="1:13" ht="60" x14ac:dyDescent="0.25">
      <c r="A390" s="7" t="s">
        <v>8447</v>
      </c>
      <c r="B390" s="2" t="s">
        <v>4511</v>
      </c>
      <c r="C390" s="4">
        <v>1</v>
      </c>
      <c r="D390" s="5">
        <v>2.61</v>
      </c>
      <c r="E390" s="5">
        <v>7.99</v>
      </c>
      <c r="F390" s="4" t="s">
        <v>4512</v>
      </c>
      <c r="G390" s="2" t="s">
        <v>41</v>
      </c>
      <c r="H390" s="7" t="s">
        <v>1151</v>
      </c>
      <c r="I390" s="2" t="s">
        <v>483</v>
      </c>
      <c r="J390" s="2" t="s">
        <v>536</v>
      </c>
      <c r="K390" s="2" t="s">
        <v>304</v>
      </c>
      <c r="L390" s="2" t="s">
        <v>87</v>
      </c>
      <c r="M390" s="8" t="str">
        <f>HYPERLINK("http://slimages.macys.com/is/image/MCY/12466281 ")</f>
        <v xml:space="preserve">http://slimages.macys.com/is/image/MCY/12466281 </v>
      </c>
    </row>
    <row r="391" spans="1:13" ht="60" x14ac:dyDescent="0.25">
      <c r="A391" s="7" t="s">
        <v>2278</v>
      </c>
      <c r="B391" s="2" t="s">
        <v>2279</v>
      </c>
      <c r="C391" s="4">
        <v>1</v>
      </c>
      <c r="D391" s="5">
        <v>2.59</v>
      </c>
      <c r="E391" s="5">
        <v>7.99</v>
      </c>
      <c r="F391" s="4" t="s">
        <v>2280</v>
      </c>
      <c r="G391" s="2" t="s">
        <v>86</v>
      </c>
      <c r="H391" s="7"/>
      <c r="I391" s="2" t="s">
        <v>483</v>
      </c>
      <c r="J391" s="2" t="s">
        <v>536</v>
      </c>
      <c r="K391" s="2" t="s">
        <v>304</v>
      </c>
      <c r="L391" s="2" t="s">
        <v>100</v>
      </c>
      <c r="M391" s="8" t="str">
        <f>HYPERLINK("http://slimages.macys.com/is/image/MCY/12465706 ")</f>
        <v xml:space="preserve">http://slimages.macys.com/is/image/MCY/12465706 </v>
      </c>
    </row>
    <row r="392" spans="1:13" ht="60" x14ac:dyDescent="0.25">
      <c r="A392" s="7" t="s">
        <v>8448</v>
      </c>
      <c r="B392" s="2" t="s">
        <v>6032</v>
      </c>
      <c r="C392" s="4">
        <v>1</v>
      </c>
      <c r="D392" s="5">
        <v>2.57</v>
      </c>
      <c r="E392" s="5">
        <v>6.99</v>
      </c>
      <c r="F392" s="4" t="s">
        <v>6033</v>
      </c>
      <c r="G392" s="2" t="s">
        <v>171</v>
      </c>
      <c r="H392" s="7" t="s">
        <v>590</v>
      </c>
      <c r="I392" s="2" t="s">
        <v>483</v>
      </c>
      <c r="J392" s="2" t="s">
        <v>536</v>
      </c>
      <c r="K392" s="2" t="s">
        <v>304</v>
      </c>
      <c r="L392" s="2" t="s">
        <v>100</v>
      </c>
      <c r="M392" s="8" t="str">
        <f>HYPERLINK("http://slimages.macys.com/is/image/MCY/11378313 ")</f>
        <v xml:space="preserve">http://slimages.macys.com/is/image/MCY/11378313 </v>
      </c>
    </row>
    <row r="393" spans="1:13" ht="60" x14ac:dyDescent="0.25">
      <c r="A393" s="7" t="s">
        <v>6054</v>
      </c>
      <c r="B393" s="2" t="s">
        <v>6032</v>
      </c>
      <c r="C393" s="4">
        <v>3</v>
      </c>
      <c r="D393" s="5">
        <v>2.57</v>
      </c>
      <c r="E393" s="5">
        <v>6.99</v>
      </c>
      <c r="F393" s="4" t="s">
        <v>6033</v>
      </c>
      <c r="G393" s="2" t="s">
        <v>297</v>
      </c>
      <c r="H393" s="7" t="s">
        <v>442</v>
      </c>
      <c r="I393" s="2" t="s">
        <v>483</v>
      </c>
      <c r="J393" s="2" t="s">
        <v>536</v>
      </c>
      <c r="K393" s="2" t="s">
        <v>304</v>
      </c>
      <c r="L393" s="2" t="s">
        <v>100</v>
      </c>
      <c r="M393" s="8" t="str">
        <f>HYPERLINK("http://slimages.macys.com/is/image/MCY/11378279 ")</f>
        <v xml:space="preserve">http://slimages.macys.com/is/image/MCY/11378279 </v>
      </c>
    </row>
    <row r="394" spans="1:13" ht="60" x14ac:dyDescent="0.25">
      <c r="A394" s="7" t="s">
        <v>7915</v>
      </c>
      <c r="B394" s="2" t="s">
        <v>7913</v>
      </c>
      <c r="C394" s="4">
        <v>1</v>
      </c>
      <c r="D394" s="5">
        <v>2.57</v>
      </c>
      <c r="E394" s="5">
        <v>6.99</v>
      </c>
      <c r="F394" s="4" t="s">
        <v>7914</v>
      </c>
      <c r="G394" s="2" t="s">
        <v>28</v>
      </c>
      <c r="H394" s="7" t="s">
        <v>590</v>
      </c>
      <c r="I394" s="2" t="s">
        <v>483</v>
      </c>
      <c r="J394" s="2" t="s">
        <v>536</v>
      </c>
      <c r="K394" s="2" t="s">
        <v>304</v>
      </c>
      <c r="L394" s="2" t="s">
        <v>100</v>
      </c>
      <c r="M394" s="8" t="str">
        <f>HYPERLINK("http://slimages.macys.com/is/image/MCY/11379069 ")</f>
        <v xml:space="preserve">http://slimages.macys.com/is/image/MCY/11379069 </v>
      </c>
    </row>
    <row r="395" spans="1:13" ht="60" x14ac:dyDescent="0.25">
      <c r="A395" s="7" t="s">
        <v>6050</v>
      </c>
      <c r="B395" s="2" t="s">
        <v>6032</v>
      </c>
      <c r="C395" s="4">
        <v>1</v>
      </c>
      <c r="D395" s="5">
        <v>2.57</v>
      </c>
      <c r="E395" s="5">
        <v>6.99</v>
      </c>
      <c r="F395" s="4" t="s">
        <v>6033</v>
      </c>
      <c r="G395" s="2" t="s">
        <v>1265</v>
      </c>
      <c r="H395" s="7" t="s">
        <v>590</v>
      </c>
      <c r="I395" s="2" t="s">
        <v>483</v>
      </c>
      <c r="J395" s="2" t="s">
        <v>536</v>
      </c>
      <c r="K395" s="2" t="s">
        <v>304</v>
      </c>
      <c r="L395" s="2" t="s">
        <v>100</v>
      </c>
      <c r="M395" s="8" t="str">
        <f>HYPERLINK("http://slimages.macys.com/is/image/MCY/11378279 ")</f>
        <v xml:space="preserve">http://slimages.macys.com/is/image/MCY/11378279 </v>
      </c>
    </row>
    <row r="396" spans="1:13" ht="60" x14ac:dyDescent="0.25">
      <c r="A396" s="7" t="s">
        <v>6056</v>
      </c>
      <c r="B396" s="2" t="s">
        <v>6032</v>
      </c>
      <c r="C396" s="4">
        <v>2</v>
      </c>
      <c r="D396" s="5">
        <v>2.57</v>
      </c>
      <c r="E396" s="5">
        <v>6.99</v>
      </c>
      <c r="F396" s="4" t="s">
        <v>6033</v>
      </c>
      <c r="G396" s="2" t="s">
        <v>297</v>
      </c>
      <c r="H396" s="7" t="s">
        <v>442</v>
      </c>
      <c r="I396" s="2" t="s">
        <v>483</v>
      </c>
      <c r="J396" s="2" t="s">
        <v>536</v>
      </c>
      <c r="K396" s="2" t="s">
        <v>304</v>
      </c>
      <c r="L396" s="2" t="s">
        <v>100</v>
      </c>
      <c r="M396" s="8" t="str">
        <f>HYPERLINK("http://slimages.macys.com/is/image/MCY/11378313 ")</f>
        <v xml:space="preserve">http://slimages.macys.com/is/image/MCY/11378313 </v>
      </c>
    </row>
    <row r="397" spans="1:13" ht="60" x14ac:dyDescent="0.25">
      <c r="A397" s="7" t="s">
        <v>6038</v>
      </c>
      <c r="B397" s="2" t="s">
        <v>6032</v>
      </c>
      <c r="C397" s="4">
        <v>2</v>
      </c>
      <c r="D397" s="5">
        <v>2.57</v>
      </c>
      <c r="E397" s="5">
        <v>6.99</v>
      </c>
      <c r="F397" s="4" t="s">
        <v>6033</v>
      </c>
      <c r="G397" s="2" t="s">
        <v>41</v>
      </c>
      <c r="H397" s="7" t="s">
        <v>149</v>
      </c>
      <c r="I397" s="2" t="s">
        <v>483</v>
      </c>
      <c r="J397" s="2" t="s">
        <v>536</v>
      </c>
      <c r="K397" s="2" t="s">
        <v>304</v>
      </c>
      <c r="L397" s="2" t="s">
        <v>100</v>
      </c>
      <c r="M397" s="8" t="str">
        <f>HYPERLINK("http://slimages.macys.com/is/image/MCY/11378313 ")</f>
        <v xml:space="preserve">http://slimages.macys.com/is/image/MCY/11378313 </v>
      </c>
    </row>
    <row r="398" spans="1:13" ht="60" x14ac:dyDescent="0.25">
      <c r="A398" s="7" t="s">
        <v>6045</v>
      </c>
      <c r="B398" s="2" t="s">
        <v>6032</v>
      </c>
      <c r="C398" s="4">
        <v>5</v>
      </c>
      <c r="D398" s="5">
        <v>2.57</v>
      </c>
      <c r="E398" s="5">
        <v>6.99</v>
      </c>
      <c r="F398" s="4" t="s">
        <v>6033</v>
      </c>
      <c r="G398" s="2" t="s">
        <v>62</v>
      </c>
      <c r="H398" s="7" t="s">
        <v>91</v>
      </c>
      <c r="I398" s="2" t="s">
        <v>483</v>
      </c>
      <c r="J398" s="2" t="s">
        <v>536</v>
      </c>
      <c r="K398" s="2" t="s">
        <v>304</v>
      </c>
      <c r="L398" s="2" t="s">
        <v>100</v>
      </c>
      <c r="M398" s="8" t="str">
        <f>HYPERLINK("http://slimages.macys.com/is/image/MCY/11378313 ")</f>
        <v xml:space="preserve">http://slimages.macys.com/is/image/MCY/11378313 </v>
      </c>
    </row>
    <row r="399" spans="1:13" ht="60" x14ac:dyDescent="0.25">
      <c r="A399" s="7" t="s">
        <v>6051</v>
      </c>
      <c r="B399" s="2" t="s">
        <v>6032</v>
      </c>
      <c r="C399" s="4">
        <v>3</v>
      </c>
      <c r="D399" s="5">
        <v>2.57</v>
      </c>
      <c r="E399" s="5">
        <v>6.99</v>
      </c>
      <c r="F399" s="4" t="s">
        <v>6033</v>
      </c>
      <c r="G399" s="2" t="s">
        <v>297</v>
      </c>
      <c r="H399" s="7" t="s">
        <v>91</v>
      </c>
      <c r="I399" s="2" t="s">
        <v>483</v>
      </c>
      <c r="J399" s="2" t="s">
        <v>536</v>
      </c>
      <c r="K399" s="2" t="s">
        <v>304</v>
      </c>
      <c r="L399" s="2" t="s">
        <v>100</v>
      </c>
      <c r="M399" s="8" t="str">
        <f>HYPERLINK("http://slimages.macys.com/is/image/MCY/11378279 ")</f>
        <v xml:space="preserve">http://slimages.macys.com/is/image/MCY/11378279 </v>
      </c>
    </row>
    <row r="400" spans="1:13" ht="60" x14ac:dyDescent="0.25">
      <c r="A400" s="7" t="s">
        <v>6048</v>
      </c>
      <c r="B400" s="2" t="s">
        <v>6032</v>
      </c>
      <c r="C400" s="4">
        <v>1</v>
      </c>
      <c r="D400" s="5">
        <v>2.57</v>
      </c>
      <c r="E400" s="5">
        <v>6.99</v>
      </c>
      <c r="F400" s="4" t="s">
        <v>6033</v>
      </c>
      <c r="G400" s="2" t="s">
        <v>297</v>
      </c>
      <c r="H400" s="7" t="s">
        <v>42</v>
      </c>
      <c r="I400" s="2" t="s">
        <v>483</v>
      </c>
      <c r="J400" s="2" t="s">
        <v>536</v>
      </c>
      <c r="K400" s="2" t="s">
        <v>304</v>
      </c>
      <c r="L400" s="2" t="s">
        <v>100</v>
      </c>
      <c r="M400" s="8" t="str">
        <f>HYPERLINK("http://slimages.macys.com/is/image/MCY/11378279 ")</f>
        <v xml:space="preserve">http://slimages.macys.com/is/image/MCY/11378279 </v>
      </c>
    </row>
    <row r="401" spans="1:13" ht="60" x14ac:dyDescent="0.25">
      <c r="A401" s="7" t="s">
        <v>6040</v>
      </c>
      <c r="B401" s="2" t="s">
        <v>6032</v>
      </c>
      <c r="C401" s="4">
        <v>2</v>
      </c>
      <c r="D401" s="5">
        <v>2.57</v>
      </c>
      <c r="E401" s="5">
        <v>6.99</v>
      </c>
      <c r="F401" s="4" t="s">
        <v>6033</v>
      </c>
      <c r="G401" s="2" t="s">
        <v>41</v>
      </c>
      <c r="H401" s="7" t="s">
        <v>590</v>
      </c>
      <c r="I401" s="2" t="s">
        <v>483</v>
      </c>
      <c r="J401" s="2" t="s">
        <v>536</v>
      </c>
      <c r="K401" s="2" t="s">
        <v>304</v>
      </c>
      <c r="L401" s="2" t="s">
        <v>100</v>
      </c>
      <c r="M401" s="8" t="str">
        <f>HYPERLINK("http://slimages.macys.com/is/image/MCY/11378313 ")</f>
        <v xml:space="preserve">http://slimages.macys.com/is/image/MCY/11378313 </v>
      </c>
    </row>
    <row r="402" spans="1:13" ht="60" x14ac:dyDescent="0.25">
      <c r="A402" s="7" t="s">
        <v>6044</v>
      </c>
      <c r="B402" s="2" t="s">
        <v>6032</v>
      </c>
      <c r="C402" s="4">
        <v>1</v>
      </c>
      <c r="D402" s="5">
        <v>2.57</v>
      </c>
      <c r="E402" s="5">
        <v>6.99</v>
      </c>
      <c r="F402" s="4" t="s">
        <v>6033</v>
      </c>
      <c r="G402" s="2" t="s">
        <v>297</v>
      </c>
      <c r="H402" s="7" t="s">
        <v>590</v>
      </c>
      <c r="I402" s="2" t="s">
        <v>483</v>
      </c>
      <c r="J402" s="2" t="s">
        <v>536</v>
      </c>
      <c r="K402" s="2" t="s">
        <v>304</v>
      </c>
      <c r="L402" s="2" t="s">
        <v>100</v>
      </c>
      <c r="M402" s="8" t="str">
        <f>HYPERLINK("http://slimages.macys.com/is/image/MCY/11378313 ")</f>
        <v xml:space="preserve">http://slimages.macys.com/is/image/MCY/11378313 </v>
      </c>
    </row>
    <row r="403" spans="1:13" ht="60" x14ac:dyDescent="0.25">
      <c r="A403" s="7" t="s">
        <v>8449</v>
      </c>
      <c r="B403" s="2" t="s">
        <v>6032</v>
      </c>
      <c r="C403" s="4">
        <v>1</v>
      </c>
      <c r="D403" s="5">
        <v>2.57</v>
      </c>
      <c r="E403" s="5">
        <v>6.99</v>
      </c>
      <c r="F403" s="4" t="s">
        <v>6033</v>
      </c>
      <c r="G403" s="2" t="s">
        <v>297</v>
      </c>
      <c r="H403" s="7" t="s">
        <v>91</v>
      </c>
      <c r="I403" s="2" t="s">
        <v>483</v>
      </c>
      <c r="J403" s="2" t="s">
        <v>536</v>
      </c>
      <c r="K403" s="2" t="s">
        <v>304</v>
      </c>
      <c r="L403" s="2" t="s">
        <v>100</v>
      </c>
      <c r="M403" s="8" t="str">
        <f>HYPERLINK("http://slimages.macys.com/is/image/MCY/11378313 ")</f>
        <v xml:space="preserve">http://slimages.macys.com/is/image/MCY/11378313 </v>
      </c>
    </row>
    <row r="404" spans="1:13" ht="60" x14ac:dyDescent="0.25">
      <c r="A404" s="7" t="s">
        <v>8450</v>
      </c>
      <c r="B404" s="2" t="s">
        <v>6531</v>
      </c>
      <c r="C404" s="4">
        <v>2</v>
      </c>
      <c r="D404" s="5">
        <v>2.56</v>
      </c>
      <c r="E404" s="5">
        <v>6.99</v>
      </c>
      <c r="F404" s="4" t="s">
        <v>6532</v>
      </c>
      <c r="G404" s="2" t="s">
        <v>41</v>
      </c>
      <c r="H404" s="7" t="s">
        <v>442</v>
      </c>
      <c r="I404" s="2" t="s">
        <v>483</v>
      </c>
      <c r="J404" s="2" t="s">
        <v>536</v>
      </c>
      <c r="K404" s="2" t="s">
        <v>304</v>
      </c>
      <c r="L404" s="2" t="s">
        <v>100</v>
      </c>
      <c r="M404" s="8" t="str">
        <f>HYPERLINK("http://slimages.macys.com/is/image/MCY/11334659 ")</f>
        <v xml:space="preserve">http://slimages.macys.com/is/image/MCY/11334659 </v>
      </c>
    </row>
    <row r="405" spans="1:13" ht="60" x14ac:dyDescent="0.25">
      <c r="A405" s="7" t="s">
        <v>6059</v>
      </c>
      <c r="B405" s="2" t="s">
        <v>1260</v>
      </c>
      <c r="C405" s="4">
        <v>2</v>
      </c>
      <c r="D405" s="5">
        <v>2.56</v>
      </c>
      <c r="E405" s="5">
        <v>6.99</v>
      </c>
      <c r="F405" s="4" t="s">
        <v>1261</v>
      </c>
      <c r="G405" s="2" t="s">
        <v>86</v>
      </c>
      <c r="H405" s="7" t="s">
        <v>442</v>
      </c>
      <c r="I405" s="2" t="s">
        <v>483</v>
      </c>
      <c r="J405" s="2" t="s">
        <v>536</v>
      </c>
      <c r="K405" s="2" t="s">
        <v>304</v>
      </c>
      <c r="L405" s="2" t="s">
        <v>100</v>
      </c>
      <c r="M405" s="8" t="str">
        <f>HYPERLINK("http://slimages.macys.com/is/image/MCY/11779082 ")</f>
        <v xml:space="preserve">http://slimages.macys.com/is/image/MCY/11779082 </v>
      </c>
    </row>
    <row r="406" spans="1:13" ht="60" x14ac:dyDescent="0.25">
      <c r="A406" s="7" t="s">
        <v>3517</v>
      </c>
      <c r="B406" s="2" t="s">
        <v>1260</v>
      </c>
      <c r="C406" s="4">
        <v>1</v>
      </c>
      <c r="D406" s="5">
        <v>2.56</v>
      </c>
      <c r="E406" s="5">
        <v>6.99</v>
      </c>
      <c r="F406" s="4" t="s">
        <v>1261</v>
      </c>
      <c r="G406" s="2" t="s">
        <v>437</v>
      </c>
      <c r="H406" s="7" t="s">
        <v>149</v>
      </c>
      <c r="I406" s="2" t="s">
        <v>483</v>
      </c>
      <c r="J406" s="2" t="s">
        <v>536</v>
      </c>
      <c r="K406" s="2" t="s">
        <v>304</v>
      </c>
      <c r="L406" s="2" t="s">
        <v>100</v>
      </c>
      <c r="M406" s="8" t="str">
        <f>HYPERLINK("http://slimages.macys.com/is/image/MCY/11779082 ")</f>
        <v xml:space="preserve">http://slimages.macys.com/is/image/MCY/11779082 </v>
      </c>
    </row>
    <row r="407" spans="1:13" ht="60" x14ac:dyDescent="0.25">
      <c r="A407" s="7" t="s">
        <v>6058</v>
      </c>
      <c r="B407" s="2" t="s">
        <v>1260</v>
      </c>
      <c r="C407" s="4">
        <v>1</v>
      </c>
      <c r="D407" s="5">
        <v>2.56</v>
      </c>
      <c r="E407" s="5">
        <v>6.99</v>
      </c>
      <c r="F407" s="4" t="s">
        <v>1261</v>
      </c>
      <c r="G407" s="2" t="s">
        <v>86</v>
      </c>
      <c r="H407" s="7" t="s">
        <v>149</v>
      </c>
      <c r="I407" s="2" t="s">
        <v>483</v>
      </c>
      <c r="J407" s="2" t="s">
        <v>536</v>
      </c>
      <c r="K407" s="2" t="s">
        <v>304</v>
      </c>
      <c r="L407" s="2" t="s">
        <v>100</v>
      </c>
      <c r="M407" s="8" t="str">
        <f>HYPERLINK("http://slimages.macys.com/is/image/MCY/11779082 ")</f>
        <v xml:space="preserve">http://slimages.macys.com/is/image/MCY/11779082 </v>
      </c>
    </row>
    <row r="408" spans="1:13" ht="60" x14ac:dyDescent="0.25">
      <c r="A408" s="7" t="s">
        <v>8451</v>
      </c>
      <c r="B408" s="2" t="s">
        <v>6531</v>
      </c>
      <c r="C408" s="4">
        <v>1</v>
      </c>
      <c r="D408" s="5">
        <v>2.56</v>
      </c>
      <c r="E408" s="5">
        <v>6.99</v>
      </c>
      <c r="F408" s="4" t="s">
        <v>6532</v>
      </c>
      <c r="G408" s="2" t="s">
        <v>41</v>
      </c>
      <c r="H408" s="7" t="s">
        <v>590</v>
      </c>
      <c r="I408" s="2" t="s">
        <v>483</v>
      </c>
      <c r="J408" s="2" t="s">
        <v>536</v>
      </c>
      <c r="K408" s="2" t="s">
        <v>304</v>
      </c>
      <c r="L408" s="2" t="s">
        <v>100</v>
      </c>
      <c r="M408" s="8" t="str">
        <f>HYPERLINK("http://slimages.macys.com/is/image/MCY/11334659 ")</f>
        <v xml:space="preserve">http://slimages.macys.com/is/image/MCY/11334659 </v>
      </c>
    </row>
    <row r="409" spans="1:13" ht="60" x14ac:dyDescent="0.25">
      <c r="A409" s="7" t="s">
        <v>5691</v>
      </c>
      <c r="B409" s="2" t="s">
        <v>5692</v>
      </c>
      <c r="C409" s="4">
        <v>1</v>
      </c>
      <c r="D409" s="5">
        <v>2.5499999999999998</v>
      </c>
      <c r="E409" s="5">
        <v>6.99</v>
      </c>
      <c r="F409" s="4">
        <v>10004349400</v>
      </c>
      <c r="G409" s="2" t="s">
        <v>1360</v>
      </c>
      <c r="H409" s="7" t="s">
        <v>149</v>
      </c>
      <c r="I409" s="2" t="s">
        <v>483</v>
      </c>
      <c r="J409" s="2" t="s">
        <v>536</v>
      </c>
      <c r="K409" s="2" t="s">
        <v>304</v>
      </c>
      <c r="L409" s="2" t="s">
        <v>206</v>
      </c>
      <c r="M409" s="8" t="str">
        <f>HYPERLINK("http://slimages.macys.com/is/image/MCY/11434525 ")</f>
        <v xml:space="preserve">http://slimages.macys.com/is/image/MCY/11434525 </v>
      </c>
    </row>
    <row r="410" spans="1:13" ht="84" x14ac:dyDescent="0.25">
      <c r="A410" s="7" t="s">
        <v>8452</v>
      </c>
      <c r="B410" s="2" t="s">
        <v>4538</v>
      </c>
      <c r="C410" s="4">
        <v>1</v>
      </c>
      <c r="D410" s="5">
        <v>2.5499999999999998</v>
      </c>
      <c r="E410" s="5">
        <v>6.99</v>
      </c>
      <c r="F410" s="4" t="s">
        <v>4539</v>
      </c>
      <c r="G410" s="2" t="s">
        <v>1265</v>
      </c>
      <c r="H410" s="7" t="s">
        <v>442</v>
      </c>
      <c r="I410" s="2" t="s">
        <v>483</v>
      </c>
      <c r="J410" s="2" t="s">
        <v>536</v>
      </c>
      <c r="K410" s="2" t="s">
        <v>304</v>
      </c>
      <c r="L410" s="2" t="s">
        <v>1308</v>
      </c>
      <c r="M410" s="8" t="str">
        <f>HYPERLINK("http://slimages.macys.com/is/image/MCY/13987471 ")</f>
        <v xml:space="preserve">http://slimages.macys.com/is/image/MCY/13987471 </v>
      </c>
    </row>
    <row r="411" spans="1:13" ht="84" x14ac:dyDescent="0.25">
      <c r="A411" s="7" t="s">
        <v>4540</v>
      </c>
      <c r="B411" s="2" t="s">
        <v>4538</v>
      </c>
      <c r="C411" s="4">
        <v>2</v>
      </c>
      <c r="D411" s="5">
        <v>2.5499999999999998</v>
      </c>
      <c r="E411" s="5">
        <v>6.99</v>
      </c>
      <c r="F411" s="4" t="s">
        <v>4539</v>
      </c>
      <c r="G411" s="2" t="s">
        <v>1265</v>
      </c>
      <c r="H411" s="7" t="s">
        <v>149</v>
      </c>
      <c r="I411" s="2" t="s">
        <v>483</v>
      </c>
      <c r="J411" s="2" t="s">
        <v>536</v>
      </c>
      <c r="K411" s="2" t="s">
        <v>304</v>
      </c>
      <c r="L411" s="2" t="s">
        <v>1308</v>
      </c>
      <c r="M411" s="8" t="str">
        <f>HYPERLINK("http://slimages.macys.com/is/image/MCY/13987471 ")</f>
        <v xml:space="preserve">http://slimages.macys.com/is/image/MCY/13987471 </v>
      </c>
    </row>
    <row r="412" spans="1:13" ht="96" x14ac:dyDescent="0.25">
      <c r="A412" s="7" t="s">
        <v>8453</v>
      </c>
      <c r="B412" s="2" t="s">
        <v>1263</v>
      </c>
      <c r="C412" s="4">
        <v>1</v>
      </c>
      <c r="D412" s="5">
        <v>2.5499999999999998</v>
      </c>
      <c r="E412" s="5">
        <v>6.99</v>
      </c>
      <c r="F412" s="4" t="s">
        <v>1264</v>
      </c>
      <c r="G412" s="2" t="s">
        <v>1265</v>
      </c>
      <c r="H412" s="7" t="s">
        <v>442</v>
      </c>
      <c r="I412" s="2" t="s">
        <v>483</v>
      </c>
      <c r="J412" s="2" t="s">
        <v>536</v>
      </c>
      <c r="K412" s="2" t="s">
        <v>304</v>
      </c>
      <c r="L412" s="2" t="s">
        <v>1266</v>
      </c>
      <c r="M412" s="8" t="str">
        <f>HYPERLINK("http://slimages.macys.com/is/image/MCY/13337503 ")</f>
        <v xml:space="preserve">http://slimages.macys.com/is/image/MCY/13337503 </v>
      </c>
    </row>
    <row r="413" spans="1:13" ht="60" x14ac:dyDescent="0.25">
      <c r="A413" s="7" t="s">
        <v>2288</v>
      </c>
      <c r="B413" s="2" t="s">
        <v>2283</v>
      </c>
      <c r="C413" s="4">
        <v>1</v>
      </c>
      <c r="D413" s="5">
        <v>2.5499999999999998</v>
      </c>
      <c r="E413" s="5">
        <v>5.99</v>
      </c>
      <c r="F413" s="4" t="s">
        <v>2284</v>
      </c>
      <c r="G413" s="2" t="s">
        <v>86</v>
      </c>
      <c r="H413" s="7" t="s">
        <v>442</v>
      </c>
      <c r="I413" s="2" t="s">
        <v>483</v>
      </c>
      <c r="J413" s="2" t="s">
        <v>536</v>
      </c>
      <c r="K413" s="2" t="s">
        <v>304</v>
      </c>
      <c r="L413" s="2" t="s">
        <v>206</v>
      </c>
      <c r="M413" s="8" t="str">
        <f>HYPERLINK("http://slimages.macys.com/is/image/MCY/11436902 ")</f>
        <v xml:space="preserve">http://slimages.macys.com/is/image/MCY/11436902 </v>
      </c>
    </row>
    <row r="414" spans="1:13" ht="60" x14ac:dyDescent="0.25">
      <c r="A414" s="7" t="s">
        <v>5699</v>
      </c>
      <c r="B414" s="2" t="s">
        <v>5692</v>
      </c>
      <c r="C414" s="4">
        <v>3</v>
      </c>
      <c r="D414" s="5">
        <v>2.5499999999999998</v>
      </c>
      <c r="E414" s="5">
        <v>6.99</v>
      </c>
      <c r="F414" s="4">
        <v>10004349400</v>
      </c>
      <c r="G414" s="2" t="s">
        <v>1360</v>
      </c>
      <c r="H414" s="7" t="s">
        <v>590</v>
      </c>
      <c r="I414" s="2" t="s">
        <v>483</v>
      </c>
      <c r="J414" s="2" t="s">
        <v>536</v>
      </c>
      <c r="K414" s="2" t="s">
        <v>304</v>
      </c>
      <c r="L414" s="2" t="s">
        <v>206</v>
      </c>
      <c r="M414" s="8" t="str">
        <f>HYPERLINK("http://slimages.macys.com/is/image/MCY/11434525 ")</f>
        <v xml:space="preserve">http://slimages.macys.com/is/image/MCY/11434525 </v>
      </c>
    </row>
    <row r="415" spans="1:13" ht="60" x14ac:dyDescent="0.25">
      <c r="A415" s="7" t="s">
        <v>8454</v>
      </c>
      <c r="B415" s="2" t="s">
        <v>4536</v>
      </c>
      <c r="C415" s="4">
        <v>1</v>
      </c>
      <c r="D415" s="5">
        <v>2.5499999999999998</v>
      </c>
      <c r="E415" s="5">
        <v>6.99</v>
      </c>
      <c r="F415" s="4">
        <v>10005486300</v>
      </c>
      <c r="G415" s="2" t="s">
        <v>134</v>
      </c>
      <c r="H415" s="7"/>
      <c r="I415" s="2" t="s">
        <v>483</v>
      </c>
      <c r="J415" s="2" t="s">
        <v>536</v>
      </c>
      <c r="K415" s="2" t="s">
        <v>304</v>
      </c>
      <c r="L415" s="2" t="s">
        <v>119</v>
      </c>
      <c r="M415" s="8" t="str">
        <f>HYPERLINK("http://slimages.macys.com/is/image/MCY/12466262 ")</f>
        <v xml:space="preserve">http://slimages.macys.com/is/image/MCY/12466262 </v>
      </c>
    </row>
    <row r="416" spans="1:13" ht="60" x14ac:dyDescent="0.25">
      <c r="A416" s="7" t="s">
        <v>8455</v>
      </c>
      <c r="B416" s="2" t="s">
        <v>5692</v>
      </c>
      <c r="C416" s="4">
        <v>3</v>
      </c>
      <c r="D416" s="5">
        <v>2.5499999999999998</v>
      </c>
      <c r="E416" s="5">
        <v>6.99</v>
      </c>
      <c r="F416" s="4">
        <v>10004349400</v>
      </c>
      <c r="G416" s="2" t="s">
        <v>1360</v>
      </c>
      <c r="H416" s="7" t="s">
        <v>482</v>
      </c>
      <c r="I416" s="2" t="s">
        <v>483</v>
      </c>
      <c r="J416" s="2" t="s">
        <v>536</v>
      </c>
      <c r="K416" s="2" t="s">
        <v>304</v>
      </c>
      <c r="L416" s="2" t="s">
        <v>206</v>
      </c>
      <c r="M416" s="8" t="str">
        <f>HYPERLINK("http://slimages.macys.com/is/image/MCY/11434525 ")</f>
        <v xml:space="preserve">http://slimages.macys.com/is/image/MCY/11434525 </v>
      </c>
    </row>
    <row r="417" spans="1:13" ht="60" x14ac:dyDescent="0.25">
      <c r="A417" s="7" t="s">
        <v>8456</v>
      </c>
      <c r="B417" s="2" t="s">
        <v>5692</v>
      </c>
      <c r="C417" s="4">
        <v>1</v>
      </c>
      <c r="D417" s="5">
        <v>2.5499999999999998</v>
      </c>
      <c r="E417" s="5">
        <v>6.99</v>
      </c>
      <c r="F417" s="4">
        <v>10004349400</v>
      </c>
      <c r="G417" s="2" t="s">
        <v>1360</v>
      </c>
      <c r="H417" s="7"/>
      <c r="I417" s="2" t="s">
        <v>483</v>
      </c>
      <c r="J417" s="2" t="s">
        <v>536</v>
      </c>
      <c r="K417" s="2" t="s">
        <v>304</v>
      </c>
      <c r="L417" s="2" t="s">
        <v>206</v>
      </c>
      <c r="M417" s="8" t="str">
        <f>HYPERLINK("http://slimages.macys.com/is/image/MCY/11434525 ")</f>
        <v xml:space="preserve">http://slimages.macys.com/is/image/MCY/11434525 </v>
      </c>
    </row>
    <row r="418" spans="1:13" ht="60" x14ac:dyDescent="0.25">
      <c r="A418" s="7" t="s">
        <v>8457</v>
      </c>
      <c r="B418" s="2" t="s">
        <v>5692</v>
      </c>
      <c r="C418" s="4">
        <v>1</v>
      </c>
      <c r="D418" s="5">
        <v>2.5499999999999998</v>
      </c>
      <c r="E418" s="5">
        <v>6.99</v>
      </c>
      <c r="F418" s="4">
        <v>10004349400</v>
      </c>
      <c r="G418" s="2" t="s">
        <v>1360</v>
      </c>
      <c r="H418" s="7" t="s">
        <v>442</v>
      </c>
      <c r="I418" s="2" t="s">
        <v>483</v>
      </c>
      <c r="J418" s="2" t="s">
        <v>536</v>
      </c>
      <c r="K418" s="2" t="s">
        <v>304</v>
      </c>
      <c r="L418" s="2" t="s">
        <v>206</v>
      </c>
      <c r="M418" s="8" t="str">
        <f>HYPERLINK("http://slimages.macys.com/is/image/MCY/11434525 ")</f>
        <v xml:space="preserve">http://slimages.macys.com/is/image/MCY/11434525 </v>
      </c>
    </row>
    <row r="419" spans="1:13" ht="60" x14ac:dyDescent="0.25">
      <c r="A419" s="7" t="s">
        <v>5693</v>
      </c>
      <c r="B419" s="2" t="s">
        <v>5694</v>
      </c>
      <c r="C419" s="4">
        <v>1</v>
      </c>
      <c r="D419" s="5">
        <v>2.5499999999999998</v>
      </c>
      <c r="E419" s="5">
        <v>6.99</v>
      </c>
      <c r="F419" s="4" t="s">
        <v>5695</v>
      </c>
      <c r="G419" s="2" t="s">
        <v>2107</v>
      </c>
      <c r="H419" s="7"/>
      <c r="I419" s="2" t="s">
        <v>483</v>
      </c>
      <c r="J419" s="2" t="s">
        <v>536</v>
      </c>
      <c r="K419" s="2" t="s">
        <v>304</v>
      </c>
      <c r="L419" s="2" t="s">
        <v>206</v>
      </c>
      <c r="M419" s="8" t="str">
        <f>HYPERLINK("http://slimages.macys.com/is/image/MCY/11436886 ")</f>
        <v xml:space="preserve">http://slimages.macys.com/is/image/MCY/11436886 </v>
      </c>
    </row>
    <row r="420" spans="1:13" ht="60" x14ac:dyDescent="0.25">
      <c r="A420" s="7" t="s">
        <v>6551</v>
      </c>
      <c r="B420" s="2" t="s">
        <v>2722</v>
      </c>
      <c r="C420" s="4">
        <v>1</v>
      </c>
      <c r="D420" s="5">
        <v>2.54</v>
      </c>
      <c r="E420" s="5">
        <v>6.99</v>
      </c>
      <c r="F420" s="4">
        <v>10006317100</v>
      </c>
      <c r="G420" s="2" t="s">
        <v>1302</v>
      </c>
      <c r="H420" s="7"/>
      <c r="I420" s="2" t="s">
        <v>483</v>
      </c>
      <c r="J420" s="2" t="s">
        <v>536</v>
      </c>
      <c r="K420" s="2" t="s">
        <v>304</v>
      </c>
      <c r="L420" s="2" t="s">
        <v>38</v>
      </c>
      <c r="M420" s="8" t="str">
        <f>HYPERLINK("http://slimages.macys.com/is/image/MCY/13987493 ")</f>
        <v xml:space="preserve">http://slimages.macys.com/is/image/MCY/13987493 </v>
      </c>
    </row>
    <row r="421" spans="1:13" ht="60" x14ac:dyDescent="0.25">
      <c r="A421" s="7" t="s">
        <v>1272</v>
      </c>
      <c r="B421" s="2" t="s">
        <v>1269</v>
      </c>
      <c r="C421" s="4">
        <v>1</v>
      </c>
      <c r="D421" s="5">
        <v>2.54</v>
      </c>
      <c r="E421" s="5">
        <v>6.99</v>
      </c>
      <c r="F421" s="4" t="s">
        <v>1270</v>
      </c>
      <c r="G421" s="2" t="s">
        <v>41</v>
      </c>
      <c r="H421" s="7" t="s">
        <v>149</v>
      </c>
      <c r="I421" s="2" t="s">
        <v>483</v>
      </c>
      <c r="J421" s="2" t="s">
        <v>536</v>
      </c>
      <c r="K421" s="2" t="s">
        <v>304</v>
      </c>
      <c r="L421" s="2" t="s">
        <v>38</v>
      </c>
      <c r="M421" s="8" t="str">
        <f>HYPERLINK("http://slimages.macys.com/is/image/MCY/13987495 ")</f>
        <v xml:space="preserve">http://slimages.macys.com/is/image/MCY/13987495 </v>
      </c>
    </row>
    <row r="422" spans="1:13" ht="60" x14ac:dyDescent="0.25">
      <c r="A422" s="7" t="s">
        <v>8458</v>
      </c>
      <c r="B422" s="2" t="s">
        <v>2722</v>
      </c>
      <c r="C422" s="4">
        <v>1</v>
      </c>
      <c r="D422" s="5">
        <v>2.54</v>
      </c>
      <c r="E422" s="5">
        <v>6.99</v>
      </c>
      <c r="F422" s="4">
        <v>10006317100</v>
      </c>
      <c r="G422" s="2" t="s">
        <v>1302</v>
      </c>
      <c r="H422" s="7" t="s">
        <v>442</v>
      </c>
      <c r="I422" s="2" t="s">
        <v>483</v>
      </c>
      <c r="J422" s="2" t="s">
        <v>536</v>
      </c>
      <c r="K422" s="2" t="s">
        <v>304</v>
      </c>
      <c r="L422" s="2" t="s">
        <v>38</v>
      </c>
      <c r="M422" s="8" t="str">
        <f>HYPERLINK("http://slimages.macys.com/is/image/MCY/13987493 ")</f>
        <v xml:space="preserve">http://slimages.macys.com/is/image/MCY/13987493 </v>
      </c>
    </row>
    <row r="423" spans="1:13" ht="60" x14ac:dyDescent="0.25">
      <c r="A423" s="7" t="s">
        <v>7191</v>
      </c>
      <c r="B423" s="2" t="s">
        <v>2722</v>
      </c>
      <c r="C423" s="4">
        <v>1</v>
      </c>
      <c r="D423" s="5">
        <v>2.54</v>
      </c>
      <c r="E423" s="5">
        <v>6.99</v>
      </c>
      <c r="F423" s="4">
        <v>10006317100</v>
      </c>
      <c r="G423" s="2" t="s">
        <v>1302</v>
      </c>
      <c r="H423" s="7" t="s">
        <v>482</v>
      </c>
      <c r="I423" s="2" t="s">
        <v>483</v>
      </c>
      <c r="J423" s="2" t="s">
        <v>536</v>
      </c>
      <c r="K423" s="2" t="s">
        <v>304</v>
      </c>
      <c r="L423" s="2" t="s">
        <v>38</v>
      </c>
      <c r="M423" s="8" t="str">
        <f>HYPERLINK("http://slimages.macys.com/is/image/MCY/13987493 ")</f>
        <v xml:space="preserve">http://slimages.macys.com/is/image/MCY/13987493 </v>
      </c>
    </row>
    <row r="424" spans="1:13" ht="60" x14ac:dyDescent="0.25">
      <c r="A424" s="7" t="s">
        <v>8459</v>
      </c>
      <c r="B424" s="2" t="s">
        <v>8460</v>
      </c>
      <c r="C424" s="4">
        <v>1</v>
      </c>
      <c r="D424" s="5">
        <v>2.5299999999999998</v>
      </c>
      <c r="E424" s="5">
        <v>5.99</v>
      </c>
      <c r="F424" s="4" t="s">
        <v>8461</v>
      </c>
      <c r="G424" s="2" t="s">
        <v>41</v>
      </c>
      <c r="H424" s="7" t="s">
        <v>149</v>
      </c>
      <c r="I424" s="2" t="s">
        <v>483</v>
      </c>
      <c r="J424" s="2" t="s">
        <v>536</v>
      </c>
      <c r="K424" s="2" t="s">
        <v>304</v>
      </c>
      <c r="L424" s="2" t="s">
        <v>100</v>
      </c>
      <c r="M424" s="8" t="str">
        <f>HYPERLINK("http://slimages.macys.com/is/image/MCY/11857562 ")</f>
        <v xml:space="preserve">http://slimages.macys.com/is/image/MCY/11857562 </v>
      </c>
    </row>
    <row r="425" spans="1:13" ht="60" x14ac:dyDescent="0.25">
      <c r="A425" s="7" t="s">
        <v>7199</v>
      </c>
      <c r="B425" s="2" t="s">
        <v>1260</v>
      </c>
      <c r="C425" s="4">
        <v>1</v>
      </c>
      <c r="D425" s="5">
        <v>2.5299999999999998</v>
      </c>
      <c r="E425" s="5">
        <v>6.99</v>
      </c>
      <c r="F425" s="4" t="s">
        <v>1261</v>
      </c>
      <c r="G425" s="2" t="s">
        <v>1265</v>
      </c>
      <c r="H425" s="7" t="s">
        <v>590</v>
      </c>
      <c r="I425" s="2" t="s">
        <v>483</v>
      </c>
      <c r="J425" s="2" t="s">
        <v>536</v>
      </c>
      <c r="K425" s="2" t="s">
        <v>304</v>
      </c>
      <c r="L425" s="2" t="s">
        <v>100</v>
      </c>
      <c r="M425" s="8" t="str">
        <f>HYPERLINK("http://slimages.macys.com/is/image/MCY/11779082 ")</f>
        <v xml:space="preserve">http://slimages.macys.com/is/image/MCY/11779082 </v>
      </c>
    </row>
    <row r="426" spans="1:13" ht="60" x14ac:dyDescent="0.25">
      <c r="A426" s="7" t="s">
        <v>2293</v>
      </c>
      <c r="B426" s="2" t="s">
        <v>1286</v>
      </c>
      <c r="C426" s="4">
        <v>1</v>
      </c>
      <c r="D426" s="5">
        <v>2.5299999999999998</v>
      </c>
      <c r="E426" s="5">
        <v>5.99</v>
      </c>
      <c r="F426" s="4" t="s">
        <v>1287</v>
      </c>
      <c r="G426" s="2" t="s">
        <v>41</v>
      </c>
      <c r="H426" s="7" t="s">
        <v>149</v>
      </c>
      <c r="I426" s="2" t="s">
        <v>483</v>
      </c>
      <c r="J426" s="2" t="s">
        <v>536</v>
      </c>
      <c r="K426" s="2" t="s">
        <v>304</v>
      </c>
      <c r="L426" s="2" t="s">
        <v>38</v>
      </c>
      <c r="M426" s="8" t="str">
        <f>HYPERLINK("http://slimages.macys.com/is/image/MCY/13987272 ")</f>
        <v xml:space="preserve">http://slimages.macys.com/is/image/MCY/13987272 </v>
      </c>
    </row>
    <row r="427" spans="1:13" ht="60" x14ac:dyDescent="0.25">
      <c r="A427" s="7" t="s">
        <v>7197</v>
      </c>
      <c r="B427" s="2" t="s">
        <v>1286</v>
      </c>
      <c r="C427" s="4">
        <v>2</v>
      </c>
      <c r="D427" s="5">
        <v>2.5299999999999998</v>
      </c>
      <c r="E427" s="5">
        <v>5.99</v>
      </c>
      <c r="F427" s="4" t="s">
        <v>1287</v>
      </c>
      <c r="G427" s="2" t="s">
        <v>41</v>
      </c>
      <c r="H427" s="7" t="s">
        <v>91</v>
      </c>
      <c r="I427" s="2" t="s">
        <v>483</v>
      </c>
      <c r="J427" s="2" t="s">
        <v>536</v>
      </c>
      <c r="K427" s="2" t="s">
        <v>304</v>
      </c>
      <c r="L427" s="2" t="s">
        <v>38</v>
      </c>
      <c r="M427" s="8" t="str">
        <f>HYPERLINK("http://slimages.macys.com/is/image/MCY/13987272 ")</f>
        <v xml:space="preserve">http://slimages.macys.com/is/image/MCY/13987272 </v>
      </c>
    </row>
    <row r="428" spans="1:13" ht="84" x14ac:dyDescent="0.25">
      <c r="A428" s="7" t="s">
        <v>8462</v>
      </c>
      <c r="B428" s="2" t="s">
        <v>8463</v>
      </c>
      <c r="C428" s="4">
        <v>1</v>
      </c>
      <c r="D428" s="5">
        <v>2.5299999999999998</v>
      </c>
      <c r="E428" s="5">
        <v>5.99</v>
      </c>
      <c r="F428" s="4" t="s">
        <v>8464</v>
      </c>
      <c r="G428" s="2" t="s">
        <v>653</v>
      </c>
      <c r="H428" s="7" t="s">
        <v>91</v>
      </c>
      <c r="I428" s="2" t="s">
        <v>483</v>
      </c>
      <c r="J428" s="2" t="s">
        <v>536</v>
      </c>
      <c r="K428" s="2" t="s">
        <v>304</v>
      </c>
      <c r="L428" s="2" t="s">
        <v>8465</v>
      </c>
      <c r="M428" s="8" t="str">
        <f>HYPERLINK("http://slimages.macys.com/is/image/MCY/11708628 ")</f>
        <v xml:space="preserve">http://slimages.macys.com/is/image/MCY/11708628 </v>
      </c>
    </row>
    <row r="429" spans="1:13" ht="60" x14ac:dyDescent="0.25">
      <c r="A429" s="7" t="s">
        <v>8466</v>
      </c>
      <c r="B429" s="2" t="s">
        <v>7940</v>
      </c>
      <c r="C429" s="4">
        <v>1</v>
      </c>
      <c r="D429" s="5">
        <v>2.5299999999999998</v>
      </c>
      <c r="E429" s="5">
        <v>6.99</v>
      </c>
      <c r="F429" s="4" t="s">
        <v>7941</v>
      </c>
      <c r="G429" s="2" t="s">
        <v>36</v>
      </c>
      <c r="H429" s="7" t="s">
        <v>590</v>
      </c>
      <c r="I429" s="2" t="s">
        <v>483</v>
      </c>
      <c r="J429" s="2" t="s">
        <v>536</v>
      </c>
      <c r="K429" s="2" t="s">
        <v>304</v>
      </c>
      <c r="L429" s="2" t="s">
        <v>100</v>
      </c>
      <c r="M429" s="8" t="str">
        <f>HYPERLINK("http://slimages.macys.com/is/image/MCY/11433432 ")</f>
        <v xml:space="preserve">http://slimages.macys.com/is/image/MCY/11433432 </v>
      </c>
    </row>
    <row r="430" spans="1:13" ht="60" x14ac:dyDescent="0.25">
      <c r="A430" s="7" t="s">
        <v>7200</v>
      </c>
      <c r="B430" s="2" t="s">
        <v>1286</v>
      </c>
      <c r="C430" s="4">
        <v>1</v>
      </c>
      <c r="D430" s="5">
        <v>2.5299999999999998</v>
      </c>
      <c r="E430" s="5">
        <v>5.99</v>
      </c>
      <c r="F430" s="4" t="s">
        <v>1287</v>
      </c>
      <c r="G430" s="2" t="s">
        <v>41</v>
      </c>
      <c r="H430" s="7" t="s">
        <v>42</v>
      </c>
      <c r="I430" s="2" t="s">
        <v>483</v>
      </c>
      <c r="J430" s="2" t="s">
        <v>536</v>
      </c>
      <c r="K430" s="2" t="s">
        <v>304</v>
      </c>
      <c r="L430" s="2" t="s">
        <v>38</v>
      </c>
      <c r="M430" s="8" t="str">
        <f>HYPERLINK("http://slimages.macys.com/is/image/MCY/13987272 ")</f>
        <v xml:space="preserve">http://slimages.macys.com/is/image/MCY/13987272 </v>
      </c>
    </row>
    <row r="431" spans="1:13" ht="60" x14ac:dyDescent="0.25">
      <c r="A431" s="7" t="s">
        <v>1295</v>
      </c>
      <c r="B431" s="2" t="s">
        <v>1293</v>
      </c>
      <c r="C431" s="4">
        <v>1</v>
      </c>
      <c r="D431" s="5">
        <v>2.52</v>
      </c>
      <c r="E431" s="5">
        <v>6.99</v>
      </c>
      <c r="F431" s="4" t="s">
        <v>1294</v>
      </c>
      <c r="G431" s="2" t="s">
        <v>297</v>
      </c>
      <c r="H431" s="7" t="s">
        <v>149</v>
      </c>
      <c r="I431" s="2" t="s">
        <v>483</v>
      </c>
      <c r="J431" s="2" t="s">
        <v>536</v>
      </c>
      <c r="K431" s="2" t="s">
        <v>304</v>
      </c>
      <c r="L431" s="2" t="s">
        <v>100</v>
      </c>
      <c r="M431" s="8" t="str">
        <f>HYPERLINK("http://slimages.macys.com/is/image/MCY/13987466 ")</f>
        <v xml:space="preserve">http://slimages.macys.com/is/image/MCY/13987466 </v>
      </c>
    </row>
    <row r="432" spans="1:13" ht="60" x14ac:dyDescent="0.25">
      <c r="A432" s="7" t="s">
        <v>8467</v>
      </c>
      <c r="B432" s="2" t="s">
        <v>1293</v>
      </c>
      <c r="C432" s="4">
        <v>1</v>
      </c>
      <c r="D432" s="5">
        <v>2.52</v>
      </c>
      <c r="E432" s="5">
        <v>6.99</v>
      </c>
      <c r="F432" s="4" t="s">
        <v>1294</v>
      </c>
      <c r="G432" s="2" t="s">
        <v>297</v>
      </c>
      <c r="H432" s="7" t="s">
        <v>482</v>
      </c>
      <c r="I432" s="2" t="s">
        <v>483</v>
      </c>
      <c r="J432" s="2" t="s">
        <v>536</v>
      </c>
      <c r="K432" s="2" t="s">
        <v>304</v>
      </c>
      <c r="L432" s="2" t="s">
        <v>100</v>
      </c>
      <c r="M432" s="8" t="str">
        <f>HYPERLINK("http://slimages.macys.com/is/image/MCY/13987466 ")</f>
        <v xml:space="preserve">http://slimages.macys.com/is/image/MCY/13987466 </v>
      </c>
    </row>
    <row r="433" spans="1:13" ht="60" x14ac:dyDescent="0.25">
      <c r="A433" s="7" t="s">
        <v>8468</v>
      </c>
      <c r="B433" s="2" t="s">
        <v>1293</v>
      </c>
      <c r="C433" s="4">
        <v>1</v>
      </c>
      <c r="D433" s="5">
        <v>2.52</v>
      </c>
      <c r="E433" s="5">
        <v>6.99</v>
      </c>
      <c r="F433" s="4" t="s">
        <v>1294</v>
      </c>
      <c r="G433" s="2" t="s">
        <v>297</v>
      </c>
      <c r="H433" s="7" t="s">
        <v>590</v>
      </c>
      <c r="I433" s="2" t="s">
        <v>483</v>
      </c>
      <c r="J433" s="2" t="s">
        <v>536</v>
      </c>
      <c r="K433" s="2" t="s">
        <v>304</v>
      </c>
      <c r="L433" s="2" t="s">
        <v>100</v>
      </c>
      <c r="M433" s="8" t="str">
        <f>HYPERLINK("http://slimages.macys.com/is/image/MCY/13987466 ")</f>
        <v xml:space="preserve">http://slimages.macys.com/is/image/MCY/13987466 </v>
      </c>
    </row>
    <row r="434" spans="1:13" ht="60" x14ac:dyDescent="0.25">
      <c r="A434" s="7" t="s">
        <v>2297</v>
      </c>
      <c r="B434" s="2" t="s">
        <v>2295</v>
      </c>
      <c r="C434" s="4">
        <v>1</v>
      </c>
      <c r="D434" s="5">
        <v>2.5099999999999998</v>
      </c>
      <c r="E434" s="5">
        <v>5.99</v>
      </c>
      <c r="F434" s="4" t="s">
        <v>2296</v>
      </c>
      <c r="G434" s="2" t="s">
        <v>28</v>
      </c>
      <c r="H434" s="7" t="s">
        <v>91</v>
      </c>
      <c r="I434" s="2" t="s">
        <v>483</v>
      </c>
      <c r="J434" s="2" t="s">
        <v>536</v>
      </c>
      <c r="K434" s="2" t="s">
        <v>304</v>
      </c>
      <c r="L434" s="2" t="s">
        <v>119</v>
      </c>
      <c r="M434" s="8" t="str">
        <f>HYPERLINK("http://slimages.macys.com/is/image/MCY/11436914 ")</f>
        <v xml:space="preserve">http://slimages.macys.com/is/image/MCY/11436914 </v>
      </c>
    </row>
    <row r="435" spans="1:13" ht="60" x14ac:dyDescent="0.25">
      <c r="A435" s="7" t="s">
        <v>6076</v>
      </c>
      <c r="B435" s="2" t="s">
        <v>2295</v>
      </c>
      <c r="C435" s="4">
        <v>1</v>
      </c>
      <c r="D435" s="5">
        <v>2.5099999999999998</v>
      </c>
      <c r="E435" s="5">
        <v>5.99</v>
      </c>
      <c r="F435" s="4" t="s">
        <v>2296</v>
      </c>
      <c r="G435" s="2" t="s">
        <v>28</v>
      </c>
      <c r="H435" s="7" t="s">
        <v>149</v>
      </c>
      <c r="I435" s="2" t="s">
        <v>483</v>
      </c>
      <c r="J435" s="2" t="s">
        <v>536</v>
      </c>
      <c r="K435" s="2" t="s">
        <v>304</v>
      </c>
      <c r="L435" s="2" t="s">
        <v>119</v>
      </c>
      <c r="M435" s="8" t="str">
        <f>HYPERLINK("http://slimages.macys.com/is/image/MCY/11436914 ")</f>
        <v xml:space="preserve">http://slimages.macys.com/is/image/MCY/11436914 </v>
      </c>
    </row>
    <row r="436" spans="1:13" ht="60" x14ac:dyDescent="0.25">
      <c r="A436" s="7" t="s">
        <v>8469</v>
      </c>
      <c r="B436" s="2" t="s">
        <v>3523</v>
      </c>
      <c r="C436" s="4">
        <v>1</v>
      </c>
      <c r="D436" s="5">
        <v>2.5099999999999998</v>
      </c>
      <c r="E436" s="5">
        <v>5.99</v>
      </c>
      <c r="F436" s="4" t="s">
        <v>3524</v>
      </c>
      <c r="G436" s="2" t="s">
        <v>657</v>
      </c>
      <c r="H436" s="7" t="s">
        <v>149</v>
      </c>
      <c r="I436" s="2" t="s">
        <v>483</v>
      </c>
      <c r="J436" s="2" t="s">
        <v>536</v>
      </c>
      <c r="K436" s="2" t="s">
        <v>304</v>
      </c>
      <c r="L436" s="2" t="s">
        <v>119</v>
      </c>
      <c r="M436" s="8" t="str">
        <f>HYPERLINK("http://slimages.macys.com/is/image/MCY/13987476 ")</f>
        <v xml:space="preserve">http://slimages.macys.com/is/image/MCY/13987476 </v>
      </c>
    </row>
    <row r="437" spans="1:13" ht="60" x14ac:dyDescent="0.25">
      <c r="A437" s="7" t="s">
        <v>8470</v>
      </c>
      <c r="B437" s="2" t="s">
        <v>2725</v>
      </c>
      <c r="C437" s="4">
        <v>1</v>
      </c>
      <c r="D437" s="5">
        <v>2.5</v>
      </c>
      <c r="E437" s="5">
        <v>5.99</v>
      </c>
      <c r="F437" s="4" t="s">
        <v>2726</v>
      </c>
      <c r="G437" s="2" t="s">
        <v>297</v>
      </c>
      <c r="H437" s="7" t="s">
        <v>442</v>
      </c>
      <c r="I437" s="2" t="s">
        <v>483</v>
      </c>
      <c r="J437" s="2" t="s">
        <v>536</v>
      </c>
      <c r="K437" s="2" t="s">
        <v>304</v>
      </c>
      <c r="L437" s="2" t="s">
        <v>87</v>
      </c>
      <c r="M437" s="8" t="str">
        <f>HYPERLINK("http://slimages.macys.com/is/image/MCY/11524101 ")</f>
        <v xml:space="preserve">http://slimages.macys.com/is/image/MCY/11524101 </v>
      </c>
    </row>
    <row r="438" spans="1:13" ht="108" x14ac:dyDescent="0.25">
      <c r="A438" s="7" t="s">
        <v>2728</v>
      </c>
      <c r="B438" s="2" t="s">
        <v>2302</v>
      </c>
      <c r="C438" s="4">
        <v>1</v>
      </c>
      <c r="D438" s="5">
        <v>2.4900000000000002</v>
      </c>
      <c r="E438" s="5">
        <v>6.99</v>
      </c>
      <c r="F438" s="4" t="s">
        <v>2303</v>
      </c>
      <c r="G438" s="2" t="s">
        <v>134</v>
      </c>
      <c r="H438" s="7" t="s">
        <v>442</v>
      </c>
      <c r="I438" s="2" t="s">
        <v>483</v>
      </c>
      <c r="J438" s="2" t="s">
        <v>536</v>
      </c>
      <c r="K438" s="2" t="s">
        <v>304</v>
      </c>
      <c r="L438" s="2" t="s">
        <v>2304</v>
      </c>
      <c r="M438" s="8" t="str">
        <f>HYPERLINK("http://slimages.macys.com/is/image/MCY/13987461 ")</f>
        <v xml:space="preserve">http://slimages.macys.com/is/image/MCY/13987461 </v>
      </c>
    </row>
    <row r="439" spans="1:13" ht="60" x14ac:dyDescent="0.25">
      <c r="A439" s="7" t="s">
        <v>8471</v>
      </c>
      <c r="B439" s="2" t="s">
        <v>2306</v>
      </c>
      <c r="C439" s="4">
        <v>1</v>
      </c>
      <c r="D439" s="5">
        <v>2.4900000000000002</v>
      </c>
      <c r="E439" s="5">
        <v>6.99</v>
      </c>
      <c r="F439" s="4" t="s">
        <v>2307</v>
      </c>
      <c r="G439" s="2" t="s">
        <v>41</v>
      </c>
      <c r="H439" s="7" t="s">
        <v>442</v>
      </c>
      <c r="I439" s="2" t="s">
        <v>483</v>
      </c>
      <c r="J439" s="2" t="s">
        <v>536</v>
      </c>
      <c r="K439" s="2" t="s">
        <v>304</v>
      </c>
      <c r="L439" s="2" t="s">
        <v>100</v>
      </c>
      <c r="M439" s="8" t="str">
        <f>HYPERLINK("http://slimages.macys.com/is/image/MCY/13987451 ")</f>
        <v xml:space="preserve">http://slimages.macys.com/is/image/MCY/13987451 </v>
      </c>
    </row>
    <row r="440" spans="1:13" ht="84" x14ac:dyDescent="0.25">
      <c r="A440" s="7" t="s">
        <v>5084</v>
      </c>
      <c r="B440" s="2" t="s">
        <v>1307</v>
      </c>
      <c r="C440" s="4">
        <v>1</v>
      </c>
      <c r="D440" s="5">
        <v>2.4900000000000002</v>
      </c>
      <c r="E440" s="5">
        <v>6.99</v>
      </c>
      <c r="F440" s="4">
        <v>10006315700</v>
      </c>
      <c r="G440" s="2" t="s">
        <v>41</v>
      </c>
      <c r="H440" s="7"/>
      <c r="I440" s="2" t="s">
        <v>483</v>
      </c>
      <c r="J440" s="2" t="s">
        <v>536</v>
      </c>
      <c r="K440" s="2" t="s">
        <v>304</v>
      </c>
      <c r="L440" s="2" t="s">
        <v>1308</v>
      </c>
      <c r="M440" s="8" t="str">
        <f>HYPERLINK("http://slimages.macys.com/is/image/MCY/13987457 ")</f>
        <v xml:space="preserve">http://slimages.macys.com/is/image/MCY/13987457 </v>
      </c>
    </row>
    <row r="441" spans="1:13" ht="84" x14ac:dyDescent="0.25">
      <c r="A441" s="7" t="s">
        <v>7209</v>
      </c>
      <c r="B441" s="2" t="s">
        <v>1307</v>
      </c>
      <c r="C441" s="4">
        <v>1</v>
      </c>
      <c r="D441" s="5">
        <v>2.4900000000000002</v>
      </c>
      <c r="E441" s="5">
        <v>6.99</v>
      </c>
      <c r="F441" s="4">
        <v>10006315700</v>
      </c>
      <c r="G441" s="2" t="s">
        <v>41</v>
      </c>
      <c r="H441" s="7" t="s">
        <v>442</v>
      </c>
      <c r="I441" s="2" t="s">
        <v>483</v>
      </c>
      <c r="J441" s="2" t="s">
        <v>536</v>
      </c>
      <c r="K441" s="2" t="s">
        <v>304</v>
      </c>
      <c r="L441" s="2" t="s">
        <v>1308</v>
      </c>
      <c r="M441" s="8" t="str">
        <f>HYPERLINK("http://slimages.macys.com/is/image/MCY/13987457 ")</f>
        <v xml:space="preserve">http://slimages.macys.com/is/image/MCY/13987457 </v>
      </c>
    </row>
    <row r="442" spans="1:13" ht="60" x14ac:dyDescent="0.25">
      <c r="A442" s="7" t="s">
        <v>6569</v>
      </c>
      <c r="B442" s="2" t="s">
        <v>5728</v>
      </c>
      <c r="C442" s="4">
        <v>1</v>
      </c>
      <c r="D442" s="5">
        <v>2.4900000000000002</v>
      </c>
      <c r="E442" s="5">
        <v>6.99</v>
      </c>
      <c r="F442" s="4" t="s">
        <v>5729</v>
      </c>
      <c r="G442" s="2" t="s">
        <v>657</v>
      </c>
      <c r="H442" s="7" t="s">
        <v>590</v>
      </c>
      <c r="I442" s="2" t="s">
        <v>483</v>
      </c>
      <c r="J442" s="2" t="s">
        <v>536</v>
      </c>
      <c r="K442" s="2" t="s">
        <v>304</v>
      </c>
      <c r="L442" s="2" t="s">
        <v>119</v>
      </c>
      <c r="M442" s="8" t="str">
        <f>HYPERLINK("http://slimages.macys.com/is/image/MCY/11792612 ")</f>
        <v xml:space="preserve">http://slimages.macys.com/is/image/MCY/11792612 </v>
      </c>
    </row>
    <row r="443" spans="1:13" ht="84" x14ac:dyDescent="0.25">
      <c r="A443" s="7" t="s">
        <v>8472</v>
      </c>
      <c r="B443" s="2" t="s">
        <v>1307</v>
      </c>
      <c r="C443" s="4">
        <v>2</v>
      </c>
      <c r="D443" s="5">
        <v>2.4900000000000002</v>
      </c>
      <c r="E443" s="5">
        <v>6.99</v>
      </c>
      <c r="F443" s="4">
        <v>10006315700</v>
      </c>
      <c r="G443" s="2" t="s">
        <v>41</v>
      </c>
      <c r="H443" s="7" t="s">
        <v>149</v>
      </c>
      <c r="I443" s="2" t="s">
        <v>483</v>
      </c>
      <c r="J443" s="2" t="s">
        <v>536</v>
      </c>
      <c r="K443" s="2" t="s">
        <v>304</v>
      </c>
      <c r="L443" s="2" t="s">
        <v>1308</v>
      </c>
      <c r="M443" s="8" t="str">
        <f>HYPERLINK("http://slimages.macys.com/is/image/MCY/13987457 ")</f>
        <v xml:space="preserve">http://slimages.macys.com/is/image/MCY/13987457 </v>
      </c>
    </row>
    <row r="444" spans="1:13" ht="108" x14ac:dyDescent="0.25">
      <c r="A444" s="7" t="s">
        <v>2308</v>
      </c>
      <c r="B444" s="2" t="s">
        <v>2302</v>
      </c>
      <c r="C444" s="4">
        <v>1</v>
      </c>
      <c r="D444" s="5">
        <v>2.4900000000000002</v>
      </c>
      <c r="E444" s="5">
        <v>6.99</v>
      </c>
      <c r="F444" s="4" t="s">
        <v>2303</v>
      </c>
      <c r="G444" s="2" t="s">
        <v>134</v>
      </c>
      <c r="H444" s="7" t="s">
        <v>590</v>
      </c>
      <c r="I444" s="2" t="s">
        <v>483</v>
      </c>
      <c r="J444" s="2" t="s">
        <v>536</v>
      </c>
      <c r="K444" s="2" t="s">
        <v>304</v>
      </c>
      <c r="L444" s="2" t="s">
        <v>2304</v>
      </c>
      <c r="M444" s="8" t="str">
        <f>HYPERLINK("http://slimages.macys.com/is/image/MCY/13987461 ")</f>
        <v xml:space="preserve">http://slimages.macys.com/is/image/MCY/13987461 </v>
      </c>
    </row>
    <row r="445" spans="1:13" ht="108" x14ac:dyDescent="0.25">
      <c r="A445" s="7" t="s">
        <v>2301</v>
      </c>
      <c r="B445" s="2" t="s">
        <v>2302</v>
      </c>
      <c r="C445" s="4">
        <v>2</v>
      </c>
      <c r="D445" s="5">
        <v>2.4900000000000002</v>
      </c>
      <c r="E445" s="5">
        <v>6.99</v>
      </c>
      <c r="F445" s="4" t="s">
        <v>2303</v>
      </c>
      <c r="G445" s="2" t="s">
        <v>134</v>
      </c>
      <c r="H445" s="7" t="s">
        <v>149</v>
      </c>
      <c r="I445" s="2" t="s">
        <v>483</v>
      </c>
      <c r="J445" s="2" t="s">
        <v>536</v>
      </c>
      <c r="K445" s="2" t="s">
        <v>304</v>
      </c>
      <c r="L445" s="2" t="s">
        <v>2304</v>
      </c>
      <c r="M445" s="8" t="str">
        <f>HYPERLINK("http://slimages.macys.com/is/image/MCY/13987461 ")</f>
        <v xml:space="preserve">http://slimages.macys.com/is/image/MCY/13987461 </v>
      </c>
    </row>
    <row r="446" spans="1:13" ht="60" x14ac:dyDescent="0.25">
      <c r="A446" s="7" t="s">
        <v>1309</v>
      </c>
      <c r="B446" s="2" t="s">
        <v>1300</v>
      </c>
      <c r="C446" s="4">
        <v>2</v>
      </c>
      <c r="D446" s="5">
        <v>2.4900000000000002</v>
      </c>
      <c r="E446" s="5">
        <v>6.99</v>
      </c>
      <c r="F446" s="4" t="s">
        <v>1301</v>
      </c>
      <c r="G446" s="2" t="s">
        <v>1302</v>
      </c>
      <c r="H446" s="7"/>
      <c r="I446" s="2" t="s">
        <v>483</v>
      </c>
      <c r="J446" s="2" t="s">
        <v>536</v>
      </c>
      <c r="K446" s="2" t="s">
        <v>304</v>
      </c>
      <c r="L446" s="2" t="s">
        <v>596</v>
      </c>
      <c r="M446" s="8" t="str">
        <f>HYPERLINK("http://slimages.macys.com/is/image/MCY/13337498 ")</f>
        <v xml:space="preserve">http://slimages.macys.com/is/image/MCY/13337498 </v>
      </c>
    </row>
    <row r="447" spans="1:13" ht="60" x14ac:dyDescent="0.25">
      <c r="A447" s="7" t="s">
        <v>1299</v>
      </c>
      <c r="B447" s="2" t="s">
        <v>1300</v>
      </c>
      <c r="C447" s="4">
        <v>1</v>
      </c>
      <c r="D447" s="5">
        <v>2.4900000000000002</v>
      </c>
      <c r="E447" s="5">
        <v>6.99</v>
      </c>
      <c r="F447" s="4" t="s">
        <v>1301</v>
      </c>
      <c r="G447" s="2" t="s">
        <v>1302</v>
      </c>
      <c r="H447" s="7" t="s">
        <v>590</v>
      </c>
      <c r="I447" s="2" t="s">
        <v>483</v>
      </c>
      <c r="J447" s="2" t="s">
        <v>536</v>
      </c>
      <c r="K447" s="2" t="s">
        <v>304</v>
      </c>
      <c r="L447" s="2" t="s">
        <v>596</v>
      </c>
      <c r="M447" s="8" t="str">
        <f>HYPERLINK("http://slimages.macys.com/is/image/MCY/13337498 ")</f>
        <v xml:space="preserve">http://slimages.macys.com/is/image/MCY/13337498 </v>
      </c>
    </row>
    <row r="448" spans="1:13" ht="60" x14ac:dyDescent="0.25">
      <c r="A448" s="7" t="s">
        <v>2313</v>
      </c>
      <c r="B448" s="2" t="s">
        <v>622</v>
      </c>
      <c r="C448" s="4">
        <v>1</v>
      </c>
      <c r="D448" s="5">
        <v>2.48</v>
      </c>
      <c r="E448" s="5">
        <v>7.99</v>
      </c>
      <c r="F448" s="4">
        <v>10005379300</v>
      </c>
      <c r="G448" s="2" t="s">
        <v>437</v>
      </c>
      <c r="H448" s="7" t="s">
        <v>149</v>
      </c>
      <c r="I448" s="2" t="s">
        <v>483</v>
      </c>
      <c r="J448" s="2" t="s">
        <v>536</v>
      </c>
      <c r="K448" s="2" t="s">
        <v>304</v>
      </c>
      <c r="L448" s="2" t="s">
        <v>623</v>
      </c>
      <c r="M448" s="8" t="str">
        <f>HYPERLINK("http://slimages.macys.com/is/image/MCY/12465415 ")</f>
        <v xml:space="preserve">http://slimages.macys.com/is/image/MCY/12465415 </v>
      </c>
    </row>
    <row r="449" spans="1:13" ht="60" x14ac:dyDescent="0.25">
      <c r="A449" s="7" t="s">
        <v>2314</v>
      </c>
      <c r="B449" s="2" t="s">
        <v>622</v>
      </c>
      <c r="C449" s="4">
        <v>2</v>
      </c>
      <c r="D449" s="5">
        <v>2.48</v>
      </c>
      <c r="E449" s="5">
        <v>7.99</v>
      </c>
      <c r="F449" s="4">
        <v>10005379300</v>
      </c>
      <c r="G449" s="2" t="s">
        <v>437</v>
      </c>
      <c r="H449" s="7"/>
      <c r="I449" s="2" t="s">
        <v>483</v>
      </c>
      <c r="J449" s="2" t="s">
        <v>536</v>
      </c>
      <c r="K449" s="2" t="s">
        <v>304</v>
      </c>
      <c r="L449" s="2" t="s">
        <v>623</v>
      </c>
      <c r="M449" s="8" t="str">
        <f>HYPERLINK("http://slimages.macys.com/is/image/MCY/12465415 ")</f>
        <v xml:space="preserve">http://slimages.macys.com/is/image/MCY/12465415 </v>
      </c>
    </row>
    <row r="450" spans="1:13" ht="60" x14ac:dyDescent="0.25">
      <c r="A450" s="7" t="s">
        <v>2311</v>
      </c>
      <c r="B450" s="2" t="s">
        <v>622</v>
      </c>
      <c r="C450" s="4">
        <v>1</v>
      </c>
      <c r="D450" s="5">
        <v>2.48</v>
      </c>
      <c r="E450" s="5">
        <v>7.99</v>
      </c>
      <c r="F450" s="4">
        <v>10005379300</v>
      </c>
      <c r="G450" s="2" t="s">
        <v>62</v>
      </c>
      <c r="H450" s="7" t="s">
        <v>482</v>
      </c>
      <c r="I450" s="2" t="s">
        <v>483</v>
      </c>
      <c r="J450" s="2" t="s">
        <v>536</v>
      </c>
      <c r="K450" s="2" t="s">
        <v>304</v>
      </c>
      <c r="L450" s="2" t="s">
        <v>623</v>
      </c>
      <c r="M450" s="8" t="str">
        <f>HYPERLINK("http://slimages.macys.com/is/image/MCY/12465415 ")</f>
        <v xml:space="preserve">http://slimages.macys.com/is/image/MCY/12465415 </v>
      </c>
    </row>
    <row r="451" spans="1:13" ht="60" x14ac:dyDescent="0.25">
      <c r="A451" s="7" t="s">
        <v>2316</v>
      </c>
      <c r="B451" s="2" t="s">
        <v>622</v>
      </c>
      <c r="C451" s="4">
        <v>1</v>
      </c>
      <c r="D451" s="5">
        <v>2.48</v>
      </c>
      <c r="E451" s="5">
        <v>7.99</v>
      </c>
      <c r="F451" s="4">
        <v>10005379300</v>
      </c>
      <c r="G451" s="2" t="s">
        <v>437</v>
      </c>
      <c r="H451" s="7" t="s">
        <v>442</v>
      </c>
      <c r="I451" s="2" t="s">
        <v>483</v>
      </c>
      <c r="J451" s="2" t="s">
        <v>536</v>
      </c>
      <c r="K451" s="2" t="s">
        <v>304</v>
      </c>
      <c r="L451" s="2" t="s">
        <v>623</v>
      </c>
      <c r="M451" s="8" t="str">
        <f>HYPERLINK("http://slimages.macys.com/is/image/MCY/12465415 ")</f>
        <v xml:space="preserve">http://slimages.macys.com/is/image/MCY/12465415 </v>
      </c>
    </row>
    <row r="452" spans="1:13" ht="96" x14ac:dyDescent="0.25">
      <c r="A452" s="7" t="s">
        <v>7210</v>
      </c>
      <c r="B452" s="2" t="s">
        <v>2318</v>
      </c>
      <c r="C452" s="4">
        <v>1</v>
      </c>
      <c r="D452" s="5">
        <v>2.4700000000000002</v>
      </c>
      <c r="E452" s="5">
        <v>6.99</v>
      </c>
      <c r="F452" s="4">
        <v>10006315800</v>
      </c>
      <c r="G452" s="2" t="s">
        <v>527</v>
      </c>
      <c r="H452" s="7"/>
      <c r="I452" s="2" t="s">
        <v>483</v>
      </c>
      <c r="J452" s="2" t="s">
        <v>536</v>
      </c>
      <c r="K452" s="2" t="s">
        <v>304</v>
      </c>
      <c r="L452" s="2" t="s">
        <v>2319</v>
      </c>
      <c r="M452" s="8" t="str">
        <f>HYPERLINK("http://slimages.macys.com/is/image/MCY/13987454 ")</f>
        <v xml:space="preserve">http://slimages.macys.com/is/image/MCY/13987454 </v>
      </c>
    </row>
    <row r="453" spans="1:13" ht="96" x14ac:dyDescent="0.25">
      <c r="A453" s="7" t="s">
        <v>2317</v>
      </c>
      <c r="B453" s="2" t="s">
        <v>2318</v>
      </c>
      <c r="C453" s="4">
        <v>2</v>
      </c>
      <c r="D453" s="5">
        <v>2.4700000000000002</v>
      </c>
      <c r="E453" s="5">
        <v>6.99</v>
      </c>
      <c r="F453" s="4">
        <v>10006315800</v>
      </c>
      <c r="G453" s="2" t="s">
        <v>527</v>
      </c>
      <c r="H453" s="7" t="s">
        <v>149</v>
      </c>
      <c r="I453" s="2" t="s">
        <v>483</v>
      </c>
      <c r="J453" s="2" t="s">
        <v>536</v>
      </c>
      <c r="K453" s="2" t="s">
        <v>304</v>
      </c>
      <c r="L453" s="2" t="s">
        <v>2319</v>
      </c>
      <c r="M453" s="8" t="str">
        <f>HYPERLINK("http://slimages.macys.com/is/image/MCY/13987454 ")</f>
        <v xml:space="preserve">http://slimages.macys.com/is/image/MCY/13987454 </v>
      </c>
    </row>
    <row r="454" spans="1:13" ht="60" x14ac:dyDescent="0.25">
      <c r="A454" s="7" t="s">
        <v>8473</v>
      </c>
      <c r="B454" s="2" t="s">
        <v>4567</v>
      </c>
      <c r="C454" s="4">
        <v>1</v>
      </c>
      <c r="D454" s="5">
        <v>2.4300000000000002</v>
      </c>
      <c r="E454" s="5">
        <v>6.99</v>
      </c>
      <c r="F454" s="4">
        <v>10006315200</v>
      </c>
      <c r="G454" s="2" t="s">
        <v>1302</v>
      </c>
      <c r="H454" s="7" t="s">
        <v>590</v>
      </c>
      <c r="I454" s="2" t="s">
        <v>483</v>
      </c>
      <c r="J454" s="2" t="s">
        <v>536</v>
      </c>
      <c r="K454" s="2" t="s">
        <v>304</v>
      </c>
      <c r="L454" s="2" t="s">
        <v>596</v>
      </c>
      <c r="M454" s="8" t="str">
        <f>HYPERLINK("http://slimages.macys.com/is/image/MCY/13987463 ")</f>
        <v xml:space="preserve">http://slimages.macys.com/is/image/MCY/13987463 </v>
      </c>
    </row>
    <row r="455" spans="1:13" ht="60" x14ac:dyDescent="0.25">
      <c r="A455" s="7" t="s">
        <v>8474</v>
      </c>
      <c r="B455" s="2" t="s">
        <v>4567</v>
      </c>
      <c r="C455" s="4">
        <v>2</v>
      </c>
      <c r="D455" s="5">
        <v>2.4300000000000002</v>
      </c>
      <c r="E455" s="5">
        <v>6.99</v>
      </c>
      <c r="F455" s="4">
        <v>10006315200</v>
      </c>
      <c r="G455" s="2" t="s">
        <v>1302</v>
      </c>
      <c r="H455" s="7" t="s">
        <v>149</v>
      </c>
      <c r="I455" s="2" t="s">
        <v>483</v>
      </c>
      <c r="J455" s="2" t="s">
        <v>536</v>
      </c>
      <c r="K455" s="2" t="s">
        <v>304</v>
      </c>
      <c r="L455" s="2" t="s">
        <v>596</v>
      </c>
      <c r="M455" s="8" t="str">
        <f>HYPERLINK("http://slimages.macys.com/is/image/MCY/13987463 ")</f>
        <v xml:space="preserve">http://slimages.macys.com/is/image/MCY/13987463 </v>
      </c>
    </row>
    <row r="456" spans="1:13" ht="108" x14ac:dyDescent="0.25">
      <c r="A456" s="7" t="s">
        <v>2325</v>
      </c>
      <c r="B456" s="2" t="s">
        <v>2322</v>
      </c>
      <c r="C456" s="4">
        <v>2</v>
      </c>
      <c r="D456" s="5">
        <v>2.4300000000000002</v>
      </c>
      <c r="E456" s="5">
        <v>7.99</v>
      </c>
      <c r="F456" s="4" t="s">
        <v>2323</v>
      </c>
      <c r="G456" s="2" t="s">
        <v>41</v>
      </c>
      <c r="H456" s="7" t="s">
        <v>590</v>
      </c>
      <c r="I456" s="2" t="s">
        <v>483</v>
      </c>
      <c r="J456" s="2" t="s">
        <v>536</v>
      </c>
      <c r="K456" s="2" t="s">
        <v>304</v>
      </c>
      <c r="L456" s="2" t="s">
        <v>2324</v>
      </c>
      <c r="M456" s="8" t="str">
        <f>HYPERLINK("http://slimages.macys.com/is/image/MCY/14384998 ")</f>
        <v xml:space="preserve">http://slimages.macys.com/is/image/MCY/14384998 </v>
      </c>
    </row>
    <row r="457" spans="1:13" ht="108" x14ac:dyDescent="0.25">
      <c r="A457" s="7" t="s">
        <v>2326</v>
      </c>
      <c r="B457" s="2" t="s">
        <v>2322</v>
      </c>
      <c r="C457" s="4">
        <v>2</v>
      </c>
      <c r="D457" s="5">
        <v>2.4300000000000002</v>
      </c>
      <c r="E457" s="5">
        <v>7.99</v>
      </c>
      <c r="F457" s="4" t="s">
        <v>2323</v>
      </c>
      <c r="G457" s="2" t="s">
        <v>41</v>
      </c>
      <c r="H457" s="7" t="s">
        <v>149</v>
      </c>
      <c r="I457" s="2" t="s">
        <v>483</v>
      </c>
      <c r="J457" s="2" t="s">
        <v>536</v>
      </c>
      <c r="K457" s="2" t="s">
        <v>304</v>
      </c>
      <c r="L457" s="2" t="s">
        <v>2324</v>
      </c>
      <c r="M457" s="8" t="str">
        <f>HYPERLINK("http://slimages.macys.com/is/image/MCY/14384998 ")</f>
        <v xml:space="preserve">http://slimages.macys.com/is/image/MCY/14384998 </v>
      </c>
    </row>
    <row r="458" spans="1:13" ht="108" x14ac:dyDescent="0.25">
      <c r="A458" s="7" t="s">
        <v>8475</v>
      </c>
      <c r="B458" s="2" t="s">
        <v>2322</v>
      </c>
      <c r="C458" s="4">
        <v>1</v>
      </c>
      <c r="D458" s="5">
        <v>2.4300000000000002</v>
      </c>
      <c r="E458" s="5">
        <v>7.99</v>
      </c>
      <c r="F458" s="4" t="s">
        <v>2323</v>
      </c>
      <c r="G458" s="2" t="s">
        <v>41</v>
      </c>
      <c r="H458" s="7" t="s">
        <v>42</v>
      </c>
      <c r="I458" s="2" t="s">
        <v>483</v>
      </c>
      <c r="J458" s="2" t="s">
        <v>536</v>
      </c>
      <c r="K458" s="2" t="s">
        <v>304</v>
      </c>
      <c r="L458" s="2" t="s">
        <v>2324</v>
      </c>
      <c r="M458" s="8" t="str">
        <f>HYPERLINK("http://slimages.macys.com/is/image/MCY/14384998 ")</f>
        <v xml:space="preserve">http://slimages.macys.com/is/image/MCY/14384998 </v>
      </c>
    </row>
    <row r="459" spans="1:13" ht="108" x14ac:dyDescent="0.25">
      <c r="A459" s="7" t="s">
        <v>2321</v>
      </c>
      <c r="B459" s="2" t="s">
        <v>2322</v>
      </c>
      <c r="C459" s="4">
        <v>2</v>
      </c>
      <c r="D459" s="5">
        <v>2.4300000000000002</v>
      </c>
      <c r="E459" s="5">
        <v>7.99</v>
      </c>
      <c r="F459" s="4" t="s">
        <v>2323</v>
      </c>
      <c r="G459" s="2" t="s">
        <v>41</v>
      </c>
      <c r="H459" s="7"/>
      <c r="I459" s="2" t="s">
        <v>483</v>
      </c>
      <c r="J459" s="2" t="s">
        <v>536</v>
      </c>
      <c r="K459" s="2" t="s">
        <v>304</v>
      </c>
      <c r="L459" s="2" t="s">
        <v>2324</v>
      </c>
      <c r="M459" s="8" t="str">
        <f>HYPERLINK("http://slimages.macys.com/is/image/MCY/14384998 ")</f>
        <v xml:space="preserve">http://slimages.macys.com/is/image/MCY/14384998 </v>
      </c>
    </row>
    <row r="460" spans="1:13" ht="60" x14ac:dyDescent="0.25">
      <c r="A460" s="7" t="s">
        <v>8476</v>
      </c>
      <c r="B460" s="2" t="s">
        <v>7984</v>
      </c>
      <c r="C460" s="4">
        <v>1</v>
      </c>
      <c r="D460" s="5">
        <v>2.4</v>
      </c>
      <c r="E460" s="5">
        <v>5.99</v>
      </c>
      <c r="F460" s="4" t="s">
        <v>7985</v>
      </c>
      <c r="G460" s="2" t="s">
        <v>41</v>
      </c>
      <c r="H460" s="7" t="s">
        <v>149</v>
      </c>
      <c r="I460" s="2" t="s">
        <v>483</v>
      </c>
      <c r="J460" s="2" t="s">
        <v>536</v>
      </c>
      <c r="K460" s="2"/>
      <c r="L460" s="2"/>
      <c r="M460" s="8" t="str">
        <f>HYPERLINK("http://slimages.macys.com/is/image/MCY/11525783 ")</f>
        <v xml:space="preserve">http://slimages.macys.com/is/image/MCY/11525783 </v>
      </c>
    </row>
    <row r="461" spans="1:13" ht="60" x14ac:dyDescent="0.25">
      <c r="A461" s="7" t="s">
        <v>7225</v>
      </c>
      <c r="B461" s="2" t="s">
        <v>1336</v>
      </c>
      <c r="C461" s="4">
        <v>1</v>
      </c>
      <c r="D461" s="5">
        <v>2.4</v>
      </c>
      <c r="E461" s="5">
        <v>5.99</v>
      </c>
      <c r="F461" s="4" t="s">
        <v>1337</v>
      </c>
      <c r="G461" s="2" t="s">
        <v>657</v>
      </c>
      <c r="H461" s="7" t="s">
        <v>91</v>
      </c>
      <c r="I461" s="2" t="s">
        <v>483</v>
      </c>
      <c r="J461" s="2" t="s">
        <v>536</v>
      </c>
      <c r="K461" s="2" t="s">
        <v>304</v>
      </c>
      <c r="L461" s="2" t="s">
        <v>119</v>
      </c>
      <c r="M461" s="8" t="str">
        <f>HYPERLINK("http://slimages.macys.com/is/image/MCY/13987252 ")</f>
        <v xml:space="preserve">http://slimages.macys.com/is/image/MCY/13987252 </v>
      </c>
    </row>
    <row r="462" spans="1:13" ht="60" x14ac:dyDescent="0.25">
      <c r="A462" s="7" t="s">
        <v>7224</v>
      </c>
      <c r="B462" s="2" t="s">
        <v>1336</v>
      </c>
      <c r="C462" s="4">
        <v>1</v>
      </c>
      <c r="D462" s="5">
        <v>2.4</v>
      </c>
      <c r="E462" s="5">
        <v>5.99</v>
      </c>
      <c r="F462" s="4" t="s">
        <v>1337</v>
      </c>
      <c r="G462" s="2" t="s">
        <v>657</v>
      </c>
      <c r="H462" s="7" t="s">
        <v>42</v>
      </c>
      <c r="I462" s="2" t="s">
        <v>483</v>
      </c>
      <c r="J462" s="2" t="s">
        <v>536</v>
      </c>
      <c r="K462" s="2" t="s">
        <v>304</v>
      </c>
      <c r="L462" s="2" t="s">
        <v>119</v>
      </c>
      <c r="M462" s="8" t="str">
        <f>HYPERLINK("http://slimages.macys.com/is/image/MCY/13987252 ")</f>
        <v xml:space="preserve">http://slimages.macys.com/is/image/MCY/13987252 </v>
      </c>
    </row>
    <row r="463" spans="1:13" ht="60" x14ac:dyDescent="0.25">
      <c r="A463" s="7" t="s">
        <v>1345</v>
      </c>
      <c r="B463" s="2" t="s">
        <v>1324</v>
      </c>
      <c r="C463" s="4">
        <v>1</v>
      </c>
      <c r="D463" s="5">
        <v>2.38</v>
      </c>
      <c r="E463" s="5">
        <v>4.99</v>
      </c>
      <c r="F463" s="4" t="s">
        <v>1325</v>
      </c>
      <c r="G463" s="2" t="s">
        <v>62</v>
      </c>
      <c r="H463" s="7" t="s">
        <v>284</v>
      </c>
      <c r="I463" s="2" t="s">
        <v>523</v>
      </c>
      <c r="J463" s="2" t="s">
        <v>921</v>
      </c>
      <c r="K463" s="2" t="s">
        <v>304</v>
      </c>
      <c r="L463" s="2" t="s">
        <v>323</v>
      </c>
      <c r="M463" s="8" t="str">
        <f>HYPERLINK("http://slimages.macys.com/is/image/MCY/11722365 ")</f>
        <v xml:space="preserve">http://slimages.macys.com/is/image/MCY/11722365 </v>
      </c>
    </row>
    <row r="464" spans="1:13" ht="60" x14ac:dyDescent="0.25">
      <c r="A464" s="7" t="s">
        <v>8477</v>
      </c>
      <c r="B464" s="2" t="s">
        <v>1348</v>
      </c>
      <c r="C464" s="4">
        <v>1</v>
      </c>
      <c r="D464" s="5">
        <v>2.36</v>
      </c>
      <c r="E464" s="5">
        <v>5.99</v>
      </c>
      <c r="F464" s="4" t="s">
        <v>1349</v>
      </c>
      <c r="G464" s="2" t="s">
        <v>62</v>
      </c>
      <c r="H464" s="7" t="s">
        <v>149</v>
      </c>
      <c r="I464" s="2" t="s">
        <v>483</v>
      </c>
      <c r="J464" s="2" t="s">
        <v>536</v>
      </c>
      <c r="K464" s="2" t="s">
        <v>304</v>
      </c>
      <c r="L464" s="2" t="s">
        <v>38</v>
      </c>
      <c r="M464" s="8" t="str">
        <f>HYPERLINK("http://slimages.macys.com/is/image/MCY/13337362 ")</f>
        <v xml:space="preserve">http://slimages.macys.com/is/image/MCY/13337362 </v>
      </c>
    </row>
    <row r="465" spans="1:13" ht="60" x14ac:dyDescent="0.25">
      <c r="A465" s="7" t="s">
        <v>2333</v>
      </c>
      <c r="B465" s="2" t="s">
        <v>2330</v>
      </c>
      <c r="C465" s="4">
        <v>2</v>
      </c>
      <c r="D465" s="5">
        <v>2.35</v>
      </c>
      <c r="E465" s="5">
        <v>5.99</v>
      </c>
      <c r="F465" s="4" t="s">
        <v>2331</v>
      </c>
      <c r="G465" s="2" t="s">
        <v>36</v>
      </c>
      <c r="H465" s="7" t="s">
        <v>590</v>
      </c>
      <c r="I465" s="2" t="s">
        <v>483</v>
      </c>
      <c r="J465" s="2" t="s">
        <v>536</v>
      </c>
      <c r="K465" s="2" t="s">
        <v>304</v>
      </c>
      <c r="L465" s="2" t="s">
        <v>596</v>
      </c>
      <c r="M465" s="8" t="str">
        <f>HYPERLINK("http://slimages.macys.com/is/image/MCY/12466357 ")</f>
        <v xml:space="preserve">http://slimages.macys.com/is/image/MCY/12466357 </v>
      </c>
    </row>
    <row r="466" spans="1:13" ht="60" x14ac:dyDescent="0.25">
      <c r="A466" s="7" t="s">
        <v>4570</v>
      </c>
      <c r="B466" s="2" t="s">
        <v>2330</v>
      </c>
      <c r="C466" s="4">
        <v>1</v>
      </c>
      <c r="D466" s="5">
        <v>2.35</v>
      </c>
      <c r="E466" s="5">
        <v>5.99</v>
      </c>
      <c r="F466" s="4" t="s">
        <v>2331</v>
      </c>
      <c r="G466" s="2" t="s">
        <v>36</v>
      </c>
      <c r="H466" s="7" t="s">
        <v>149</v>
      </c>
      <c r="I466" s="2" t="s">
        <v>483</v>
      </c>
      <c r="J466" s="2" t="s">
        <v>536</v>
      </c>
      <c r="K466" s="2" t="s">
        <v>304</v>
      </c>
      <c r="L466" s="2" t="s">
        <v>596</v>
      </c>
      <c r="M466" s="8" t="str">
        <f>HYPERLINK("http://slimages.macys.com/is/image/MCY/12466357 ")</f>
        <v xml:space="preserve">http://slimages.macys.com/is/image/MCY/12466357 </v>
      </c>
    </row>
    <row r="467" spans="1:13" ht="60" x14ac:dyDescent="0.25">
      <c r="A467" s="7" t="s">
        <v>2334</v>
      </c>
      <c r="B467" s="2" t="s">
        <v>2335</v>
      </c>
      <c r="C467" s="4">
        <v>1</v>
      </c>
      <c r="D467" s="5">
        <v>2.34</v>
      </c>
      <c r="E467" s="5">
        <v>5.99</v>
      </c>
      <c r="F467" s="4" t="s">
        <v>2336</v>
      </c>
      <c r="G467" s="2" t="s">
        <v>41</v>
      </c>
      <c r="H467" s="7" t="s">
        <v>42</v>
      </c>
      <c r="I467" s="2" t="s">
        <v>483</v>
      </c>
      <c r="J467" s="2" t="s">
        <v>536</v>
      </c>
      <c r="K467" s="2" t="s">
        <v>304</v>
      </c>
      <c r="L467" s="2" t="s">
        <v>100</v>
      </c>
      <c r="M467" s="8" t="str">
        <f>HYPERLINK("http://slimages.macys.com/is/image/MCY/12466329 ")</f>
        <v xml:space="preserve">http://slimages.macys.com/is/image/MCY/12466329 </v>
      </c>
    </row>
    <row r="468" spans="1:13" ht="60" x14ac:dyDescent="0.25">
      <c r="A468" s="7" t="s">
        <v>2337</v>
      </c>
      <c r="B468" s="2" t="s">
        <v>2338</v>
      </c>
      <c r="C468" s="4">
        <v>1</v>
      </c>
      <c r="D468" s="5">
        <v>2.34</v>
      </c>
      <c r="E468" s="5">
        <v>5.99</v>
      </c>
      <c r="F468" s="4" t="s">
        <v>2339</v>
      </c>
      <c r="G468" s="2" t="s">
        <v>41</v>
      </c>
      <c r="H468" s="7" t="s">
        <v>442</v>
      </c>
      <c r="I468" s="2" t="s">
        <v>483</v>
      </c>
      <c r="J468" s="2" t="s">
        <v>536</v>
      </c>
      <c r="K468" s="2" t="s">
        <v>304</v>
      </c>
      <c r="L468" s="2" t="s">
        <v>38</v>
      </c>
      <c r="M468" s="8" t="str">
        <f>HYPERLINK("http://slimages.macys.com/is/image/MCY/13386590 ")</f>
        <v xml:space="preserve">http://slimages.macys.com/is/image/MCY/13386590 </v>
      </c>
    </row>
    <row r="469" spans="1:13" ht="60" x14ac:dyDescent="0.25">
      <c r="A469" s="7" t="s">
        <v>1358</v>
      </c>
      <c r="B469" s="2" t="s">
        <v>1359</v>
      </c>
      <c r="C469" s="4">
        <v>20</v>
      </c>
      <c r="D469" s="5">
        <v>2.33</v>
      </c>
      <c r="E469" s="5">
        <v>7.99</v>
      </c>
      <c r="F469" s="4">
        <v>10004191800</v>
      </c>
      <c r="G469" s="2" t="s">
        <v>1360</v>
      </c>
      <c r="H469" s="7" t="s">
        <v>531</v>
      </c>
      <c r="I469" s="2" t="s">
        <v>483</v>
      </c>
      <c r="J469" s="2" t="s">
        <v>536</v>
      </c>
      <c r="K469" s="2" t="s">
        <v>304</v>
      </c>
      <c r="L469" s="2" t="s">
        <v>38</v>
      </c>
      <c r="M469" s="8" t="str">
        <f>HYPERLINK("http://slimages.macys.com/is/image/MCY/11520378 ")</f>
        <v xml:space="preserve">http://slimages.macys.com/is/image/MCY/11520378 </v>
      </c>
    </row>
    <row r="470" spans="1:13" ht="60" x14ac:dyDescent="0.25">
      <c r="A470" s="7" t="s">
        <v>2344</v>
      </c>
      <c r="B470" s="2" t="s">
        <v>2345</v>
      </c>
      <c r="C470" s="4">
        <v>5</v>
      </c>
      <c r="D470" s="5">
        <v>2.33</v>
      </c>
      <c r="E470" s="5">
        <v>7.99</v>
      </c>
      <c r="F470" s="4" t="s">
        <v>2346</v>
      </c>
      <c r="G470" s="2" t="s">
        <v>297</v>
      </c>
      <c r="H470" s="7" t="s">
        <v>531</v>
      </c>
      <c r="I470" s="2" t="s">
        <v>483</v>
      </c>
      <c r="J470" s="2" t="s">
        <v>536</v>
      </c>
      <c r="K470" s="2" t="s">
        <v>304</v>
      </c>
      <c r="L470" s="2" t="s">
        <v>75</v>
      </c>
      <c r="M470" s="8" t="str">
        <f>HYPERLINK("http://slimages.macys.com/is/image/MCY/11520408 ")</f>
        <v xml:space="preserve">http://slimages.macys.com/is/image/MCY/11520408 </v>
      </c>
    </row>
    <row r="471" spans="1:13" ht="60" x14ac:dyDescent="0.25">
      <c r="A471" s="7" t="s">
        <v>8478</v>
      </c>
      <c r="B471" s="2" t="s">
        <v>8479</v>
      </c>
      <c r="C471" s="4">
        <v>1</v>
      </c>
      <c r="D471" s="5">
        <v>2.33</v>
      </c>
      <c r="E471" s="5">
        <v>6.99</v>
      </c>
      <c r="F471" s="4" t="s">
        <v>8480</v>
      </c>
      <c r="G471" s="2" t="s">
        <v>171</v>
      </c>
      <c r="H471" s="7" t="s">
        <v>482</v>
      </c>
      <c r="I471" s="2" t="s">
        <v>483</v>
      </c>
      <c r="J471" s="2" t="s">
        <v>536</v>
      </c>
      <c r="K471" s="2" t="s">
        <v>304</v>
      </c>
      <c r="L471" s="2" t="s">
        <v>596</v>
      </c>
      <c r="M471" s="8" t="str">
        <f>HYPERLINK("http://slimages.macys.com/is/image/MCY/12466035 ")</f>
        <v xml:space="preserve">http://slimages.macys.com/is/image/MCY/12466035 </v>
      </c>
    </row>
    <row r="472" spans="1:13" ht="60" x14ac:dyDescent="0.25">
      <c r="A472" s="7" t="s">
        <v>5761</v>
      </c>
      <c r="B472" s="2" t="s">
        <v>5762</v>
      </c>
      <c r="C472" s="4">
        <v>1</v>
      </c>
      <c r="D472" s="5">
        <v>2.33</v>
      </c>
      <c r="E472" s="5">
        <v>5.99</v>
      </c>
      <c r="F472" s="4" t="s">
        <v>5763</v>
      </c>
      <c r="G472" s="2" t="s">
        <v>657</v>
      </c>
      <c r="H472" s="7" t="s">
        <v>149</v>
      </c>
      <c r="I472" s="2" t="s">
        <v>483</v>
      </c>
      <c r="J472" s="2" t="s">
        <v>536</v>
      </c>
      <c r="K472" s="2" t="s">
        <v>304</v>
      </c>
      <c r="L472" s="2" t="s">
        <v>119</v>
      </c>
      <c r="M472" s="8" t="str">
        <f>HYPERLINK("http://slimages.macys.com/is/image/MCY/11856987 ")</f>
        <v xml:space="preserve">http://slimages.macys.com/is/image/MCY/11856987 </v>
      </c>
    </row>
    <row r="473" spans="1:13" ht="60" x14ac:dyDescent="0.25">
      <c r="A473" s="7" t="s">
        <v>2342</v>
      </c>
      <c r="B473" s="2" t="s">
        <v>2343</v>
      </c>
      <c r="C473" s="4">
        <v>6</v>
      </c>
      <c r="D473" s="5">
        <v>2.33</v>
      </c>
      <c r="E473" s="5">
        <v>7.99</v>
      </c>
      <c r="F473" s="4">
        <v>10005049200</v>
      </c>
      <c r="G473" s="2" t="s">
        <v>527</v>
      </c>
      <c r="H473" s="7" t="s">
        <v>531</v>
      </c>
      <c r="I473" s="2" t="s">
        <v>483</v>
      </c>
      <c r="J473" s="2" t="s">
        <v>536</v>
      </c>
      <c r="K473" s="2" t="s">
        <v>304</v>
      </c>
      <c r="L473" s="2" t="s">
        <v>75</v>
      </c>
      <c r="M473" s="8" t="str">
        <f>HYPERLINK("http://slimages.macys.com/is/image/MCY/11520401 ")</f>
        <v xml:space="preserve">http://slimages.macys.com/is/image/MCY/11520401 </v>
      </c>
    </row>
    <row r="474" spans="1:13" ht="60" x14ac:dyDescent="0.25">
      <c r="A474" s="7" t="s">
        <v>5764</v>
      </c>
      <c r="B474" s="2" t="s">
        <v>4579</v>
      </c>
      <c r="C474" s="4">
        <v>3</v>
      </c>
      <c r="D474" s="5">
        <v>2.31</v>
      </c>
      <c r="E474" s="5">
        <v>7.99</v>
      </c>
      <c r="F474" s="4">
        <v>10004192100</v>
      </c>
      <c r="G474" s="2" t="s">
        <v>171</v>
      </c>
      <c r="H474" s="7" t="s">
        <v>531</v>
      </c>
      <c r="I474" s="2" t="s">
        <v>483</v>
      </c>
      <c r="J474" s="2" t="s">
        <v>536</v>
      </c>
      <c r="K474" s="2" t="s">
        <v>304</v>
      </c>
      <c r="L474" s="2" t="s">
        <v>75</v>
      </c>
      <c r="M474" s="8" t="str">
        <f>HYPERLINK("http://slimages.macys.com/is/image/MCY/11519987 ")</f>
        <v xml:space="preserve">http://slimages.macys.com/is/image/MCY/11519987 </v>
      </c>
    </row>
    <row r="475" spans="1:13" ht="60" x14ac:dyDescent="0.25">
      <c r="A475" s="7" t="s">
        <v>4578</v>
      </c>
      <c r="B475" s="2" t="s">
        <v>4579</v>
      </c>
      <c r="C475" s="4">
        <v>2</v>
      </c>
      <c r="D475" s="5">
        <v>2.31</v>
      </c>
      <c r="E475" s="5">
        <v>7.99</v>
      </c>
      <c r="F475" s="4">
        <v>10004192100</v>
      </c>
      <c r="G475" s="2" t="s">
        <v>297</v>
      </c>
      <c r="H475" s="7" t="s">
        <v>531</v>
      </c>
      <c r="I475" s="2" t="s">
        <v>483</v>
      </c>
      <c r="J475" s="2" t="s">
        <v>536</v>
      </c>
      <c r="K475" s="2" t="s">
        <v>304</v>
      </c>
      <c r="L475" s="2" t="s">
        <v>75</v>
      </c>
      <c r="M475" s="8" t="str">
        <f>HYPERLINK("http://slimages.macys.com/is/image/MCY/11519987 ")</f>
        <v xml:space="preserve">http://slimages.macys.com/is/image/MCY/11519987 </v>
      </c>
    </row>
    <row r="476" spans="1:13" ht="60" x14ac:dyDescent="0.25">
      <c r="A476" s="7" t="s">
        <v>3546</v>
      </c>
      <c r="B476" s="2" t="s">
        <v>2353</v>
      </c>
      <c r="C476" s="4">
        <v>1</v>
      </c>
      <c r="D476" s="5">
        <v>2.31</v>
      </c>
      <c r="E476" s="5">
        <v>7.99</v>
      </c>
      <c r="F476" s="4" t="s">
        <v>2354</v>
      </c>
      <c r="G476" s="2" t="s">
        <v>657</v>
      </c>
      <c r="H476" s="7" t="s">
        <v>578</v>
      </c>
      <c r="I476" s="2" t="s">
        <v>483</v>
      </c>
      <c r="J476" s="2" t="s">
        <v>536</v>
      </c>
      <c r="K476" s="2" t="s">
        <v>304</v>
      </c>
      <c r="L476" s="2" t="s">
        <v>119</v>
      </c>
      <c r="M476" s="8" t="str">
        <f>HYPERLINK("http://slimages.macys.com/is/image/MCY/13987628 ")</f>
        <v xml:space="preserve">http://slimages.macys.com/is/image/MCY/13987628 </v>
      </c>
    </row>
    <row r="477" spans="1:13" ht="60" x14ac:dyDescent="0.25">
      <c r="A477" s="7" t="s">
        <v>8481</v>
      </c>
      <c r="B477" s="2" t="s">
        <v>8482</v>
      </c>
      <c r="C477" s="4">
        <v>1</v>
      </c>
      <c r="D477" s="5">
        <v>2.2999999999999998</v>
      </c>
      <c r="E477" s="5">
        <v>5.99</v>
      </c>
      <c r="F477" s="4" t="s">
        <v>8483</v>
      </c>
      <c r="G477" s="2" t="s">
        <v>36</v>
      </c>
      <c r="H477" s="7" t="s">
        <v>590</v>
      </c>
      <c r="I477" s="2" t="s">
        <v>483</v>
      </c>
      <c r="J477" s="2" t="s">
        <v>536</v>
      </c>
      <c r="K477" s="2" t="s">
        <v>304</v>
      </c>
      <c r="L477" s="2" t="s">
        <v>596</v>
      </c>
      <c r="M477" s="8" t="str">
        <f>HYPERLINK("http://slimages.macys.com/is/image/MCY/11334781 ")</f>
        <v xml:space="preserve">http://slimages.macys.com/is/image/MCY/11334781 </v>
      </c>
    </row>
    <row r="478" spans="1:13" ht="132" x14ac:dyDescent="0.25">
      <c r="A478" s="7" t="s">
        <v>8484</v>
      </c>
      <c r="B478" s="2" t="s">
        <v>8485</v>
      </c>
      <c r="C478" s="4">
        <v>1</v>
      </c>
      <c r="D478" s="5">
        <v>2.2999999999999998</v>
      </c>
      <c r="E478" s="5">
        <v>5.99</v>
      </c>
      <c r="F478" s="4" t="s">
        <v>8486</v>
      </c>
      <c r="G478" s="2" t="s">
        <v>28</v>
      </c>
      <c r="H478" s="7" t="s">
        <v>590</v>
      </c>
      <c r="I478" s="2" t="s">
        <v>483</v>
      </c>
      <c r="J478" s="2" t="s">
        <v>536</v>
      </c>
      <c r="K478" s="2" t="s">
        <v>304</v>
      </c>
      <c r="L478" s="2" t="s">
        <v>8487</v>
      </c>
      <c r="M478" s="8" t="str">
        <f>HYPERLINK("http://slimages.macys.com/is/image/MCY/11378202 ")</f>
        <v xml:space="preserve">http://slimages.macys.com/is/image/MCY/11378202 </v>
      </c>
    </row>
    <row r="479" spans="1:13" ht="132" x14ac:dyDescent="0.25">
      <c r="A479" s="7" t="s">
        <v>8488</v>
      </c>
      <c r="B479" s="2" t="s">
        <v>8485</v>
      </c>
      <c r="C479" s="4">
        <v>1</v>
      </c>
      <c r="D479" s="5">
        <v>2.2999999999999998</v>
      </c>
      <c r="E479" s="5">
        <v>5.99</v>
      </c>
      <c r="F479" s="4" t="s">
        <v>8486</v>
      </c>
      <c r="G479" s="2" t="s">
        <v>28</v>
      </c>
      <c r="H479" s="7" t="s">
        <v>149</v>
      </c>
      <c r="I479" s="2" t="s">
        <v>483</v>
      </c>
      <c r="J479" s="2" t="s">
        <v>536</v>
      </c>
      <c r="K479" s="2" t="s">
        <v>304</v>
      </c>
      <c r="L479" s="2" t="s">
        <v>8487</v>
      </c>
      <c r="M479" s="8" t="str">
        <f>HYPERLINK("http://slimages.macys.com/is/image/MCY/11378202 ")</f>
        <v xml:space="preserve">http://slimages.macys.com/is/image/MCY/11378202 </v>
      </c>
    </row>
    <row r="480" spans="1:13" ht="60" x14ac:dyDescent="0.25">
      <c r="A480" s="7" t="s">
        <v>6626</v>
      </c>
      <c r="B480" s="2" t="s">
        <v>2359</v>
      </c>
      <c r="C480" s="4">
        <v>1</v>
      </c>
      <c r="D480" s="5">
        <v>2.29</v>
      </c>
      <c r="E480" s="5">
        <v>5.99</v>
      </c>
      <c r="F480" s="4" t="s">
        <v>2360</v>
      </c>
      <c r="G480" s="2" t="s">
        <v>28</v>
      </c>
      <c r="H480" s="7" t="s">
        <v>91</v>
      </c>
      <c r="I480" s="2" t="s">
        <v>483</v>
      </c>
      <c r="J480" s="2" t="s">
        <v>536</v>
      </c>
      <c r="K480" s="2" t="s">
        <v>304</v>
      </c>
      <c r="L480" s="2" t="s">
        <v>119</v>
      </c>
      <c r="M480" s="8" t="str">
        <f>HYPERLINK("http://slimages.macys.com/is/image/MCY/12644507 ")</f>
        <v xml:space="preserve">http://slimages.macys.com/is/image/MCY/12644507 </v>
      </c>
    </row>
    <row r="481" spans="1:13" ht="60" x14ac:dyDescent="0.25">
      <c r="A481" s="7" t="s">
        <v>1370</v>
      </c>
      <c r="B481" s="2" t="s">
        <v>1368</v>
      </c>
      <c r="C481" s="4">
        <v>1</v>
      </c>
      <c r="D481" s="5">
        <v>2.2799999999999998</v>
      </c>
      <c r="E481" s="5">
        <v>5.99</v>
      </c>
      <c r="F481" s="4" t="s">
        <v>1369</v>
      </c>
      <c r="G481" s="2" t="s">
        <v>41</v>
      </c>
      <c r="H481" s="7" t="s">
        <v>42</v>
      </c>
      <c r="I481" s="2" t="s">
        <v>483</v>
      </c>
      <c r="J481" s="2" t="s">
        <v>536</v>
      </c>
      <c r="K481" s="2" t="s">
        <v>304</v>
      </c>
      <c r="L481" s="2" t="s">
        <v>38</v>
      </c>
      <c r="M481" s="8" t="str">
        <f>HYPERLINK("http://slimages.macys.com/is/image/MCY/13987603 ")</f>
        <v xml:space="preserve">http://slimages.macys.com/is/image/MCY/13987603 </v>
      </c>
    </row>
    <row r="482" spans="1:13" ht="60" x14ac:dyDescent="0.25">
      <c r="A482" s="7" t="s">
        <v>2367</v>
      </c>
      <c r="B482" s="2" t="s">
        <v>1368</v>
      </c>
      <c r="C482" s="4">
        <v>1</v>
      </c>
      <c r="D482" s="5">
        <v>2.2799999999999998</v>
      </c>
      <c r="E482" s="5">
        <v>5.99</v>
      </c>
      <c r="F482" s="4" t="s">
        <v>1369</v>
      </c>
      <c r="G482" s="2" t="s">
        <v>41</v>
      </c>
      <c r="H482" s="7" t="s">
        <v>91</v>
      </c>
      <c r="I482" s="2" t="s">
        <v>483</v>
      </c>
      <c r="J482" s="2" t="s">
        <v>536</v>
      </c>
      <c r="K482" s="2" t="s">
        <v>304</v>
      </c>
      <c r="L482" s="2" t="s">
        <v>38</v>
      </c>
      <c r="M482" s="8" t="str">
        <f>HYPERLINK("http://slimages.macys.com/is/image/MCY/13987603 ")</f>
        <v xml:space="preserve">http://slimages.macys.com/is/image/MCY/13987603 </v>
      </c>
    </row>
    <row r="483" spans="1:13" ht="60" x14ac:dyDescent="0.25">
      <c r="A483" s="7" t="s">
        <v>2368</v>
      </c>
      <c r="B483" s="2" t="s">
        <v>1368</v>
      </c>
      <c r="C483" s="4">
        <v>2</v>
      </c>
      <c r="D483" s="5">
        <v>2.2799999999999998</v>
      </c>
      <c r="E483" s="5">
        <v>5.99</v>
      </c>
      <c r="F483" s="4" t="s">
        <v>1369</v>
      </c>
      <c r="G483" s="2" t="s">
        <v>41</v>
      </c>
      <c r="H483" s="7" t="s">
        <v>590</v>
      </c>
      <c r="I483" s="2" t="s">
        <v>483</v>
      </c>
      <c r="J483" s="2" t="s">
        <v>536</v>
      </c>
      <c r="K483" s="2" t="s">
        <v>304</v>
      </c>
      <c r="L483" s="2" t="s">
        <v>38</v>
      </c>
      <c r="M483" s="8" t="str">
        <f>HYPERLINK("http://slimages.macys.com/is/image/MCY/13987603 ")</f>
        <v xml:space="preserve">http://slimages.macys.com/is/image/MCY/13987603 </v>
      </c>
    </row>
    <row r="484" spans="1:13" ht="60" x14ac:dyDescent="0.25">
      <c r="A484" s="7" t="s">
        <v>8489</v>
      </c>
      <c r="B484" s="2" t="s">
        <v>4587</v>
      </c>
      <c r="C484" s="4">
        <v>1</v>
      </c>
      <c r="D484" s="5">
        <v>2.27</v>
      </c>
      <c r="E484" s="5">
        <v>5.99</v>
      </c>
      <c r="F484" s="4" t="s">
        <v>4588</v>
      </c>
      <c r="G484" s="2" t="s">
        <v>129</v>
      </c>
      <c r="H484" s="7" t="s">
        <v>149</v>
      </c>
      <c r="I484" s="2" t="s">
        <v>483</v>
      </c>
      <c r="J484" s="2" t="s">
        <v>536</v>
      </c>
      <c r="K484" s="2" t="s">
        <v>304</v>
      </c>
      <c r="L484" s="2" t="s">
        <v>38</v>
      </c>
      <c r="M484" s="8" t="str">
        <f>HYPERLINK("http://slimages.macys.com/is/image/MCY/11857357 ")</f>
        <v xml:space="preserve">http://slimages.macys.com/is/image/MCY/11857357 </v>
      </c>
    </row>
    <row r="485" spans="1:13" ht="60" x14ac:dyDescent="0.25">
      <c r="A485" s="7" t="s">
        <v>2372</v>
      </c>
      <c r="B485" s="2" t="s">
        <v>2370</v>
      </c>
      <c r="C485" s="4">
        <v>1</v>
      </c>
      <c r="D485" s="5">
        <v>2.27</v>
      </c>
      <c r="E485" s="5">
        <v>5.99</v>
      </c>
      <c r="F485" s="4" t="s">
        <v>2371</v>
      </c>
      <c r="G485" s="2" t="s">
        <v>41</v>
      </c>
      <c r="H485" s="7" t="s">
        <v>149</v>
      </c>
      <c r="I485" s="2" t="s">
        <v>483</v>
      </c>
      <c r="J485" s="2" t="s">
        <v>536</v>
      </c>
      <c r="K485" s="2" t="s">
        <v>304</v>
      </c>
      <c r="L485" s="2" t="s">
        <v>38</v>
      </c>
      <c r="M485" s="8" t="str">
        <f>HYPERLINK("http://slimages.macys.com/is/image/MCY/11857322 ")</f>
        <v xml:space="preserve">http://slimages.macys.com/is/image/MCY/11857322 </v>
      </c>
    </row>
    <row r="486" spans="1:13" ht="60" x14ac:dyDescent="0.25">
      <c r="A486" s="7" t="s">
        <v>1381</v>
      </c>
      <c r="B486" s="2" t="s">
        <v>1379</v>
      </c>
      <c r="C486" s="4">
        <v>1</v>
      </c>
      <c r="D486" s="5">
        <v>2.25</v>
      </c>
      <c r="E486" s="5">
        <v>5.99</v>
      </c>
      <c r="F486" s="4" t="s">
        <v>1380</v>
      </c>
      <c r="G486" s="2" t="s">
        <v>41</v>
      </c>
      <c r="H486" s="7" t="s">
        <v>42</v>
      </c>
      <c r="I486" s="2" t="s">
        <v>483</v>
      </c>
      <c r="J486" s="2" t="s">
        <v>536</v>
      </c>
      <c r="K486" s="2" t="s">
        <v>304</v>
      </c>
      <c r="L486" s="2" t="s">
        <v>206</v>
      </c>
      <c r="M486" s="8" t="str">
        <f>HYPERLINK("http://slimages.macys.com/is/image/MCY/13386152 ")</f>
        <v xml:space="preserve">http://slimages.macys.com/is/image/MCY/13386152 </v>
      </c>
    </row>
    <row r="487" spans="1:13" ht="60" x14ac:dyDescent="0.25">
      <c r="A487" s="7" t="s">
        <v>8490</v>
      </c>
      <c r="B487" s="2" t="s">
        <v>8491</v>
      </c>
      <c r="C487" s="4">
        <v>1</v>
      </c>
      <c r="D487" s="5">
        <v>2.2200000000000002</v>
      </c>
      <c r="E487" s="5">
        <v>5.99</v>
      </c>
      <c r="F487" s="4" t="s">
        <v>8492</v>
      </c>
      <c r="G487" s="2" t="s">
        <v>2107</v>
      </c>
      <c r="H487" s="7" t="s">
        <v>42</v>
      </c>
      <c r="I487" s="2" t="s">
        <v>483</v>
      </c>
      <c r="J487" s="2" t="s">
        <v>536</v>
      </c>
      <c r="K487" s="2" t="s">
        <v>304</v>
      </c>
      <c r="L487" s="2" t="s">
        <v>206</v>
      </c>
      <c r="M487" s="8" t="str">
        <f>HYPERLINK("http://slimages.macys.com/is/image/MCY/11856917 ")</f>
        <v xml:space="preserve">http://slimages.macys.com/is/image/MCY/11856917 </v>
      </c>
    </row>
    <row r="488" spans="1:13" ht="84" x14ac:dyDescent="0.25">
      <c r="A488" s="7" t="s">
        <v>2733</v>
      </c>
      <c r="B488" s="2" t="s">
        <v>637</v>
      </c>
      <c r="C488" s="4">
        <v>4</v>
      </c>
      <c r="D488" s="5">
        <v>2.21</v>
      </c>
      <c r="E488" s="5">
        <v>6.99</v>
      </c>
      <c r="F488" s="4" t="s">
        <v>638</v>
      </c>
      <c r="G488" s="2" t="s">
        <v>171</v>
      </c>
      <c r="H488" s="7" t="s">
        <v>586</v>
      </c>
      <c r="I488" s="2" t="s">
        <v>483</v>
      </c>
      <c r="J488" s="2" t="s">
        <v>536</v>
      </c>
      <c r="K488" s="2" t="s">
        <v>304</v>
      </c>
      <c r="L488" s="2" t="s">
        <v>639</v>
      </c>
      <c r="M488" s="8" t="str">
        <f>HYPERLINK("http://slimages.macys.com/is/image/MCY/13987507 ")</f>
        <v xml:space="preserve">http://slimages.macys.com/is/image/MCY/13987507 </v>
      </c>
    </row>
    <row r="489" spans="1:13" ht="84" x14ac:dyDescent="0.25">
      <c r="A489" s="7" t="s">
        <v>636</v>
      </c>
      <c r="B489" s="2" t="s">
        <v>637</v>
      </c>
      <c r="C489" s="4">
        <v>2</v>
      </c>
      <c r="D489" s="5">
        <v>2.21</v>
      </c>
      <c r="E489" s="5">
        <v>6.99</v>
      </c>
      <c r="F489" s="4" t="s">
        <v>638</v>
      </c>
      <c r="G489" s="2" t="s">
        <v>171</v>
      </c>
      <c r="H489" s="7" t="s">
        <v>604</v>
      </c>
      <c r="I489" s="2" t="s">
        <v>483</v>
      </c>
      <c r="J489" s="2" t="s">
        <v>536</v>
      </c>
      <c r="K489" s="2" t="s">
        <v>304</v>
      </c>
      <c r="L489" s="2" t="s">
        <v>639</v>
      </c>
      <c r="M489" s="8" t="str">
        <f>HYPERLINK("http://slimages.macys.com/is/image/MCY/13987507 ")</f>
        <v xml:space="preserve">http://slimages.macys.com/is/image/MCY/13987507 </v>
      </c>
    </row>
    <row r="490" spans="1:13" ht="72" x14ac:dyDescent="0.25">
      <c r="A490" s="7" t="s">
        <v>4606</v>
      </c>
      <c r="B490" s="2" t="s">
        <v>4607</v>
      </c>
      <c r="C490" s="4">
        <v>4</v>
      </c>
      <c r="D490" s="5">
        <v>2.21</v>
      </c>
      <c r="E490" s="5">
        <v>6.99</v>
      </c>
      <c r="F490" s="4" t="s">
        <v>4608</v>
      </c>
      <c r="G490" s="2" t="s">
        <v>41</v>
      </c>
      <c r="H490" s="7" t="s">
        <v>604</v>
      </c>
      <c r="I490" s="2" t="s">
        <v>483</v>
      </c>
      <c r="J490" s="2" t="s">
        <v>536</v>
      </c>
      <c r="K490" s="2" t="s">
        <v>304</v>
      </c>
      <c r="L490" s="2" t="s">
        <v>4609</v>
      </c>
      <c r="M490" s="8" t="str">
        <f>HYPERLINK("http://slimages.macys.com/is/image/MCY/13987511 ")</f>
        <v xml:space="preserve">http://slimages.macys.com/is/image/MCY/13987511 </v>
      </c>
    </row>
    <row r="491" spans="1:13" ht="72" x14ac:dyDescent="0.25">
      <c r="A491" s="7" t="s">
        <v>4610</v>
      </c>
      <c r="B491" s="2" t="s">
        <v>4607</v>
      </c>
      <c r="C491" s="4">
        <v>7</v>
      </c>
      <c r="D491" s="5">
        <v>2.21</v>
      </c>
      <c r="E491" s="5">
        <v>6.99</v>
      </c>
      <c r="F491" s="4" t="s">
        <v>4608</v>
      </c>
      <c r="G491" s="2" t="s">
        <v>41</v>
      </c>
      <c r="H491" s="7" t="s">
        <v>586</v>
      </c>
      <c r="I491" s="2" t="s">
        <v>483</v>
      </c>
      <c r="J491" s="2" t="s">
        <v>536</v>
      </c>
      <c r="K491" s="2" t="s">
        <v>304</v>
      </c>
      <c r="L491" s="2" t="s">
        <v>4609</v>
      </c>
      <c r="M491" s="8" t="str">
        <f>HYPERLINK("http://slimages.macys.com/is/image/MCY/13987511 ")</f>
        <v xml:space="preserve">http://slimages.macys.com/is/image/MCY/13987511 </v>
      </c>
    </row>
    <row r="492" spans="1:13" ht="60" x14ac:dyDescent="0.25">
      <c r="A492" s="7" t="s">
        <v>8493</v>
      </c>
      <c r="B492" s="2" t="s">
        <v>8494</v>
      </c>
      <c r="C492" s="4">
        <v>1</v>
      </c>
      <c r="D492" s="5">
        <v>2.12</v>
      </c>
      <c r="E492" s="5">
        <v>5.99</v>
      </c>
      <c r="F492" s="4" t="s">
        <v>8495</v>
      </c>
      <c r="G492" s="2" t="s">
        <v>28</v>
      </c>
      <c r="H492" s="7" t="s">
        <v>149</v>
      </c>
      <c r="I492" s="2" t="s">
        <v>483</v>
      </c>
      <c r="J492" s="2" t="s">
        <v>536</v>
      </c>
      <c r="K492" s="2" t="s">
        <v>304</v>
      </c>
      <c r="L492" s="2" t="s">
        <v>100</v>
      </c>
      <c r="M492" s="8" t="str">
        <f>HYPERLINK("http://slimages.macys.com/is/image/MCY/11436731 ")</f>
        <v xml:space="preserve">http://slimages.macys.com/is/image/MCY/11436731 </v>
      </c>
    </row>
    <row r="493" spans="1:13" ht="96" x14ac:dyDescent="0.25">
      <c r="A493" s="7" t="s">
        <v>8496</v>
      </c>
      <c r="B493" s="2" t="s">
        <v>8497</v>
      </c>
      <c r="C493" s="4">
        <v>1</v>
      </c>
      <c r="D493" s="5">
        <v>2.06</v>
      </c>
      <c r="E493" s="5">
        <v>5.99</v>
      </c>
      <c r="F493" s="4" t="s">
        <v>8498</v>
      </c>
      <c r="G493" s="2" t="s">
        <v>48</v>
      </c>
      <c r="H493" s="7" t="s">
        <v>149</v>
      </c>
      <c r="I493" s="2" t="s">
        <v>483</v>
      </c>
      <c r="J493" s="2" t="s">
        <v>536</v>
      </c>
      <c r="K493" s="2" t="s">
        <v>304</v>
      </c>
      <c r="L493" s="2" t="s">
        <v>8499</v>
      </c>
      <c r="M493" s="8" t="str">
        <f>HYPERLINK("http://slimages.macys.com/is/image/MCY/11396700 ")</f>
        <v xml:space="preserve">http://slimages.macys.com/is/image/MCY/11396700 </v>
      </c>
    </row>
    <row r="494" spans="1:13" ht="60" x14ac:dyDescent="0.25">
      <c r="A494" s="7" t="s">
        <v>8500</v>
      </c>
      <c r="B494" s="2" t="s">
        <v>8501</v>
      </c>
      <c r="C494" s="4">
        <v>1</v>
      </c>
      <c r="D494" s="5">
        <v>2.06</v>
      </c>
      <c r="E494" s="5">
        <v>5.99</v>
      </c>
      <c r="F494" s="4" t="s">
        <v>8502</v>
      </c>
      <c r="G494" s="2" t="s">
        <v>48</v>
      </c>
      <c r="H494" s="7" t="s">
        <v>42</v>
      </c>
      <c r="I494" s="2" t="s">
        <v>483</v>
      </c>
      <c r="J494" s="2" t="s">
        <v>536</v>
      </c>
      <c r="K494" s="2" t="s">
        <v>304</v>
      </c>
      <c r="L494" s="2" t="s">
        <v>119</v>
      </c>
      <c r="M494" s="8" t="str">
        <f>HYPERLINK("http://slimages.macys.com/is/image/MCY/11523854 ")</f>
        <v xml:space="preserve">http://slimages.macys.com/is/image/MCY/11523854 </v>
      </c>
    </row>
    <row r="495" spans="1:13" ht="60" x14ac:dyDescent="0.25">
      <c r="A495" s="7" t="s">
        <v>8503</v>
      </c>
      <c r="B495" s="2" t="s">
        <v>2413</v>
      </c>
      <c r="C495" s="4">
        <v>1</v>
      </c>
      <c r="D495" s="5">
        <v>1.95</v>
      </c>
      <c r="E495" s="5">
        <v>5.99</v>
      </c>
      <c r="F495" s="4" t="s">
        <v>2414</v>
      </c>
      <c r="G495" s="2" t="s">
        <v>28</v>
      </c>
      <c r="H495" s="7" t="s">
        <v>590</v>
      </c>
      <c r="I495" s="2" t="s">
        <v>483</v>
      </c>
      <c r="J495" s="2" t="s">
        <v>536</v>
      </c>
      <c r="K495" s="2" t="s">
        <v>304</v>
      </c>
      <c r="L495" s="2" t="s">
        <v>206</v>
      </c>
      <c r="M495" s="8" t="str">
        <f>HYPERLINK("http://slimages.macys.com/is/image/MCY/11856946 ")</f>
        <v xml:space="preserve">http://slimages.macys.com/is/image/MCY/11856946 </v>
      </c>
    </row>
    <row r="496" spans="1:13" ht="60" x14ac:dyDescent="0.25">
      <c r="A496" s="7" t="s">
        <v>2418</v>
      </c>
      <c r="B496" s="2" t="s">
        <v>2419</v>
      </c>
      <c r="C496" s="4">
        <v>14</v>
      </c>
      <c r="D496" s="5">
        <v>1.42</v>
      </c>
      <c r="E496" s="5">
        <v>3.99</v>
      </c>
      <c r="F496" s="4" t="s">
        <v>2420</v>
      </c>
      <c r="G496" s="2" t="s">
        <v>134</v>
      </c>
      <c r="H496" s="7" t="s">
        <v>531</v>
      </c>
      <c r="I496" s="2" t="s">
        <v>483</v>
      </c>
      <c r="J496" s="2" t="s">
        <v>536</v>
      </c>
      <c r="K496" s="2" t="s">
        <v>304</v>
      </c>
      <c r="L496" s="2" t="s">
        <v>2421</v>
      </c>
      <c r="M496" s="8" t="str">
        <f>HYPERLINK("http://slimages.macys.com/is/image/MCY/13987505 ")</f>
        <v xml:space="preserve">http://slimages.macys.com/is/image/MCY/13987505 </v>
      </c>
    </row>
    <row r="497" spans="1:13" ht="36" x14ac:dyDescent="0.25">
      <c r="A497" s="7" t="s">
        <v>3567</v>
      </c>
      <c r="B497" s="2" t="s">
        <v>3565</v>
      </c>
      <c r="C497" s="4">
        <v>1</v>
      </c>
      <c r="D497" s="5">
        <v>10.75</v>
      </c>
      <c r="E497" s="5">
        <v>34</v>
      </c>
      <c r="F497" s="4" t="s">
        <v>3565</v>
      </c>
      <c r="G497" s="2" t="s">
        <v>62</v>
      </c>
      <c r="H497" s="7" t="s">
        <v>2872</v>
      </c>
      <c r="I497" s="2" t="s">
        <v>50</v>
      </c>
      <c r="J497" s="2" t="s">
        <v>650</v>
      </c>
      <c r="K497" s="2"/>
      <c r="L497" s="2"/>
      <c r="M497" s="8"/>
    </row>
    <row r="498" spans="1:13" ht="36" x14ac:dyDescent="0.25">
      <c r="A498" s="7" t="s">
        <v>3568</v>
      </c>
      <c r="B498" s="2" t="s">
        <v>3565</v>
      </c>
      <c r="C498" s="4">
        <v>1</v>
      </c>
      <c r="D498" s="5">
        <v>10.75</v>
      </c>
      <c r="E498" s="5">
        <v>34</v>
      </c>
      <c r="F498" s="4" t="s">
        <v>3565</v>
      </c>
      <c r="G498" s="2" t="s">
        <v>62</v>
      </c>
      <c r="H498" s="7" t="s">
        <v>961</v>
      </c>
      <c r="I498" s="2" t="s">
        <v>50</v>
      </c>
      <c r="J498" s="2" t="s">
        <v>650</v>
      </c>
      <c r="K498" s="2"/>
      <c r="L498" s="2"/>
      <c r="M498" s="8"/>
    </row>
    <row r="499" spans="1:13" ht="36" x14ac:dyDescent="0.25">
      <c r="A499" s="7" t="s">
        <v>8504</v>
      </c>
      <c r="B499" s="2" t="s">
        <v>6097</v>
      </c>
      <c r="C499" s="4">
        <v>1</v>
      </c>
      <c r="D499" s="5">
        <v>10.5</v>
      </c>
      <c r="E499" s="5">
        <v>36</v>
      </c>
      <c r="F499" s="4" t="s">
        <v>6098</v>
      </c>
      <c r="G499" s="2" t="s">
        <v>657</v>
      </c>
      <c r="H499" s="7" t="s">
        <v>2872</v>
      </c>
      <c r="I499" s="2" t="s">
        <v>50</v>
      </c>
      <c r="J499" s="2" t="s">
        <v>650</v>
      </c>
      <c r="K499" s="2"/>
      <c r="L499" s="2"/>
      <c r="M499" s="8"/>
    </row>
    <row r="500" spans="1:13" ht="36" x14ac:dyDescent="0.25">
      <c r="A500" s="7" t="s">
        <v>8505</v>
      </c>
      <c r="B500" s="2" t="s">
        <v>1402</v>
      </c>
      <c r="C500" s="4">
        <v>3</v>
      </c>
      <c r="D500" s="5">
        <v>10.25</v>
      </c>
      <c r="E500" s="5">
        <v>34</v>
      </c>
      <c r="F500" s="4" t="s">
        <v>1403</v>
      </c>
      <c r="G500" s="2" t="s">
        <v>657</v>
      </c>
      <c r="H500" s="7" t="s">
        <v>961</v>
      </c>
      <c r="I500" s="2" t="s">
        <v>50</v>
      </c>
      <c r="J500" s="2" t="s">
        <v>650</v>
      </c>
      <c r="K500" s="2"/>
      <c r="L500" s="2"/>
      <c r="M500" s="8"/>
    </row>
    <row r="501" spans="1:13" ht="36" x14ac:dyDescent="0.25">
      <c r="A501" s="7" t="s">
        <v>8506</v>
      </c>
      <c r="B501" s="2" t="s">
        <v>1402</v>
      </c>
      <c r="C501" s="4">
        <v>2</v>
      </c>
      <c r="D501" s="5">
        <v>10.25</v>
      </c>
      <c r="E501" s="5">
        <v>34</v>
      </c>
      <c r="F501" s="4" t="s">
        <v>1403</v>
      </c>
      <c r="G501" s="2" t="s">
        <v>657</v>
      </c>
      <c r="H501" s="7" t="s">
        <v>166</v>
      </c>
      <c r="I501" s="2" t="s">
        <v>50</v>
      </c>
      <c r="J501" s="2" t="s">
        <v>650</v>
      </c>
      <c r="K501" s="2"/>
      <c r="L501" s="2"/>
      <c r="M501" s="8"/>
    </row>
    <row r="502" spans="1:13" ht="36" x14ac:dyDescent="0.25">
      <c r="A502" s="7" t="s">
        <v>8507</v>
      </c>
      <c r="B502" s="2" t="s">
        <v>1402</v>
      </c>
      <c r="C502" s="4">
        <v>1</v>
      </c>
      <c r="D502" s="5">
        <v>10.25</v>
      </c>
      <c r="E502" s="5">
        <v>34</v>
      </c>
      <c r="F502" s="4" t="s">
        <v>1403</v>
      </c>
      <c r="G502" s="2" t="s">
        <v>657</v>
      </c>
      <c r="H502" s="7" t="s">
        <v>177</v>
      </c>
      <c r="I502" s="2" t="s">
        <v>50</v>
      </c>
      <c r="J502" s="2" t="s">
        <v>650</v>
      </c>
      <c r="K502" s="2"/>
      <c r="L502" s="2"/>
      <c r="M502" s="8"/>
    </row>
    <row r="503" spans="1:13" ht="36" x14ac:dyDescent="0.25">
      <c r="A503" s="7" t="s">
        <v>6101</v>
      </c>
      <c r="B503" s="2" t="s">
        <v>1402</v>
      </c>
      <c r="C503" s="4">
        <v>3</v>
      </c>
      <c r="D503" s="5">
        <v>10.25</v>
      </c>
      <c r="E503" s="5">
        <v>34</v>
      </c>
      <c r="F503" s="4" t="s">
        <v>1403</v>
      </c>
      <c r="G503" s="2" t="s">
        <v>657</v>
      </c>
      <c r="H503" s="7" t="s">
        <v>2872</v>
      </c>
      <c r="I503" s="2" t="s">
        <v>50</v>
      </c>
      <c r="J503" s="2" t="s">
        <v>650</v>
      </c>
      <c r="K503" s="2"/>
      <c r="L503" s="2"/>
      <c r="M503" s="8"/>
    </row>
    <row r="504" spans="1:13" ht="36" x14ac:dyDescent="0.25">
      <c r="A504" s="7" t="s">
        <v>5804</v>
      </c>
      <c r="B504" s="2" t="s">
        <v>1402</v>
      </c>
      <c r="C504" s="4">
        <v>4</v>
      </c>
      <c r="D504" s="5">
        <v>10.25</v>
      </c>
      <c r="E504" s="5">
        <v>34</v>
      </c>
      <c r="F504" s="4" t="s">
        <v>1403</v>
      </c>
      <c r="G504" s="2" t="s">
        <v>657</v>
      </c>
      <c r="H504" s="7" t="s">
        <v>2740</v>
      </c>
      <c r="I504" s="2" t="s">
        <v>50</v>
      </c>
      <c r="J504" s="2" t="s">
        <v>650</v>
      </c>
      <c r="K504" s="2"/>
      <c r="L504" s="2"/>
      <c r="M504" s="8"/>
    </row>
    <row r="505" spans="1:13" ht="36" x14ac:dyDescent="0.25">
      <c r="A505" s="7" t="s">
        <v>3591</v>
      </c>
      <c r="B505" s="2" t="s">
        <v>652</v>
      </c>
      <c r="C505" s="4">
        <v>2</v>
      </c>
      <c r="D505" s="5">
        <v>9</v>
      </c>
      <c r="E505" s="5">
        <v>34</v>
      </c>
      <c r="F505" s="4" t="s">
        <v>652</v>
      </c>
      <c r="G505" s="2" t="s">
        <v>653</v>
      </c>
      <c r="H505" s="7" t="s">
        <v>179</v>
      </c>
      <c r="I505" s="2" t="s">
        <v>50</v>
      </c>
      <c r="J505" s="2" t="s">
        <v>650</v>
      </c>
      <c r="K505" s="2"/>
      <c r="L505" s="2"/>
      <c r="M505" s="8"/>
    </row>
    <row r="506" spans="1:13" ht="36" x14ac:dyDescent="0.25">
      <c r="A506" s="7" t="s">
        <v>3592</v>
      </c>
      <c r="B506" s="2" t="s">
        <v>652</v>
      </c>
      <c r="C506" s="4">
        <v>2</v>
      </c>
      <c r="D506" s="5">
        <v>9</v>
      </c>
      <c r="E506" s="5">
        <v>34</v>
      </c>
      <c r="F506" s="4" t="s">
        <v>652</v>
      </c>
      <c r="G506" s="2" t="s">
        <v>653</v>
      </c>
      <c r="H506" s="7" t="s">
        <v>2872</v>
      </c>
      <c r="I506" s="2" t="s">
        <v>50</v>
      </c>
      <c r="J506" s="2" t="s">
        <v>650</v>
      </c>
      <c r="K506" s="2"/>
      <c r="L506" s="2"/>
      <c r="M506" s="8"/>
    </row>
    <row r="507" spans="1:13" ht="36" x14ac:dyDescent="0.25">
      <c r="A507" s="7" t="s">
        <v>8508</v>
      </c>
      <c r="B507" s="2" t="s">
        <v>652</v>
      </c>
      <c r="C507" s="4">
        <v>1</v>
      </c>
      <c r="D507" s="5">
        <v>9</v>
      </c>
      <c r="E507" s="5">
        <v>34</v>
      </c>
      <c r="F507" s="4" t="s">
        <v>652</v>
      </c>
      <c r="G507" s="2" t="s">
        <v>653</v>
      </c>
      <c r="H507" s="7" t="s">
        <v>311</v>
      </c>
      <c r="I507" s="2" t="s">
        <v>50</v>
      </c>
      <c r="J507" s="2" t="s">
        <v>650</v>
      </c>
      <c r="K507" s="2"/>
      <c r="L507" s="2"/>
      <c r="M507" s="8"/>
    </row>
    <row r="508" spans="1:13" ht="36" x14ac:dyDescent="0.25">
      <c r="A508" s="7" t="s">
        <v>8509</v>
      </c>
      <c r="B508" s="2" t="s">
        <v>652</v>
      </c>
      <c r="C508" s="4">
        <v>2</v>
      </c>
      <c r="D508" s="5">
        <v>9</v>
      </c>
      <c r="E508" s="5">
        <v>34</v>
      </c>
      <c r="F508" s="4" t="s">
        <v>652</v>
      </c>
      <c r="G508" s="2" t="s">
        <v>653</v>
      </c>
      <c r="H508" s="7" t="s">
        <v>961</v>
      </c>
      <c r="I508" s="2" t="s">
        <v>50</v>
      </c>
      <c r="J508" s="2" t="s">
        <v>650</v>
      </c>
      <c r="K508" s="2"/>
      <c r="L508" s="2"/>
      <c r="M508" s="8"/>
    </row>
    <row r="509" spans="1:13" ht="36" x14ac:dyDescent="0.25">
      <c r="A509" s="7" t="s">
        <v>651</v>
      </c>
      <c r="B509" s="2" t="s">
        <v>652</v>
      </c>
      <c r="C509" s="4">
        <v>1</v>
      </c>
      <c r="D509" s="5">
        <v>9</v>
      </c>
      <c r="E509" s="5">
        <v>34</v>
      </c>
      <c r="F509" s="4" t="s">
        <v>652</v>
      </c>
      <c r="G509" s="2" t="s">
        <v>653</v>
      </c>
      <c r="H509" s="7" t="s">
        <v>177</v>
      </c>
      <c r="I509" s="2" t="s">
        <v>50</v>
      </c>
      <c r="J509" s="2" t="s">
        <v>650</v>
      </c>
      <c r="K509" s="2"/>
      <c r="L509" s="2"/>
      <c r="M509" s="8"/>
    </row>
    <row r="510" spans="1:13" ht="36" x14ac:dyDescent="0.25">
      <c r="A510" s="7" t="s">
        <v>8510</v>
      </c>
      <c r="B510" s="2" t="s">
        <v>652</v>
      </c>
      <c r="C510" s="4">
        <v>1</v>
      </c>
      <c r="D510" s="5">
        <v>9</v>
      </c>
      <c r="E510" s="5">
        <v>34</v>
      </c>
      <c r="F510" s="4" t="s">
        <v>652</v>
      </c>
      <c r="G510" s="2" t="s">
        <v>653</v>
      </c>
      <c r="H510" s="7" t="s">
        <v>166</v>
      </c>
      <c r="I510" s="2" t="s">
        <v>50</v>
      </c>
      <c r="J510" s="2" t="s">
        <v>650</v>
      </c>
      <c r="K510" s="2"/>
      <c r="L510" s="2"/>
      <c r="M510" s="8"/>
    </row>
    <row r="511" spans="1:13" ht="36" x14ac:dyDescent="0.25">
      <c r="A511" s="7" t="s">
        <v>3593</v>
      </c>
      <c r="B511" s="2" t="s">
        <v>652</v>
      </c>
      <c r="C511" s="4">
        <v>2</v>
      </c>
      <c r="D511" s="5">
        <v>9</v>
      </c>
      <c r="E511" s="5">
        <v>34</v>
      </c>
      <c r="F511" s="4" t="s">
        <v>652</v>
      </c>
      <c r="G511" s="2" t="s">
        <v>653</v>
      </c>
      <c r="H511" s="7" t="s">
        <v>2740</v>
      </c>
      <c r="I511" s="2" t="s">
        <v>50</v>
      </c>
      <c r="J511" s="2" t="s">
        <v>650</v>
      </c>
      <c r="K511" s="2"/>
      <c r="L511" s="2"/>
      <c r="M511" s="8"/>
    </row>
    <row r="512" spans="1:13" ht="24" x14ac:dyDescent="0.25">
      <c r="A512" s="7" t="s">
        <v>8511</v>
      </c>
      <c r="B512" s="2" t="s">
        <v>7304</v>
      </c>
      <c r="C512" s="4">
        <v>1</v>
      </c>
      <c r="D512" s="5">
        <v>8.01</v>
      </c>
      <c r="E512" s="5">
        <v>17.989999999999998</v>
      </c>
      <c r="F512" s="4" t="s">
        <v>7305</v>
      </c>
      <c r="G512" s="2" t="s">
        <v>527</v>
      </c>
      <c r="H512" s="7" t="s">
        <v>159</v>
      </c>
      <c r="I512" s="2" t="s">
        <v>80</v>
      </c>
      <c r="J512" s="2" t="s">
        <v>160</v>
      </c>
      <c r="K512" s="2"/>
      <c r="L512" s="2"/>
      <c r="M512" s="8"/>
    </row>
    <row r="513" spans="1:13" ht="36" x14ac:dyDescent="0.25">
      <c r="A513" s="7" t="s">
        <v>8512</v>
      </c>
      <c r="B513" s="2" t="s">
        <v>8513</v>
      </c>
      <c r="C513" s="4">
        <v>1</v>
      </c>
      <c r="D513" s="5">
        <v>7.6</v>
      </c>
      <c r="E513" s="5">
        <v>17.28</v>
      </c>
      <c r="F513" s="4">
        <v>17878210</v>
      </c>
      <c r="G513" s="2"/>
      <c r="H513" s="7" t="s">
        <v>233</v>
      </c>
      <c r="I513" s="2" t="s">
        <v>153</v>
      </c>
      <c r="J513" s="2" t="s">
        <v>154</v>
      </c>
      <c r="K513" s="2"/>
      <c r="L513" s="2"/>
      <c r="M513" s="8"/>
    </row>
    <row r="514" spans="1:13" ht="36" x14ac:dyDescent="0.25">
      <c r="A514" s="7" t="s">
        <v>8514</v>
      </c>
      <c r="B514" s="2" t="s">
        <v>8513</v>
      </c>
      <c r="C514" s="4">
        <v>1</v>
      </c>
      <c r="D514" s="5">
        <v>7.6</v>
      </c>
      <c r="E514" s="5">
        <v>17.28</v>
      </c>
      <c r="F514" s="4">
        <v>17878210</v>
      </c>
      <c r="G514" s="2"/>
      <c r="H514" s="7" t="s">
        <v>442</v>
      </c>
      <c r="I514" s="2" t="s">
        <v>153</v>
      </c>
      <c r="J514" s="2" t="s">
        <v>154</v>
      </c>
      <c r="K514" s="2"/>
      <c r="L514" s="2"/>
      <c r="M514" s="8"/>
    </row>
    <row r="515" spans="1:13" ht="36" x14ac:dyDescent="0.25">
      <c r="A515" s="7" t="s">
        <v>6666</v>
      </c>
      <c r="B515" s="2" t="s">
        <v>6667</v>
      </c>
      <c r="C515" s="4">
        <v>2</v>
      </c>
      <c r="D515" s="5">
        <v>6.4</v>
      </c>
      <c r="E515" s="5">
        <v>14.55</v>
      </c>
      <c r="F515" s="4">
        <v>17890010</v>
      </c>
      <c r="G515" s="2" t="s">
        <v>48</v>
      </c>
      <c r="H515" s="7" t="s">
        <v>42</v>
      </c>
      <c r="I515" s="2" t="s">
        <v>153</v>
      </c>
      <c r="J515" s="2" t="s">
        <v>154</v>
      </c>
      <c r="K515" s="2"/>
      <c r="L515" s="2"/>
      <c r="M515" s="8"/>
    </row>
    <row r="516" spans="1:13" ht="36" x14ac:dyDescent="0.25">
      <c r="A516" s="7" t="s">
        <v>8515</v>
      </c>
      <c r="B516" s="2" t="s">
        <v>6103</v>
      </c>
      <c r="C516" s="4">
        <v>1</v>
      </c>
      <c r="D516" s="5">
        <v>6.4</v>
      </c>
      <c r="E516" s="5">
        <v>14.55</v>
      </c>
      <c r="F516" s="4">
        <v>17889610</v>
      </c>
      <c r="G516" s="2" t="s">
        <v>48</v>
      </c>
      <c r="H516" s="7" t="s">
        <v>482</v>
      </c>
      <c r="I516" s="2" t="s">
        <v>153</v>
      </c>
      <c r="J516" s="2" t="s">
        <v>154</v>
      </c>
      <c r="K516" s="2"/>
      <c r="L516" s="2"/>
      <c r="M516" s="8"/>
    </row>
    <row r="517" spans="1:13" ht="36" x14ac:dyDescent="0.25">
      <c r="A517" s="7" t="s">
        <v>8516</v>
      </c>
      <c r="B517" s="2" t="s">
        <v>6103</v>
      </c>
      <c r="C517" s="4">
        <v>1</v>
      </c>
      <c r="D517" s="5">
        <v>6.4</v>
      </c>
      <c r="E517" s="5">
        <v>14.55</v>
      </c>
      <c r="F517" s="4">
        <v>17889610</v>
      </c>
      <c r="G517" s="2" t="s">
        <v>48</v>
      </c>
      <c r="H517" s="7" t="s">
        <v>42</v>
      </c>
      <c r="I517" s="2" t="s">
        <v>153</v>
      </c>
      <c r="J517" s="2" t="s">
        <v>154</v>
      </c>
      <c r="K517" s="2"/>
      <c r="L517" s="2"/>
      <c r="M517" s="8"/>
    </row>
    <row r="518" spans="1:13" ht="36" x14ac:dyDescent="0.25">
      <c r="A518" s="7" t="s">
        <v>8517</v>
      </c>
      <c r="B518" s="2" t="s">
        <v>8518</v>
      </c>
      <c r="C518" s="4">
        <v>1</v>
      </c>
      <c r="D518" s="5">
        <v>6.4</v>
      </c>
      <c r="E518" s="5">
        <v>14.55</v>
      </c>
      <c r="F518" s="4">
        <v>17891610</v>
      </c>
      <c r="G518" s="2"/>
      <c r="H518" s="7" t="s">
        <v>233</v>
      </c>
      <c r="I518" s="2" t="s">
        <v>153</v>
      </c>
      <c r="J518" s="2" t="s">
        <v>154</v>
      </c>
      <c r="K518" s="2"/>
      <c r="L518" s="2"/>
      <c r="M518" s="8"/>
    </row>
    <row r="519" spans="1:13" ht="36" x14ac:dyDescent="0.25">
      <c r="A519" s="7" t="s">
        <v>8519</v>
      </c>
      <c r="B519" s="2" t="s">
        <v>6667</v>
      </c>
      <c r="C519" s="4">
        <v>1</v>
      </c>
      <c r="D519" s="5">
        <v>6.4</v>
      </c>
      <c r="E519" s="5">
        <v>14.55</v>
      </c>
      <c r="F519" s="4">
        <v>17890010</v>
      </c>
      <c r="G519" s="2" t="s">
        <v>48</v>
      </c>
      <c r="H519" s="7" t="s">
        <v>233</v>
      </c>
      <c r="I519" s="2" t="s">
        <v>153</v>
      </c>
      <c r="J519" s="2" t="s">
        <v>154</v>
      </c>
      <c r="K519" s="2"/>
      <c r="L519" s="2"/>
      <c r="M519" s="8"/>
    </row>
  </sheetData>
  <pageMargins left="0.5" right="0.5" top="0.25" bottom="0.25" header="0.3" footer="0.3"/>
  <pageSetup scale="65" orientation="landscape" horizontalDpi="0" verticalDpi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19"/>
  <sheetViews>
    <sheetView workbookViewId="0">
      <selection activeCell="N4" sqref="N4"/>
    </sheetView>
  </sheetViews>
  <sheetFormatPr defaultRowHeight="15" x14ac:dyDescent="0.25"/>
  <cols>
    <col min="1" max="1" width="14.28515625" customWidth="1"/>
    <col min="2" max="2" width="40" customWidth="1"/>
    <col min="3" max="3" width="15" customWidth="1"/>
    <col min="4" max="4" width="10.85546875" customWidth="1"/>
    <col min="5" max="6" width="15" customWidth="1"/>
    <col min="7" max="7" width="10.28515625" customWidth="1"/>
    <col min="8" max="8" width="12.5703125" customWidth="1"/>
    <col min="9" max="11" width="11.42578125" customWidth="1"/>
    <col min="12" max="12" width="8" customWidth="1"/>
    <col min="13" max="13" width="10.85546875" customWidth="1"/>
    <col min="14" max="14" width="12.140625" customWidth="1"/>
    <col min="15" max="15" width="36.5703125" bestFit="1" customWidth="1"/>
    <col min="16" max="17" width="20.7109375" customWidth="1"/>
    <col min="18" max="18" width="64.28515625" customWidth="1"/>
  </cols>
  <sheetData>
    <row r="1" spans="1:13" ht="36" x14ac:dyDescent="0.25">
      <c r="A1" s="20" t="s">
        <v>0</v>
      </c>
      <c r="B1" s="20" t="s">
        <v>1</v>
      </c>
      <c r="C1" s="20" t="s">
        <v>2</v>
      </c>
      <c r="D1" s="20" t="s">
        <v>3</v>
      </c>
      <c r="E1" s="20" t="s">
        <v>4</v>
      </c>
      <c r="F1" s="20" t="s">
        <v>5</v>
      </c>
      <c r="G1" s="20" t="s">
        <v>6</v>
      </c>
      <c r="H1" s="20" t="s">
        <v>7</v>
      </c>
      <c r="I1" s="20" t="s">
        <v>8</v>
      </c>
      <c r="J1" s="20" t="s">
        <v>9</v>
      </c>
    </row>
    <row r="2" spans="1:13" ht="36" x14ac:dyDescent="0.25">
      <c r="A2" s="2" t="s">
        <v>654</v>
      </c>
      <c r="B2" s="3">
        <v>12436307</v>
      </c>
      <c r="C2" s="2" t="s">
        <v>11</v>
      </c>
      <c r="D2" s="2" t="s">
        <v>12</v>
      </c>
      <c r="E2" s="4">
        <v>1</v>
      </c>
      <c r="F2" s="4">
        <v>20</v>
      </c>
      <c r="G2" s="2">
        <v>279</v>
      </c>
      <c r="H2" s="5">
        <v>6495.25</v>
      </c>
      <c r="I2" s="5">
        <v>16374.98</v>
      </c>
      <c r="J2" s="2">
        <v>1166</v>
      </c>
    </row>
    <row r="4" spans="1:13" s="6" customFormat="1" x14ac:dyDescent="0.25"/>
    <row r="7" spans="1:13" s="6" customFormat="1" x14ac:dyDescent="0.25"/>
    <row r="8" spans="1:13" ht="36" x14ac:dyDescent="0.25">
      <c r="A8" s="20" t="s">
        <v>13</v>
      </c>
      <c r="B8" s="20" t="s">
        <v>14</v>
      </c>
      <c r="C8" s="20" t="s">
        <v>15</v>
      </c>
      <c r="D8" s="20" t="s">
        <v>16</v>
      </c>
      <c r="E8" s="20" t="s">
        <v>17</v>
      </c>
      <c r="F8" s="20" t="s">
        <v>18</v>
      </c>
      <c r="G8" s="20" t="s">
        <v>19</v>
      </c>
      <c r="H8" s="20" t="s">
        <v>20</v>
      </c>
      <c r="I8" s="20" t="s">
        <v>21</v>
      </c>
      <c r="J8" s="20" t="s">
        <v>22</v>
      </c>
      <c r="K8" s="20" t="s">
        <v>2737</v>
      </c>
      <c r="L8" s="20" t="s">
        <v>23</v>
      </c>
      <c r="M8" s="20" t="s">
        <v>24</v>
      </c>
    </row>
    <row r="9" spans="1:13" ht="60" x14ac:dyDescent="0.25">
      <c r="A9" s="7" t="s">
        <v>2760</v>
      </c>
      <c r="B9" s="2" t="s">
        <v>2761</v>
      </c>
      <c r="C9" s="4">
        <v>1</v>
      </c>
      <c r="D9" s="5">
        <v>39.9</v>
      </c>
      <c r="E9" s="5">
        <v>79.989999999999995</v>
      </c>
      <c r="F9" s="4" t="s">
        <v>2762</v>
      </c>
      <c r="G9" s="2" t="s">
        <v>62</v>
      </c>
      <c r="H9" s="7" t="s">
        <v>29</v>
      </c>
      <c r="I9" s="2" t="s">
        <v>30</v>
      </c>
      <c r="J9" s="2" t="s">
        <v>31</v>
      </c>
      <c r="K9" s="2" t="s">
        <v>304</v>
      </c>
      <c r="L9" s="2" t="s">
        <v>32</v>
      </c>
      <c r="M9" s="8" t="str">
        <f>HYPERLINK("http://slimages.macys.com/is/image/MCY/11831381 ")</f>
        <v xml:space="preserve">http://slimages.macys.com/is/image/MCY/11831381 </v>
      </c>
    </row>
    <row r="10" spans="1:13" ht="60" x14ac:dyDescent="0.25">
      <c r="A10" s="7" t="s">
        <v>7307</v>
      </c>
      <c r="B10" s="2" t="s">
        <v>7308</v>
      </c>
      <c r="C10" s="4">
        <v>1</v>
      </c>
      <c r="D10" s="5">
        <v>38</v>
      </c>
      <c r="E10" s="5">
        <v>71.989999999999995</v>
      </c>
      <c r="F10" s="4" t="s">
        <v>7309</v>
      </c>
      <c r="G10" s="2" t="s">
        <v>41</v>
      </c>
      <c r="H10" s="7" t="s">
        <v>172</v>
      </c>
      <c r="I10" s="2" t="s">
        <v>30</v>
      </c>
      <c r="J10" s="2" t="s">
        <v>1409</v>
      </c>
      <c r="K10" s="2" t="s">
        <v>304</v>
      </c>
      <c r="L10" s="2" t="s">
        <v>100</v>
      </c>
      <c r="M10" s="8" t="str">
        <f>HYPERLINK("http://slimages.macys.com/is/image/MCY/11714503 ")</f>
        <v xml:space="preserve">http://slimages.macys.com/is/image/MCY/11714503 </v>
      </c>
    </row>
    <row r="11" spans="1:13" ht="60" x14ac:dyDescent="0.25">
      <c r="A11" s="7" t="s">
        <v>7310</v>
      </c>
      <c r="B11" s="2" t="s">
        <v>7311</v>
      </c>
      <c r="C11" s="4">
        <v>1</v>
      </c>
      <c r="D11" s="5">
        <v>38</v>
      </c>
      <c r="E11" s="5">
        <v>71.989999999999995</v>
      </c>
      <c r="F11" s="4" t="s">
        <v>7312</v>
      </c>
      <c r="G11" s="2" t="s">
        <v>814</v>
      </c>
      <c r="H11" s="7" t="s">
        <v>172</v>
      </c>
      <c r="I11" s="2" t="s">
        <v>30</v>
      </c>
      <c r="J11" s="2" t="s">
        <v>1409</v>
      </c>
      <c r="K11" s="2" t="s">
        <v>304</v>
      </c>
      <c r="L11" s="2" t="s">
        <v>38</v>
      </c>
      <c r="M11" s="8" t="str">
        <f>HYPERLINK("http://slimages.macys.com/is/image/MCY/11714437 ")</f>
        <v xml:space="preserve">http://slimages.macys.com/is/image/MCY/11714437 </v>
      </c>
    </row>
    <row r="12" spans="1:13" ht="60" x14ac:dyDescent="0.25">
      <c r="A12" s="7" t="s">
        <v>7313</v>
      </c>
      <c r="B12" s="2" t="s">
        <v>7314</v>
      </c>
      <c r="C12" s="4">
        <v>1</v>
      </c>
      <c r="D12" s="5">
        <v>24</v>
      </c>
      <c r="E12" s="5">
        <v>45</v>
      </c>
      <c r="F12" s="4" t="s">
        <v>7315</v>
      </c>
      <c r="G12" s="2" t="s">
        <v>793</v>
      </c>
      <c r="H12" s="7" t="s">
        <v>317</v>
      </c>
      <c r="I12" s="2" t="s">
        <v>380</v>
      </c>
      <c r="J12" s="2" t="s">
        <v>381</v>
      </c>
      <c r="K12" s="2" t="s">
        <v>304</v>
      </c>
      <c r="L12" s="2" t="s">
        <v>119</v>
      </c>
      <c r="M12" s="8" t="str">
        <f>HYPERLINK("http://slimages.macys.com/is/image/MCY/10427110 ")</f>
        <v xml:space="preserve">http://slimages.macys.com/is/image/MCY/10427110 </v>
      </c>
    </row>
    <row r="13" spans="1:13" ht="60" x14ac:dyDescent="0.25">
      <c r="A13" s="7" t="s">
        <v>7316</v>
      </c>
      <c r="B13" s="2" t="s">
        <v>7317</v>
      </c>
      <c r="C13" s="4">
        <v>1</v>
      </c>
      <c r="D13" s="5">
        <v>23</v>
      </c>
      <c r="E13" s="5">
        <v>64.989999999999995</v>
      </c>
      <c r="F13" s="4" t="s">
        <v>7318</v>
      </c>
      <c r="G13" s="2" t="s">
        <v>103</v>
      </c>
      <c r="H13" s="7"/>
      <c r="I13" s="2" t="s">
        <v>668</v>
      </c>
      <c r="J13" s="2" t="s">
        <v>239</v>
      </c>
      <c r="K13" s="2" t="s">
        <v>304</v>
      </c>
      <c r="L13" s="2" t="s">
        <v>125</v>
      </c>
      <c r="M13" s="8" t="str">
        <f>HYPERLINK("http://slimages.macys.com/is/image/MCY/12830507 ")</f>
        <v xml:space="preserve">http://slimages.macys.com/is/image/MCY/12830507 </v>
      </c>
    </row>
    <row r="14" spans="1:13" ht="72" x14ac:dyDescent="0.25">
      <c r="A14" s="7" t="s">
        <v>7319</v>
      </c>
      <c r="B14" s="2" t="s">
        <v>1431</v>
      </c>
      <c r="C14" s="4">
        <v>1</v>
      </c>
      <c r="D14" s="5">
        <v>20</v>
      </c>
      <c r="E14" s="5">
        <v>54.99</v>
      </c>
      <c r="F14" s="4" t="s">
        <v>1432</v>
      </c>
      <c r="G14" s="2" t="s">
        <v>195</v>
      </c>
      <c r="H14" s="7" t="s">
        <v>177</v>
      </c>
      <c r="I14" s="2" t="s">
        <v>668</v>
      </c>
      <c r="J14" s="2" t="s">
        <v>239</v>
      </c>
      <c r="K14" s="2" t="s">
        <v>304</v>
      </c>
      <c r="L14" s="2" t="s">
        <v>1433</v>
      </c>
      <c r="M14" s="8" t="str">
        <f>HYPERLINK("http://slimages.macys.com/is/image/MCY/12830937 ")</f>
        <v xml:space="preserve">http://slimages.macys.com/is/image/MCY/12830937 </v>
      </c>
    </row>
    <row r="15" spans="1:13" ht="60" x14ac:dyDescent="0.25">
      <c r="A15" s="7" t="s">
        <v>7320</v>
      </c>
      <c r="B15" s="2" t="s">
        <v>7321</v>
      </c>
      <c r="C15" s="4">
        <v>1</v>
      </c>
      <c r="D15" s="5">
        <v>18.88</v>
      </c>
      <c r="E15" s="5">
        <v>59</v>
      </c>
      <c r="F15" s="4" t="s">
        <v>7322</v>
      </c>
      <c r="G15" s="2" t="s">
        <v>62</v>
      </c>
      <c r="H15" s="7" t="s">
        <v>172</v>
      </c>
      <c r="I15" s="2" t="s">
        <v>3685</v>
      </c>
      <c r="J15" s="2" t="s">
        <v>3686</v>
      </c>
      <c r="K15" s="2" t="s">
        <v>304</v>
      </c>
      <c r="L15" s="2" t="s">
        <v>7323</v>
      </c>
      <c r="M15" s="8" t="str">
        <f>HYPERLINK("http://slimages.macys.com/is/image/MCY/10544003 ")</f>
        <v xml:space="preserve">http://slimages.macys.com/is/image/MCY/10544003 </v>
      </c>
    </row>
    <row r="16" spans="1:13" ht="60" x14ac:dyDescent="0.25">
      <c r="A16" s="7" t="s">
        <v>7324</v>
      </c>
      <c r="B16" s="2" t="s">
        <v>7325</v>
      </c>
      <c r="C16" s="4">
        <v>1</v>
      </c>
      <c r="D16" s="5">
        <v>17</v>
      </c>
      <c r="E16" s="5">
        <v>39.99</v>
      </c>
      <c r="F16" s="4" t="s">
        <v>7326</v>
      </c>
      <c r="G16" s="2" t="s">
        <v>253</v>
      </c>
      <c r="H16" s="7" t="s">
        <v>172</v>
      </c>
      <c r="I16" s="2" t="s">
        <v>3129</v>
      </c>
      <c r="J16" s="2" t="s">
        <v>4667</v>
      </c>
      <c r="K16" s="2" t="s">
        <v>304</v>
      </c>
      <c r="L16" s="2" t="s">
        <v>1418</v>
      </c>
      <c r="M16" s="8" t="str">
        <f>HYPERLINK("http://slimages.macys.com/is/image/MCY/9973401 ")</f>
        <v xml:space="preserve">http://slimages.macys.com/is/image/MCY/9973401 </v>
      </c>
    </row>
    <row r="17" spans="1:13" ht="84" x14ac:dyDescent="0.25">
      <c r="A17" s="7" t="s">
        <v>7327</v>
      </c>
      <c r="B17" s="2" t="s">
        <v>1462</v>
      </c>
      <c r="C17" s="4">
        <v>1</v>
      </c>
      <c r="D17" s="5">
        <v>16</v>
      </c>
      <c r="E17" s="5">
        <v>45</v>
      </c>
      <c r="F17" s="4">
        <v>361014</v>
      </c>
      <c r="G17" s="2" t="s">
        <v>1463</v>
      </c>
      <c r="H17" s="7" t="s">
        <v>786</v>
      </c>
      <c r="I17" s="2" t="s">
        <v>50</v>
      </c>
      <c r="J17" s="2" t="s">
        <v>51</v>
      </c>
      <c r="K17" s="2" t="s">
        <v>304</v>
      </c>
      <c r="L17" s="2" t="s">
        <v>1464</v>
      </c>
      <c r="M17" s="8" t="str">
        <f>HYPERLINK("http://slimages.macys.com/is/image/MCY/12462916 ")</f>
        <v xml:space="preserve">http://slimages.macys.com/is/image/MCY/12462916 </v>
      </c>
    </row>
    <row r="18" spans="1:13" ht="60" x14ac:dyDescent="0.25">
      <c r="A18" s="7" t="s">
        <v>7328</v>
      </c>
      <c r="B18" s="2" t="s">
        <v>6707</v>
      </c>
      <c r="C18" s="4">
        <v>1</v>
      </c>
      <c r="D18" s="5">
        <v>15.75</v>
      </c>
      <c r="E18" s="5">
        <v>34.99</v>
      </c>
      <c r="F18" s="4" t="s">
        <v>6708</v>
      </c>
      <c r="G18" s="2" t="s">
        <v>62</v>
      </c>
      <c r="H18" s="7" t="s">
        <v>159</v>
      </c>
      <c r="I18" s="2" t="s">
        <v>173</v>
      </c>
      <c r="J18" s="2" t="s">
        <v>6709</v>
      </c>
      <c r="K18" s="2" t="s">
        <v>304</v>
      </c>
      <c r="L18" s="2" t="s">
        <v>119</v>
      </c>
      <c r="M18" s="8" t="str">
        <f>HYPERLINK("http://slimages.macys.com/is/image/MCY/12899511 ")</f>
        <v xml:space="preserve">http://slimages.macys.com/is/image/MCY/12899511 </v>
      </c>
    </row>
    <row r="19" spans="1:13" ht="60" x14ac:dyDescent="0.25">
      <c r="A19" s="7" t="s">
        <v>7329</v>
      </c>
      <c r="B19" s="2" t="s">
        <v>7330</v>
      </c>
      <c r="C19" s="4">
        <v>1</v>
      </c>
      <c r="D19" s="5">
        <v>15</v>
      </c>
      <c r="E19" s="5">
        <v>33.99</v>
      </c>
      <c r="F19" s="4" t="s">
        <v>7331</v>
      </c>
      <c r="G19" s="2" t="s">
        <v>62</v>
      </c>
      <c r="H19" s="7" t="s">
        <v>123</v>
      </c>
      <c r="I19" s="2" t="s">
        <v>80</v>
      </c>
      <c r="J19" s="2" t="s">
        <v>124</v>
      </c>
      <c r="K19" s="2" t="s">
        <v>304</v>
      </c>
      <c r="L19" s="2" t="s">
        <v>38</v>
      </c>
      <c r="M19" s="8" t="str">
        <f>HYPERLINK("http://slimages.macys.com/is/image/MCY/12077129 ")</f>
        <v xml:space="preserve">http://slimages.macys.com/is/image/MCY/12077129 </v>
      </c>
    </row>
    <row r="20" spans="1:13" ht="60" x14ac:dyDescent="0.25">
      <c r="A20" s="7" t="s">
        <v>7332</v>
      </c>
      <c r="B20" s="2" t="s">
        <v>7333</v>
      </c>
      <c r="C20" s="4">
        <v>1</v>
      </c>
      <c r="D20" s="5">
        <v>15</v>
      </c>
      <c r="E20" s="5">
        <v>49.99</v>
      </c>
      <c r="F20" s="4" t="s">
        <v>7334</v>
      </c>
      <c r="G20" s="2" t="s">
        <v>657</v>
      </c>
      <c r="H20" s="7"/>
      <c r="I20" s="2" t="s">
        <v>668</v>
      </c>
      <c r="J20" s="2" t="s">
        <v>1437</v>
      </c>
      <c r="K20" s="2" t="s">
        <v>304</v>
      </c>
      <c r="L20" s="2" t="s">
        <v>125</v>
      </c>
      <c r="M20" s="8" t="str">
        <f>HYPERLINK("http://slimages.macys.com/is/image/MCY/12849662 ")</f>
        <v xml:space="preserve">http://slimages.macys.com/is/image/MCY/12849662 </v>
      </c>
    </row>
    <row r="21" spans="1:13" ht="84" x14ac:dyDescent="0.25">
      <c r="A21" s="7" t="s">
        <v>7335</v>
      </c>
      <c r="B21" s="2" t="s">
        <v>7336</v>
      </c>
      <c r="C21" s="4">
        <v>1</v>
      </c>
      <c r="D21" s="5">
        <v>15</v>
      </c>
      <c r="E21" s="5">
        <v>44.99</v>
      </c>
      <c r="F21" s="4" t="s">
        <v>7337</v>
      </c>
      <c r="G21" s="2" t="s">
        <v>41</v>
      </c>
      <c r="H21" s="7"/>
      <c r="I21" s="2" t="s">
        <v>668</v>
      </c>
      <c r="J21" s="2" t="s">
        <v>239</v>
      </c>
      <c r="K21" s="2" t="s">
        <v>304</v>
      </c>
      <c r="L21" s="2" t="s">
        <v>7338</v>
      </c>
      <c r="M21" s="8" t="str">
        <f>HYPERLINK("http://slimages.macys.com/is/image/MCY/12381281 ")</f>
        <v xml:space="preserve">http://slimages.macys.com/is/image/MCY/12381281 </v>
      </c>
    </row>
    <row r="22" spans="1:13" ht="60" x14ac:dyDescent="0.25">
      <c r="A22" s="7" t="s">
        <v>7339</v>
      </c>
      <c r="B22" s="2" t="s">
        <v>7340</v>
      </c>
      <c r="C22" s="4">
        <v>1</v>
      </c>
      <c r="D22" s="5">
        <v>15</v>
      </c>
      <c r="E22" s="5">
        <v>37.5</v>
      </c>
      <c r="F22" s="4" t="s">
        <v>7341</v>
      </c>
      <c r="G22" s="2" t="s">
        <v>41</v>
      </c>
      <c r="H22" s="7"/>
      <c r="I22" s="2" t="s">
        <v>57</v>
      </c>
      <c r="J22" s="2" t="s">
        <v>58</v>
      </c>
      <c r="K22" s="2" t="s">
        <v>304</v>
      </c>
      <c r="L22" s="2" t="s">
        <v>206</v>
      </c>
      <c r="M22" s="8" t="str">
        <f>HYPERLINK("http://slimages.macys.com/is/image/MCY/12355310 ")</f>
        <v xml:space="preserve">http://slimages.macys.com/is/image/MCY/12355310 </v>
      </c>
    </row>
    <row r="23" spans="1:13" ht="60" x14ac:dyDescent="0.25">
      <c r="A23" s="7" t="s">
        <v>1487</v>
      </c>
      <c r="B23" s="2" t="s">
        <v>1488</v>
      </c>
      <c r="C23" s="4">
        <v>4</v>
      </c>
      <c r="D23" s="5">
        <v>14.62</v>
      </c>
      <c r="E23" s="5">
        <v>39.5</v>
      </c>
      <c r="F23" s="4" t="s">
        <v>1489</v>
      </c>
      <c r="G23" s="2" t="s">
        <v>28</v>
      </c>
      <c r="H23" s="7" t="s">
        <v>172</v>
      </c>
      <c r="I23" s="2" t="s">
        <v>880</v>
      </c>
      <c r="J23" s="2" t="s">
        <v>881</v>
      </c>
      <c r="K23" s="2" t="s">
        <v>304</v>
      </c>
      <c r="L23" s="2" t="s">
        <v>119</v>
      </c>
      <c r="M23" s="8" t="str">
        <f>HYPERLINK("http://slimages.macys.com/is/image/MCY/12051814 ")</f>
        <v xml:space="preserve">http://slimages.macys.com/is/image/MCY/12051814 </v>
      </c>
    </row>
    <row r="24" spans="1:13" ht="60" x14ac:dyDescent="0.25">
      <c r="A24" s="7" t="s">
        <v>7342</v>
      </c>
      <c r="B24" s="2" t="s">
        <v>1488</v>
      </c>
      <c r="C24" s="4">
        <v>1</v>
      </c>
      <c r="D24" s="5">
        <v>14.62</v>
      </c>
      <c r="E24" s="5">
        <v>39.5</v>
      </c>
      <c r="F24" s="4" t="s">
        <v>1489</v>
      </c>
      <c r="G24" s="2" t="s">
        <v>28</v>
      </c>
      <c r="H24" s="7" t="s">
        <v>166</v>
      </c>
      <c r="I24" s="2" t="s">
        <v>880</v>
      </c>
      <c r="J24" s="2" t="s">
        <v>881</v>
      </c>
      <c r="K24" s="2" t="s">
        <v>304</v>
      </c>
      <c r="L24" s="2" t="s">
        <v>119</v>
      </c>
      <c r="M24" s="8" t="str">
        <f>HYPERLINK("http://slimages.macys.com/is/image/MCY/12051814 ")</f>
        <v xml:space="preserve">http://slimages.macys.com/is/image/MCY/12051814 </v>
      </c>
    </row>
    <row r="25" spans="1:13" ht="60" x14ac:dyDescent="0.25">
      <c r="A25" s="7" t="s">
        <v>5188</v>
      </c>
      <c r="B25" s="2" t="s">
        <v>1488</v>
      </c>
      <c r="C25" s="4">
        <v>5</v>
      </c>
      <c r="D25" s="5">
        <v>14.62</v>
      </c>
      <c r="E25" s="5">
        <v>39.5</v>
      </c>
      <c r="F25" s="4" t="s">
        <v>1489</v>
      </c>
      <c r="G25" s="2" t="s">
        <v>28</v>
      </c>
      <c r="H25" s="7" t="s">
        <v>248</v>
      </c>
      <c r="I25" s="2" t="s">
        <v>880</v>
      </c>
      <c r="J25" s="2" t="s">
        <v>881</v>
      </c>
      <c r="K25" s="2" t="s">
        <v>304</v>
      </c>
      <c r="L25" s="2" t="s">
        <v>119</v>
      </c>
      <c r="M25" s="8" t="str">
        <f>HYPERLINK("http://slimages.macys.com/is/image/MCY/12051814 ")</f>
        <v xml:space="preserve">http://slimages.macys.com/is/image/MCY/12051814 </v>
      </c>
    </row>
    <row r="26" spans="1:13" ht="60" x14ac:dyDescent="0.25">
      <c r="A26" s="7" t="s">
        <v>7343</v>
      </c>
      <c r="B26" s="2" t="s">
        <v>7344</v>
      </c>
      <c r="C26" s="4">
        <v>2</v>
      </c>
      <c r="D26" s="5">
        <v>14</v>
      </c>
      <c r="E26" s="5">
        <v>27.99</v>
      </c>
      <c r="F26" s="4" t="s">
        <v>7345</v>
      </c>
      <c r="G26" s="2" t="s">
        <v>36</v>
      </c>
      <c r="H26" s="7" t="s">
        <v>2791</v>
      </c>
      <c r="I26" s="2" t="s">
        <v>30</v>
      </c>
      <c r="J26" s="2" t="s">
        <v>31</v>
      </c>
      <c r="K26" s="2" t="s">
        <v>304</v>
      </c>
      <c r="L26" s="2" t="s">
        <v>119</v>
      </c>
      <c r="M26" s="8" t="str">
        <f>HYPERLINK("http://slimages.macys.com/is/image/MCY/2996867 ")</f>
        <v xml:space="preserve">http://slimages.macys.com/is/image/MCY/2996867 </v>
      </c>
    </row>
    <row r="27" spans="1:13" ht="60" x14ac:dyDescent="0.25">
      <c r="A27" s="7" t="s">
        <v>7346</v>
      </c>
      <c r="B27" s="2" t="s">
        <v>7347</v>
      </c>
      <c r="C27" s="4">
        <v>1</v>
      </c>
      <c r="D27" s="5">
        <v>14</v>
      </c>
      <c r="E27" s="5">
        <v>27.99</v>
      </c>
      <c r="F27" s="4" t="s">
        <v>7348</v>
      </c>
      <c r="G27" s="2" t="s">
        <v>79</v>
      </c>
      <c r="H27" s="7" t="s">
        <v>37</v>
      </c>
      <c r="I27" s="2" t="s">
        <v>30</v>
      </c>
      <c r="J27" s="2" t="s">
        <v>31</v>
      </c>
      <c r="K27" s="2" t="s">
        <v>304</v>
      </c>
      <c r="L27" s="2" t="s">
        <v>119</v>
      </c>
      <c r="M27" s="8" t="str">
        <f>HYPERLINK("http://slimages.macys.com/is/image/MCY/9314817 ")</f>
        <v xml:space="preserve">http://slimages.macys.com/is/image/MCY/9314817 </v>
      </c>
    </row>
    <row r="28" spans="1:13" ht="60" x14ac:dyDescent="0.25">
      <c r="A28" s="7" t="s">
        <v>7349</v>
      </c>
      <c r="B28" s="2" t="s">
        <v>7344</v>
      </c>
      <c r="C28" s="4">
        <v>2</v>
      </c>
      <c r="D28" s="5">
        <v>14</v>
      </c>
      <c r="E28" s="5">
        <v>27.99</v>
      </c>
      <c r="F28" s="4" t="s">
        <v>7345</v>
      </c>
      <c r="G28" s="2" t="s">
        <v>36</v>
      </c>
      <c r="H28" s="7" t="s">
        <v>1405</v>
      </c>
      <c r="I28" s="2" t="s">
        <v>30</v>
      </c>
      <c r="J28" s="2" t="s">
        <v>31</v>
      </c>
      <c r="K28" s="2" t="s">
        <v>304</v>
      </c>
      <c r="L28" s="2" t="s">
        <v>119</v>
      </c>
      <c r="M28" s="8" t="str">
        <f>HYPERLINK("http://slimages.macys.com/is/image/MCY/2996867 ")</f>
        <v xml:space="preserve">http://slimages.macys.com/is/image/MCY/2996867 </v>
      </c>
    </row>
    <row r="29" spans="1:13" ht="60" x14ac:dyDescent="0.25">
      <c r="A29" s="7" t="s">
        <v>7350</v>
      </c>
      <c r="B29" s="2" t="s">
        <v>7351</v>
      </c>
      <c r="C29" s="4">
        <v>1</v>
      </c>
      <c r="D29" s="5">
        <v>13.2</v>
      </c>
      <c r="E29" s="5">
        <v>30</v>
      </c>
      <c r="F29" s="4">
        <v>1333033</v>
      </c>
      <c r="G29" s="2" t="s">
        <v>62</v>
      </c>
      <c r="H29" s="7" t="s">
        <v>228</v>
      </c>
      <c r="I29" s="2" t="s">
        <v>80</v>
      </c>
      <c r="J29" s="2" t="s">
        <v>280</v>
      </c>
      <c r="K29" s="2" t="s">
        <v>304</v>
      </c>
      <c r="L29" s="2" t="s">
        <v>119</v>
      </c>
      <c r="M29" s="8" t="str">
        <f>HYPERLINK("http://slimages.macys.com/is/image/MCY/11712531 ")</f>
        <v xml:space="preserve">http://slimages.macys.com/is/image/MCY/11712531 </v>
      </c>
    </row>
    <row r="30" spans="1:13" ht="252" x14ac:dyDescent="0.25">
      <c r="A30" s="7" t="s">
        <v>7352</v>
      </c>
      <c r="B30" s="2" t="s">
        <v>7353</v>
      </c>
      <c r="C30" s="4">
        <v>1</v>
      </c>
      <c r="D30" s="5">
        <v>12.25</v>
      </c>
      <c r="E30" s="5">
        <v>33.99</v>
      </c>
      <c r="F30" s="4" t="s">
        <v>7354</v>
      </c>
      <c r="G30" s="2" t="s">
        <v>41</v>
      </c>
      <c r="H30" s="7"/>
      <c r="I30" s="2" t="s">
        <v>483</v>
      </c>
      <c r="J30" s="2" t="s">
        <v>536</v>
      </c>
      <c r="K30" s="2" t="s">
        <v>304</v>
      </c>
      <c r="L30" s="2" t="s">
        <v>7355</v>
      </c>
      <c r="M30" s="8" t="str">
        <f>HYPERLINK("http://slimages.macys.com/is/image/MCY/10324447 ")</f>
        <v xml:space="preserve">http://slimages.macys.com/is/image/MCY/10324447 </v>
      </c>
    </row>
    <row r="31" spans="1:13" ht="60" x14ac:dyDescent="0.25">
      <c r="A31" s="7" t="s">
        <v>7356</v>
      </c>
      <c r="B31" s="2" t="s">
        <v>7357</v>
      </c>
      <c r="C31" s="4">
        <v>1</v>
      </c>
      <c r="D31" s="5">
        <v>12.21</v>
      </c>
      <c r="E31" s="5">
        <v>26.99</v>
      </c>
      <c r="F31" s="4" t="s">
        <v>7358</v>
      </c>
      <c r="G31" s="2" t="s">
        <v>437</v>
      </c>
      <c r="H31" s="7" t="s">
        <v>590</v>
      </c>
      <c r="I31" s="2" t="s">
        <v>483</v>
      </c>
      <c r="J31" s="2" t="s">
        <v>536</v>
      </c>
      <c r="K31" s="2"/>
      <c r="L31" s="2"/>
      <c r="M31" s="8" t="str">
        <f>HYPERLINK("http://slimages.macys.com/is/image/MCY/10429558 ")</f>
        <v xml:space="preserve">http://slimages.macys.com/is/image/MCY/10429558 </v>
      </c>
    </row>
    <row r="32" spans="1:13" ht="60" x14ac:dyDescent="0.25">
      <c r="A32" s="7" t="s">
        <v>7359</v>
      </c>
      <c r="B32" s="2" t="s">
        <v>7360</v>
      </c>
      <c r="C32" s="4">
        <v>1</v>
      </c>
      <c r="D32" s="5">
        <v>12.05</v>
      </c>
      <c r="E32" s="5">
        <v>24.1</v>
      </c>
      <c r="F32" s="4">
        <v>36417711</v>
      </c>
      <c r="G32" s="2"/>
      <c r="H32" s="7" t="s">
        <v>179</v>
      </c>
      <c r="I32" s="2" t="s">
        <v>487</v>
      </c>
      <c r="J32" s="2" t="s">
        <v>2424</v>
      </c>
      <c r="K32" s="2" t="s">
        <v>304</v>
      </c>
      <c r="L32" s="2" t="s">
        <v>206</v>
      </c>
      <c r="M32" s="8" t="str">
        <f>HYPERLINK("http://slimages.macys.com/is/image/MCY/12235998 ")</f>
        <v xml:space="preserve">http://slimages.macys.com/is/image/MCY/12235998 </v>
      </c>
    </row>
    <row r="33" spans="1:13" ht="60" x14ac:dyDescent="0.25">
      <c r="A33" s="7" t="s">
        <v>7361</v>
      </c>
      <c r="B33" s="2" t="s">
        <v>7362</v>
      </c>
      <c r="C33" s="4">
        <v>2</v>
      </c>
      <c r="D33" s="5">
        <v>12.01</v>
      </c>
      <c r="E33" s="5">
        <v>26.99</v>
      </c>
      <c r="F33" s="4" t="s">
        <v>7363</v>
      </c>
      <c r="G33" s="2" t="s">
        <v>79</v>
      </c>
      <c r="H33" s="7" t="s">
        <v>159</v>
      </c>
      <c r="I33" s="2" t="s">
        <v>80</v>
      </c>
      <c r="J33" s="2" t="s">
        <v>160</v>
      </c>
      <c r="K33" s="2" t="s">
        <v>304</v>
      </c>
      <c r="L33" s="2" t="s">
        <v>125</v>
      </c>
      <c r="M33" s="8" t="str">
        <f>HYPERLINK("http://slimages.macys.com/is/image/MCY/10400073 ")</f>
        <v xml:space="preserve">http://slimages.macys.com/is/image/MCY/10400073 </v>
      </c>
    </row>
    <row r="34" spans="1:13" ht="72" x14ac:dyDescent="0.25">
      <c r="A34" s="7" t="s">
        <v>7364</v>
      </c>
      <c r="B34" s="2" t="s">
        <v>6745</v>
      </c>
      <c r="C34" s="4">
        <v>1</v>
      </c>
      <c r="D34" s="5">
        <v>12</v>
      </c>
      <c r="E34" s="5">
        <v>27.5</v>
      </c>
      <c r="F34" s="4" t="s">
        <v>7365</v>
      </c>
      <c r="G34" s="2" t="s">
        <v>310</v>
      </c>
      <c r="H34" s="7" t="s">
        <v>68</v>
      </c>
      <c r="I34" s="2" t="s">
        <v>380</v>
      </c>
      <c r="J34" s="2" t="s">
        <v>99</v>
      </c>
      <c r="K34" s="2" t="s">
        <v>304</v>
      </c>
      <c r="L34" s="2" t="s">
        <v>6829</v>
      </c>
      <c r="M34" s="8" t="str">
        <f>HYPERLINK("http://slimages.macys.com/is/image/MCY/12227665 ")</f>
        <v xml:space="preserve">http://slimages.macys.com/is/image/MCY/12227665 </v>
      </c>
    </row>
    <row r="35" spans="1:13" ht="72" x14ac:dyDescent="0.25">
      <c r="A35" s="7" t="s">
        <v>7366</v>
      </c>
      <c r="B35" s="2" t="s">
        <v>6164</v>
      </c>
      <c r="C35" s="4">
        <v>1</v>
      </c>
      <c r="D35" s="5">
        <v>11.88</v>
      </c>
      <c r="E35" s="5">
        <v>30.99</v>
      </c>
      <c r="F35" s="4" t="s">
        <v>6165</v>
      </c>
      <c r="G35" s="2" t="s">
        <v>755</v>
      </c>
      <c r="H35" s="7" t="s">
        <v>196</v>
      </c>
      <c r="I35" s="2" t="s">
        <v>389</v>
      </c>
      <c r="J35" s="2" t="s">
        <v>354</v>
      </c>
      <c r="K35" s="2" t="s">
        <v>304</v>
      </c>
      <c r="L35" s="2" t="s">
        <v>6118</v>
      </c>
      <c r="M35" s="8" t="str">
        <f>HYPERLINK("http://slimages.macys.com/is/image/MCY/12938532 ")</f>
        <v xml:space="preserve">http://slimages.macys.com/is/image/MCY/12938532 </v>
      </c>
    </row>
    <row r="36" spans="1:13" ht="72" x14ac:dyDescent="0.25">
      <c r="A36" s="7" t="s">
        <v>6163</v>
      </c>
      <c r="B36" s="2" t="s">
        <v>6164</v>
      </c>
      <c r="C36" s="4">
        <v>1</v>
      </c>
      <c r="D36" s="5">
        <v>11.88</v>
      </c>
      <c r="E36" s="5">
        <v>30.99</v>
      </c>
      <c r="F36" s="4" t="s">
        <v>6165</v>
      </c>
      <c r="G36" s="2" t="s">
        <v>755</v>
      </c>
      <c r="H36" s="7" t="s">
        <v>228</v>
      </c>
      <c r="I36" s="2" t="s">
        <v>389</v>
      </c>
      <c r="J36" s="2" t="s">
        <v>354</v>
      </c>
      <c r="K36" s="2" t="s">
        <v>304</v>
      </c>
      <c r="L36" s="2" t="s">
        <v>6118</v>
      </c>
      <c r="M36" s="8" t="str">
        <f>HYPERLINK("http://slimages.macys.com/is/image/MCY/12938532 ")</f>
        <v xml:space="preserve">http://slimages.macys.com/is/image/MCY/12938532 </v>
      </c>
    </row>
    <row r="37" spans="1:13" ht="60" x14ac:dyDescent="0.25">
      <c r="A37" s="7" t="s">
        <v>7367</v>
      </c>
      <c r="B37" s="2" t="s">
        <v>7368</v>
      </c>
      <c r="C37" s="4">
        <v>1</v>
      </c>
      <c r="D37" s="5">
        <v>11.4</v>
      </c>
      <c r="E37" s="5">
        <v>27.99</v>
      </c>
      <c r="F37" s="4" t="s">
        <v>7369</v>
      </c>
      <c r="G37" s="2" t="s">
        <v>62</v>
      </c>
      <c r="H37" s="7" t="s">
        <v>159</v>
      </c>
      <c r="I37" s="2" t="s">
        <v>321</v>
      </c>
      <c r="J37" s="2" t="s">
        <v>4833</v>
      </c>
      <c r="K37" s="2" t="s">
        <v>304</v>
      </c>
      <c r="L37" s="2" t="s">
        <v>125</v>
      </c>
      <c r="M37" s="8" t="str">
        <f>HYPERLINK("http://slimages.macys.com/is/image/MCY/10944764 ")</f>
        <v xml:space="preserve">http://slimages.macys.com/is/image/MCY/10944764 </v>
      </c>
    </row>
    <row r="38" spans="1:13" ht="60" x14ac:dyDescent="0.25">
      <c r="A38" s="7" t="s">
        <v>7370</v>
      </c>
      <c r="B38" s="2" t="s">
        <v>6176</v>
      </c>
      <c r="C38" s="4">
        <v>1</v>
      </c>
      <c r="D38" s="5">
        <v>11.13</v>
      </c>
      <c r="E38" s="5">
        <v>22.99</v>
      </c>
      <c r="F38" s="4">
        <v>892362</v>
      </c>
      <c r="G38" s="2" t="s">
        <v>353</v>
      </c>
      <c r="H38" s="7" t="s">
        <v>159</v>
      </c>
      <c r="I38" s="2" t="s">
        <v>80</v>
      </c>
      <c r="J38" s="2" t="s">
        <v>160</v>
      </c>
      <c r="K38" s="2" t="s">
        <v>304</v>
      </c>
      <c r="L38" s="2" t="s">
        <v>125</v>
      </c>
      <c r="M38" s="8" t="str">
        <f>HYPERLINK("http://slimages.macys.com/is/image/MCY/11485131 ")</f>
        <v xml:space="preserve">http://slimages.macys.com/is/image/MCY/11485131 </v>
      </c>
    </row>
    <row r="39" spans="1:13" ht="60" x14ac:dyDescent="0.25">
      <c r="A39" s="7" t="s">
        <v>7371</v>
      </c>
      <c r="B39" s="2" t="s">
        <v>7372</v>
      </c>
      <c r="C39" s="4">
        <v>1</v>
      </c>
      <c r="D39" s="5">
        <v>11.12</v>
      </c>
      <c r="E39" s="5">
        <v>22.99</v>
      </c>
      <c r="F39" s="4" t="s">
        <v>7373</v>
      </c>
      <c r="G39" s="2" t="s">
        <v>48</v>
      </c>
      <c r="H39" s="7" t="s">
        <v>284</v>
      </c>
      <c r="I39" s="2" t="s">
        <v>73</v>
      </c>
      <c r="J39" s="2" t="s">
        <v>160</v>
      </c>
      <c r="K39" s="2" t="s">
        <v>304</v>
      </c>
      <c r="L39" s="2" t="s">
        <v>596</v>
      </c>
      <c r="M39" s="8" t="str">
        <f>HYPERLINK("http://slimages.macys.com/is/image/MCY/12337156 ")</f>
        <v xml:space="preserve">http://slimages.macys.com/is/image/MCY/12337156 </v>
      </c>
    </row>
    <row r="40" spans="1:13" ht="60" x14ac:dyDescent="0.25">
      <c r="A40" s="7" t="s">
        <v>7374</v>
      </c>
      <c r="B40" s="2" t="s">
        <v>1580</v>
      </c>
      <c r="C40" s="4">
        <v>1</v>
      </c>
      <c r="D40" s="5">
        <v>11.12</v>
      </c>
      <c r="E40" s="5">
        <v>22.99</v>
      </c>
      <c r="F40" s="4" t="s">
        <v>1581</v>
      </c>
      <c r="G40" s="2" t="s">
        <v>195</v>
      </c>
      <c r="H40" s="7" t="s">
        <v>159</v>
      </c>
      <c r="I40" s="2" t="s">
        <v>73</v>
      </c>
      <c r="J40" s="2" t="s">
        <v>160</v>
      </c>
      <c r="K40" s="2" t="s">
        <v>304</v>
      </c>
      <c r="L40" s="2" t="s">
        <v>206</v>
      </c>
      <c r="M40" s="8" t="str">
        <f>HYPERLINK("http://slimages.macys.com/is/image/MCY/12337182 ")</f>
        <v xml:space="preserve">http://slimages.macys.com/is/image/MCY/12337182 </v>
      </c>
    </row>
    <row r="41" spans="1:13" ht="60" x14ac:dyDescent="0.25">
      <c r="A41" s="7" t="s">
        <v>7375</v>
      </c>
      <c r="B41" s="2" t="s">
        <v>7376</v>
      </c>
      <c r="C41" s="4">
        <v>1</v>
      </c>
      <c r="D41" s="5">
        <v>11</v>
      </c>
      <c r="E41" s="5">
        <v>26.99</v>
      </c>
      <c r="F41" s="4" t="s">
        <v>7377</v>
      </c>
      <c r="G41" s="2" t="s">
        <v>86</v>
      </c>
      <c r="H41" s="7" t="s">
        <v>284</v>
      </c>
      <c r="I41" s="2" t="s">
        <v>389</v>
      </c>
      <c r="J41" s="2" t="s">
        <v>354</v>
      </c>
      <c r="K41" s="2" t="s">
        <v>304</v>
      </c>
      <c r="L41" s="2" t="s">
        <v>2562</v>
      </c>
      <c r="M41" s="8" t="str">
        <f>HYPERLINK("http://slimages.macys.com/is/image/MCY/11135770 ")</f>
        <v xml:space="preserve">http://slimages.macys.com/is/image/MCY/11135770 </v>
      </c>
    </row>
    <row r="42" spans="1:13" ht="108" x14ac:dyDescent="0.25">
      <c r="A42" s="7" t="s">
        <v>1592</v>
      </c>
      <c r="B42" s="2" t="s">
        <v>1587</v>
      </c>
      <c r="C42" s="4">
        <v>1</v>
      </c>
      <c r="D42" s="5">
        <v>11</v>
      </c>
      <c r="E42" s="5">
        <v>28.99</v>
      </c>
      <c r="F42" s="4" t="s">
        <v>1588</v>
      </c>
      <c r="G42" s="2" t="s">
        <v>41</v>
      </c>
      <c r="H42" s="7" t="s">
        <v>228</v>
      </c>
      <c r="I42" s="2" t="s">
        <v>342</v>
      </c>
      <c r="J42" s="2" t="s">
        <v>1589</v>
      </c>
      <c r="K42" s="2" t="s">
        <v>304</v>
      </c>
      <c r="L42" s="2" t="s">
        <v>1590</v>
      </c>
      <c r="M42" s="8" t="str">
        <f>HYPERLINK("http://slimages.macys.com/is/image/MCY/11960064 ")</f>
        <v xml:space="preserve">http://slimages.macys.com/is/image/MCY/11960064 </v>
      </c>
    </row>
    <row r="43" spans="1:13" ht="60" x14ac:dyDescent="0.25">
      <c r="A43" s="7" t="s">
        <v>7378</v>
      </c>
      <c r="B43" s="2" t="s">
        <v>7379</v>
      </c>
      <c r="C43" s="4">
        <v>1</v>
      </c>
      <c r="D43" s="5">
        <v>10.9</v>
      </c>
      <c r="E43" s="5">
        <v>24.99</v>
      </c>
      <c r="F43" s="4" t="s">
        <v>7380</v>
      </c>
      <c r="G43" s="2" t="s">
        <v>103</v>
      </c>
      <c r="H43" s="7" t="s">
        <v>578</v>
      </c>
      <c r="I43" s="2" t="s">
        <v>1689</v>
      </c>
      <c r="J43" s="2" t="s">
        <v>354</v>
      </c>
      <c r="K43" s="2" t="s">
        <v>304</v>
      </c>
      <c r="L43" s="2" t="s">
        <v>390</v>
      </c>
      <c r="M43" s="8" t="str">
        <f>HYPERLINK("http://slimages.macys.com/is/image/MCY/12507229 ")</f>
        <v xml:space="preserve">http://slimages.macys.com/is/image/MCY/12507229 </v>
      </c>
    </row>
    <row r="44" spans="1:13" ht="60" x14ac:dyDescent="0.25">
      <c r="A44" s="7" t="s">
        <v>7381</v>
      </c>
      <c r="B44" s="2" t="s">
        <v>3760</v>
      </c>
      <c r="C44" s="4">
        <v>1</v>
      </c>
      <c r="D44" s="5">
        <v>10.79</v>
      </c>
      <c r="E44" s="5">
        <v>27.99</v>
      </c>
      <c r="F44" s="4" t="s">
        <v>7382</v>
      </c>
      <c r="G44" s="2" t="s">
        <v>353</v>
      </c>
      <c r="H44" s="7" t="s">
        <v>196</v>
      </c>
      <c r="I44" s="2" t="s">
        <v>515</v>
      </c>
      <c r="J44" s="2" t="s">
        <v>1971</v>
      </c>
      <c r="K44" s="2" t="s">
        <v>304</v>
      </c>
      <c r="L44" s="2" t="s">
        <v>125</v>
      </c>
      <c r="M44" s="8" t="str">
        <f>HYPERLINK("http://slimages.macys.com/is/image/MCY/12687227 ")</f>
        <v xml:space="preserve">http://slimages.macys.com/is/image/MCY/12687227 </v>
      </c>
    </row>
    <row r="45" spans="1:13" ht="60" x14ac:dyDescent="0.25">
      <c r="A45" s="7" t="s">
        <v>7383</v>
      </c>
      <c r="B45" s="2" t="s">
        <v>3760</v>
      </c>
      <c r="C45" s="4">
        <v>1</v>
      </c>
      <c r="D45" s="5">
        <v>10.79</v>
      </c>
      <c r="E45" s="5">
        <v>27.99</v>
      </c>
      <c r="F45" s="4" t="s">
        <v>7382</v>
      </c>
      <c r="G45" s="2" t="s">
        <v>353</v>
      </c>
      <c r="H45" s="7" t="s">
        <v>159</v>
      </c>
      <c r="I45" s="2" t="s">
        <v>515</v>
      </c>
      <c r="J45" s="2" t="s">
        <v>1971</v>
      </c>
      <c r="K45" s="2" t="s">
        <v>304</v>
      </c>
      <c r="L45" s="2" t="s">
        <v>125</v>
      </c>
      <c r="M45" s="8" t="str">
        <f>HYPERLINK("http://slimages.macys.com/is/image/MCY/12687227 ")</f>
        <v xml:space="preserve">http://slimages.macys.com/is/image/MCY/12687227 </v>
      </c>
    </row>
    <row r="46" spans="1:13" ht="60" x14ac:dyDescent="0.25">
      <c r="A46" s="7" t="s">
        <v>7384</v>
      </c>
      <c r="B46" s="2" t="s">
        <v>7385</v>
      </c>
      <c r="C46" s="4">
        <v>1</v>
      </c>
      <c r="D46" s="5">
        <v>10.5</v>
      </c>
      <c r="E46" s="5">
        <v>23.99</v>
      </c>
      <c r="F46" s="4" t="s">
        <v>7386</v>
      </c>
      <c r="G46" s="2" t="s">
        <v>195</v>
      </c>
      <c r="H46" s="7" t="s">
        <v>284</v>
      </c>
      <c r="I46" s="2" t="s">
        <v>73</v>
      </c>
      <c r="J46" s="2" t="s">
        <v>223</v>
      </c>
      <c r="K46" s="2" t="s">
        <v>304</v>
      </c>
      <c r="L46" s="2" t="s">
        <v>119</v>
      </c>
      <c r="M46" s="8" t="str">
        <f>HYPERLINK("http://slimages.macys.com/is/image/MCY/12953055 ")</f>
        <v xml:space="preserve">http://slimages.macys.com/is/image/MCY/12953055 </v>
      </c>
    </row>
    <row r="47" spans="1:13" ht="60" x14ac:dyDescent="0.25">
      <c r="A47" s="7" t="s">
        <v>7387</v>
      </c>
      <c r="B47" s="2" t="s">
        <v>7385</v>
      </c>
      <c r="C47" s="4">
        <v>1</v>
      </c>
      <c r="D47" s="5">
        <v>10.5</v>
      </c>
      <c r="E47" s="5">
        <v>23.99</v>
      </c>
      <c r="F47" s="4" t="s">
        <v>7386</v>
      </c>
      <c r="G47" s="2" t="s">
        <v>195</v>
      </c>
      <c r="H47" s="7" t="s">
        <v>228</v>
      </c>
      <c r="I47" s="2" t="s">
        <v>73</v>
      </c>
      <c r="J47" s="2" t="s">
        <v>223</v>
      </c>
      <c r="K47" s="2" t="s">
        <v>304</v>
      </c>
      <c r="L47" s="2" t="s">
        <v>119</v>
      </c>
      <c r="M47" s="8" t="str">
        <f>HYPERLINK("http://slimages.macys.com/is/image/MCY/12953055 ")</f>
        <v xml:space="preserve">http://slimages.macys.com/is/image/MCY/12953055 </v>
      </c>
    </row>
    <row r="48" spans="1:13" ht="60" x14ac:dyDescent="0.25">
      <c r="A48" s="7" t="s">
        <v>821</v>
      </c>
      <c r="B48" s="2" t="s">
        <v>255</v>
      </c>
      <c r="C48" s="4">
        <v>1</v>
      </c>
      <c r="D48" s="5">
        <v>10.5</v>
      </c>
      <c r="E48" s="5">
        <v>24.99</v>
      </c>
      <c r="F48" s="4" t="s">
        <v>256</v>
      </c>
      <c r="G48" s="2" t="s">
        <v>262</v>
      </c>
      <c r="H48" s="7" t="s">
        <v>177</v>
      </c>
      <c r="I48" s="2" t="s">
        <v>257</v>
      </c>
      <c r="J48" s="2" t="s">
        <v>258</v>
      </c>
      <c r="K48" s="2" t="s">
        <v>304</v>
      </c>
      <c r="L48" s="2" t="s">
        <v>206</v>
      </c>
      <c r="M48" s="8" t="str">
        <f>HYPERLINK("http://slimages.macys.com/is/image/MCY/11722982 ")</f>
        <v xml:space="preserve">http://slimages.macys.com/is/image/MCY/11722982 </v>
      </c>
    </row>
    <row r="49" spans="1:13" ht="60" x14ac:dyDescent="0.25">
      <c r="A49" s="7" t="s">
        <v>7388</v>
      </c>
      <c r="B49" s="2" t="s">
        <v>5282</v>
      </c>
      <c r="C49" s="4">
        <v>1</v>
      </c>
      <c r="D49" s="5">
        <v>10.5</v>
      </c>
      <c r="E49" s="5">
        <v>24.99</v>
      </c>
      <c r="F49" s="4" t="s">
        <v>5283</v>
      </c>
      <c r="G49" s="2" t="s">
        <v>171</v>
      </c>
      <c r="H49" s="7" t="s">
        <v>172</v>
      </c>
      <c r="I49" s="2" t="s">
        <v>257</v>
      </c>
      <c r="J49" s="2" t="s">
        <v>258</v>
      </c>
      <c r="K49" s="2" t="s">
        <v>304</v>
      </c>
      <c r="L49" s="2" t="s">
        <v>38</v>
      </c>
      <c r="M49" s="8" t="str">
        <f>HYPERLINK("http://slimages.macys.com/is/image/MCY/11723088 ")</f>
        <v xml:space="preserve">http://slimages.macys.com/is/image/MCY/11723088 </v>
      </c>
    </row>
    <row r="50" spans="1:13" ht="60" x14ac:dyDescent="0.25">
      <c r="A50" s="7" t="s">
        <v>7389</v>
      </c>
      <c r="B50" s="2" t="s">
        <v>255</v>
      </c>
      <c r="C50" s="4">
        <v>1</v>
      </c>
      <c r="D50" s="5">
        <v>10.5</v>
      </c>
      <c r="E50" s="5">
        <v>24.99</v>
      </c>
      <c r="F50" s="4" t="s">
        <v>256</v>
      </c>
      <c r="G50" s="2" t="s">
        <v>262</v>
      </c>
      <c r="H50" s="7" t="s">
        <v>2740</v>
      </c>
      <c r="I50" s="2" t="s">
        <v>257</v>
      </c>
      <c r="J50" s="2" t="s">
        <v>258</v>
      </c>
      <c r="K50" s="2" t="s">
        <v>304</v>
      </c>
      <c r="L50" s="2" t="s">
        <v>206</v>
      </c>
      <c r="M50" s="8" t="str">
        <f>HYPERLINK("http://slimages.macys.com/is/image/MCY/11722982 ")</f>
        <v xml:space="preserve">http://slimages.macys.com/is/image/MCY/11722982 </v>
      </c>
    </row>
    <row r="51" spans="1:13" ht="60" x14ac:dyDescent="0.25">
      <c r="A51" s="7" t="s">
        <v>819</v>
      </c>
      <c r="B51" s="2" t="s">
        <v>255</v>
      </c>
      <c r="C51" s="4">
        <v>3</v>
      </c>
      <c r="D51" s="5">
        <v>10.5</v>
      </c>
      <c r="E51" s="5">
        <v>24.99</v>
      </c>
      <c r="F51" s="4" t="s">
        <v>256</v>
      </c>
      <c r="G51" s="2" t="s">
        <v>262</v>
      </c>
      <c r="H51" s="7" t="s">
        <v>172</v>
      </c>
      <c r="I51" s="2" t="s">
        <v>257</v>
      </c>
      <c r="J51" s="2" t="s">
        <v>258</v>
      </c>
      <c r="K51" s="2" t="s">
        <v>304</v>
      </c>
      <c r="L51" s="2" t="s">
        <v>206</v>
      </c>
      <c r="M51" s="8" t="str">
        <f>HYPERLINK("http://slimages.macys.com/is/image/MCY/11722982 ")</f>
        <v xml:space="preserve">http://slimages.macys.com/is/image/MCY/11722982 </v>
      </c>
    </row>
    <row r="52" spans="1:13" ht="60" x14ac:dyDescent="0.25">
      <c r="A52" s="7" t="s">
        <v>820</v>
      </c>
      <c r="B52" s="2" t="s">
        <v>255</v>
      </c>
      <c r="C52" s="4">
        <v>2</v>
      </c>
      <c r="D52" s="5">
        <v>10.5</v>
      </c>
      <c r="E52" s="5">
        <v>24.99</v>
      </c>
      <c r="F52" s="4" t="s">
        <v>256</v>
      </c>
      <c r="G52" s="2" t="s">
        <v>262</v>
      </c>
      <c r="H52" s="7" t="s">
        <v>97</v>
      </c>
      <c r="I52" s="2" t="s">
        <v>257</v>
      </c>
      <c r="J52" s="2" t="s">
        <v>258</v>
      </c>
      <c r="K52" s="2" t="s">
        <v>304</v>
      </c>
      <c r="L52" s="2" t="s">
        <v>206</v>
      </c>
      <c r="M52" s="8" t="str">
        <f>HYPERLINK("http://slimages.macys.com/is/image/MCY/11722982 ")</f>
        <v xml:space="preserve">http://slimages.macys.com/is/image/MCY/11722982 </v>
      </c>
    </row>
    <row r="53" spans="1:13" ht="60" x14ac:dyDescent="0.25">
      <c r="A53" s="7" t="s">
        <v>823</v>
      </c>
      <c r="B53" s="2" t="s">
        <v>255</v>
      </c>
      <c r="C53" s="4">
        <v>1</v>
      </c>
      <c r="D53" s="5">
        <v>10.5</v>
      </c>
      <c r="E53" s="5">
        <v>24.99</v>
      </c>
      <c r="F53" s="4" t="s">
        <v>256</v>
      </c>
      <c r="G53" s="2" t="s">
        <v>262</v>
      </c>
      <c r="H53" s="7" t="s">
        <v>56</v>
      </c>
      <c r="I53" s="2" t="s">
        <v>257</v>
      </c>
      <c r="J53" s="2" t="s">
        <v>258</v>
      </c>
      <c r="K53" s="2" t="s">
        <v>304</v>
      </c>
      <c r="L53" s="2" t="s">
        <v>206</v>
      </c>
      <c r="M53" s="8" t="str">
        <f>HYPERLINK("http://slimages.macys.com/is/image/MCY/11722982 ")</f>
        <v xml:space="preserve">http://slimages.macys.com/is/image/MCY/11722982 </v>
      </c>
    </row>
    <row r="54" spans="1:13" ht="60" x14ac:dyDescent="0.25">
      <c r="A54" s="7" t="s">
        <v>6775</v>
      </c>
      <c r="B54" s="2" t="s">
        <v>255</v>
      </c>
      <c r="C54" s="4">
        <v>1</v>
      </c>
      <c r="D54" s="5">
        <v>10.5</v>
      </c>
      <c r="E54" s="5">
        <v>24.99</v>
      </c>
      <c r="F54" s="4" t="s">
        <v>256</v>
      </c>
      <c r="G54" s="2" t="s">
        <v>262</v>
      </c>
      <c r="H54" s="7" t="s">
        <v>1411</v>
      </c>
      <c r="I54" s="2" t="s">
        <v>257</v>
      </c>
      <c r="J54" s="2" t="s">
        <v>258</v>
      </c>
      <c r="K54" s="2" t="s">
        <v>304</v>
      </c>
      <c r="L54" s="2" t="s">
        <v>206</v>
      </c>
      <c r="M54" s="8" t="str">
        <f>HYPERLINK("http://slimages.macys.com/is/image/MCY/11722982 ")</f>
        <v xml:space="preserve">http://slimages.macys.com/is/image/MCY/11722982 </v>
      </c>
    </row>
    <row r="55" spans="1:13" ht="60" x14ac:dyDescent="0.25">
      <c r="A55" s="7" t="s">
        <v>1608</v>
      </c>
      <c r="B55" s="2" t="s">
        <v>1605</v>
      </c>
      <c r="C55" s="4">
        <v>1</v>
      </c>
      <c r="D55" s="5">
        <v>10.35</v>
      </c>
      <c r="E55" s="5">
        <v>24.99</v>
      </c>
      <c r="F55" s="4" t="s">
        <v>1606</v>
      </c>
      <c r="G55" s="2" t="s">
        <v>28</v>
      </c>
      <c r="H55" s="7" t="s">
        <v>228</v>
      </c>
      <c r="I55" s="2" t="s">
        <v>389</v>
      </c>
      <c r="J55" s="2" t="s">
        <v>354</v>
      </c>
      <c r="K55" s="2" t="s">
        <v>304</v>
      </c>
      <c r="L55" s="2" t="s">
        <v>1607</v>
      </c>
      <c r="M55" s="8" t="str">
        <f>HYPERLINK("http://slimages.macys.com/is/image/MCY/12000846 ")</f>
        <v xml:space="preserve">http://slimages.macys.com/is/image/MCY/12000846 </v>
      </c>
    </row>
    <row r="56" spans="1:13" ht="60" x14ac:dyDescent="0.25">
      <c r="A56" s="7" t="s">
        <v>7390</v>
      </c>
      <c r="B56" s="2" t="s">
        <v>1620</v>
      </c>
      <c r="C56" s="4">
        <v>1</v>
      </c>
      <c r="D56" s="5">
        <v>10.06</v>
      </c>
      <c r="E56" s="5">
        <v>22.99</v>
      </c>
      <c r="F56" s="4" t="s">
        <v>1621</v>
      </c>
      <c r="G56" s="2" t="s">
        <v>171</v>
      </c>
      <c r="H56" s="7" t="s">
        <v>63</v>
      </c>
      <c r="I56" s="2" t="s">
        <v>515</v>
      </c>
      <c r="J56" s="2" t="s">
        <v>516</v>
      </c>
      <c r="K56" s="2" t="s">
        <v>304</v>
      </c>
      <c r="L56" s="2" t="s">
        <v>358</v>
      </c>
      <c r="M56" s="8" t="str">
        <f>HYPERLINK("http://slimages.macys.com/is/image/MCY/11606059 ")</f>
        <v xml:space="preserve">http://slimages.macys.com/is/image/MCY/11606059 </v>
      </c>
    </row>
    <row r="57" spans="1:13" ht="60" x14ac:dyDescent="0.25">
      <c r="A57" s="7" t="s">
        <v>7391</v>
      </c>
      <c r="B57" s="2" t="s">
        <v>1620</v>
      </c>
      <c r="C57" s="4">
        <v>1</v>
      </c>
      <c r="D57" s="5">
        <v>10.06</v>
      </c>
      <c r="E57" s="5">
        <v>22.99</v>
      </c>
      <c r="F57" s="4" t="s">
        <v>1621</v>
      </c>
      <c r="G57" s="2" t="s">
        <v>171</v>
      </c>
      <c r="H57" s="7" t="s">
        <v>123</v>
      </c>
      <c r="I57" s="2" t="s">
        <v>515</v>
      </c>
      <c r="J57" s="2" t="s">
        <v>516</v>
      </c>
      <c r="K57" s="2" t="s">
        <v>304</v>
      </c>
      <c r="L57" s="2" t="s">
        <v>358</v>
      </c>
      <c r="M57" s="8" t="str">
        <f>HYPERLINK("http://slimages.macys.com/is/image/MCY/11606059 ")</f>
        <v xml:space="preserve">http://slimages.macys.com/is/image/MCY/11606059 </v>
      </c>
    </row>
    <row r="58" spans="1:13" ht="60" x14ac:dyDescent="0.25">
      <c r="A58" s="7" t="s">
        <v>7392</v>
      </c>
      <c r="B58" s="2" t="s">
        <v>282</v>
      </c>
      <c r="C58" s="4">
        <v>1</v>
      </c>
      <c r="D58" s="5">
        <v>10</v>
      </c>
      <c r="E58" s="5">
        <v>25</v>
      </c>
      <c r="F58" s="4">
        <v>1329007</v>
      </c>
      <c r="G58" s="2" t="s">
        <v>86</v>
      </c>
      <c r="H58" s="7" t="s">
        <v>217</v>
      </c>
      <c r="I58" s="2" t="s">
        <v>80</v>
      </c>
      <c r="J58" s="2" t="s">
        <v>280</v>
      </c>
      <c r="K58" s="2" t="s">
        <v>304</v>
      </c>
      <c r="L58" s="2" t="s">
        <v>125</v>
      </c>
      <c r="M58" s="8" t="str">
        <f>HYPERLINK("http://slimages.macys.com/is/image/MCY/14888348 ")</f>
        <v xml:space="preserve">http://slimages.macys.com/is/image/MCY/14888348 </v>
      </c>
    </row>
    <row r="59" spans="1:13" ht="60" x14ac:dyDescent="0.25">
      <c r="A59" s="7" t="s">
        <v>7393</v>
      </c>
      <c r="B59" s="2" t="s">
        <v>7394</v>
      </c>
      <c r="C59" s="4">
        <v>1</v>
      </c>
      <c r="D59" s="5">
        <v>9.75</v>
      </c>
      <c r="E59" s="5">
        <v>22.99</v>
      </c>
      <c r="F59" s="4">
        <v>14959011</v>
      </c>
      <c r="G59" s="2"/>
      <c r="H59" s="7" t="s">
        <v>91</v>
      </c>
      <c r="I59" s="2" t="s">
        <v>153</v>
      </c>
      <c r="J59" s="2" t="s">
        <v>3580</v>
      </c>
      <c r="K59" s="2" t="s">
        <v>304</v>
      </c>
      <c r="L59" s="2" t="s">
        <v>206</v>
      </c>
      <c r="M59" s="8" t="str">
        <f>HYPERLINK("http://slimages.macys.com/is/image/MCY/10227437 ")</f>
        <v xml:space="preserve">http://slimages.macys.com/is/image/MCY/10227437 </v>
      </c>
    </row>
    <row r="60" spans="1:13" ht="60" x14ac:dyDescent="0.25">
      <c r="A60" s="7" t="s">
        <v>7395</v>
      </c>
      <c r="B60" s="2" t="s">
        <v>7396</v>
      </c>
      <c r="C60" s="4">
        <v>1</v>
      </c>
      <c r="D60" s="5">
        <v>9.75</v>
      </c>
      <c r="E60" s="5">
        <v>24.99</v>
      </c>
      <c r="F60" s="4">
        <v>23241514</v>
      </c>
      <c r="G60" s="2"/>
      <c r="H60" s="7" t="s">
        <v>144</v>
      </c>
      <c r="I60" s="2" t="s">
        <v>487</v>
      </c>
      <c r="J60" s="2" t="s">
        <v>2424</v>
      </c>
      <c r="K60" s="2" t="s">
        <v>304</v>
      </c>
      <c r="L60" s="2" t="s">
        <v>206</v>
      </c>
      <c r="M60" s="8" t="str">
        <f>HYPERLINK("http://slimages.macys.com/is/image/MCY/9278143 ")</f>
        <v xml:space="preserve">http://slimages.macys.com/is/image/MCY/9278143 </v>
      </c>
    </row>
    <row r="61" spans="1:13" ht="84" x14ac:dyDescent="0.25">
      <c r="A61" s="7" t="s">
        <v>7397</v>
      </c>
      <c r="B61" s="2" t="s">
        <v>1629</v>
      </c>
      <c r="C61" s="4">
        <v>1</v>
      </c>
      <c r="D61" s="5">
        <v>9.75</v>
      </c>
      <c r="E61" s="5">
        <v>24.99</v>
      </c>
      <c r="F61" s="4" t="s">
        <v>1630</v>
      </c>
      <c r="G61" s="2" t="s">
        <v>41</v>
      </c>
      <c r="H61" s="7" t="s">
        <v>166</v>
      </c>
      <c r="I61" s="2" t="s">
        <v>321</v>
      </c>
      <c r="J61" s="2" t="s">
        <v>1631</v>
      </c>
      <c r="K61" s="2" t="s">
        <v>304</v>
      </c>
      <c r="L61" s="2" t="s">
        <v>1516</v>
      </c>
      <c r="M61" s="8" t="str">
        <f>HYPERLINK("http://slimages.macys.com/is/image/MCY/11545084 ")</f>
        <v xml:space="preserve">http://slimages.macys.com/is/image/MCY/11545084 </v>
      </c>
    </row>
    <row r="62" spans="1:13" ht="60" x14ac:dyDescent="0.25">
      <c r="A62" s="7" t="s">
        <v>7398</v>
      </c>
      <c r="B62" s="2" t="s">
        <v>7399</v>
      </c>
      <c r="C62" s="4">
        <v>1</v>
      </c>
      <c r="D62" s="5">
        <v>9.75</v>
      </c>
      <c r="E62" s="5">
        <v>22.41</v>
      </c>
      <c r="F62" s="4">
        <v>16484311</v>
      </c>
      <c r="G62" s="2"/>
      <c r="H62" s="7" t="s">
        <v>675</v>
      </c>
      <c r="I62" s="2" t="s">
        <v>153</v>
      </c>
      <c r="J62" s="2" t="s">
        <v>3580</v>
      </c>
      <c r="K62" s="2" t="s">
        <v>304</v>
      </c>
      <c r="L62" s="2" t="s">
        <v>38</v>
      </c>
      <c r="M62" s="8" t="str">
        <f>HYPERLINK("http://slimages.macys.com/is/image/MCY/11386967 ")</f>
        <v xml:space="preserve">http://slimages.macys.com/is/image/MCY/11386967 </v>
      </c>
    </row>
    <row r="63" spans="1:13" ht="84" x14ac:dyDescent="0.25">
      <c r="A63" s="7" t="s">
        <v>7400</v>
      </c>
      <c r="B63" s="2" t="s">
        <v>1629</v>
      </c>
      <c r="C63" s="4">
        <v>1</v>
      </c>
      <c r="D63" s="5">
        <v>9.75</v>
      </c>
      <c r="E63" s="5">
        <v>24.99</v>
      </c>
      <c r="F63" s="4" t="s">
        <v>1630</v>
      </c>
      <c r="G63" s="2" t="s">
        <v>41</v>
      </c>
      <c r="H63" s="7" t="s">
        <v>266</v>
      </c>
      <c r="I63" s="2" t="s">
        <v>321</v>
      </c>
      <c r="J63" s="2" t="s">
        <v>1631</v>
      </c>
      <c r="K63" s="2" t="s">
        <v>304</v>
      </c>
      <c r="L63" s="2" t="s">
        <v>1516</v>
      </c>
      <c r="M63" s="8" t="str">
        <f>HYPERLINK("http://slimages.macys.com/is/image/MCY/11545084 ")</f>
        <v xml:space="preserve">http://slimages.macys.com/is/image/MCY/11545084 </v>
      </c>
    </row>
    <row r="64" spans="1:13" ht="60" x14ac:dyDescent="0.25">
      <c r="A64" s="7" t="s">
        <v>7401</v>
      </c>
      <c r="B64" s="2" t="s">
        <v>7402</v>
      </c>
      <c r="C64" s="4">
        <v>1</v>
      </c>
      <c r="D64" s="5">
        <v>9.61</v>
      </c>
      <c r="E64" s="5">
        <v>24.99</v>
      </c>
      <c r="F64" s="4" t="s">
        <v>7403</v>
      </c>
      <c r="G64" s="2" t="s">
        <v>297</v>
      </c>
      <c r="H64" s="7" t="s">
        <v>1151</v>
      </c>
      <c r="I64" s="2" t="s">
        <v>515</v>
      </c>
      <c r="J64" s="2" t="s">
        <v>516</v>
      </c>
      <c r="K64" s="2" t="s">
        <v>304</v>
      </c>
      <c r="L64" s="2" t="s">
        <v>125</v>
      </c>
      <c r="M64" s="8" t="str">
        <f>HYPERLINK("http://slimages.macys.com/is/image/MCY/9978830 ")</f>
        <v xml:space="preserve">http://slimages.macys.com/is/image/MCY/9978830 </v>
      </c>
    </row>
    <row r="65" spans="1:13" ht="60" x14ac:dyDescent="0.25">
      <c r="A65" s="7" t="s">
        <v>7404</v>
      </c>
      <c r="B65" s="2" t="s">
        <v>7405</v>
      </c>
      <c r="C65" s="4">
        <v>1</v>
      </c>
      <c r="D65" s="5">
        <v>9.6</v>
      </c>
      <c r="E65" s="5">
        <v>23.99</v>
      </c>
      <c r="F65" s="4" t="s">
        <v>7406</v>
      </c>
      <c r="G65" s="2" t="s">
        <v>171</v>
      </c>
      <c r="H65" s="7" t="s">
        <v>177</v>
      </c>
      <c r="I65" s="2" t="s">
        <v>173</v>
      </c>
      <c r="J65" s="2" t="s">
        <v>174</v>
      </c>
      <c r="K65" s="2" t="s">
        <v>304</v>
      </c>
      <c r="L65" s="2" t="s">
        <v>3223</v>
      </c>
      <c r="M65" s="8" t="str">
        <f>HYPERLINK("http://slimages.macys.com/is/image/MCY/9357273 ")</f>
        <v xml:space="preserve">http://slimages.macys.com/is/image/MCY/9357273 </v>
      </c>
    </row>
    <row r="66" spans="1:13" ht="60" x14ac:dyDescent="0.25">
      <c r="A66" s="7" t="s">
        <v>7407</v>
      </c>
      <c r="B66" s="2" t="s">
        <v>7408</v>
      </c>
      <c r="C66" s="4">
        <v>1</v>
      </c>
      <c r="D66" s="5">
        <v>9.58</v>
      </c>
      <c r="E66" s="5">
        <v>24.99</v>
      </c>
      <c r="F66" s="4" t="s">
        <v>7409</v>
      </c>
      <c r="G66" s="2" t="s">
        <v>582</v>
      </c>
      <c r="H66" s="7" t="s">
        <v>578</v>
      </c>
      <c r="I66" s="2" t="s">
        <v>1689</v>
      </c>
      <c r="J66" s="2" t="s">
        <v>354</v>
      </c>
      <c r="K66" s="2" t="s">
        <v>304</v>
      </c>
      <c r="L66" s="2" t="s">
        <v>7410</v>
      </c>
      <c r="M66" s="8" t="str">
        <f>HYPERLINK("http://slimages.macys.com/is/image/MCY/12890297 ")</f>
        <v xml:space="preserve">http://slimages.macys.com/is/image/MCY/12890297 </v>
      </c>
    </row>
    <row r="67" spans="1:13" ht="60" x14ac:dyDescent="0.25">
      <c r="A67" s="7" t="s">
        <v>1632</v>
      </c>
      <c r="B67" s="2" t="s">
        <v>1633</v>
      </c>
      <c r="C67" s="4">
        <v>1</v>
      </c>
      <c r="D67" s="5">
        <v>9.5299999999999994</v>
      </c>
      <c r="E67" s="5">
        <v>22.99</v>
      </c>
      <c r="F67" s="4" t="s">
        <v>1634</v>
      </c>
      <c r="G67" s="2" t="s">
        <v>28</v>
      </c>
      <c r="H67" s="7" t="s">
        <v>217</v>
      </c>
      <c r="I67" s="2" t="s">
        <v>292</v>
      </c>
      <c r="J67" s="2" t="s">
        <v>293</v>
      </c>
      <c r="K67" s="2" t="s">
        <v>304</v>
      </c>
      <c r="L67" s="2" t="s">
        <v>206</v>
      </c>
      <c r="M67" s="8" t="str">
        <f>HYPERLINK("http://slimages.macys.com/is/image/MCY/11776336 ")</f>
        <v xml:space="preserve">http://slimages.macys.com/is/image/MCY/11776336 </v>
      </c>
    </row>
    <row r="68" spans="1:13" ht="60" x14ac:dyDescent="0.25">
      <c r="A68" s="7" t="s">
        <v>7411</v>
      </c>
      <c r="B68" s="2" t="s">
        <v>1633</v>
      </c>
      <c r="C68" s="4">
        <v>1</v>
      </c>
      <c r="D68" s="5">
        <v>9.5299999999999994</v>
      </c>
      <c r="E68" s="5">
        <v>22.99</v>
      </c>
      <c r="F68" s="4" t="s">
        <v>1634</v>
      </c>
      <c r="G68" s="2" t="s">
        <v>28</v>
      </c>
      <c r="H68" s="7" t="s">
        <v>284</v>
      </c>
      <c r="I68" s="2" t="s">
        <v>292</v>
      </c>
      <c r="J68" s="2" t="s">
        <v>293</v>
      </c>
      <c r="K68" s="2" t="s">
        <v>304</v>
      </c>
      <c r="L68" s="2" t="s">
        <v>206</v>
      </c>
      <c r="M68" s="8" t="str">
        <f>HYPERLINK("http://slimages.macys.com/is/image/MCY/11776336 ")</f>
        <v xml:space="preserve">http://slimages.macys.com/is/image/MCY/11776336 </v>
      </c>
    </row>
    <row r="69" spans="1:13" ht="60" x14ac:dyDescent="0.25">
      <c r="A69" s="7" t="s">
        <v>7412</v>
      </c>
      <c r="B69" s="2" t="s">
        <v>7413</v>
      </c>
      <c r="C69" s="4">
        <v>1</v>
      </c>
      <c r="D69" s="5">
        <v>9.5</v>
      </c>
      <c r="E69" s="5">
        <v>21.99</v>
      </c>
      <c r="F69" s="4" t="s">
        <v>7414</v>
      </c>
      <c r="G69" s="2" t="s">
        <v>892</v>
      </c>
      <c r="H69" s="7"/>
      <c r="I69" s="2" t="s">
        <v>321</v>
      </c>
      <c r="J69" s="2" t="s">
        <v>1671</v>
      </c>
      <c r="K69" s="2" t="s">
        <v>304</v>
      </c>
      <c r="L69" s="2" t="s">
        <v>125</v>
      </c>
      <c r="M69" s="8" t="str">
        <f>HYPERLINK("http://slimages.macys.com/is/image/MCY/11647208 ")</f>
        <v xml:space="preserve">http://slimages.macys.com/is/image/MCY/11647208 </v>
      </c>
    </row>
    <row r="70" spans="1:13" ht="120" x14ac:dyDescent="0.25">
      <c r="A70" s="7" t="s">
        <v>7415</v>
      </c>
      <c r="B70" s="2" t="s">
        <v>7416</v>
      </c>
      <c r="C70" s="4">
        <v>1</v>
      </c>
      <c r="D70" s="5">
        <v>9.5</v>
      </c>
      <c r="E70" s="5">
        <v>27.99</v>
      </c>
      <c r="F70" s="4" t="s">
        <v>7417</v>
      </c>
      <c r="G70" s="2" t="s">
        <v>1747</v>
      </c>
      <c r="H70" s="7" t="s">
        <v>166</v>
      </c>
      <c r="I70" s="2" t="s">
        <v>380</v>
      </c>
      <c r="J70" s="2" t="s">
        <v>381</v>
      </c>
      <c r="K70" s="2" t="s">
        <v>304</v>
      </c>
      <c r="L70" s="2" t="s">
        <v>4877</v>
      </c>
      <c r="M70" s="8" t="str">
        <f>HYPERLINK("http://slimages.macys.com/is/image/MCY/11644279 ")</f>
        <v xml:space="preserve">http://slimages.macys.com/is/image/MCY/11644279 </v>
      </c>
    </row>
    <row r="71" spans="1:13" ht="60" x14ac:dyDescent="0.25">
      <c r="A71" s="7" t="s">
        <v>7418</v>
      </c>
      <c r="B71" s="2" t="s">
        <v>7419</v>
      </c>
      <c r="C71" s="4">
        <v>1</v>
      </c>
      <c r="D71" s="5">
        <v>9.31</v>
      </c>
      <c r="E71" s="5">
        <v>22.99</v>
      </c>
      <c r="F71" s="4" t="s">
        <v>7420</v>
      </c>
      <c r="G71" s="2" t="s">
        <v>200</v>
      </c>
      <c r="H71" s="7" t="s">
        <v>159</v>
      </c>
      <c r="I71" s="2" t="s">
        <v>292</v>
      </c>
      <c r="J71" s="2" t="s">
        <v>293</v>
      </c>
      <c r="K71" s="2" t="s">
        <v>304</v>
      </c>
      <c r="L71" s="2" t="s">
        <v>100</v>
      </c>
      <c r="M71" s="8" t="str">
        <f>HYPERLINK("http://slimages.macys.com/is/image/MCY/13080791 ")</f>
        <v xml:space="preserve">http://slimages.macys.com/is/image/MCY/13080791 </v>
      </c>
    </row>
    <row r="72" spans="1:13" ht="144" x14ac:dyDescent="0.25">
      <c r="A72" s="7" t="s">
        <v>7421</v>
      </c>
      <c r="B72" s="2" t="s">
        <v>7422</v>
      </c>
      <c r="C72" s="4">
        <v>1</v>
      </c>
      <c r="D72" s="5">
        <v>9.3000000000000007</v>
      </c>
      <c r="E72" s="5">
        <v>21.99</v>
      </c>
      <c r="F72" s="4" t="s">
        <v>7423</v>
      </c>
      <c r="G72" s="2" t="s">
        <v>892</v>
      </c>
      <c r="H72" s="7" t="s">
        <v>42</v>
      </c>
      <c r="I72" s="2" t="s">
        <v>153</v>
      </c>
      <c r="J72" s="2" t="s">
        <v>154</v>
      </c>
      <c r="K72" s="2" t="s">
        <v>304</v>
      </c>
      <c r="L72" s="2" t="s">
        <v>7424</v>
      </c>
      <c r="M72" s="8" t="str">
        <f>HYPERLINK("http://slimages.macys.com/is/image/MCY/10433971 ")</f>
        <v xml:space="preserve">http://slimages.macys.com/is/image/MCY/10433971 </v>
      </c>
    </row>
    <row r="73" spans="1:13" ht="156" x14ac:dyDescent="0.25">
      <c r="A73" s="7" t="s">
        <v>7425</v>
      </c>
      <c r="B73" s="2" t="s">
        <v>7426</v>
      </c>
      <c r="C73" s="4">
        <v>1</v>
      </c>
      <c r="D73" s="5">
        <v>9.3000000000000007</v>
      </c>
      <c r="E73" s="5">
        <v>21.99</v>
      </c>
      <c r="F73" s="4" t="s">
        <v>7427</v>
      </c>
      <c r="G73" s="2" t="s">
        <v>28</v>
      </c>
      <c r="H73" s="7" t="s">
        <v>91</v>
      </c>
      <c r="I73" s="2" t="s">
        <v>153</v>
      </c>
      <c r="J73" s="2" t="s">
        <v>154</v>
      </c>
      <c r="K73" s="2" t="s">
        <v>304</v>
      </c>
      <c r="L73" s="2" t="s">
        <v>7428</v>
      </c>
      <c r="M73" s="8" t="str">
        <f>HYPERLINK("http://slimages.macys.com/is/image/MCY/9859043 ")</f>
        <v xml:space="preserve">http://slimages.macys.com/is/image/MCY/9859043 </v>
      </c>
    </row>
    <row r="74" spans="1:13" ht="60" x14ac:dyDescent="0.25">
      <c r="A74" s="7" t="s">
        <v>7429</v>
      </c>
      <c r="B74" s="2" t="s">
        <v>7430</v>
      </c>
      <c r="C74" s="4">
        <v>1</v>
      </c>
      <c r="D74" s="5">
        <v>9.2799999999999994</v>
      </c>
      <c r="E74" s="5">
        <v>20.99</v>
      </c>
      <c r="F74" s="4" t="s">
        <v>7431</v>
      </c>
      <c r="G74" s="2" t="s">
        <v>1265</v>
      </c>
      <c r="H74" s="7" t="s">
        <v>248</v>
      </c>
      <c r="I74" s="2" t="s">
        <v>73</v>
      </c>
      <c r="J74" s="2" t="s">
        <v>249</v>
      </c>
      <c r="K74" s="2" t="s">
        <v>304</v>
      </c>
      <c r="L74" s="2" t="s">
        <v>7432</v>
      </c>
      <c r="M74" s="8" t="str">
        <f>HYPERLINK("http://slimages.macys.com/is/image/MCY/12225552 ")</f>
        <v xml:space="preserve">http://slimages.macys.com/is/image/MCY/12225552 </v>
      </c>
    </row>
    <row r="75" spans="1:13" ht="60" x14ac:dyDescent="0.25">
      <c r="A75" s="7" t="s">
        <v>7433</v>
      </c>
      <c r="B75" s="2" t="s">
        <v>7434</v>
      </c>
      <c r="C75" s="4">
        <v>1</v>
      </c>
      <c r="D75" s="5">
        <v>9.25</v>
      </c>
      <c r="E75" s="5">
        <v>21.99</v>
      </c>
      <c r="F75" s="4" t="s">
        <v>7435</v>
      </c>
      <c r="G75" s="2" t="s">
        <v>62</v>
      </c>
      <c r="H75" s="7" t="s">
        <v>1151</v>
      </c>
      <c r="I75" s="2" t="s">
        <v>218</v>
      </c>
      <c r="J75" s="2" t="s">
        <v>2008</v>
      </c>
      <c r="K75" s="2" t="s">
        <v>304</v>
      </c>
      <c r="L75" s="2" t="s">
        <v>119</v>
      </c>
      <c r="M75" s="8" t="str">
        <f>HYPERLINK("http://slimages.macys.com/is/image/MCY/12953518 ")</f>
        <v xml:space="preserve">http://slimages.macys.com/is/image/MCY/12953518 </v>
      </c>
    </row>
    <row r="76" spans="1:13" ht="72" x14ac:dyDescent="0.25">
      <c r="A76" s="7" t="s">
        <v>7436</v>
      </c>
      <c r="B76" s="2" t="s">
        <v>7437</v>
      </c>
      <c r="C76" s="4">
        <v>1</v>
      </c>
      <c r="D76" s="5">
        <v>9.24</v>
      </c>
      <c r="E76" s="5">
        <v>19.989999999999998</v>
      </c>
      <c r="F76" s="4" t="s">
        <v>7438</v>
      </c>
      <c r="G76" s="2" t="s">
        <v>28</v>
      </c>
      <c r="H76" s="7" t="s">
        <v>311</v>
      </c>
      <c r="I76" s="2" t="s">
        <v>515</v>
      </c>
      <c r="J76" s="2" t="s">
        <v>516</v>
      </c>
      <c r="K76" s="2" t="s">
        <v>304</v>
      </c>
      <c r="L76" s="2" t="s">
        <v>1117</v>
      </c>
      <c r="M76" s="8" t="str">
        <f>HYPERLINK("http://slimages.macys.com/is/image/MCY/11606123 ")</f>
        <v xml:space="preserve">http://slimages.macys.com/is/image/MCY/11606123 </v>
      </c>
    </row>
    <row r="77" spans="1:13" ht="132" x14ac:dyDescent="0.25">
      <c r="A77" s="7" t="s">
        <v>7439</v>
      </c>
      <c r="B77" s="2" t="s">
        <v>7440</v>
      </c>
      <c r="C77" s="4">
        <v>1</v>
      </c>
      <c r="D77" s="5">
        <v>9.15</v>
      </c>
      <c r="E77" s="5">
        <v>26.99</v>
      </c>
      <c r="F77" s="4" t="s">
        <v>7441</v>
      </c>
      <c r="G77" s="2" t="s">
        <v>41</v>
      </c>
      <c r="H77" s="7" t="s">
        <v>590</v>
      </c>
      <c r="I77" s="2" t="s">
        <v>483</v>
      </c>
      <c r="J77" s="2" t="s">
        <v>536</v>
      </c>
      <c r="K77" s="2" t="s">
        <v>304</v>
      </c>
      <c r="L77" s="2" t="s">
        <v>7442</v>
      </c>
      <c r="M77" s="8" t="str">
        <f>HYPERLINK("http://slimages.macys.com/is/image/MCY/10524633 ")</f>
        <v xml:space="preserve">http://slimages.macys.com/is/image/MCY/10524633 </v>
      </c>
    </row>
    <row r="78" spans="1:13" ht="132" x14ac:dyDescent="0.25">
      <c r="A78" s="7" t="s">
        <v>7443</v>
      </c>
      <c r="B78" s="2" t="s">
        <v>7440</v>
      </c>
      <c r="C78" s="4">
        <v>1</v>
      </c>
      <c r="D78" s="5">
        <v>9.15</v>
      </c>
      <c r="E78" s="5">
        <v>26.99</v>
      </c>
      <c r="F78" s="4" t="s">
        <v>7441</v>
      </c>
      <c r="G78" s="2" t="s">
        <v>41</v>
      </c>
      <c r="H78" s="7" t="s">
        <v>149</v>
      </c>
      <c r="I78" s="2" t="s">
        <v>483</v>
      </c>
      <c r="J78" s="2" t="s">
        <v>536</v>
      </c>
      <c r="K78" s="2" t="s">
        <v>304</v>
      </c>
      <c r="L78" s="2" t="s">
        <v>7442</v>
      </c>
      <c r="M78" s="8" t="str">
        <f>HYPERLINK("http://slimages.macys.com/is/image/MCY/10524633 ")</f>
        <v xml:space="preserve">http://slimages.macys.com/is/image/MCY/10524633 </v>
      </c>
    </row>
    <row r="79" spans="1:13" ht="60" x14ac:dyDescent="0.25">
      <c r="A79" s="7" t="s">
        <v>7444</v>
      </c>
      <c r="B79" s="2" t="s">
        <v>6205</v>
      </c>
      <c r="C79" s="4">
        <v>1</v>
      </c>
      <c r="D79" s="5">
        <v>9.09</v>
      </c>
      <c r="E79" s="5">
        <v>26.99</v>
      </c>
      <c r="F79" s="4" t="s">
        <v>6206</v>
      </c>
      <c r="G79" s="2" t="s">
        <v>86</v>
      </c>
      <c r="H79" s="7" t="s">
        <v>196</v>
      </c>
      <c r="I79" s="2" t="s">
        <v>389</v>
      </c>
      <c r="J79" s="2" t="s">
        <v>354</v>
      </c>
      <c r="K79" s="2" t="s">
        <v>304</v>
      </c>
      <c r="L79" s="2" t="s">
        <v>6207</v>
      </c>
      <c r="M79" s="8" t="str">
        <f>HYPERLINK("http://slimages.macys.com/is/image/MCY/13079495 ")</f>
        <v xml:space="preserve">http://slimages.macys.com/is/image/MCY/13079495 </v>
      </c>
    </row>
    <row r="80" spans="1:13" ht="60" x14ac:dyDescent="0.25">
      <c r="A80" s="7" t="s">
        <v>7445</v>
      </c>
      <c r="B80" s="2" t="s">
        <v>6205</v>
      </c>
      <c r="C80" s="4">
        <v>3</v>
      </c>
      <c r="D80" s="5">
        <v>9.09</v>
      </c>
      <c r="E80" s="5">
        <v>26.99</v>
      </c>
      <c r="F80" s="4" t="s">
        <v>6206</v>
      </c>
      <c r="G80" s="2" t="s">
        <v>86</v>
      </c>
      <c r="H80" s="7" t="s">
        <v>228</v>
      </c>
      <c r="I80" s="2" t="s">
        <v>389</v>
      </c>
      <c r="J80" s="2" t="s">
        <v>354</v>
      </c>
      <c r="K80" s="2" t="s">
        <v>304</v>
      </c>
      <c r="L80" s="2" t="s">
        <v>6207</v>
      </c>
      <c r="M80" s="8" t="str">
        <f>HYPERLINK("http://slimages.macys.com/is/image/MCY/13079495 ")</f>
        <v xml:space="preserve">http://slimages.macys.com/is/image/MCY/13079495 </v>
      </c>
    </row>
    <row r="81" spans="1:13" ht="60" x14ac:dyDescent="0.25">
      <c r="A81" s="7" t="s">
        <v>7446</v>
      </c>
      <c r="B81" s="2" t="s">
        <v>6205</v>
      </c>
      <c r="C81" s="4">
        <v>3</v>
      </c>
      <c r="D81" s="5">
        <v>9.09</v>
      </c>
      <c r="E81" s="5">
        <v>26.99</v>
      </c>
      <c r="F81" s="4" t="s">
        <v>6206</v>
      </c>
      <c r="G81" s="2" t="s">
        <v>86</v>
      </c>
      <c r="H81" s="7" t="s">
        <v>159</v>
      </c>
      <c r="I81" s="2" t="s">
        <v>389</v>
      </c>
      <c r="J81" s="2" t="s">
        <v>354</v>
      </c>
      <c r="K81" s="2" t="s">
        <v>304</v>
      </c>
      <c r="L81" s="2" t="s">
        <v>6207</v>
      </c>
      <c r="M81" s="8" t="str">
        <f>HYPERLINK("http://slimages.macys.com/is/image/MCY/13079495 ")</f>
        <v xml:space="preserve">http://slimages.macys.com/is/image/MCY/13079495 </v>
      </c>
    </row>
    <row r="82" spans="1:13" ht="84" x14ac:dyDescent="0.25">
      <c r="A82" s="7" t="s">
        <v>7447</v>
      </c>
      <c r="B82" s="2" t="s">
        <v>7448</v>
      </c>
      <c r="C82" s="4">
        <v>1</v>
      </c>
      <c r="D82" s="5">
        <v>9</v>
      </c>
      <c r="E82" s="5">
        <v>24.99</v>
      </c>
      <c r="F82" s="4" t="s">
        <v>7449</v>
      </c>
      <c r="G82" s="2" t="s">
        <v>353</v>
      </c>
      <c r="H82" s="7" t="s">
        <v>774</v>
      </c>
      <c r="I82" s="2" t="s">
        <v>321</v>
      </c>
      <c r="J82" s="2" t="s">
        <v>1652</v>
      </c>
      <c r="K82" s="2" t="s">
        <v>304</v>
      </c>
      <c r="L82" s="2" t="s">
        <v>1516</v>
      </c>
      <c r="M82" s="8" t="str">
        <f>HYPERLINK("http://slimages.macys.com/is/image/MCY/11640964 ")</f>
        <v xml:space="preserve">http://slimages.macys.com/is/image/MCY/11640964 </v>
      </c>
    </row>
    <row r="83" spans="1:13" ht="60" x14ac:dyDescent="0.25">
      <c r="A83" s="7" t="s">
        <v>7450</v>
      </c>
      <c r="B83" s="2" t="s">
        <v>7451</v>
      </c>
      <c r="C83" s="4">
        <v>1</v>
      </c>
      <c r="D83" s="5">
        <v>9</v>
      </c>
      <c r="E83" s="5">
        <v>21.99</v>
      </c>
      <c r="F83" s="4" t="s">
        <v>7452</v>
      </c>
      <c r="G83" s="2" t="s">
        <v>129</v>
      </c>
      <c r="H83" s="7" t="s">
        <v>68</v>
      </c>
      <c r="I83" s="2" t="s">
        <v>342</v>
      </c>
      <c r="J83" s="2" t="s">
        <v>1613</v>
      </c>
      <c r="K83" s="2" t="s">
        <v>304</v>
      </c>
      <c r="L83" s="2" t="s">
        <v>623</v>
      </c>
      <c r="M83" s="8" t="str">
        <f>HYPERLINK("http://slimages.macys.com/is/image/MCY/12237634 ")</f>
        <v xml:space="preserve">http://slimages.macys.com/is/image/MCY/12237634 </v>
      </c>
    </row>
    <row r="84" spans="1:13" ht="60" x14ac:dyDescent="0.25">
      <c r="A84" s="7" t="s">
        <v>7453</v>
      </c>
      <c r="B84" s="2" t="s">
        <v>7454</v>
      </c>
      <c r="C84" s="4">
        <v>1</v>
      </c>
      <c r="D84" s="5">
        <v>8.92</v>
      </c>
      <c r="E84" s="5">
        <v>22.99</v>
      </c>
      <c r="F84" s="4" t="s">
        <v>7455</v>
      </c>
      <c r="G84" s="2" t="s">
        <v>582</v>
      </c>
      <c r="H84" s="7" t="s">
        <v>166</v>
      </c>
      <c r="I84" s="2" t="s">
        <v>389</v>
      </c>
      <c r="J84" s="2" t="s">
        <v>354</v>
      </c>
      <c r="K84" s="2" t="s">
        <v>304</v>
      </c>
      <c r="L84" s="2" t="s">
        <v>38</v>
      </c>
      <c r="M84" s="8" t="str">
        <f>HYPERLINK("http://slimages.macys.com/is/image/MCY/11777901 ")</f>
        <v xml:space="preserve">http://slimages.macys.com/is/image/MCY/11777901 </v>
      </c>
    </row>
    <row r="85" spans="1:13" ht="60" x14ac:dyDescent="0.25">
      <c r="A85" s="7" t="s">
        <v>7456</v>
      </c>
      <c r="B85" s="2" t="s">
        <v>7457</v>
      </c>
      <c r="C85" s="4">
        <v>1</v>
      </c>
      <c r="D85" s="5">
        <v>8.85</v>
      </c>
      <c r="E85" s="5">
        <v>18.989999999999998</v>
      </c>
      <c r="F85" s="4" t="s">
        <v>7458</v>
      </c>
      <c r="G85" s="2" t="s">
        <v>48</v>
      </c>
      <c r="H85" s="7" t="s">
        <v>379</v>
      </c>
      <c r="I85" s="2" t="s">
        <v>380</v>
      </c>
      <c r="J85" s="2" t="s">
        <v>544</v>
      </c>
      <c r="K85" s="2" t="s">
        <v>304</v>
      </c>
      <c r="L85" s="2" t="s">
        <v>119</v>
      </c>
      <c r="M85" s="8" t="str">
        <f>HYPERLINK("http://slimages.macys.com/is/image/MCY/10427252 ")</f>
        <v xml:space="preserve">http://slimages.macys.com/is/image/MCY/10427252 </v>
      </c>
    </row>
    <row r="86" spans="1:13" ht="60" x14ac:dyDescent="0.25">
      <c r="A86" s="7" t="s">
        <v>7459</v>
      </c>
      <c r="B86" s="2" t="s">
        <v>7460</v>
      </c>
      <c r="C86" s="4">
        <v>1</v>
      </c>
      <c r="D86" s="5">
        <v>8.82</v>
      </c>
      <c r="E86" s="5">
        <v>24.5</v>
      </c>
      <c r="F86" s="4" t="s">
        <v>7461</v>
      </c>
      <c r="G86" s="2" t="s">
        <v>41</v>
      </c>
      <c r="H86" s="7" t="s">
        <v>248</v>
      </c>
      <c r="I86" s="2" t="s">
        <v>880</v>
      </c>
      <c r="J86" s="2" t="s">
        <v>881</v>
      </c>
      <c r="K86" s="2" t="s">
        <v>304</v>
      </c>
      <c r="L86" s="2" t="s">
        <v>87</v>
      </c>
      <c r="M86" s="8" t="str">
        <f>HYPERLINK("http://slimages.macys.com/is/image/MCY/12051791 ")</f>
        <v xml:space="preserve">http://slimages.macys.com/is/image/MCY/12051791 </v>
      </c>
    </row>
    <row r="87" spans="1:13" ht="60" x14ac:dyDescent="0.25">
      <c r="A87" s="7" t="s">
        <v>7462</v>
      </c>
      <c r="B87" s="2" t="s">
        <v>5349</v>
      </c>
      <c r="C87" s="4">
        <v>1</v>
      </c>
      <c r="D87" s="5">
        <v>8.65</v>
      </c>
      <c r="E87" s="5">
        <v>22</v>
      </c>
      <c r="F87" s="4" t="s">
        <v>5350</v>
      </c>
      <c r="G87" s="2"/>
      <c r="H87" s="7" t="s">
        <v>177</v>
      </c>
      <c r="I87" s="2" t="s">
        <v>321</v>
      </c>
      <c r="J87" s="2" t="s">
        <v>2557</v>
      </c>
      <c r="K87" s="2" t="s">
        <v>304</v>
      </c>
      <c r="L87" s="2" t="s">
        <v>2558</v>
      </c>
      <c r="M87" s="8" t="str">
        <f>HYPERLINK("http://slimages.macys.com/is/image/MCY/10749508 ")</f>
        <v xml:space="preserve">http://slimages.macys.com/is/image/MCY/10749508 </v>
      </c>
    </row>
    <row r="88" spans="1:13" ht="60" x14ac:dyDescent="0.25">
      <c r="A88" s="7" t="s">
        <v>7463</v>
      </c>
      <c r="B88" s="2" t="s">
        <v>5357</v>
      </c>
      <c r="C88" s="4">
        <v>1</v>
      </c>
      <c r="D88" s="5">
        <v>8.5399999999999991</v>
      </c>
      <c r="E88" s="5">
        <v>21.99</v>
      </c>
      <c r="F88" s="4" t="s">
        <v>5358</v>
      </c>
      <c r="G88" s="2" t="s">
        <v>582</v>
      </c>
      <c r="H88" s="7" t="s">
        <v>284</v>
      </c>
      <c r="I88" s="2" t="s">
        <v>389</v>
      </c>
      <c r="J88" s="2" t="s">
        <v>354</v>
      </c>
      <c r="K88" s="2" t="s">
        <v>304</v>
      </c>
      <c r="L88" s="2" t="s">
        <v>119</v>
      </c>
      <c r="M88" s="8" t="str">
        <f>HYPERLINK("http://slimages.macys.com/is/image/MCY/12121633 ")</f>
        <v xml:space="preserve">http://slimages.macys.com/is/image/MCY/12121633 </v>
      </c>
    </row>
    <row r="89" spans="1:13" ht="60" x14ac:dyDescent="0.25">
      <c r="A89" s="7" t="s">
        <v>7464</v>
      </c>
      <c r="B89" s="2" t="s">
        <v>7465</v>
      </c>
      <c r="C89" s="4">
        <v>1</v>
      </c>
      <c r="D89" s="5">
        <v>8.5</v>
      </c>
      <c r="E89" s="5">
        <v>21.99</v>
      </c>
      <c r="F89" s="4" t="s">
        <v>7466</v>
      </c>
      <c r="G89" s="2" t="s">
        <v>79</v>
      </c>
      <c r="H89" s="7"/>
      <c r="I89" s="2" t="s">
        <v>321</v>
      </c>
      <c r="J89" s="2" t="s">
        <v>5901</v>
      </c>
      <c r="K89" s="2" t="s">
        <v>304</v>
      </c>
      <c r="L89" s="2" t="s">
        <v>125</v>
      </c>
      <c r="M89" s="8" t="str">
        <f>HYPERLINK("http://slimages.macys.com/is/image/MCY/11647279 ")</f>
        <v xml:space="preserve">http://slimages.macys.com/is/image/MCY/11647279 </v>
      </c>
    </row>
    <row r="90" spans="1:13" ht="60" x14ac:dyDescent="0.25">
      <c r="A90" s="7" t="s">
        <v>7467</v>
      </c>
      <c r="B90" s="2" t="s">
        <v>7468</v>
      </c>
      <c r="C90" s="4">
        <v>1</v>
      </c>
      <c r="D90" s="5">
        <v>8.5</v>
      </c>
      <c r="E90" s="5">
        <v>24.99</v>
      </c>
      <c r="F90" s="4" t="s">
        <v>7469</v>
      </c>
      <c r="G90" s="2" t="s">
        <v>800</v>
      </c>
      <c r="H90" s="7" t="s">
        <v>317</v>
      </c>
      <c r="I90" s="2" t="s">
        <v>64</v>
      </c>
      <c r="J90" s="2" t="s">
        <v>801</v>
      </c>
      <c r="K90" s="2" t="s">
        <v>304</v>
      </c>
      <c r="L90" s="2" t="s">
        <v>119</v>
      </c>
      <c r="M90" s="8" t="str">
        <f>HYPERLINK("http://slimages.macys.com/is/image/MCY/12236643 ")</f>
        <v xml:space="preserve">http://slimages.macys.com/is/image/MCY/12236643 </v>
      </c>
    </row>
    <row r="91" spans="1:13" ht="60" x14ac:dyDescent="0.25">
      <c r="A91" s="7" t="s">
        <v>1677</v>
      </c>
      <c r="B91" s="2" t="s">
        <v>1673</v>
      </c>
      <c r="C91" s="4">
        <v>2</v>
      </c>
      <c r="D91" s="5">
        <v>8.4499999999999993</v>
      </c>
      <c r="E91" s="5">
        <v>16.989999999999998</v>
      </c>
      <c r="F91" s="4" t="s">
        <v>1674</v>
      </c>
      <c r="G91" s="2" t="s">
        <v>48</v>
      </c>
      <c r="H91" s="7" t="s">
        <v>159</v>
      </c>
      <c r="I91" s="2" t="s">
        <v>515</v>
      </c>
      <c r="J91" s="2" t="s">
        <v>827</v>
      </c>
      <c r="K91" s="2" t="s">
        <v>304</v>
      </c>
      <c r="L91" s="2" t="s">
        <v>358</v>
      </c>
      <c r="M91" s="8" t="str">
        <f>HYPERLINK("http://slimages.macys.com/is/image/MCY/12688126 ")</f>
        <v xml:space="preserve">http://slimages.macys.com/is/image/MCY/12688126 </v>
      </c>
    </row>
    <row r="92" spans="1:13" ht="60" x14ac:dyDescent="0.25">
      <c r="A92" s="7" t="s">
        <v>6222</v>
      </c>
      <c r="B92" s="2" t="s">
        <v>1673</v>
      </c>
      <c r="C92" s="4">
        <v>1</v>
      </c>
      <c r="D92" s="5">
        <v>8.4499999999999993</v>
      </c>
      <c r="E92" s="5">
        <v>16.989999999999998</v>
      </c>
      <c r="F92" s="4" t="s">
        <v>1674</v>
      </c>
      <c r="G92" s="2" t="s">
        <v>48</v>
      </c>
      <c r="H92" s="7" t="s">
        <v>228</v>
      </c>
      <c r="I92" s="2" t="s">
        <v>515</v>
      </c>
      <c r="J92" s="2" t="s">
        <v>827</v>
      </c>
      <c r="K92" s="2" t="s">
        <v>304</v>
      </c>
      <c r="L92" s="2" t="s">
        <v>358</v>
      </c>
      <c r="M92" s="8" t="str">
        <f>HYPERLINK("http://slimages.macys.com/is/image/MCY/12688126 ")</f>
        <v xml:space="preserve">http://slimages.macys.com/is/image/MCY/12688126 </v>
      </c>
    </row>
    <row r="93" spans="1:13" ht="60" x14ac:dyDescent="0.25">
      <c r="A93" s="7" t="s">
        <v>7470</v>
      </c>
      <c r="B93" s="2" t="s">
        <v>1687</v>
      </c>
      <c r="C93" s="4">
        <v>2</v>
      </c>
      <c r="D93" s="5">
        <v>8.3800000000000008</v>
      </c>
      <c r="E93" s="5">
        <v>24.99</v>
      </c>
      <c r="F93" s="4" t="s">
        <v>1688</v>
      </c>
      <c r="G93" s="2" t="s">
        <v>28</v>
      </c>
      <c r="H93" s="7" t="s">
        <v>514</v>
      </c>
      <c r="I93" s="2" t="s">
        <v>1689</v>
      </c>
      <c r="J93" s="2" t="s">
        <v>354</v>
      </c>
      <c r="K93" s="2" t="s">
        <v>304</v>
      </c>
      <c r="L93" s="2" t="s">
        <v>1569</v>
      </c>
      <c r="M93" s="8" t="str">
        <f>HYPERLINK("http://slimages.macys.com/is/image/MCY/13076988 ")</f>
        <v xml:space="preserve">http://slimages.macys.com/is/image/MCY/13076988 </v>
      </c>
    </row>
    <row r="94" spans="1:13" ht="60" x14ac:dyDescent="0.25">
      <c r="A94" s="7" t="s">
        <v>7471</v>
      </c>
      <c r="B94" s="2" t="s">
        <v>7472</v>
      </c>
      <c r="C94" s="4">
        <v>1</v>
      </c>
      <c r="D94" s="5">
        <v>8.3800000000000008</v>
      </c>
      <c r="E94" s="5">
        <v>24.99</v>
      </c>
      <c r="F94" s="4" t="s">
        <v>7473</v>
      </c>
      <c r="G94" s="2" t="s">
        <v>785</v>
      </c>
      <c r="H94" s="7" t="s">
        <v>123</v>
      </c>
      <c r="I94" s="2" t="s">
        <v>1689</v>
      </c>
      <c r="J94" s="2" t="s">
        <v>354</v>
      </c>
      <c r="K94" s="2" t="s">
        <v>304</v>
      </c>
      <c r="L94" s="2" t="s">
        <v>119</v>
      </c>
      <c r="M94" s="8" t="str">
        <f>HYPERLINK("http://slimages.macys.com/is/image/MCY/13824201 ")</f>
        <v xml:space="preserve">http://slimages.macys.com/is/image/MCY/13824201 </v>
      </c>
    </row>
    <row r="95" spans="1:13" ht="60" x14ac:dyDescent="0.25">
      <c r="A95" s="7" t="s">
        <v>3931</v>
      </c>
      <c r="B95" s="2" t="s">
        <v>1687</v>
      </c>
      <c r="C95" s="4">
        <v>2</v>
      </c>
      <c r="D95" s="5">
        <v>8.3800000000000008</v>
      </c>
      <c r="E95" s="5">
        <v>24.99</v>
      </c>
      <c r="F95" s="4" t="s">
        <v>1688</v>
      </c>
      <c r="G95" s="2" t="s">
        <v>28</v>
      </c>
      <c r="H95" s="7" t="s">
        <v>311</v>
      </c>
      <c r="I95" s="2" t="s">
        <v>1689</v>
      </c>
      <c r="J95" s="2" t="s">
        <v>354</v>
      </c>
      <c r="K95" s="2" t="s">
        <v>304</v>
      </c>
      <c r="L95" s="2" t="s">
        <v>390</v>
      </c>
      <c r="M95" s="8" t="str">
        <f>HYPERLINK("http://slimages.macys.com/is/image/MCY/13076988 ")</f>
        <v xml:space="preserve">http://slimages.macys.com/is/image/MCY/13076988 </v>
      </c>
    </row>
    <row r="96" spans="1:13" ht="72" x14ac:dyDescent="0.25">
      <c r="A96" s="7" t="s">
        <v>7474</v>
      </c>
      <c r="B96" s="2" t="s">
        <v>7475</v>
      </c>
      <c r="C96" s="4">
        <v>1</v>
      </c>
      <c r="D96" s="5">
        <v>8.3699999999999992</v>
      </c>
      <c r="E96" s="5">
        <v>19.989999999999998</v>
      </c>
      <c r="F96" s="4" t="s">
        <v>7476</v>
      </c>
      <c r="G96" s="2" t="s">
        <v>28</v>
      </c>
      <c r="H96" s="7" t="s">
        <v>284</v>
      </c>
      <c r="I96" s="2" t="s">
        <v>515</v>
      </c>
      <c r="J96" s="2" t="s">
        <v>827</v>
      </c>
      <c r="K96" s="2" t="s">
        <v>304</v>
      </c>
      <c r="L96" s="2" t="s">
        <v>1117</v>
      </c>
      <c r="M96" s="8" t="str">
        <f>HYPERLINK("http://slimages.macys.com/is/image/MCY/11605982 ")</f>
        <v xml:space="preserve">http://slimages.macys.com/is/image/MCY/11605982 </v>
      </c>
    </row>
    <row r="97" spans="1:13" ht="60" x14ac:dyDescent="0.25">
      <c r="A97" s="7" t="s">
        <v>3950</v>
      </c>
      <c r="B97" s="2" t="s">
        <v>3951</v>
      </c>
      <c r="C97" s="4">
        <v>1</v>
      </c>
      <c r="D97" s="5">
        <v>8.2100000000000009</v>
      </c>
      <c r="E97" s="5">
        <v>26.99</v>
      </c>
      <c r="F97" s="4" t="s">
        <v>3952</v>
      </c>
      <c r="G97" s="2" t="s">
        <v>171</v>
      </c>
      <c r="H97" s="7" t="s">
        <v>196</v>
      </c>
      <c r="I97" s="2" t="s">
        <v>389</v>
      </c>
      <c r="J97" s="2" t="s">
        <v>354</v>
      </c>
      <c r="K97" s="2" t="s">
        <v>304</v>
      </c>
      <c r="L97" s="2" t="s">
        <v>390</v>
      </c>
      <c r="M97" s="8" t="str">
        <f>HYPERLINK("http://slimages.macys.com/is/image/MCY/12122283 ")</f>
        <v xml:space="preserve">http://slimages.macys.com/is/image/MCY/12122283 </v>
      </c>
    </row>
    <row r="98" spans="1:13" ht="84" x14ac:dyDescent="0.25">
      <c r="A98" s="7" t="s">
        <v>7477</v>
      </c>
      <c r="B98" s="2" t="s">
        <v>7478</v>
      </c>
      <c r="C98" s="4">
        <v>1</v>
      </c>
      <c r="D98" s="5">
        <v>8.1</v>
      </c>
      <c r="E98" s="5">
        <v>16.2</v>
      </c>
      <c r="F98" s="4" t="s">
        <v>7479</v>
      </c>
      <c r="G98" s="2"/>
      <c r="H98" s="7" t="s">
        <v>144</v>
      </c>
      <c r="I98" s="2" t="s">
        <v>487</v>
      </c>
      <c r="J98" s="2" t="s">
        <v>488</v>
      </c>
      <c r="K98" s="2" t="s">
        <v>304</v>
      </c>
      <c r="L98" s="2" t="s">
        <v>7480</v>
      </c>
      <c r="M98" s="8" t="str">
        <f>HYPERLINK("http://slimages.macys.com/is/image/MCY/10321137 ")</f>
        <v xml:space="preserve">http://slimages.macys.com/is/image/MCY/10321137 </v>
      </c>
    </row>
    <row r="99" spans="1:13" ht="60" x14ac:dyDescent="0.25">
      <c r="A99" s="7" t="s">
        <v>7481</v>
      </c>
      <c r="B99" s="2" t="s">
        <v>7482</v>
      </c>
      <c r="C99" s="4">
        <v>1</v>
      </c>
      <c r="D99" s="5">
        <v>8.01</v>
      </c>
      <c r="E99" s="5">
        <v>17.989999999999998</v>
      </c>
      <c r="F99" s="4" t="s">
        <v>3274</v>
      </c>
      <c r="G99" s="2" t="s">
        <v>195</v>
      </c>
      <c r="H99" s="7" t="s">
        <v>284</v>
      </c>
      <c r="I99" s="2" t="s">
        <v>73</v>
      </c>
      <c r="J99" s="2" t="s">
        <v>160</v>
      </c>
      <c r="K99" s="2" t="s">
        <v>304</v>
      </c>
      <c r="L99" s="2" t="s">
        <v>206</v>
      </c>
      <c r="M99" s="8" t="str">
        <f>HYPERLINK("http://slimages.macys.com/is/image/MCY/12337176 ")</f>
        <v xml:space="preserve">http://slimages.macys.com/is/image/MCY/12337176 </v>
      </c>
    </row>
    <row r="100" spans="1:13" ht="84" x14ac:dyDescent="0.25">
      <c r="A100" s="7" t="s">
        <v>7483</v>
      </c>
      <c r="B100" s="2" t="s">
        <v>7484</v>
      </c>
      <c r="C100" s="4">
        <v>1</v>
      </c>
      <c r="D100" s="5">
        <v>8</v>
      </c>
      <c r="E100" s="5">
        <v>19.989999999999998</v>
      </c>
      <c r="F100" s="4" t="s">
        <v>7485</v>
      </c>
      <c r="G100" s="2" t="s">
        <v>36</v>
      </c>
      <c r="H100" s="7"/>
      <c r="I100" s="2" t="s">
        <v>321</v>
      </c>
      <c r="J100" s="2" t="s">
        <v>477</v>
      </c>
      <c r="K100" s="2" t="s">
        <v>304</v>
      </c>
      <c r="L100" s="2" t="s">
        <v>1516</v>
      </c>
      <c r="M100" s="8" t="str">
        <f>HYPERLINK("http://slimages.macys.com/is/image/MCY/12239276 ")</f>
        <v xml:space="preserve">http://slimages.macys.com/is/image/MCY/12239276 </v>
      </c>
    </row>
    <row r="101" spans="1:13" ht="60" x14ac:dyDescent="0.25">
      <c r="A101" s="7" t="s">
        <v>7486</v>
      </c>
      <c r="B101" s="2" t="s">
        <v>7487</v>
      </c>
      <c r="C101" s="4">
        <v>2</v>
      </c>
      <c r="D101" s="5">
        <v>8</v>
      </c>
      <c r="E101" s="5">
        <v>16.989999999999998</v>
      </c>
      <c r="F101" s="4" t="s">
        <v>7488</v>
      </c>
      <c r="G101" s="2" t="s">
        <v>238</v>
      </c>
      <c r="H101" s="7"/>
      <c r="I101" s="2" t="s">
        <v>966</v>
      </c>
      <c r="J101" s="2" t="s">
        <v>348</v>
      </c>
      <c r="K101" s="2" t="s">
        <v>304</v>
      </c>
      <c r="L101" s="2" t="s">
        <v>100</v>
      </c>
      <c r="M101" s="8" t="str">
        <f>HYPERLINK("http://slimages.macys.com/is/image/MCY/9730633 ")</f>
        <v xml:space="preserve">http://slimages.macys.com/is/image/MCY/9730633 </v>
      </c>
    </row>
    <row r="102" spans="1:13" ht="60" x14ac:dyDescent="0.25">
      <c r="A102" s="7" t="s">
        <v>7489</v>
      </c>
      <c r="B102" s="2" t="s">
        <v>7490</v>
      </c>
      <c r="C102" s="4">
        <v>1</v>
      </c>
      <c r="D102" s="5">
        <v>8</v>
      </c>
      <c r="E102" s="5">
        <v>20</v>
      </c>
      <c r="F102" s="4">
        <v>1329819</v>
      </c>
      <c r="G102" s="2" t="s">
        <v>353</v>
      </c>
      <c r="H102" s="7" t="s">
        <v>159</v>
      </c>
      <c r="I102" s="2" t="s">
        <v>80</v>
      </c>
      <c r="J102" s="2" t="s">
        <v>280</v>
      </c>
      <c r="K102" s="2" t="s">
        <v>304</v>
      </c>
      <c r="L102" s="2" t="s">
        <v>119</v>
      </c>
      <c r="M102" s="8" t="str">
        <f>HYPERLINK("http://slimages.macys.com/is/image/MCY/15918266 ")</f>
        <v xml:space="preserve">http://slimages.macys.com/is/image/MCY/15918266 </v>
      </c>
    </row>
    <row r="103" spans="1:13" ht="60" x14ac:dyDescent="0.25">
      <c r="A103" s="7" t="s">
        <v>7491</v>
      </c>
      <c r="B103" s="2" t="s">
        <v>7487</v>
      </c>
      <c r="C103" s="4">
        <v>2</v>
      </c>
      <c r="D103" s="5">
        <v>8</v>
      </c>
      <c r="E103" s="5">
        <v>16.989999999999998</v>
      </c>
      <c r="F103" s="4" t="s">
        <v>7488</v>
      </c>
      <c r="G103" s="2" t="s">
        <v>28</v>
      </c>
      <c r="H103" s="7"/>
      <c r="I103" s="2" t="s">
        <v>966</v>
      </c>
      <c r="J103" s="2" t="s">
        <v>348</v>
      </c>
      <c r="K103" s="2" t="s">
        <v>304</v>
      </c>
      <c r="L103" s="2" t="s">
        <v>100</v>
      </c>
      <c r="M103" s="8" t="str">
        <f>HYPERLINK("http://slimages.macys.com/is/image/MCY/9730633 ")</f>
        <v xml:space="preserve">http://slimages.macys.com/is/image/MCY/9730633 </v>
      </c>
    </row>
    <row r="104" spans="1:13" ht="60" x14ac:dyDescent="0.25">
      <c r="A104" s="7" t="s">
        <v>7492</v>
      </c>
      <c r="B104" s="2" t="s">
        <v>7493</v>
      </c>
      <c r="C104" s="4">
        <v>1</v>
      </c>
      <c r="D104" s="5">
        <v>7.95</v>
      </c>
      <c r="E104" s="5">
        <v>17.989999999999998</v>
      </c>
      <c r="F104" s="4" t="s">
        <v>7494</v>
      </c>
      <c r="G104" s="2" t="s">
        <v>62</v>
      </c>
      <c r="H104" s="7" t="s">
        <v>217</v>
      </c>
      <c r="I104" s="2" t="s">
        <v>468</v>
      </c>
      <c r="J104" s="2" t="s">
        <v>5947</v>
      </c>
      <c r="K104" s="2" t="s">
        <v>304</v>
      </c>
      <c r="L104" s="2" t="s">
        <v>125</v>
      </c>
      <c r="M104" s="8" t="str">
        <f>HYPERLINK("http://slimages.macys.com/is/image/MCY/10467069 ")</f>
        <v xml:space="preserve">http://slimages.macys.com/is/image/MCY/10467069 </v>
      </c>
    </row>
    <row r="105" spans="1:13" ht="96" x14ac:dyDescent="0.25">
      <c r="A105" s="7" t="s">
        <v>7495</v>
      </c>
      <c r="B105" s="2" t="s">
        <v>7496</v>
      </c>
      <c r="C105" s="4">
        <v>1</v>
      </c>
      <c r="D105" s="5">
        <v>7.88</v>
      </c>
      <c r="E105" s="5">
        <v>16.989999999999998</v>
      </c>
      <c r="F105" s="4" t="s">
        <v>7497</v>
      </c>
      <c r="G105" s="2" t="s">
        <v>657</v>
      </c>
      <c r="H105" s="7" t="s">
        <v>123</v>
      </c>
      <c r="I105" s="2" t="s">
        <v>1689</v>
      </c>
      <c r="J105" s="2" t="s">
        <v>354</v>
      </c>
      <c r="K105" s="2" t="s">
        <v>304</v>
      </c>
      <c r="L105" s="2" t="s">
        <v>7498</v>
      </c>
      <c r="M105" s="8" t="str">
        <f>HYPERLINK("http://slimages.macys.com/is/image/MCY/10031201 ")</f>
        <v xml:space="preserve">http://slimages.macys.com/is/image/MCY/10031201 </v>
      </c>
    </row>
    <row r="106" spans="1:13" ht="60" x14ac:dyDescent="0.25">
      <c r="A106" s="7" t="s">
        <v>7499</v>
      </c>
      <c r="B106" s="2" t="s">
        <v>7500</v>
      </c>
      <c r="C106" s="4">
        <v>2</v>
      </c>
      <c r="D106" s="5">
        <v>7.83</v>
      </c>
      <c r="E106" s="5">
        <v>19.989999999999998</v>
      </c>
      <c r="F106" s="4" t="s">
        <v>7501</v>
      </c>
      <c r="G106" s="2" t="s">
        <v>86</v>
      </c>
      <c r="H106" s="7"/>
      <c r="I106" s="2" t="s">
        <v>389</v>
      </c>
      <c r="J106" s="2" t="s">
        <v>354</v>
      </c>
      <c r="K106" s="2" t="s">
        <v>304</v>
      </c>
      <c r="L106" s="2" t="s">
        <v>3142</v>
      </c>
      <c r="M106" s="8" t="str">
        <f>HYPERLINK("http://slimages.macys.com/is/image/MCY/11777191 ")</f>
        <v xml:space="preserve">http://slimages.macys.com/is/image/MCY/11777191 </v>
      </c>
    </row>
    <row r="107" spans="1:13" ht="60" x14ac:dyDescent="0.25">
      <c r="A107" s="7" t="s">
        <v>7502</v>
      </c>
      <c r="B107" s="2" t="s">
        <v>7500</v>
      </c>
      <c r="C107" s="4">
        <v>1</v>
      </c>
      <c r="D107" s="5">
        <v>7.83</v>
      </c>
      <c r="E107" s="5">
        <v>19.989999999999998</v>
      </c>
      <c r="F107" s="4" t="s">
        <v>7501</v>
      </c>
      <c r="G107" s="2" t="s">
        <v>86</v>
      </c>
      <c r="H107" s="7" t="s">
        <v>177</v>
      </c>
      <c r="I107" s="2" t="s">
        <v>389</v>
      </c>
      <c r="J107" s="2" t="s">
        <v>354</v>
      </c>
      <c r="K107" s="2" t="s">
        <v>304</v>
      </c>
      <c r="L107" s="2" t="s">
        <v>3142</v>
      </c>
      <c r="M107" s="8" t="str">
        <f>HYPERLINK("http://slimages.macys.com/is/image/MCY/11777191 ")</f>
        <v xml:space="preserve">http://slimages.macys.com/is/image/MCY/11777191 </v>
      </c>
    </row>
    <row r="108" spans="1:13" ht="60" x14ac:dyDescent="0.25">
      <c r="A108" s="7" t="s">
        <v>7503</v>
      </c>
      <c r="B108" s="2" t="s">
        <v>7504</v>
      </c>
      <c r="C108" s="4">
        <v>1</v>
      </c>
      <c r="D108" s="5">
        <v>7.75</v>
      </c>
      <c r="E108" s="5">
        <v>16.989999999999998</v>
      </c>
      <c r="F108" s="4" t="s">
        <v>7505</v>
      </c>
      <c r="G108" s="2" t="s">
        <v>653</v>
      </c>
      <c r="H108" s="7" t="s">
        <v>284</v>
      </c>
      <c r="I108" s="2" t="s">
        <v>515</v>
      </c>
      <c r="J108" s="2" t="s">
        <v>827</v>
      </c>
      <c r="K108" s="2" t="s">
        <v>304</v>
      </c>
      <c r="L108" s="2" t="s">
        <v>7506</v>
      </c>
      <c r="M108" s="8" t="str">
        <f>HYPERLINK("http://slimages.macys.com/is/image/MCY/10130962 ")</f>
        <v xml:space="preserve">http://slimages.macys.com/is/image/MCY/10130962 </v>
      </c>
    </row>
    <row r="109" spans="1:13" ht="204" x14ac:dyDescent="0.25">
      <c r="A109" s="7" t="s">
        <v>7507</v>
      </c>
      <c r="B109" s="2" t="s">
        <v>7508</v>
      </c>
      <c r="C109" s="4">
        <v>1</v>
      </c>
      <c r="D109" s="5">
        <v>7.75</v>
      </c>
      <c r="E109" s="5">
        <v>19.989999999999998</v>
      </c>
      <c r="F109" s="4" t="s">
        <v>7509</v>
      </c>
      <c r="G109" s="2" t="s">
        <v>310</v>
      </c>
      <c r="H109" s="7" t="s">
        <v>149</v>
      </c>
      <c r="I109" s="2" t="s">
        <v>92</v>
      </c>
      <c r="J109" s="2" t="s">
        <v>430</v>
      </c>
      <c r="K109" s="2" t="s">
        <v>304</v>
      </c>
      <c r="L109" s="2" t="s">
        <v>7510</v>
      </c>
      <c r="M109" s="8" t="str">
        <f>HYPERLINK("http://slimages.macys.com/is/image/MCY/10352752 ")</f>
        <v xml:space="preserve">http://slimages.macys.com/is/image/MCY/10352752 </v>
      </c>
    </row>
    <row r="110" spans="1:13" ht="60" x14ac:dyDescent="0.25">
      <c r="A110" s="7" t="s">
        <v>6252</v>
      </c>
      <c r="B110" s="2" t="s">
        <v>3986</v>
      </c>
      <c r="C110" s="4">
        <v>1</v>
      </c>
      <c r="D110" s="5">
        <v>7.6</v>
      </c>
      <c r="E110" s="5">
        <v>17.28</v>
      </c>
      <c r="F110" s="4">
        <v>18389710</v>
      </c>
      <c r="G110" s="2" t="s">
        <v>48</v>
      </c>
      <c r="H110" s="7" t="s">
        <v>233</v>
      </c>
      <c r="I110" s="2" t="s">
        <v>153</v>
      </c>
      <c r="J110" s="2" t="s">
        <v>154</v>
      </c>
      <c r="K110" s="2" t="s">
        <v>304</v>
      </c>
      <c r="L110" s="2" t="s">
        <v>38</v>
      </c>
      <c r="M110" s="8" t="str">
        <f>HYPERLINK("http://slimages.macys.com/is/image/MCY/14608342 ")</f>
        <v xml:space="preserve">http://slimages.macys.com/is/image/MCY/14608342 </v>
      </c>
    </row>
    <row r="111" spans="1:13" ht="60" x14ac:dyDescent="0.25">
      <c r="A111" s="7" t="s">
        <v>5383</v>
      </c>
      <c r="B111" s="2" t="s">
        <v>1724</v>
      </c>
      <c r="C111" s="4">
        <v>1</v>
      </c>
      <c r="D111" s="5">
        <v>7.6</v>
      </c>
      <c r="E111" s="5">
        <v>17.28</v>
      </c>
      <c r="F111" s="4">
        <v>18385510</v>
      </c>
      <c r="G111" s="2" t="s">
        <v>28</v>
      </c>
      <c r="H111" s="7" t="s">
        <v>442</v>
      </c>
      <c r="I111" s="2" t="s">
        <v>153</v>
      </c>
      <c r="J111" s="2" t="s">
        <v>154</v>
      </c>
      <c r="K111" s="2" t="s">
        <v>304</v>
      </c>
      <c r="L111" s="2" t="s">
        <v>38</v>
      </c>
      <c r="M111" s="8" t="str">
        <f>HYPERLINK("http://slimages.macys.com/is/image/MCY/14608274 ")</f>
        <v xml:space="preserve">http://slimages.macys.com/is/image/MCY/14608274 </v>
      </c>
    </row>
    <row r="112" spans="1:13" ht="60" x14ac:dyDescent="0.25">
      <c r="A112" s="7" t="s">
        <v>7511</v>
      </c>
      <c r="B112" s="2" t="s">
        <v>6862</v>
      </c>
      <c r="C112" s="4">
        <v>1</v>
      </c>
      <c r="D112" s="5">
        <v>7.6</v>
      </c>
      <c r="E112" s="5">
        <v>17.28</v>
      </c>
      <c r="F112" s="4">
        <v>17879210</v>
      </c>
      <c r="G112" s="2"/>
      <c r="H112" s="7" t="s">
        <v>91</v>
      </c>
      <c r="I112" s="2" t="s">
        <v>153</v>
      </c>
      <c r="J112" s="2" t="s">
        <v>154</v>
      </c>
      <c r="K112" s="2" t="s">
        <v>304</v>
      </c>
      <c r="L112" s="2" t="s">
        <v>206</v>
      </c>
      <c r="M112" s="8" t="str">
        <f>HYPERLINK("http://slimages.macys.com/is/image/MCY/13853145 ")</f>
        <v xml:space="preserve">http://slimages.macys.com/is/image/MCY/13853145 </v>
      </c>
    </row>
    <row r="113" spans="1:13" ht="108" x14ac:dyDescent="0.25">
      <c r="A113" s="7" t="s">
        <v>5919</v>
      </c>
      <c r="B113" s="2" t="s">
        <v>5920</v>
      </c>
      <c r="C113" s="4">
        <v>1</v>
      </c>
      <c r="D113" s="5">
        <v>7.6</v>
      </c>
      <c r="E113" s="5">
        <v>17.28</v>
      </c>
      <c r="F113" s="4">
        <v>18821210</v>
      </c>
      <c r="G113" s="2" t="s">
        <v>353</v>
      </c>
      <c r="H113" s="7" t="s">
        <v>438</v>
      </c>
      <c r="I113" s="2" t="s">
        <v>153</v>
      </c>
      <c r="J113" s="2" t="s">
        <v>154</v>
      </c>
      <c r="K113" s="2" t="s">
        <v>304</v>
      </c>
      <c r="L113" s="2" t="s">
        <v>5921</v>
      </c>
      <c r="M113" s="8" t="str">
        <f>HYPERLINK("http://slimages.macys.com/is/image/MCY/13382581 ")</f>
        <v xml:space="preserve">http://slimages.macys.com/is/image/MCY/13382581 </v>
      </c>
    </row>
    <row r="114" spans="1:13" ht="108" x14ac:dyDescent="0.25">
      <c r="A114" s="7" t="s">
        <v>6256</v>
      </c>
      <c r="B114" s="2" t="s">
        <v>5920</v>
      </c>
      <c r="C114" s="4">
        <v>1</v>
      </c>
      <c r="D114" s="5">
        <v>7.6</v>
      </c>
      <c r="E114" s="5">
        <v>17.28</v>
      </c>
      <c r="F114" s="4">
        <v>18821210</v>
      </c>
      <c r="G114" s="2" t="s">
        <v>353</v>
      </c>
      <c r="H114" s="7" t="s">
        <v>675</v>
      </c>
      <c r="I114" s="2" t="s">
        <v>153</v>
      </c>
      <c r="J114" s="2" t="s">
        <v>154</v>
      </c>
      <c r="K114" s="2" t="s">
        <v>304</v>
      </c>
      <c r="L114" s="2" t="s">
        <v>5921</v>
      </c>
      <c r="M114" s="8" t="str">
        <f>HYPERLINK("http://slimages.macys.com/is/image/MCY/13382581 ")</f>
        <v xml:space="preserve">http://slimages.macys.com/is/image/MCY/13382581 </v>
      </c>
    </row>
    <row r="115" spans="1:13" ht="108" x14ac:dyDescent="0.25">
      <c r="A115" s="7" t="s">
        <v>7512</v>
      </c>
      <c r="B115" s="2" t="s">
        <v>7513</v>
      </c>
      <c r="C115" s="4">
        <v>1</v>
      </c>
      <c r="D115" s="5">
        <v>7.6</v>
      </c>
      <c r="E115" s="5">
        <v>17.28</v>
      </c>
      <c r="F115" s="4">
        <v>17864010</v>
      </c>
      <c r="G115" s="2" t="s">
        <v>437</v>
      </c>
      <c r="H115" s="7" t="s">
        <v>675</v>
      </c>
      <c r="I115" s="2" t="s">
        <v>153</v>
      </c>
      <c r="J115" s="2" t="s">
        <v>154</v>
      </c>
      <c r="K115" s="2" t="s">
        <v>304</v>
      </c>
      <c r="L115" s="2" t="s">
        <v>5921</v>
      </c>
      <c r="M115" s="8" t="str">
        <f>HYPERLINK("http://slimages.macys.com/is/image/MCY/13382600 ")</f>
        <v xml:space="preserve">http://slimages.macys.com/is/image/MCY/13382600 </v>
      </c>
    </row>
    <row r="116" spans="1:13" ht="60" x14ac:dyDescent="0.25">
      <c r="A116" s="7" t="s">
        <v>7514</v>
      </c>
      <c r="B116" s="2" t="s">
        <v>5923</v>
      </c>
      <c r="C116" s="4">
        <v>1</v>
      </c>
      <c r="D116" s="5">
        <v>7.59</v>
      </c>
      <c r="E116" s="5">
        <v>17.989999999999998</v>
      </c>
      <c r="F116" s="4" t="s">
        <v>5924</v>
      </c>
      <c r="G116" s="2" t="s">
        <v>595</v>
      </c>
      <c r="H116" s="7" t="s">
        <v>1151</v>
      </c>
      <c r="I116" s="2" t="s">
        <v>515</v>
      </c>
      <c r="J116" s="2" t="s">
        <v>875</v>
      </c>
      <c r="K116" s="2" t="s">
        <v>304</v>
      </c>
      <c r="L116" s="2" t="s">
        <v>4196</v>
      </c>
      <c r="M116" s="8" t="str">
        <f>HYPERLINK("http://slimages.macys.com/is/image/MCY/11603707 ")</f>
        <v xml:space="preserve">http://slimages.macys.com/is/image/MCY/11603707 </v>
      </c>
    </row>
    <row r="117" spans="1:13" ht="60" x14ac:dyDescent="0.25">
      <c r="A117" s="7" t="s">
        <v>7515</v>
      </c>
      <c r="B117" s="2" t="s">
        <v>5923</v>
      </c>
      <c r="C117" s="4">
        <v>1</v>
      </c>
      <c r="D117" s="5">
        <v>7.59</v>
      </c>
      <c r="E117" s="5">
        <v>17.989999999999998</v>
      </c>
      <c r="F117" s="4" t="s">
        <v>5924</v>
      </c>
      <c r="G117" s="2" t="s">
        <v>595</v>
      </c>
      <c r="H117" s="7" t="s">
        <v>123</v>
      </c>
      <c r="I117" s="2" t="s">
        <v>515</v>
      </c>
      <c r="J117" s="2" t="s">
        <v>875</v>
      </c>
      <c r="K117" s="2" t="s">
        <v>304</v>
      </c>
      <c r="L117" s="2" t="s">
        <v>4196</v>
      </c>
      <c r="M117" s="8" t="str">
        <f>HYPERLINK("http://slimages.macys.com/is/image/MCY/11603707 ")</f>
        <v xml:space="preserve">http://slimages.macys.com/is/image/MCY/11603707 </v>
      </c>
    </row>
    <row r="118" spans="1:13" ht="60" x14ac:dyDescent="0.25">
      <c r="A118" s="7" t="s">
        <v>7516</v>
      </c>
      <c r="B118" s="2" t="s">
        <v>7517</v>
      </c>
      <c r="C118" s="4">
        <v>1</v>
      </c>
      <c r="D118" s="5">
        <v>7.4</v>
      </c>
      <c r="E118" s="5">
        <v>16.989999999999998</v>
      </c>
      <c r="F118" s="4" t="s">
        <v>7518</v>
      </c>
      <c r="G118" s="2" t="s">
        <v>28</v>
      </c>
      <c r="H118" s="7"/>
      <c r="I118" s="2" t="s">
        <v>523</v>
      </c>
      <c r="J118" s="2" t="s">
        <v>5463</v>
      </c>
      <c r="K118" s="2" t="s">
        <v>304</v>
      </c>
      <c r="L118" s="2" t="s">
        <v>38</v>
      </c>
      <c r="M118" s="8" t="str">
        <f>HYPERLINK("http://slimages.macys.com/is/image/MCY/11646778 ")</f>
        <v xml:space="preserve">http://slimages.macys.com/is/image/MCY/11646778 </v>
      </c>
    </row>
    <row r="119" spans="1:13" ht="60" x14ac:dyDescent="0.25">
      <c r="A119" s="7" t="s">
        <v>4016</v>
      </c>
      <c r="B119" s="2" t="s">
        <v>4017</v>
      </c>
      <c r="C119" s="4">
        <v>1</v>
      </c>
      <c r="D119" s="5">
        <v>7.29</v>
      </c>
      <c r="E119" s="5">
        <v>18</v>
      </c>
      <c r="F119" s="4" t="s">
        <v>4018</v>
      </c>
      <c r="G119" s="2" t="s">
        <v>4019</v>
      </c>
      <c r="H119" s="7" t="s">
        <v>789</v>
      </c>
      <c r="I119" s="2" t="s">
        <v>523</v>
      </c>
      <c r="J119" s="2" t="s">
        <v>1042</v>
      </c>
      <c r="K119" s="2" t="s">
        <v>304</v>
      </c>
      <c r="L119" s="2" t="s">
        <v>4020</v>
      </c>
      <c r="M119" s="8" t="str">
        <f>HYPERLINK("http://slimages.macys.com/is/image/MCY/10428877 ")</f>
        <v xml:space="preserve">http://slimages.macys.com/is/image/MCY/10428877 </v>
      </c>
    </row>
    <row r="120" spans="1:13" ht="108" x14ac:dyDescent="0.25">
      <c r="A120" s="7" t="s">
        <v>7519</v>
      </c>
      <c r="B120" s="2" t="s">
        <v>7520</v>
      </c>
      <c r="C120" s="4">
        <v>1</v>
      </c>
      <c r="D120" s="5">
        <v>7.25</v>
      </c>
      <c r="E120" s="5">
        <v>18.5</v>
      </c>
      <c r="F120" s="4" t="s">
        <v>7521</v>
      </c>
      <c r="G120" s="2" t="s">
        <v>310</v>
      </c>
      <c r="H120" s="7" t="s">
        <v>209</v>
      </c>
      <c r="I120" s="2" t="s">
        <v>380</v>
      </c>
      <c r="J120" s="2" t="s">
        <v>896</v>
      </c>
      <c r="K120" s="2" t="s">
        <v>304</v>
      </c>
      <c r="L120" s="2" t="s">
        <v>7522</v>
      </c>
      <c r="M120" s="8" t="str">
        <f>HYPERLINK("http://slimages.macys.com/is/image/MCY/11860784 ")</f>
        <v xml:space="preserve">http://slimages.macys.com/is/image/MCY/11860784 </v>
      </c>
    </row>
    <row r="121" spans="1:13" ht="72" x14ac:dyDescent="0.25">
      <c r="A121" s="7" t="s">
        <v>7523</v>
      </c>
      <c r="B121" s="2" t="s">
        <v>6261</v>
      </c>
      <c r="C121" s="4">
        <v>1</v>
      </c>
      <c r="D121" s="5">
        <v>7.25</v>
      </c>
      <c r="E121" s="5">
        <v>15.99</v>
      </c>
      <c r="F121" s="4" t="s">
        <v>6262</v>
      </c>
      <c r="G121" s="2" t="s">
        <v>107</v>
      </c>
      <c r="H121" s="7" t="s">
        <v>311</v>
      </c>
      <c r="I121" s="2" t="s">
        <v>80</v>
      </c>
      <c r="J121" s="2" t="s">
        <v>124</v>
      </c>
      <c r="K121" s="2" t="s">
        <v>304</v>
      </c>
      <c r="L121" s="2" t="s">
        <v>6263</v>
      </c>
      <c r="M121" s="8" t="str">
        <f>HYPERLINK("http://slimages.macys.com/is/image/MCY/13581394 ")</f>
        <v xml:space="preserve">http://slimages.macys.com/is/image/MCY/13581394 </v>
      </c>
    </row>
    <row r="122" spans="1:13" ht="60" x14ac:dyDescent="0.25">
      <c r="A122" s="7" t="s">
        <v>7524</v>
      </c>
      <c r="B122" s="2" t="s">
        <v>7525</v>
      </c>
      <c r="C122" s="4">
        <v>1</v>
      </c>
      <c r="D122" s="5">
        <v>7.2</v>
      </c>
      <c r="E122" s="5">
        <v>18</v>
      </c>
      <c r="F122" s="4" t="s">
        <v>7526</v>
      </c>
      <c r="G122" s="2" t="s">
        <v>1265</v>
      </c>
      <c r="H122" s="7"/>
      <c r="I122" s="2" t="s">
        <v>700</v>
      </c>
      <c r="J122" s="2" t="s">
        <v>7527</v>
      </c>
      <c r="K122" s="2" t="s">
        <v>304</v>
      </c>
      <c r="L122" s="2" t="s">
        <v>119</v>
      </c>
      <c r="M122" s="8" t="str">
        <f>HYPERLINK("http://slimages.macys.com/is/image/MCY/15576160 ")</f>
        <v xml:space="preserve">http://slimages.macys.com/is/image/MCY/15576160 </v>
      </c>
    </row>
    <row r="123" spans="1:13" ht="72" x14ac:dyDescent="0.25">
      <c r="A123" s="7" t="s">
        <v>7528</v>
      </c>
      <c r="B123" s="2" t="s">
        <v>7529</v>
      </c>
      <c r="C123" s="4">
        <v>1</v>
      </c>
      <c r="D123" s="5">
        <v>7.2</v>
      </c>
      <c r="E123" s="5">
        <v>19.989999999999998</v>
      </c>
      <c r="F123" s="4">
        <v>26567710</v>
      </c>
      <c r="G123" s="2"/>
      <c r="H123" s="7" t="s">
        <v>144</v>
      </c>
      <c r="I123" s="2" t="s">
        <v>321</v>
      </c>
      <c r="J123" s="2" t="s">
        <v>2552</v>
      </c>
      <c r="K123" s="2" t="s">
        <v>304</v>
      </c>
      <c r="L123" s="2" t="s">
        <v>2553</v>
      </c>
      <c r="M123" s="8" t="str">
        <f>HYPERLINK("http://slimages.macys.com/is/image/MCY/11954641 ")</f>
        <v xml:space="preserve">http://slimages.macys.com/is/image/MCY/11954641 </v>
      </c>
    </row>
    <row r="124" spans="1:13" ht="60" x14ac:dyDescent="0.25">
      <c r="A124" s="7" t="s">
        <v>7530</v>
      </c>
      <c r="B124" s="2" t="s">
        <v>7531</v>
      </c>
      <c r="C124" s="4">
        <v>1</v>
      </c>
      <c r="D124" s="5">
        <v>7.19</v>
      </c>
      <c r="E124" s="5">
        <v>15.99</v>
      </c>
      <c r="F124" s="4" t="s">
        <v>7532</v>
      </c>
      <c r="G124" s="2" t="s">
        <v>28</v>
      </c>
      <c r="H124" s="7" t="s">
        <v>284</v>
      </c>
      <c r="I124" s="2" t="s">
        <v>218</v>
      </c>
      <c r="J124" s="2" t="s">
        <v>219</v>
      </c>
      <c r="K124" s="2" t="s">
        <v>304</v>
      </c>
      <c r="L124" s="2" t="s">
        <v>125</v>
      </c>
      <c r="M124" s="8" t="str">
        <f>HYPERLINK("http://slimages.macys.com/is/image/MCY/11605874 ")</f>
        <v xml:space="preserve">http://slimages.macys.com/is/image/MCY/11605874 </v>
      </c>
    </row>
    <row r="125" spans="1:13" ht="60" x14ac:dyDescent="0.25">
      <c r="A125" s="7" t="s">
        <v>7533</v>
      </c>
      <c r="B125" s="2" t="s">
        <v>7534</v>
      </c>
      <c r="C125" s="4">
        <v>1</v>
      </c>
      <c r="D125" s="5">
        <v>7.12</v>
      </c>
      <c r="E125" s="5">
        <v>15.99</v>
      </c>
      <c r="F125" s="4" t="s">
        <v>7535</v>
      </c>
      <c r="G125" s="2" t="s">
        <v>28</v>
      </c>
      <c r="H125" s="7" t="s">
        <v>159</v>
      </c>
      <c r="I125" s="2" t="s">
        <v>218</v>
      </c>
      <c r="J125" s="2" t="s">
        <v>219</v>
      </c>
      <c r="K125" s="2" t="s">
        <v>304</v>
      </c>
      <c r="L125" s="2" t="s">
        <v>3629</v>
      </c>
      <c r="M125" s="8" t="str">
        <f>HYPERLINK("http://slimages.macys.com/is/image/MCY/12340610 ")</f>
        <v xml:space="preserve">http://slimages.macys.com/is/image/MCY/12340610 </v>
      </c>
    </row>
    <row r="126" spans="1:13" ht="60" x14ac:dyDescent="0.25">
      <c r="A126" s="7" t="s">
        <v>7536</v>
      </c>
      <c r="B126" s="2" t="s">
        <v>7537</v>
      </c>
      <c r="C126" s="4">
        <v>1</v>
      </c>
      <c r="D126" s="5">
        <v>7.05</v>
      </c>
      <c r="E126" s="5">
        <v>12.99</v>
      </c>
      <c r="F126" s="4" t="s">
        <v>7538</v>
      </c>
      <c r="G126" s="2" t="s">
        <v>62</v>
      </c>
      <c r="H126" s="7" t="s">
        <v>482</v>
      </c>
      <c r="I126" s="2" t="s">
        <v>153</v>
      </c>
      <c r="J126" s="2" t="s">
        <v>154</v>
      </c>
      <c r="K126" s="2" t="s">
        <v>304</v>
      </c>
      <c r="L126" s="2" t="s">
        <v>206</v>
      </c>
      <c r="M126" s="8" t="str">
        <f>HYPERLINK("http://slimages.macys.com/is/image/MCY/9644602 ")</f>
        <v xml:space="preserve">http://slimages.macys.com/is/image/MCY/9644602 </v>
      </c>
    </row>
    <row r="127" spans="1:13" ht="60" x14ac:dyDescent="0.25">
      <c r="A127" s="7" t="s">
        <v>7539</v>
      </c>
      <c r="B127" s="2" t="s">
        <v>1742</v>
      </c>
      <c r="C127" s="4">
        <v>1</v>
      </c>
      <c r="D127" s="5">
        <v>7.05</v>
      </c>
      <c r="E127" s="5">
        <v>16.989999999999998</v>
      </c>
      <c r="F127" s="4" t="s">
        <v>1743</v>
      </c>
      <c r="G127" s="2" t="s">
        <v>36</v>
      </c>
      <c r="H127" s="7" t="s">
        <v>159</v>
      </c>
      <c r="I127" s="2" t="s">
        <v>515</v>
      </c>
      <c r="J127" s="2" t="s">
        <v>827</v>
      </c>
      <c r="K127" s="2" t="s">
        <v>304</v>
      </c>
      <c r="L127" s="2" t="s">
        <v>358</v>
      </c>
      <c r="M127" s="8" t="str">
        <f>HYPERLINK("http://slimages.macys.com/is/image/MCY/12507572 ")</f>
        <v xml:space="preserve">http://slimages.macys.com/is/image/MCY/12507572 </v>
      </c>
    </row>
    <row r="128" spans="1:13" ht="60" x14ac:dyDescent="0.25">
      <c r="A128" s="7" t="s">
        <v>7540</v>
      </c>
      <c r="B128" s="2" t="s">
        <v>7541</v>
      </c>
      <c r="C128" s="4">
        <v>1</v>
      </c>
      <c r="D128" s="5">
        <v>7.05</v>
      </c>
      <c r="E128" s="5">
        <v>11.99</v>
      </c>
      <c r="F128" s="4">
        <v>16627710</v>
      </c>
      <c r="G128" s="2"/>
      <c r="H128" s="7" t="s">
        <v>233</v>
      </c>
      <c r="I128" s="2" t="s">
        <v>153</v>
      </c>
      <c r="J128" s="2" t="s">
        <v>154</v>
      </c>
      <c r="K128" s="2" t="s">
        <v>304</v>
      </c>
      <c r="L128" s="2" t="s">
        <v>38</v>
      </c>
      <c r="M128" s="8" t="str">
        <f>HYPERLINK("http://slimages.macys.com/is/image/MCY/11186546 ")</f>
        <v xml:space="preserve">http://slimages.macys.com/is/image/MCY/11186546 </v>
      </c>
    </row>
    <row r="129" spans="1:13" ht="60" x14ac:dyDescent="0.25">
      <c r="A129" s="7" t="s">
        <v>7542</v>
      </c>
      <c r="B129" s="2" t="s">
        <v>1742</v>
      </c>
      <c r="C129" s="4">
        <v>1</v>
      </c>
      <c r="D129" s="5">
        <v>7.05</v>
      </c>
      <c r="E129" s="5">
        <v>16.989999999999998</v>
      </c>
      <c r="F129" s="4" t="s">
        <v>1743</v>
      </c>
      <c r="G129" s="2" t="s">
        <v>36</v>
      </c>
      <c r="H129" s="7" t="s">
        <v>228</v>
      </c>
      <c r="I129" s="2" t="s">
        <v>515</v>
      </c>
      <c r="J129" s="2" t="s">
        <v>827</v>
      </c>
      <c r="K129" s="2" t="s">
        <v>304</v>
      </c>
      <c r="L129" s="2" t="s">
        <v>358</v>
      </c>
      <c r="M129" s="8" t="str">
        <f>HYPERLINK("http://slimages.macys.com/is/image/MCY/12507572 ")</f>
        <v xml:space="preserve">http://slimages.macys.com/is/image/MCY/12507572 </v>
      </c>
    </row>
    <row r="130" spans="1:13" ht="60" x14ac:dyDescent="0.25">
      <c r="A130" s="7" t="s">
        <v>7543</v>
      </c>
      <c r="B130" s="2" t="s">
        <v>3325</v>
      </c>
      <c r="C130" s="4">
        <v>1</v>
      </c>
      <c r="D130" s="5">
        <v>6.9</v>
      </c>
      <c r="E130" s="5">
        <v>16.989999999999998</v>
      </c>
      <c r="F130" s="4" t="s">
        <v>3326</v>
      </c>
      <c r="G130" s="2" t="s">
        <v>86</v>
      </c>
      <c r="H130" s="7" t="s">
        <v>618</v>
      </c>
      <c r="I130" s="2" t="s">
        <v>292</v>
      </c>
      <c r="J130" s="2" t="s">
        <v>354</v>
      </c>
      <c r="K130" s="2" t="s">
        <v>304</v>
      </c>
      <c r="L130" s="2" t="s">
        <v>596</v>
      </c>
      <c r="M130" s="8" t="str">
        <f>HYPERLINK("http://slimages.macys.com/is/image/MCY/13893132 ")</f>
        <v xml:space="preserve">http://slimages.macys.com/is/image/MCY/13893132 </v>
      </c>
    </row>
    <row r="131" spans="1:13" ht="60" x14ac:dyDescent="0.25">
      <c r="A131" s="7" t="s">
        <v>7544</v>
      </c>
      <c r="B131" s="2" t="s">
        <v>7545</v>
      </c>
      <c r="C131" s="4">
        <v>1</v>
      </c>
      <c r="D131" s="5">
        <v>6.85</v>
      </c>
      <c r="E131" s="5">
        <v>13.7</v>
      </c>
      <c r="F131" s="4" t="s">
        <v>7546</v>
      </c>
      <c r="G131" s="2" t="s">
        <v>28</v>
      </c>
      <c r="H131" s="7" t="s">
        <v>166</v>
      </c>
      <c r="I131" s="2" t="s">
        <v>487</v>
      </c>
      <c r="J131" s="2" t="s">
        <v>488</v>
      </c>
      <c r="K131" s="2" t="s">
        <v>304</v>
      </c>
      <c r="L131" s="2" t="s">
        <v>206</v>
      </c>
      <c r="M131" s="8" t="str">
        <f>HYPERLINK("http://slimages.macys.com/is/image/MCY/9936908 ")</f>
        <v xml:space="preserve">http://slimages.macys.com/is/image/MCY/9936908 </v>
      </c>
    </row>
    <row r="132" spans="1:13" ht="60" x14ac:dyDescent="0.25">
      <c r="A132" s="7" t="s">
        <v>1758</v>
      </c>
      <c r="B132" s="2" t="s">
        <v>466</v>
      </c>
      <c r="C132" s="4">
        <v>1</v>
      </c>
      <c r="D132" s="5">
        <v>6.85</v>
      </c>
      <c r="E132" s="5">
        <v>18</v>
      </c>
      <c r="F132" s="4" t="s">
        <v>467</v>
      </c>
      <c r="G132" s="2" t="s">
        <v>62</v>
      </c>
      <c r="H132" s="7" t="s">
        <v>97</v>
      </c>
      <c r="I132" s="2" t="s">
        <v>468</v>
      </c>
      <c r="J132" s="2" t="s">
        <v>469</v>
      </c>
      <c r="K132" s="2" t="s">
        <v>304</v>
      </c>
      <c r="L132" s="2" t="s">
        <v>206</v>
      </c>
      <c r="M132" s="8" t="str">
        <f>HYPERLINK("http://slimages.macys.com/is/image/MCY/11640093 ")</f>
        <v xml:space="preserve">http://slimages.macys.com/is/image/MCY/11640093 </v>
      </c>
    </row>
    <row r="133" spans="1:13" ht="60" x14ac:dyDescent="0.25">
      <c r="A133" s="7" t="s">
        <v>1767</v>
      </c>
      <c r="B133" s="2" t="s">
        <v>1768</v>
      </c>
      <c r="C133" s="4">
        <v>1</v>
      </c>
      <c r="D133" s="5">
        <v>6.85</v>
      </c>
      <c r="E133" s="5">
        <v>18</v>
      </c>
      <c r="F133" s="4" t="s">
        <v>1769</v>
      </c>
      <c r="G133" s="2" t="s">
        <v>48</v>
      </c>
      <c r="H133" s="7" t="s">
        <v>217</v>
      </c>
      <c r="I133" s="2" t="s">
        <v>468</v>
      </c>
      <c r="J133" s="2" t="s">
        <v>469</v>
      </c>
      <c r="K133" s="2" t="s">
        <v>304</v>
      </c>
      <c r="L133" s="2" t="s">
        <v>100</v>
      </c>
      <c r="M133" s="8" t="str">
        <f>HYPERLINK("http://slimages.macys.com/is/image/MCY/12809150 ")</f>
        <v xml:space="preserve">http://slimages.macys.com/is/image/MCY/12809150 </v>
      </c>
    </row>
    <row r="134" spans="1:13" ht="60" x14ac:dyDescent="0.25">
      <c r="A134" s="7" t="s">
        <v>465</v>
      </c>
      <c r="B134" s="2" t="s">
        <v>466</v>
      </c>
      <c r="C134" s="4">
        <v>1</v>
      </c>
      <c r="D134" s="5">
        <v>6.85</v>
      </c>
      <c r="E134" s="5">
        <v>18</v>
      </c>
      <c r="F134" s="4" t="s">
        <v>467</v>
      </c>
      <c r="G134" s="2" t="s">
        <v>62</v>
      </c>
      <c r="H134" s="7" t="s">
        <v>172</v>
      </c>
      <c r="I134" s="2" t="s">
        <v>468</v>
      </c>
      <c r="J134" s="2" t="s">
        <v>469</v>
      </c>
      <c r="K134" s="2" t="s">
        <v>304</v>
      </c>
      <c r="L134" s="2" t="s">
        <v>206</v>
      </c>
      <c r="M134" s="8" t="str">
        <f>HYPERLINK("http://slimages.macys.com/is/image/MCY/11640093 ")</f>
        <v xml:space="preserve">http://slimages.macys.com/is/image/MCY/11640093 </v>
      </c>
    </row>
    <row r="135" spans="1:13" ht="60" x14ac:dyDescent="0.25">
      <c r="A135" s="7" t="s">
        <v>7547</v>
      </c>
      <c r="B135" s="2" t="s">
        <v>5416</v>
      </c>
      <c r="C135" s="4">
        <v>1</v>
      </c>
      <c r="D135" s="5">
        <v>6.84</v>
      </c>
      <c r="E135" s="5">
        <v>14.99</v>
      </c>
      <c r="F135" s="4" t="s">
        <v>5417</v>
      </c>
      <c r="G135" s="2" t="s">
        <v>28</v>
      </c>
      <c r="H135" s="7" t="s">
        <v>311</v>
      </c>
      <c r="I135" s="2" t="s">
        <v>292</v>
      </c>
      <c r="J135" s="2" t="s">
        <v>354</v>
      </c>
      <c r="K135" s="2" t="s">
        <v>304</v>
      </c>
      <c r="L135" s="2" t="s">
        <v>100</v>
      </c>
      <c r="M135" s="8" t="str">
        <f>HYPERLINK("http://slimages.macys.com/is/image/MCY/13893127 ")</f>
        <v xml:space="preserve">http://slimages.macys.com/is/image/MCY/13893127 </v>
      </c>
    </row>
    <row r="136" spans="1:13" ht="60" x14ac:dyDescent="0.25">
      <c r="A136" s="7" t="s">
        <v>3329</v>
      </c>
      <c r="B136" s="2" t="s">
        <v>1776</v>
      </c>
      <c r="C136" s="4">
        <v>2</v>
      </c>
      <c r="D136" s="5">
        <v>6.84</v>
      </c>
      <c r="E136" s="5">
        <v>19.989999999999998</v>
      </c>
      <c r="F136" s="4" t="s">
        <v>1777</v>
      </c>
      <c r="G136" s="2" t="s">
        <v>388</v>
      </c>
      <c r="H136" s="7" t="s">
        <v>63</v>
      </c>
      <c r="I136" s="2" t="s">
        <v>1689</v>
      </c>
      <c r="J136" s="2" t="s">
        <v>354</v>
      </c>
      <c r="K136" s="2" t="s">
        <v>304</v>
      </c>
      <c r="L136" s="2" t="s">
        <v>390</v>
      </c>
      <c r="M136" s="8" t="str">
        <f>HYPERLINK("http://slimages.macys.com/is/image/MCY/12890114 ")</f>
        <v xml:space="preserve">http://slimages.macys.com/is/image/MCY/12890114 </v>
      </c>
    </row>
    <row r="137" spans="1:13" ht="60" x14ac:dyDescent="0.25">
      <c r="A137" s="7" t="s">
        <v>1779</v>
      </c>
      <c r="B137" s="2" t="s">
        <v>1776</v>
      </c>
      <c r="C137" s="4">
        <v>1</v>
      </c>
      <c r="D137" s="5">
        <v>6.84</v>
      </c>
      <c r="E137" s="5">
        <v>19.989999999999998</v>
      </c>
      <c r="F137" s="4" t="s">
        <v>1777</v>
      </c>
      <c r="G137" s="2" t="s">
        <v>388</v>
      </c>
      <c r="H137" s="7" t="s">
        <v>311</v>
      </c>
      <c r="I137" s="2" t="s">
        <v>1689</v>
      </c>
      <c r="J137" s="2" t="s">
        <v>354</v>
      </c>
      <c r="K137" s="2" t="s">
        <v>304</v>
      </c>
      <c r="L137" s="2" t="s">
        <v>390</v>
      </c>
      <c r="M137" s="8" t="str">
        <f>HYPERLINK("http://slimages.macys.com/is/image/MCY/12890114 ")</f>
        <v xml:space="preserve">http://slimages.macys.com/is/image/MCY/12890114 </v>
      </c>
    </row>
    <row r="138" spans="1:13" ht="60" x14ac:dyDescent="0.25">
      <c r="A138" s="7" t="s">
        <v>1780</v>
      </c>
      <c r="B138" s="2" t="s">
        <v>1776</v>
      </c>
      <c r="C138" s="4">
        <v>1</v>
      </c>
      <c r="D138" s="5">
        <v>6.84</v>
      </c>
      <c r="E138" s="5">
        <v>19.989999999999998</v>
      </c>
      <c r="F138" s="4" t="s">
        <v>1777</v>
      </c>
      <c r="G138" s="2" t="s">
        <v>388</v>
      </c>
      <c r="H138" s="7" t="s">
        <v>123</v>
      </c>
      <c r="I138" s="2" t="s">
        <v>1689</v>
      </c>
      <c r="J138" s="2" t="s">
        <v>354</v>
      </c>
      <c r="K138" s="2" t="s">
        <v>304</v>
      </c>
      <c r="L138" s="2" t="s">
        <v>390</v>
      </c>
      <c r="M138" s="8" t="str">
        <f>HYPERLINK("http://slimages.macys.com/is/image/MCY/12890114 ")</f>
        <v xml:space="preserve">http://slimages.macys.com/is/image/MCY/12890114 </v>
      </c>
    </row>
    <row r="139" spans="1:13" ht="60" x14ac:dyDescent="0.25">
      <c r="A139" s="7" t="s">
        <v>6289</v>
      </c>
      <c r="B139" s="2" t="s">
        <v>2589</v>
      </c>
      <c r="C139" s="4">
        <v>1</v>
      </c>
      <c r="D139" s="5">
        <v>6.81</v>
      </c>
      <c r="E139" s="5">
        <v>16.989999999999998</v>
      </c>
      <c r="F139" s="4" t="s">
        <v>2590</v>
      </c>
      <c r="G139" s="2" t="s">
        <v>353</v>
      </c>
      <c r="H139" s="7" t="s">
        <v>159</v>
      </c>
      <c r="I139" s="2" t="s">
        <v>515</v>
      </c>
      <c r="J139" s="2" t="s">
        <v>827</v>
      </c>
      <c r="K139" s="2" t="s">
        <v>304</v>
      </c>
      <c r="L139" s="2" t="s">
        <v>358</v>
      </c>
      <c r="M139" s="8" t="str">
        <f t="shared" ref="M139:M145" si="0">HYPERLINK("http://slimages.macys.com/is/image/MCY/12507563 ")</f>
        <v xml:space="preserve">http://slimages.macys.com/is/image/MCY/12507563 </v>
      </c>
    </row>
    <row r="140" spans="1:13" ht="60" x14ac:dyDescent="0.25">
      <c r="A140" s="7" t="s">
        <v>6290</v>
      </c>
      <c r="B140" s="2" t="s">
        <v>2589</v>
      </c>
      <c r="C140" s="4">
        <v>1</v>
      </c>
      <c r="D140" s="5">
        <v>6.81</v>
      </c>
      <c r="E140" s="5">
        <v>16.989999999999998</v>
      </c>
      <c r="F140" s="4" t="s">
        <v>2590</v>
      </c>
      <c r="G140" s="2" t="s">
        <v>353</v>
      </c>
      <c r="H140" s="7" t="s">
        <v>228</v>
      </c>
      <c r="I140" s="2" t="s">
        <v>515</v>
      </c>
      <c r="J140" s="2" t="s">
        <v>827</v>
      </c>
      <c r="K140" s="2" t="s">
        <v>304</v>
      </c>
      <c r="L140" s="2" t="s">
        <v>358</v>
      </c>
      <c r="M140" s="8" t="str">
        <f t="shared" si="0"/>
        <v xml:space="preserve">http://slimages.macys.com/is/image/MCY/12507563 </v>
      </c>
    </row>
    <row r="141" spans="1:13" ht="60" x14ac:dyDescent="0.25">
      <c r="A141" s="7" t="s">
        <v>7548</v>
      </c>
      <c r="B141" s="2" t="s">
        <v>2589</v>
      </c>
      <c r="C141" s="4">
        <v>1</v>
      </c>
      <c r="D141" s="5">
        <v>6.81</v>
      </c>
      <c r="E141" s="5">
        <v>16.989999999999998</v>
      </c>
      <c r="F141" s="4" t="s">
        <v>2590</v>
      </c>
      <c r="G141" s="2" t="s">
        <v>48</v>
      </c>
      <c r="H141" s="7" t="s">
        <v>228</v>
      </c>
      <c r="I141" s="2" t="s">
        <v>515</v>
      </c>
      <c r="J141" s="2" t="s">
        <v>827</v>
      </c>
      <c r="K141" s="2" t="s">
        <v>304</v>
      </c>
      <c r="L141" s="2" t="s">
        <v>358</v>
      </c>
      <c r="M141" s="8" t="str">
        <f t="shared" si="0"/>
        <v xml:space="preserve">http://slimages.macys.com/is/image/MCY/12507563 </v>
      </c>
    </row>
    <row r="142" spans="1:13" ht="60" x14ac:dyDescent="0.25">
      <c r="A142" s="7" t="s">
        <v>7549</v>
      </c>
      <c r="B142" s="2" t="s">
        <v>2589</v>
      </c>
      <c r="C142" s="4">
        <v>2</v>
      </c>
      <c r="D142" s="5">
        <v>6.81</v>
      </c>
      <c r="E142" s="5">
        <v>16.989999999999998</v>
      </c>
      <c r="F142" s="4" t="s">
        <v>2590</v>
      </c>
      <c r="G142" s="2" t="s">
        <v>48</v>
      </c>
      <c r="H142" s="7" t="s">
        <v>159</v>
      </c>
      <c r="I142" s="2" t="s">
        <v>515</v>
      </c>
      <c r="J142" s="2" t="s">
        <v>827</v>
      </c>
      <c r="K142" s="2" t="s">
        <v>304</v>
      </c>
      <c r="L142" s="2" t="s">
        <v>358</v>
      </c>
      <c r="M142" s="8" t="str">
        <f t="shared" si="0"/>
        <v xml:space="preserve">http://slimages.macys.com/is/image/MCY/12507563 </v>
      </c>
    </row>
    <row r="143" spans="1:13" ht="60" x14ac:dyDescent="0.25">
      <c r="A143" s="7" t="s">
        <v>5421</v>
      </c>
      <c r="B143" s="2" t="s">
        <v>2589</v>
      </c>
      <c r="C143" s="4">
        <v>1</v>
      </c>
      <c r="D143" s="5">
        <v>6.81</v>
      </c>
      <c r="E143" s="5">
        <v>16.989999999999998</v>
      </c>
      <c r="F143" s="4" t="s">
        <v>2590</v>
      </c>
      <c r="G143" s="2" t="s">
        <v>48</v>
      </c>
      <c r="H143" s="7" t="s">
        <v>196</v>
      </c>
      <c r="I143" s="2" t="s">
        <v>515</v>
      </c>
      <c r="J143" s="2" t="s">
        <v>827</v>
      </c>
      <c r="K143" s="2" t="s">
        <v>304</v>
      </c>
      <c r="L143" s="2" t="s">
        <v>358</v>
      </c>
      <c r="M143" s="8" t="str">
        <f t="shared" si="0"/>
        <v xml:space="preserve">http://slimages.macys.com/is/image/MCY/12507563 </v>
      </c>
    </row>
    <row r="144" spans="1:13" ht="60" x14ac:dyDescent="0.25">
      <c r="A144" s="7" t="s">
        <v>7550</v>
      </c>
      <c r="B144" s="2" t="s">
        <v>2589</v>
      </c>
      <c r="C144" s="4">
        <v>1</v>
      </c>
      <c r="D144" s="5">
        <v>6.81</v>
      </c>
      <c r="E144" s="5">
        <v>16.989999999999998</v>
      </c>
      <c r="F144" s="4" t="s">
        <v>2590</v>
      </c>
      <c r="G144" s="2" t="s">
        <v>48</v>
      </c>
      <c r="H144" s="7" t="s">
        <v>284</v>
      </c>
      <c r="I144" s="2" t="s">
        <v>515</v>
      </c>
      <c r="J144" s="2" t="s">
        <v>827</v>
      </c>
      <c r="K144" s="2" t="s">
        <v>304</v>
      </c>
      <c r="L144" s="2" t="s">
        <v>358</v>
      </c>
      <c r="M144" s="8" t="str">
        <f t="shared" si="0"/>
        <v xml:space="preserve">http://slimages.macys.com/is/image/MCY/12507563 </v>
      </c>
    </row>
    <row r="145" spans="1:13" ht="60" x14ac:dyDescent="0.25">
      <c r="A145" s="7" t="s">
        <v>6291</v>
      </c>
      <c r="B145" s="2" t="s">
        <v>2589</v>
      </c>
      <c r="C145" s="4">
        <v>1</v>
      </c>
      <c r="D145" s="5">
        <v>6.81</v>
      </c>
      <c r="E145" s="5">
        <v>16.989999999999998</v>
      </c>
      <c r="F145" s="4" t="s">
        <v>2590</v>
      </c>
      <c r="G145" s="2" t="s">
        <v>353</v>
      </c>
      <c r="H145" s="7" t="s">
        <v>284</v>
      </c>
      <c r="I145" s="2" t="s">
        <v>515</v>
      </c>
      <c r="J145" s="2" t="s">
        <v>827</v>
      </c>
      <c r="K145" s="2" t="s">
        <v>304</v>
      </c>
      <c r="L145" s="2" t="s">
        <v>358</v>
      </c>
      <c r="M145" s="8" t="str">
        <f t="shared" si="0"/>
        <v xml:space="preserve">http://slimages.macys.com/is/image/MCY/12507563 </v>
      </c>
    </row>
    <row r="146" spans="1:13" ht="84" x14ac:dyDescent="0.25">
      <c r="A146" s="7" t="s">
        <v>5430</v>
      </c>
      <c r="B146" s="2" t="s">
        <v>4088</v>
      </c>
      <c r="C146" s="4">
        <v>18</v>
      </c>
      <c r="D146" s="5">
        <v>6.75</v>
      </c>
      <c r="E146" s="5">
        <v>16.989999999999998</v>
      </c>
      <c r="F146" s="4" t="s">
        <v>5431</v>
      </c>
      <c r="G146" s="2" t="s">
        <v>892</v>
      </c>
      <c r="H146" s="7" t="s">
        <v>144</v>
      </c>
      <c r="I146" s="2" t="s">
        <v>321</v>
      </c>
      <c r="J146" s="2" t="s">
        <v>477</v>
      </c>
      <c r="K146" s="2" t="s">
        <v>304</v>
      </c>
      <c r="L146" s="2" t="s">
        <v>1516</v>
      </c>
      <c r="M146" s="8" t="str">
        <f>HYPERLINK("http://slimages.macys.com/is/image/MCY/13860413 ")</f>
        <v xml:space="preserve">http://slimages.macys.com/is/image/MCY/13860413 </v>
      </c>
    </row>
    <row r="147" spans="1:13" ht="84" x14ac:dyDescent="0.25">
      <c r="A147" s="7" t="s">
        <v>7551</v>
      </c>
      <c r="B147" s="2" t="s">
        <v>4088</v>
      </c>
      <c r="C147" s="4">
        <v>11</v>
      </c>
      <c r="D147" s="5">
        <v>6.75</v>
      </c>
      <c r="E147" s="5">
        <v>16.989999999999998</v>
      </c>
      <c r="F147" s="4" t="s">
        <v>4089</v>
      </c>
      <c r="G147" s="2" t="s">
        <v>892</v>
      </c>
      <c r="H147" s="7"/>
      <c r="I147" s="2" t="s">
        <v>321</v>
      </c>
      <c r="J147" s="2" t="s">
        <v>477</v>
      </c>
      <c r="K147" s="2" t="s">
        <v>304</v>
      </c>
      <c r="L147" s="2" t="s">
        <v>1516</v>
      </c>
      <c r="M147" s="8" t="str">
        <f>HYPERLINK("http://slimages.macys.com/is/image/MCY/13860413 ")</f>
        <v xml:space="preserve">http://slimages.macys.com/is/image/MCY/13860413 </v>
      </c>
    </row>
    <row r="148" spans="1:13" ht="60" x14ac:dyDescent="0.25">
      <c r="A148" s="7" t="s">
        <v>7552</v>
      </c>
      <c r="B148" s="2" t="s">
        <v>4097</v>
      </c>
      <c r="C148" s="4">
        <v>20</v>
      </c>
      <c r="D148" s="5">
        <v>6.75</v>
      </c>
      <c r="E148" s="5">
        <v>16.989999999999998</v>
      </c>
      <c r="F148" s="4" t="s">
        <v>7553</v>
      </c>
      <c r="G148" s="2" t="s">
        <v>892</v>
      </c>
      <c r="H148" s="7" t="s">
        <v>144</v>
      </c>
      <c r="I148" s="2" t="s">
        <v>321</v>
      </c>
      <c r="J148" s="2" t="s">
        <v>477</v>
      </c>
      <c r="K148" s="2" t="s">
        <v>304</v>
      </c>
      <c r="L148" s="2" t="s">
        <v>125</v>
      </c>
      <c r="M148" s="8" t="str">
        <f>HYPERLINK("http://slimages.macys.com/is/image/MCY/13860370 ")</f>
        <v xml:space="preserve">http://slimages.macys.com/is/image/MCY/13860370 </v>
      </c>
    </row>
    <row r="149" spans="1:13" ht="84" x14ac:dyDescent="0.25">
      <c r="A149" s="7" t="s">
        <v>5432</v>
      </c>
      <c r="B149" s="2" t="s">
        <v>4088</v>
      </c>
      <c r="C149" s="4">
        <v>12</v>
      </c>
      <c r="D149" s="5">
        <v>6.75</v>
      </c>
      <c r="E149" s="5">
        <v>16.989999999999998</v>
      </c>
      <c r="F149" s="4" t="s">
        <v>5431</v>
      </c>
      <c r="G149" s="2" t="s">
        <v>892</v>
      </c>
      <c r="H149" s="7" t="s">
        <v>209</v>
      </c>
      <c r="I149" s="2" t="s">
        <v>321</v>
      </c>
      <c r="J149" s="2" t="s">
        <v>477</v>
      </c>
      <c r="K149" s="2" t="s">
        <v>304</v>
      </c>
      <c r="L149" s="2" t="s">
        <v>1516</v>
      </c>
      <c r="M149" s="8" t="str">
        <f>HYPERLINK("http://slimages.macys.com/is/image/MCY/13860413 ")</f>
        <v xml:space="preserve">http://slimages.macys.com/is/image/MCY/13860413 </v>
      </c>
    </row>
    <row r="150" spans="1:13" ht="60" x14ac:dyDescent="0.25">
      <c r="A150" s="7" t="s">
        <v>7554</v>
      </c>
      <c r="B150" s="2" t="s">
        <v>2596</v>
      </c>
      <c r="C150" s="4">
        <v>13</v>
      </c>
      <c r="D150" s="5">
        <v>6.75</v>
      </c>
      <c r="E150" s="5">
        <v>16.989999999999998</v>
      </c>
      <c r="F150" s="4" t="s">
        <v>7555</v>
      </c>
      <c r="G150" s="2" t="s">
        <v>41</v>
      </c>
      <c r="H150" s="7" t="s">
        <v>68</v>
      </c>
      <c r="I150" s="2" t="s">
        <v>321</v>
      </c>
      <c r="J150" s="2" t="s">
        <v>477</v>
      </c>
      <c r="K150" s="2" t="s">
        <v>304</v>
      </c>
      <c r="L150" s="2" t="s">
        <v>125</v>
      </c>
      <c r="M150" s="8" t="str">
        <f>HYPERLINK("http://slimages.macys.com/is/image/MCY/13860422 ")</f>
        <v xml:space="preserve">http://slimages.macys.com/is/image/MCY/13860422 </v>
      </c>
    </row>
    <row r="151" spans="1:13" ht="60" x14ac:dyDescent="0.25">
      <c r="A151" s="7" t="s">
        <v>7556</v>
      </c>
      <c r="B151" s="2" t="s">
        <v>2596</v>
      </c>
      <c r="C151" s="4">
        <v>19</v>
      </c>
      <c r="D151" s="5">
        <v>6.75</v>
      </c>
      <c r="E151" s="5">
        <v>16.989999999999998</v>
      </c>
      <c r="F151" s="4" t="s">
        <v>7555</v>
      </c>
      <c r="G151" s="2" t="s">
        <v>41</v>
      </c>
      <c r="H151" s="7" t="s">
        <v>209</v>
      </c>
      <c r="I151" s="2" t="s">
        <v>321</v>
      </c>
      <c r="J151" s="2" t="s">
        <v>477</v>
      </c>
      <c r="K151" s="2" t="s">
        <v>304</v>
      </c>
      <c r="L151" s="2" t="s">
        <v>125</v>
      </c>
      <c r="M151" s="8" t="str">
        <f>HYPERLINK("http://slimages.macys.com/is/image/MCY/13860422 ")</f>
        <v xml:space="preserve">http://slimages.macys.com/is/image/MCY/13860422 </v>
      </c>
    </row>
    <row r="152" spans="1:13" ht="84" x14ac:dyDescent="0.25">
      <c r="A152" s="7" t="s">
        <v>7557</v>
      </c>
      <c r="B152" s="2" t="s">
        <v>2596</v>
      </c>
      <c r="C152" s="4">
        <v>9</v>
      </c>
      <c r="D152" s="5">
        <v>6.75</v>
      </c>
      <c r="E152" s="5">
        <v>16.989999999999998</v>
      </c>
      <c r="F152" s="4" t="s">
        <v>2597</v>
      </c>
      <c r="G152" s="2" t="s">
        <v>41</v>
      </c>
      <c r="H152" s="7"/>
      <c r="I152" s="2" t="s">
        <v>321</v>
      </c>
      <c r="J152" s="2" t="s">
        <v>477</v>
      </c>
      <c r="K152" s="2" t="s">
        <v>304</v>
      </c>
      <c r="L152" s="2" t="s">
        <v>1516</v>
      </c>
      <c r="M152" s="8" t="str">
        <f>HYPERLINK("http://slimages.macys.com/is/image/MCY/13860422 ")</f>
        <v xml:space="preserve">http://slimages.macys.com/is/image/MCY/13860422 </v>
      </c>
    </row>
    <row r="153" spans="1:13" ht="60" x14ac:dyDescent="0.25">
      <c r="A153" s="7" t="s">
        <v>7558</v>
      </c>
      <c r="B153" s="2" t="s">
        <v>4097</v>
      </c>
      <c r="C153" s="4">
        <v>1</v>
      </c>
      <c r="D153" s="5">
        <v>6.75</v>
      </c>
      <c r="E153" s="5">
        <v>16.989999999999998</v>
      </c>
      <c r="F153" s="4" t="s">
        <v>4098</v>
      </c>
      <c r="G153" s="2" t="s">
        <v>892</v>
      </c>
      <c r="H153" s="7"/>
      <c r="I153" s="2" t="s">
        <v>321</v>
      </c>
      <c r="J153" s="2" t="s">
        <v>477</v>
      </c>
      <c r="K153" s="2" t="s">
        <v>304</v>
      </c>
      <c r="L153" s="2" t="s">
        <v>125</v>
      </c>
      <c r="M153" s="8" t="str">
        <f>HYPERLINK("http://slimages.macys.com/is/image/MCY/13860370 ")</f>
        <v xml:space="preserve">http://slimages.macys.com/is/image/MCY/13860370 </v>
      </c>
    </row>
    <row r="154" spans="1:13" ht="84" x14ac:dyDescent="0.25">
      <c r="A154" s="7" t="s">
        <v>7559</v>
      </c>
      <c r="B154" s="2" t="s">
        <v>2596</v>
      </c>
      <c r="C154" s="4">
        <v>5</v>
      </c>
      <c r="D154" s="5">
        <v>6.75</v>
      </c>
      <c r="E154" s="5">
        <v>16.989999999999998</v>
      </c>
      <c r="F154" s="4" t="s">
        <v>2597</v>
      </c>
      <c r="G154" s="2" t="s">
        <v>41</v>
      </c>
      <c r="H154" s="7"/>
      <c r="I154" s="2" t="s">
        <v>321</v>
      </c>
      <c r="J154" s="2" t="s">
        <v>477</v>
      </c>
      <c r="K154" s="2" t="s">
        <v>304</v>
      </c>
      <c r="L154" s="2" t="s">
        <v>1516</v>
      </c>
      <c r="M154" s="8" t="str">
        <f>HYPERLINK("http://slimages.macys.com/is/image/MCY/13860422 ")</f>
        <v xml:space="preserve">http://slimages.macys.com/is/image/MCY/13860422 </v>
      </c>
    </row>
    <row r="155" spans="1:13" ht="60" x14ac:dyDescent="0.25">
      <c r="A155" s="7" t="s">
        <v>5435</v>
      </c>
      <c r="B155" s="2" t="s">
        <v>1791</v>
      </c>
      <c r="C155" s="4">
        <v>11</v>
      </c>
      <c r="D155" s="5">
        <v>6.75</v>
      </c>
      <c r="E155" s="5">
        <v>16.989999999999998</v>
      </c>
      <c r="F155" s="4" t="s">
        <v>1795</v>
      </c>
      <c r="G155" s="2" t="s">
        <v>41</v>
      </c>
      <c r="H155" s="7" t="s">
        <v>68</v>
      </c>
      <c r="I155" s="2" t="s">
        <v>321</v>
      </c>
      <c r="J155" s="2" t="s">
        <v>477</v>
      </c>
      <c r="K155" s="2" t="s">
        <v>304</v>
      </c>
      <c r="L155" s="2" t="s">
        <v>125</v>
      </c>
      <c r="M155" s="8" t="str">
        <f>HYPERLINK("http://slimages.macys.com/is/image/MCY/13860424 ")</f>
        <v xml:space="preserve">http://slimages.macys.com/is/image/MCY/13860424 </v>
      </c>
    </row>
    <row r="156" spans="1:13" ht="60" x14ac:dyDescent="0.25">
      <c r="A156" s="7" t="s">
        <v>7560</v>
      </c>
      <c r="B156" s="2" t="s">
        <v>1791</v>
      </c>
      <c r="C156" s="4">
        <v>10</v>
      </c>
      <c r="D156" s="5">
        <v>6.75</v>
      </c>
      <c r="E156" s="5">
        <v>16.989999999999998</v>
      </c>
      <c r="F156" s="4" t="s">
        <v>1795</v>
      </c>
      <c r="G156" s="2" t="s">
        <v>41</v>
      </c>
      <c r="H156" s="7" t="s">
        <v>144</v>
      </c>
      <c r="I156" s="2" t="s">
        <v>321</v>
      </c>
      <c r="J156" s="2" t="s">
        <v>477</v>
      </c>
      <c r="K156" s="2" t="s">
        <v>304</v>
      </c>
      <c r="L156" s="2" t="s">
        <v>125</v>
      </c>
      <c r="M156" s="8" t="str">
        <f>HYPERLINK("http://slimages.macys.com/is/image/MCY/13860424 ")</f>
        <v xml:space="preserve">http://slimages.macys.com/is/image/MCY/13860424 </v>
      </c>
    </row>
    <row r="157" spans="1:13" ht="84" x14ac:dyDescent="0.25">
      <c r="A157" s="7" t="s">
        <v>6878</v>
      </c>
      <c r="B157" s="2" t="s">
        <v>5428</v>
      </c>
      <c r="C157" s="4">
        <v>6</v>
      </c>
      <c r="D157" s="5">
        <v>6.75</v>
      </c>
      <c r="E157" s="5">
        <v>16.989999999999998</v>
      </c>
      <c r="F157" s="4" t="s">
        <v>5429</v>
      </c>
      <c r="G157" s="2" t="s">
        <v>476</v>
      </c>
      <c r="H157" s="7" t="s">
        <v>209</v>
      </c>
      <c r="I157" s="2" t="s">
        <v>321</v>
      </c>
      <c r="J157" s="2" t="s">
        <v>477</v>
      </c>
      <c r="K157" s="2" t="s">
        <v>304</v>
      </c>
      <c r="L157" s="2" t="s">
        <v>1516</v>
      </c>
      <c r="M157" s="8" t="str">
        <f t="shared" ref="M157:M163" si="1">HYPERLINK("http://slimages.macys.com/is/image/MCY/13860359 ")</f>
        <v xml:space="preserve">http://slimages.macys.com/is/image/MCY/13860359 </v>
      </c>
    </row>
    <row r="158" spans="1:13" ht="60" x14ac:dyDescent="0.25">
      <c r="A158" s="7" t="s">
        <v>5433</v>
      </c>
      <c r="B158" s="2" t="s">
        <v>5428</v>
      </c>
      <c r="C158" s="4">
        <v>9</v>
      </c>
      <c r="D158" s="5">
        <v>6.75</v>
      </c>
      <c r="E158" s="5">
        <v>16.989999999999998</v>
      </c>
      <c r="F158" s="4" t="s">
        <v>5434</v>
      </c>
      <c r="G158" s="2" t="s">
        <v>476</v>
      </c>
      <c r="H158" s="7"/>
      <c r="I158" s="2" t="s">
        <v>321</v>
      </c>
      <c r="J158" s="2" t="s">
        <v>477</v>
      </c>
      <c r="K158" s="2" t="s">
        <v>304</v>
      </c>
      <c r="L158" s="2" t="s">
        <v>358</v>
      </c>
      <c r="M158" s="8" t="str">
        <f t="shared" si="1"/>
        <v xml:space="preserve">http://slimages.macys.com/is/image/MCY/13860359 </v>
      </c>
    </row>
    <row r="159" spans="1:13" ht="60" x14ac:dyDescent="0.25">
      <c r="A159" s="7" t="s">
        <v>6880</v>
      </c>
      <c r="B159" s="2" t="s">
        <v>5428</v>
      </c>
      <c r="C159" s="4">
        <v>6</v>
      </c>
      <c r="D159" s="5">
        <v>6.75</v>
      </c>
      <c r="E159" s="5">
        <v>16.989999999999998</v>
      </c>
      <c r="F159" s="4" t="s">
        <v>5434</v>
      </c>
      <c r="G159" s="2" t="s">
        <v>476</v>
      </c>
      <c r="H159" s="7"/>
      <c r="I159" s="2" t="s">
        <v>321</v>
      </c>
      <c r="J159" s="2" t="s">
        <v>477</v>
      </c>
      <c r="K159" s="2" t="s">
        <v>304</v>
      </c>
      <c r="L159" s="2" t="s">
        <v>358</v>
      </c>
      <c r="M159" s="8" t="str">
        <f t="shared" si="1"/>
        <v xml:space="preserve">http://slimages.macys.com/is/image/MCY/13860359 </v>
      </c>
    </row>
    <row r="160" spans="1:13" ht="84" x14ac:dyDescent="0.25">
      <c r="A160" s="7" t="s">
        <v>5427</v>
      </c>
      <c r="B160" s="2" t="s">
        <v>5428</v>
      </c>
      <c r="C160" s="4">
        <v>6</v>
      </c>
      <c r="D160" s="5">
        <v>6.75</v>
      </c>
      <c r="E160" s="5">
        <v>16.989999999999998</v>
      </c>
      <c r="F160" s="4" t="s">
        <v>5429</v>
      </c>
      <c r="G160" s="2" t="s">
        <v>476</v>
      </c>
      <c r="H160" s="7" t="s">
        <v>68</v>
      </c>
      <c r="I160" s="2" t="s">
        <v>321</v>
      </c>
      <c r="J160" s="2" t="s">
        <v>477</v>
      </c>
      <c r="K160" s="2" t="s">
        <v>304</v>
      </c>
      <c r="L160" s="2" t="s">
        <v>1516</v>
      </c>
      <c r="M160" s="8" t="str">
        <f t="shared" si="1"/>
        <v xml:space="preserve">http://slimages.macys.com/is/image/MCY/13860359 </v>
      </c>
    </row>
    <row r="161" spans="1:13" ht="60" x14ac:dyDescent="0.25">
      <c r="A161" s="7" t="s">
        <v>7561</v>
      </c>
      <c r="B161" s="2" t="s">
        <v>5428</v>
      </c>
      <c r="C161" s="4">
        <v>4</v>
      </c>
      <c r="D161" s="5">
        <v>6.75</v>
      </c>
      <c r="E161" s="5">
        <v>16.989999999999998</v>
      </c>
      <c r="F161" s="4" t="s">
        <v>5434</v>
      </c>
      <c r="G161" s="2" t="s">
        <v>476</v>
      </c>
      <c r="H161" s="7"/>
      <c r="I161" s="2" t="s">
        <v>321</v>
      </c>
      <c r="J161" s="2" t="s">
        <v>477</v>
      </c>
      <c r="K161" s="2" t="s">
        <v>304</v>
      </c>
      <c r="L161" s="2" t="s">
        <v>358</v>
      </c>
      <c r="M161" s="8" t="str">
        <f t="shared" si="1"/>
        <v xml:space="preserve">http://slimages.macys.com/is/image/MCY/13860359 </v>
      </c>
    </row>
    <row r="162" spans="1:13" ht="84" x14ac:dyDescent="0.25">
      <c r="A162" s="7" t="s">
        <v>6877</v>
      </c>
      <c r="B162" s="2" t="s">
        <v>5428</v>
      </c>
      <c r="C162" s="4">
        <v>5</v>
      </c>
      <c r="D162" s="5">
        <v>6.75</v>
      </c>
      <c r="E162" s="5">
        <v>16.989999999999998</v>
      </c>
      <c r="F162" s="4" t="s">
        <v>5429</v>
      </c>
      <c r="G162" s="2" t="s">
        <v>476</v>
      </c>
      <c r="H162" s="7" t="s">
        <v>144</v>
      </c>
      <c r="I162" s="2" t="s">
        <v>321</v>
      </c>
      <c r="J162" s="2" t="s">
        <v>477</v>
      </c>
      <c r="K162" s="2" t="s">
        <v>304</v>
      </c>
      <c r="L162" s="2" t="s">
        <v>1516</v>
      </c>
      <c r="M162" s="8" t="str">
        <f t="shared" si="1"/>
        <v xml:space="preserve">http://slimages.macys.com/is/image/MCY/13860359 </v>
      </c>
    </row>
    <row r="163" spans="1:13" ht="60" x14ac:dyDescent="0.25">
      <c r="A163" s="7" t="s">
        <v>6879</v>
      </c>
      <c r="B163" s="2" t="s">
        <v>5428</v>
      </c>
      <c r="C163" s="4">
        <v>1</v>
      </c>
      <c r="D163" s="5">
        <v>6.75</v>
      </c>
      <c r="E163" s="5">
        <v>16.989999999999998</v>
      </c>
      <c r="F163" s="4" t="s">
        <v>5434</v>
      </c>
      <c r="G163" s="2" t="s">
        <v>476</v>
      </c>
      <c r="H163" s="7"/>
      <c r="I163" s="2" t="s">
        <v>321</v>
      </c>
      <c r="J163" s="2" t="s">
        <v>477</v>
      </c>
      <c r="K163" s="2" t="s">
        <v>304</v>
      </c>
      <c r="L163" s="2" t="s">
        <v>358</v>
      </c>
      <c r="M163" s="8" t="str">
        <f t="shared" si="1"/>
        <v xml:space="preserve">http://slimages.macys.com/is/image/MCY/13860359 </v>
      </c>
    </row>
    <row r="164" spans="1:13" ht="60" x14ac:dyDescent="0.25">
      <c r="A164" s="7" t="s">
        <v>1794</v>
      </c>
      <c r="B164" s="2" t="s">
        <v>1791</v>
      </c>
      <c r="C164" s="4">
        <v>4</v>
      </c>
      <c r="D164" s="5">
        <v>6.75</v>
      </c>
      <c r="E164" s="5">
        <v>16.989999999999998</v>
      </c>
      <c r="F164" s="4" t="s">
        <v>1795</v>
      </c>
      <c r="G164" s="2" t="s">
        <v>41</v>
      </c>
      <c r="H164" s="7" t="s">
        <v>209</v>
      </c>
      <c r="I164" s="2" t="s">
        <v>321</v>
      </c>
      <c r="J164" s="2" t="s">
        <v>477</v>
      </c>
      <c r="K164" s="2" t="s">
        <v>304</v>
      </c>
      <c r="L164" s="2" t="s">
        <v>125</v>
      </c>
      <c r="M164" s="8" t="str">
        <f>HYPERLINK("http://slimages.macys.com/is/image/MCY/13860424 ")</f>
        <v xml:space="preserve">http://slimages.macys.com/is/image/MCY/13860424 </v>
      </c>
    </row>
    <row r="165" spans="1:13" ht="60" x14ac:dyDescent="0.25">
      <c r="A165" s="7" t="s">
        <v>1796</v>
      </c>
      <c r="B165" s="2" t="s">
        <v>1791</v>
      </c>
      <c r="C165" s="4">
        <v>6</v>
      </c>
      <c r="D165" s="5">
        <v>6.75</v>
      </c>
      <c r="E165" s="5">
        <v>16.989999999999998</v>
      </c>
      <c r="F165" s="4" t="s">
        <v>1792</v>
      </c>
      <c r="G165" s="2" t="s">
        <v>41</v>
      </c>
      <c r="H165" s="7"/>
      <c r="I165" s="2" t="s">
        <v>321</v>
      </c>
      <c r="J165" s="2" t="s">
        <v>477</v>
      </c>
      <c r="K165" s="2" t="s">
        <v>304</v>
      </c>
      <c r="L165" s="2" t="s">
        <v>125</v>
      </c>
      <c r="M165" s="8" t="str">
        <f>HYPERLINK("http://slimages.macys.com/is/image/MCY/13860424 ")</f>
        <v xml:space="preserve">http://slimages.macys.com/is/image/MCY/13860424 </v>
      </c>
    </row>
    <row r="166" spans="1:13" ht="60" x14ac:dyDescent="0.25">
      <c r="A166" s="7" t="s">
        <v>1790</v>
      </c>
      <c r="B166" s="2" t="s">
        <v>1791</v>
      </c>
      <c r="C166" s="4">
        <v>2</v>
      </c>
      <c r="D166" s="5">
        <v>6.75</v>
      </c>
      <c r="E166" s="5">
        <v>16.989999999999998</v>
      </c>
      <c r="F166" s="4" t="s">
        <v>1792</v>
      </c>
      <c r="G166" s="2" t="s">
        <v>41</v>
      </c>
      <c r="H166" s="7"/>
      <c r="I166" s="2" t="s">
        <v>321</v>
      </c>
      <c r="J166" s="2" t="s">
        <v>477</v>
      </c>
      <c r="K166" s="2" t="s">
        <v>304</v>
      </c>
      <c r="L166" s="2" t="s">
        <v>125</v>
      </c>
      <c r="M166" s="8" t="str">
        <f>HYPERLINK("http://slimages.macys.com/is/image/MCY/13860424 ")</f>
        <v xml:space="preserve">http://slimages.macys.com/is/image/MCY/13860424 </v>
      </c>
    </row>
    <row r="167" spans="1:13" ht="60" x14ac:dyDescent="0.25">
      <c r="A167" s="7" t="s">
        <v>1793</v>
      </c>
      <c r="B167" s="2" t="s">
        <v>1791</v>
      </c>
      <c r="C167" s="4">
        <v>1</v>
      </c>
      <c r="D167" s="5">
        <v>6.75</v>
      </c>
      <c r="E167" s="5">
        <v>16.989999999999998</v>
      </c>
      <c r="F167" s="4" t="s">
        <v>1792</v>
      </c>
      <c r="G167" s="2" t="s">
        <v>41</v>
      </c>
      <c r="H167" s="7"/>
      <c r="I167" s="2" t="s">
        <v>321</v>
      </c>
      <c r="J167" s="2" t="s">
        <v>477</v>
      </c>
      <c r="K167" s="2" t="s">
        <v>304</v>
      </c>
      <c r="L167" s="2" t="s">
        <v>125</v>
      </c>
      <c r="M167" s="8" t="str">
        <f>HYPERLINK("http://slimages.macys.com/is/image/MCY/13860424 ")</f>
        <v xml:space="preserve">http://slimages.macys.com/is/image/MCY/13860424 </v>
      </c>
    </row>
    <row r="168" spans="1:13" ht="60" x14ac:dyDescent="0.25">
      <c r="A168" s="7" t="s">
        <v>7562</v>
      </c>
      <c r="B168" s="2" t="s">
        <v>1791</v>
      </c>
      <c r="C168" s="4">
        <v>2</v>
      </c>
      <c r="D168" s="5">
        <v>6.75</v>
      </c>
      <c r="E168" s="5">
        <v>16.989999999999998</v>
      </c>
      <c r="F168" s="4" t="s">
        <v>1792</v>
      </c>
      <c r="G168" s="2" t="s">
        <v>41</v>
      </c>
      <c r="H168" s="7"/>
      <c r="I168" s="2" t="s">
        <v>321</v>
      </c>
      <c r="J168" s="2" t="s">
        <v>477</v>
      </c>
      <c r="K168" s="2" t="s">
        <v>304</v>
      </c>
      <c r="L168" s="2" t="s">
        <v>125</v>
      </c>
      <c r="M168" s="8" t="str">
        <f>HYPERLINK("http://slimages.macys.com/is/image/MCY/13860424 ")</f>
        <v xml:space="preserve">http://slimages.macys.com/is/image/MCY/13860424 </v>
      </c>
    </row>
    <row r="169" spans="1:13" ht="60" x14ac:dyDescent="0.25">
      <c r="A169" s="7" t="s">
        <v>7563</v>
      </c>
      <c r="B169" s="2" t="s">
        <v>7564</v>
      </c>
      <c r="C169" s="4">
        <v>1</v>
      </c>
      <c r="D169" s="5">
        <v>6.75</v>
      </c>
      <c r="E169" s="5">
        <v>21.99</v>
      </c>
      <c r="F169" s="4" t="s">
        <v>7565</v>
      </c>
      <c r="G169" s="2" t="s">
        <v>310</v>
      </c>
      <c r="H169" s="7" t="s">
        <v>63</v>
      </c>
      <c r="I169" s="2" t="s">
        <v>342</v>
      </c>
      <c r="J169" s="2" t="s">
        <v>362</v>
      </c>
      <c r="K169" s="2" t="s">
        <v>304</v>
      </c>
      <c r="L169" s="2" t="s">
        <v>3935</v>
      </c>
      <c r="M169" s="8" t="str">
        <f>HYPERLINK("http://slimages.macys.com/is/image/MCY/12227599 ")</f>
        <v xml:space="preserve">http://slimages.macys.com/is/image/MCY/12227599 </v>
      </c>
    </row>
    <row r="170" spans="1:13" ht="84" x14ac:dyDescent="0.25">
      <c r="A170" s="7" t="s">
        <v>473</v>
      </c>
      <c r="B170" s="2" t="s">
        <v>474</v>
      </c>
      <c r="C170" s="4">
        <v>20</v>
      </c>
      <c r="D170" s="5">
        <v>6.75</v>
      </c>
      <c r="E170" s="5">
        <v>16.989999999999998</v>
      </c>
      <c r="F170" s="4" t="s">
        <v>475</v>
      </c>
      <c r="G170" s="2" t="s">
        <v>476</v>
      </c>
      <c r="H170" s="7" t="s">
        <v>209</v>
      </c>
      <c r="I170" s="2" t="s">
        <v>321</v>
      </c>
      <c r="J170" s="2" t="s">
        <v>477</v>
      </c>
      <c r="K170" s="2" t="s">
        <v>304</v>
      </c>
      <c r="L170" s="2" t="s">
        <v>478</v>
      </c>
      <c r="M170" s="8" t="str">
        <f>HYPERLINK("http://slimages.macys.com/is/image/MCY/13860353 ")</f>
        <v xml:space="preserve">http://slimages.macys.com/is/image/MCY/13860353 </v>
      </c>
    </row>
    <row r="171" spans="1:13" ht="60" x14ac:dyDescent="0.25">
      <c r="A171" s="7" t="s">
        <v>7566</v>
      </c>
      <c r="B171" s="2" t="s">
        <v>2596</v>
      </c>
      <c r="C171" s="4">
        <v>20</v>
      </c>
      <c r="D171" s="5">
        <v>6.75</v>
      </c>
      <c r="E171" s="5">
        <v>16.989999999999998</v>
      </c>
      <c r="F171" s="4" t="s">
        <v>7555</v>
      </c>
      <c r="G171" s="2" t="s">
        <v>41</v>
      </c>
      <c r="H171" s="7" t="s">
        <v>144</v>
      </c>
      <c r="I171" s="2" t="s">
        <v>321</v>
      </c>
      <c r="J171" s="2" t="s">
        <v>477</v>
      </c>
      <c r="K171" s="2" t="s">
        <v>304</v>
      </c>
      <c r="L171" s="2" t="s">
        <v>125</v>
      </c>
      <c r="M171" s="8" t="str">
        <f>HYPERLINK("http://slimages.macys.com/is/image/MCY/13860422 ")</f>
        <v xml:space="preserve">http://slimages.macys.com/is/image/MCY/13860422 </v>
      </c>
    </row>
    <row r="172" spans="1:13" ht="60" x14ac:dyDescent="0.25">
      <c r="A172" s="7" t="s">
        <v>7567</v>
      </c>
      <c r="B172" s="2" t="s">
        <v>4097</v>
      </c>
      <c r="C172" s="4">
        <v>2</v>
      </c>
      <c r="D172" s="5">
        <v>6.75</v>
      </c>
      <c r="E172" s="5">
        <v>16.989999999999998</v>
      </c>
      <c r="F172" s="4" t="s">
        <v>4098</v>
      </c>
      <c r="G172" s="2" t="s">
        <v>892</v>
      </c>
      <c r="H172" s="7"/>
      <c r="I172" s="2" t="s">
        <v>321</v>
      </c>
      <c r="J172" s="2" t="s">
        <v>477</v>
      </c>
      <c r="K172" s="2" t="s">
        <v>304</v>
      </c>
      <c r="L172" s="2" t="s">
        <v>125</v>
      </c>
      <c r="M172" s="8" t="str">
        <f>HYPERLINK("http://slimages.macys.com/is/image/MCY/13860370 ")</f>
        <v xml:space="preserve">http://slimages.macys.com/is/image/MCY/13860370 </v>
      </c>
    </row>
    <row r="173" spans="1:13" ht="60" x14ac:dyDescent="0.25">
      <c r="A173" s="7" t="s">
        <v>7568</v>
      </c>
      <c r="B173" s="2" t="s">
        <v>7569</v>
      </c>
      <c r="C173" s="4">
        <v>1</v>
      </c>
      <c r="D173" s="5">
        <v>6.75</v>
      </c>
      <c r="E173" s="5">
        <v>15.7</v>
      </c>
      <c r="F173" s="4">
        <v>18495510</v>
      </c>
      <c r="G173" s="2" t="s">
        <v>62</v>
      </c>
      <c r="H173" s="7" t="s">
        <v>42</v>
      </c>
      <c r="I173" s="2" t="s">
        <v>153</v>
      </c>
      <c r="J173" s="2" t="s">
        <v>154</v>
      </c>
      <c r="K173" s="2" t="s">
        <v>304</v>
      </c>
      <c r="L173" s="2" t="s">
        <v>206</v>
      </c>
      <c r="M173" s="8" t="str">
        <f>HYPERLINK("http://slimages.macys.com/is/image/MCY/14662113 ")</f>
        <v xml:space="preserve">http://slimages.macys.com/is/image/MCY/14662113 </v>
      </c>
    </row>
    <row r="174" spans="1:13" ht="72" x14ac:dyDescent="0.25">
      <c r="A174" s="7" t="s">
        <v>1797</v>
      </c>
      <c r="B174" s="2" t="s">
        <v>474</v>
      </c>
      <c r="C174" s="4">
        <v>20</v>
      </c>
      <c r="D174" s="5">
        <v>6.75</v>
      </c>
      <c r="E174" s="5">
        <v>16.989999999999998</v>
      </c>
      <c r="F174" s="4" t="s">
        <v>1798</v>
      </c>
      <c r="G174" s="2" t="s">
        <v>476</v>
      </c>
      <c r="H174" s="7"/>
      <c r="I174" s="2" t="s">
        <v>321</v>
      </c>
      <c r="J174" s="2" t="s">
        <v>477</v>
      </c>
      <c r="K174" s="2" t="s">
        <v>304</v>
      </c>
      <c r="L174" s="2" t="s">
        <v>1117</v>
      </c>
      <c r="M174" s="8" t="str">
        <f t="shared" ref="M174:M179" si="2">HYPERLINK("http://slimages.macys.com/is/image/MCY/13860353 ")</f>
        <v xml:space="preserve">http://slimages.macys.com/is/image/MCY/13860353 </v>
      </c>
    </row>
    <row r="175" spans="1:13" ht="72" x14ac:dyDescent="0.25">
      <c r="A175" s="7" t="s">
        <v>6875</v>
      </c>
      <c r="B175" s="2" t="s">
        <v>474</v>
      </c>
      <c r="C175" s="4">
        <v>12</v>
      </c>
      <c r="D175" s="5">
        <v>6.75</v>
      </c>
      <c r="E175" s="5">
        <v>16.989999999999998</v>
      </c>
      <c r="F175" s="4" t="s">
        <v>1798</v>
      </c>
      <c r="G175" s="2" t="s">
        <v>476</v>
      </c>
      <c r="H175" s="7"/>
      <c r="I175" s="2" t="s">
        <v>321</v>
      </c>
      <c r="J175" s="2" t="s">
        <v>477</v>
      </c>
      <c r="K175" s="2" t="s">
        <v>304</v>
      </c>
      <c r="L175" s="2" t="s">
        <v>1117</v>
      </c>
      <c r="M175" s="8" t="str">
        <f t="shared" si="2"/>
        <v xml:space="preserve">http://slimages.macys.com/is/image/MCY/13860353 </v>
      </c>
    </row>
    <row r="176" spans="1:13" ht="72" x14ac:dyDescent="0.25">
      <c r="A176" s="7" t="s">
        <v>6876</v>
      </c>
      <c r="B176" s="2" t="s">
        <v>474</v>
      </c>
      <c r="C176" s="4">
        <v>11</v>
      </c>
      <c r="D176" s="5">
        <v>6.75</v>
      </c>
      <c r="E176" s="5">
        <v>16.989999999999998</v>
      </c>
      <c r="F176" s="4" t="s">
        <v>1798</v>
      </c>
      <c r="G176" s="2" t="s">
        <v>476</v>
      </c>
      <c r="H176" s="7"/>
      <c r="I176" s="2" t="s">
        <v>321</v>
      </c>
      <c r="J176" s="2" t="s">
        <v>477</v>
      </c>
      <c r="K176" s="2" t="s">
        <v>304</v>
      </c>
      <c r="L176" s="2" t="s">
        <v>1117</v>
      </c>
      <c r="M176" s="8" t="str">
        <f t="shared" si="2"/>
        <v xml:space="preserve">http://slimages.macys.com/is/image/MCY/13860353 </v>
      </c>
    </row>
    <row r="177" spans="1:13" ht="72" x14ac:dyDescent="0.25">
      <c r="A177" s="7" t="s">
        <v>7570</v>
      </c>
      <c r="B177" s="2" t="s">
        <v>474</v>
      </c>
      <c r="C177" s="4">
        <v>21</v>
      </c>
      <c r="D177" s="5">
        <v>6.75</v>
      </c>
      <c r="E177" s="5">
        <v>16.989999999999998</v>
      </c>
      <c r="F177" s="4" t="s">
        <v>1798</v>
      </c>
      <c r="G177" s="2" t="s">
        <v>476</v>
      </c>
      <c r="H177" s="7"/>
      <c r="I177" s="2" t="s">
        <v>321</v>
      </c>
      <c r="J177" s="2" t="s">
        <v>477</v>
      </c>
      <c r="K177" s="2" t="s">
        <v>304</v>
      </c>
      <c r="L177" s="2" t="s">
        <v>1117</v>
      </c>
      <c r="M177" s="8" t="str">
        <f t="shared" si="2"/>
        <v xml:space="preserve">http://slimages.macys.com/is/image/MCY/13860353 </v>
      </c>
    </row>
    <row r="178" spans="1:13" ht="84" x14ac:dyDescent="0.25">
      <c r="A178" s="7" t="s">
        <v>6881</v>
      </c>
      <c r="B178" s="2" t="s">
        <v>474</v>
      </c>
      <c r="C178" s="4">
        <v>24</v>
      </c>
      <c r="D178" s="5">
        <v>6.75</v>
      </c>
      <c r="E178" s="5">
        <v>16.989999999999998</v>
      </c>
      <c r="F178" s="4" t="s">
        <v>475</v>
      </c>
      <c r="G178" s="2" t="s">
        <v>476</v>
      </c>
      <c r="H178" s="7" t="s">
        <v>144</v>
      </c>
      <c r="I178" s="2" t="s">
        <v>321</v>
      </c>
      <c r="J178" s="2" t="s">
        <v>477</v>
      </c>
      <c r="K178" s="2" t="s">
        <v>304</v>
      </c>
      <c r="L178" s="2" t="s">
        <v>478</v>
      </c>
      <c r="M178" s="8" t="str">
        <f t="shared" si="2"/>
        <v xml:space="preserve">http://slimages.macys.com/is/image/MCY/13860353 </v>
      </c>
    </row>
    <row r="179" spans="1:13" ht="84" x14ac:dyDescent="0.25">
      <c r="A179" s="7" t="s">
        <v>2594</v>
      </c>
      <c r="B179" s="2" t="s">
        <v>474</v>
      </c>
      <c r="C179" s="4">
        <v>29</v>
      </c>
      <c r="D179" s="5">
        <v>6.75</v>
      </c>
      <c r="E179" s="5">
        <v>16.989999999999998</v>
      </c>
      <c r="F179" s="4" t="s">
        <v>475</v>
      </c>
      <c r="G179" s="2" t="s">
        <v>476</v>
      </c>
      <c r="H179" s="7" t="s">
        <v>68</v>
      </c>
      <c r="I179" s="2" t="s">
        <v>321</v>
      </c>
      <c r="J179" s="2" t="s">
        <v>477</v>
      </c>
      <c r="K179" s="2" t="s">
        <v>304</v>
      </c>
      <c r="L179" s="2" t="s">
        <v>478</v>
      </c>
      <c r="M179" s="8" t="str">
        <f t="shared" si="2"/>
        <v xml:space="preserve">http://slimages.macys.com/is/image/MCY/13860353 </v>
      </c>
    </row>
    <row r="180" spans="1:13" ht="84" x14ac:dyDescent="0.25">
      <c r="A180" s="7" t="s">
        <v>7571</v>
      </c>
      <c r="B180" s="2" t="s">
        <v>4088</v>
      </c>
      <c r="C180" s="4">
        <v>12</v>
      </c>
      <c r="D180" s="5">
        <v>6.75</v>
      </c>
      <c r="E180" s="5">
        <v>16.989999999999998</v>
      </c>
      <c r="F180" s="4" t="s">
        <v>5431</v>
      </c>
      <c r="G180" s="2" t="s">
        <v>892</v>
      </c>
      <c r="H180" s="7" t="s">
        <v>68</v>
      </c>
      <c r="I180" s="2" t="s">
        <v>321</v>
      </c>
      <c r="J180" s="2" t="s">
        <v>477</v>
      </c>
      <c r="K180" s="2" t="s">
        <v>304</v>
      </c>
      <c r="L180" s="2" t="s">
        <v>1516</v>
      </c>
      <c r="M180" s="8" t="str">
        <f>HYPERLINK("http://slimages.macys.com/is/image/MCY/13860413 ")</f>
        <v xml:space="preserve">http://slimages.macys.com/is/image/MCY/13860413 </v>
      </c>
    </row>
    <row r="181" spans="1:13" ht="84" x14ac:dyDescent="0.25">
      <c r="A181" s="7" t="s">
        <v>7572</v>
      </c>
      <c r="B181" s="2" t="s">
        <v>4088</v>
      </c>
      <c r="C181" s="4">
        <v>6</v>
      </c>
      <c r="D181" s="5">
        <v>6.75</v>
      </c>
      <c r="E181" s="5">
        <v>16.989999999999998</v>
      </c>
      <c r="F181" s="4" t="s">
        <v>4089</v>
      </c>
      <c r="G181" s="2" t="s">
        <v>892</v>
      </c>
      <c r="H181" s="7"/>
      <c r="I181" s="2" t="s">
        <v>321</v>
      </c>
      <c r="J181" s="2" t="s">
        <v>477</v>
      </c>
      <c r="K181" s="2" t="s">
        <v>304</v>
      </c>
      <c r="L181" s="2" t="s">
        <v>1516</v>
      </c>
      <c r="M181" s="8" t="str">
        <f>HYPERLINK("http://slimages.macys.com/is/image/MCY/13860413 ")</f>
        <v xml:space="preserve">http://slimages.macys.com/is/image/MCY/13860413 </v>
      </c>
    </row>
    <row r="182" spans="1:13" ht="84" x14ac:dyDescent="0.25">
      <c r="A182" s="7" t="s">
        <v>2595</v>
      </c>
      <c r="B182" s="2" t="s">
        <v>2596</v>
      </c>
      <c r="C182" s="4">
        <v>4</v>
      </c>
      <c r="D182" s="5">
        <v>6.75</v>
      </c>
      <c r="E182" s="5">
        <v>16.989999999999998</v>
      </c>
      <c r="F182" s="4" t="s">
        <v>2597</v>
      </c>
      <c r="G182" s="2" t="s">
        <v>41</v>
      </c>
      <c r="H182" s="7"/>
      <c r="I182" s="2" t="s">
        <v>321</v>
      </c>
      <c r="J182" s="2" t="s">
        <v>477</v>
      </c>
      <c r="K182" s="2" t="s">
        <v>304</v>
      </c>
      <c r="L182" s="2" t="s">
        <v>1516</v>
      </c>
      <c r="M182" s="8" t="str">
        <f>HYPERLINK("http://slimages.macys.com/is/image/MCY/13860422 ")</f>
        <v xml:space="preserve">http://slimages.macys.com/is/image/MCY/13860422 </v>
      </c>
    </row>
    <row r="183" spans="1:13" ht="84" x14ac:dyDescent="0.25">
      <c r="A183" s="7" t="s">
        <v>7573</v>
      </c>
      <c r="B183" s="2" t="s">
        <v>2596</v>
      </c>
      <c r="C183" s="4">
        <v>5</v>
      </c>
      <c r="D183" s="5">
        <v>6.75</v>
      </c>
      <c r="E183" s="5">
        <v>16.989999999999998</v>
      </c>
      <c r="F183" s="4" t="s">
        <v>2597</v>
      </c>
      <c r="G183" s="2" t="s">
        <v>41</v>
      </c>
      <c r="H183" s="7"/>
      <c r="I183" s="2" t="s">
        <v>321</v>
      </c>
      <c r="J183" s="2" t="s">
        <v>477</v>
      </c>
      <c r="K183" s="2" t="s">
        <v>304</v>
      </c>
      <c r="L183" s="2" t="s">
        <v>1516</v>
      </c>
      <c r="M183" s="8" t="str">
        <f>HYPERLINK("http://slimages.macys.com/is/image/MCY/13860422 ")</f>
        <v xml:space="preserve">http://slimages.macys.com/is/image/MCY/13860422 </v>
      </c>
    </row>
    <row r="184" spans="1:13" ht="60" x14ac:dyDescent="0.25">
      <c r="A184" s="7" t="s">
        <v>7574</v>
      </c>
      <c r="B184" s="2" t="s">
        <v>4097</v>
      </c>
      <c r="C184" s="4">
        <v>6</v>
      </c>
      <c r="D184" s="5">
        <v>6.75</v>
      </c>
      <c r="E184" s="5">
        <v>16.989999999999998</v>
      </c>
      <c r="F184" s="4" t="s">
        <v>4098</v>
      </c>
      <c r="G184" s="2" t="s">
        <v>892</v>
      </c>
      <c r="H184" s="7"/>
      <c r="I184" s="2" t="s">
        <v>321</v>
      </c>
      <c r="J184" s="2" t="s">
        <v>477</v>
      </c>
      <c r="K184" s="2" t="s">
        <v>304</v>
      </c>
      <c r="L184" s="2" t="s">
        <v>125</v>
      </c>
      <c r="M184" s="8" t="str">
        <f>HYPERLINK("http://slimages.macys.com/is/image/MCY/13860370 ")</f>
        <v xml:space="preserve">http://slimages.macys.com/is/image/MCY/13860370 </v>
      </c>
    </row>
    <row r="185" spans="1:13" ht="84" x14ac:dyDescent="0.25">
      <c r="A185" s="7" t="s">
        <v>7575</v>
      </c>
      <c r="B185" s="2" t="s">
        <v>4088</v>
      </c>
      <c r="C185" s="4">
        <v>3</v>
      </c>
      <c r="D185" s="5">
        <v>6.75</v>
      </c>
      <c r="E185" s="5">
        <v>16.989999999999998</v>
      </c>
      <c r="F185" s="4" t="s">
        <v>4089</v>
      </c>
      <c r="G185" s="2" t="s">
        <v>892</v>
      </c>
      <c r="H185" s="7"/>
      <c r="I185" s="2" t="s">
        <v>321</v>
      </c>
      <c r="J185" s="2" t="s">
        <v>477</v>
      </c>
      <c r="K185" s="2" t="s">
        <v>304</v>
      </c>
      <c r="L185" s="2" t="s">
        <v>1516</v>
      </c>
      <c r="M185" s="8" t="str">
        <f>HYPERLINK("http://slimages.macys.com/is/image/MCY/13860413 ")</f>
        <v xml:space="preserve">http://slimages.macys.com/is/image/MCY/13860413 </v>
      </c>
    </row>
    <row r="186" spans="1:13" ht="60" x14ac:dyDescent="0.25">
      <c r="A186" s="7" t="s">
        <v>4096</v>
      </c>
      <c r="B186" s="2" t="s">
        <v>4097</v>
      </c>
      <c r="C186" s="4">
        <v>8</v>
      </c>
      <c r="D186" s="5">
        <v>6.75</v>
      </c>
      <c r="E186" s="5">
        <v>16.989999999999998</v>
      </c>
      <c r="F186" s="4" t="s">
        <v>4098</v>
      </c>
      <c r="G186" s="2" t="s">
        <v>892</v>
      </c>
      <c r="H186" s="7"/>
      <c r="I186" s="2" t="s">
        <v>321</v>
      </c>
      <c r="J186" s="2" t="s">
        <v>477</v>
      </c>
      <c r="K186" s="2" t="s">
        <v>304</v>
      </c>
      <c r="L186" s="2" t="s">
        <v>125</v>
      </c>
      <c r="M186" s="8" t="str">
        <f>HYPERLINK("http://slimages.macys.com/is/image/MCY/13860370 ")</f>
        <v xml:space="preserve">http://slimages.macys.com/is/image/MCY/13860370 </v>
      </c>
    </row>
    <row r="187" spans="1:13" ht="60" x14ac:dyDescent="0.25">
      <c r="A187" s="7" t="s">
        <v>7576</v>
      </c>
      <c r="B187" s="2" t="s">
        <v>4097</v>
      </c>
      <c r="C187" s="4">
        <v>16</v>
      </c>
      <c r="D187" s="5">
        <v>6.75</v>
      </c>
      <c r="E187" s="5">
        <v>16.989999999999998</v>
      </c>
      <c r="F187" s="4" t="s">
        <v>7553</v>
      </c>
      <c r="G187" s="2" t="s">
        <v>892</v>
      </c>
      <c r="H187" s="7" t="s">
        <v>209</v>
      </c>
      <c r="I187" s="2" t="s">
        <v>321</v>
      </c>
      <c r="J187" s="2" t="s">
        <v>477</v>
      </c>
      <c r="K187" s="2" t="s">
        <v>304</v>
      </c>
      <c r="L187" s="2" t="s">
        <v>125</v>
      </c>
      <c r="M187" s="8" t="str">
        <f>HYPERLINK("http://slimages.macys.com/is/image/MCY/13860370 ")</f>
        <v xml:space="preserve">http://slimages.macys.com/is/image/MCY/13860370 </v>
      </c>
    </row>
    <row r="188" spans="1:13" ht="60" x14ac:dyDescent="0.25">
      <c r="A188" s="7" t="s">
        <v>7577</v>
      </c>
      <c r="B188" s="2" t="s">
        <v>4097</v>
      </c>
      <c r="C188" s="4">
        <v>15</v>
      </c>
      <c r="D188" s="5">
        <v>6.75</v>
      </c>
      <c r="E188" s="5">
        <v>16.989999999999998</v>
      </c>
      <c r="F188" s="4" t="s">
        <v>7553</v>
      </c>
      <c r="G188" s="2" t="s">
        <v>892</v>
      </c>
      <c r="H188" s="7" t="s">
        <v>68</v>
      </c>
      <c r="I188" s="2" t="s">
        <v>321</v>
      </c>
      <c r="J188" s="2" t="s">
        <v>477</v>
      </c>
      <c r="K188" s="2" t="s">
        <v>304</v>
      </c>
      <c r="L188" s="2" t="s">
        <v>125</v>
      </c>
      <c r="M188" s="8" t="str">
        <f>HYPERLINK("http://slimages.macys.com/is/image/MCY/13860370 ")</f>
        <v xml:space="preserve">http://slimages.macys.com/is/image/MCY/13860370 </v>
      </c>
    </row>
    <row r="189" spans="1:13" ht="84" x14ac:dyDescent="0.25">
      <c r="A189" s="7" t="s">
        <v>4087</v>
      </c>
      <c r="B189" s="2" t="s">
        <v>4088</v>
      </c>
      <c r="C189" s="4">
        <v>7</v>
      </c>
      <c r="D189" s="5">
        <v>6.75</v>
      </c>
      <c r="E189" s="5">
        <v>16.989999999999998</v>
      </c>
      <c r="F189" s="4" t="s">
        <v>4089</v>
      </c>
      <c r="G189" s="2" t="s">
        <v>892</v>
      </c>
      <c r="H189" s="7"/>
      <c r="I189" s="2" t="s">
        <v>321</v>
      </c>
      <c r="J189" s="2" t="s">
        <v>477</v>
      </c>
      <c r="K189" s="2" t="s">
        <v>304</v>
      </c>
      <c r="L189" s="2" t="s">
        <v>1516</v>
      </c>
      <c r="M189" s="8" t="str">
        <f>HYPERLINK("http://slimages.macys.com/is/image/MCY/13860413 ")</f>
        <v xml:space="preserve">http://slimages.macys.com/is/image/MCY/13860413 </v>
      </c>
    </row>
    <row r="190" spans="1:13" ht="72" x14ac:dyDescent="0.25">
      <c r="A190" s="7" t="s">
        <v>3341</v>
      </c>
      <c r="B190" s="2" t="s">
        <v>2600</v>
      </c>
      <c r="C190" s="4">
        <v>1</v>
      </c>
      <c r="D190" s="5">
        <v>6.72</v>
      </c>
      <c r="E190" s="5">
        <v>17.989999999999998</v>
      </c>
      <c r="F190" s="4" t="s">
        <v>2601</v>
      </c>
      <c r="G190" s="2" t="s">
        <v>171</v>
      </c>
      <c r="H190" s="7" t="s">
        <v>284</v>
      </c>
      <c r="I190" s="2" t="s">
        <v>515</v>
      </c>
      <c r="J190" s="2" t="s">
        <v>827</v>
      </c>
      <c r="K190" s="2" t="s">
        <v>304</v>
      </c>
      <c r="L190" s="2" t="s">
        <v>1117</v>
      </c>
      <c r="M190" s="8" t="str">
        <f>HYPERLINK("http://slimages.macys.com/is/image/MCY/11605968 ")</f>
        <v xml:space="preserve">http://slimages.macys.com/is/image/MCY/11605968 </v>
      </c>
    </row>
    <row r="191" spans="1:13" ht="60" x14ac:dyDescent="0.25">
      <c r="A191" s="7" t="s">
        <v>5934</v>
      </c>
      <c r="B191" s="2" t="s">
        <v>3347</v>
      </c>
      <c r="C191" s="4">
        <v>1</v>
      </c>
      <c r="D191" s="5">
        <v>6.7</v>
      </c>
      <c r="E191" s="5">
        <v>11.99</v>
      </c>
      <c r="F191" s="4" t="s">
        <v>3348</v>
      </c>
      <c r="G191" s="2" t="s">
        <v>48</v>
      </c>
      <c r="H191" s="7" t="s">
        <v>317</v>
      </c>
      <c r="I191" s="2" t="s">
        <v>73</v>
      </c>
      <c r="J191" s="2" t="s">
        <v>1963</v>
      </c>
      <c r="K191" s="2" t="s">
        <v>304</v>
      </c>
      <c r="L191" s="2" t="s">
        <v>100</v>
      </c>
      <c r="M191" s="8" t="str">
        <f>HYPERLINK("http://slimages.macys.com/is/image/MCY/11229110 ")</f>
        <v xml:space="preserve">http://slimages.macys.com/is/image/MCY/11229110 </v>
      </c>
    </row>
    <row r="192" spans="1:13" ht="60" x14ac:dyDescent="0.25">
      <c r="A192" s="7" t="s">
        <v>7578</v>
      </c>
      <c r="B192" s="2" t="s">
        <v>7579</v>
      </c>
      <c r="C192" s="4">
        <v>1</v>
      </c>
      <c r="D192" s="5">
        <v>6.7</v>
      </c>
      <c r="E192" s="5">
        <v>16.989999999999998</v>
      </c>
      <c r="F192" s="4">
        <v>36509610</v>
      </c>
      <c r="G192" s="2"/>
      <c r="H192" s="7" t="s">
        <v>166</v>
      </c>
      <c r="I192" s="2" t="s">
        <v>321</v>
      </c>
      <c r="J192" s="2" t="s">
        <v>4958</v>
      </c>
      <c r="K192" s="2" t="s">
        <v>304</v>
      </c>
      <c r="L192" s="2" t="s">
        <v>224</v>
      </c>
      <c r="M192" s="8" t="str">
        <f>HYPERLINK("http://slimages.macys.com/is/image/MCY/11954386 ")</f>
        <v xml:space="preserve">http://slimages.macys.com/is/image/MCY/11954386 </v>
      </c>
    </row>
    <row r="193" spans="1:13" ht="60" x14ac:dyDescent="0.25">
      <c r="A193" s="7" t="s">
        <v>1803</v>
      </c>
      <c r="B193" s="2" t="s">
        <v>1025</v>
      </c>
      <c r="C193" s="4">
        <v>1</v>
      </c>
      <c r="D193" s="5">
        <v>6.67</v>
      </c>
      <c r="E193" s="5">
        <v>16.989999999999998</v>
      </c>
      <c r="F193" s="4" t="s">
        <v>1804</v>
      </c>
      <c r="G193" s="2" t="s">
        <v>62</v>
      </c>
      <c r="H193" s="7" t="s">
        <v>284</v>
      </c>
      <c r="I193" s="2" t="s">
        <v>515</v>
      </c>
      <c r="J193" s="2" t="s">
        <v>827</v>
      </c>
      <c r="K193" s="2" t="s">
        <v>304</v>
      </c>
      <c r="L193" s="2" t="s">
        <v>358</v>
      </c>
      <c r="M193" s="8" t="str">
        <f>HYPERLINK("http://slimages.macys.com/is/image/MCY/12687279 ")</f>
        <v xml:space="preserve">http://slimages.macys.com/is/image/MCY/12687279 </v>
      </c>
    </row>
    <row r="194" spans="1:13" ht="60" x14ac:dyDescent="0.25">
      <c r="A194" s="7" t="s">
        <v>6292</v>
      </c>
      <c r="B194" s="2" t="s">
        <v>1025</v>
      </c>
      <c r="C194" s="4">
        <v>2</v>
      </c>
      <c r="D194" s="5">
        <v>6.67</v>
      </c>
      <c r="E194" s="5">
        <v>16.989999999999998</v>
      </c>
      <c r="F194" s="4" t="s">
        <v>1804</v>
      </c>
      <c r="G194" s="2" t="s">
        <v>62</v>
      </c>
      <c r="H194" s="7" t="s">
        <v>228</v>
      </c>
      <c r="I194" s="2" t="s">
        <v>515</v>
      </c>
      <c r="J194" s="2" t="s">
        <v>827</v>
      </c>
      <c r="K194" s="2" t="s">
        <v>304</v>
      </c>
      <c r="L194" s="2" t="s">
        <v>358</v>
      </c>
      <c r="M194" s="8" t="str">
        <f>HYPERLINK("http://slimages.macys.com/is/image/MCY/12687279 ")</f>
        <v xml:space="preserve">http://slimages.macys.com/is/image/MCY/12687279 </v>
      </c>
    </row>
    <row r="195" spans="1:13" ht="60" x14ac:dyDescent="0.25">
      <c r="A195" s="7" t="s">
        <v>7580</v>
      </c>
      <c r="B195" s="2" t="s">
        <v>1025</v>
      </c>
      <c r="C195" s="4">
        <v>2</v>
      </c>
      <c r="D195" s="5">
        <v>6.67</v>
      </c>
      <c r="E195" s="5">
        <v>16.989999999999998</v>
      </c>
      <c r="F195" s="4" t="s">
        <v>1804</v>
      </c>
      <c r="G195" s="2" t="s">
        <v>62</v>
      </c>
      <c r="H195" s="7" t="s">
        <v>284</v>
      </c>
      <c r="I195" s="2" t="s">
        <v>515</v>
      </c>
      <c r="J195" s="2" t="s">
        <v>827</v>
      </c>
      <c r="K195" s="2" t="s">
        <v>304</v>
      </c>
      <c r="L195" s="2" t="s">
        <v>358</v>
      </c>
      <c r="M195" s="8" t="str">
        <f>HYPERLINK("http://slimages.macys.com/is/image/MCY/12687279 ")</f>
        <v xml:space="preserve">http://slimages.macys.com/is/image/MCY/12687279 </v>
      </c>
    </row>
    <row r="196" spans="1:13" ht="60" x14ac:dyDescent="0.25">
      <c r="A196" s="7" t="s">
        <v>4937</v>
      </c>
      <c r="B196" s="2" t="s">
        <v>4938</v>
      </c>
      <c r="C196" s="4">
        <v>1</v>
      </c>
      <c r="D196" s="5">
        <v>6.65</v>
      </c>
      <c r="E196" s="5">
        <v>13.3</v>
      </c>
      <c r="F196" s="4" t="s">
        <v>4939</v>
      </c>
      <c r="G196" s="2" t="s">
        <v>79</v>
      </c>
      <c r="H196" s="7"/>
      <c r="I196" s="2" t="s">
        <v>487</v>
      </c>
      <c r="J196" s="2" t="s">
        <v>488</v>
      </c>
      <c r="K196" s="2" t="s">
        <v>304</v>
      </c>
      <c r="L196" s="2" t="s">
        <v>38</v>
      </c>
      <c r="M196" s="8" t="str">
        <f>HYPERLINK("http://slimages.macys.com/is/image/MCY/11867536 ")</f>
        <v xml:space="preserve">http://slimages.macys.com/is/image/MCY/11867536 </v>
      </c>
    </row>
    <row r="197" spans="1:13" ht="60" x14ac:dyDescent="0.25">
      <c r="A197" s="7" t="s">
        <v>7581</v>
      </c>
      <c r="B197" s="2" t="s">
        <v>7582</v>
      </c>
      <c r="C197" s="4">
        <v>1</v>
      </c>
      <c r="D197" s="5">
        <v>6.52</v>
      </c>
      <c r="E197" s="5">
        <v>22.99</v>
      </c>
      <c r="F197" s="4" t="s">
        <v>7583</v>
      </c>
      <c r="G197" s="2" t="s">
        <v>793</v>
      </c>
      <c r="H197" s="7" t="s">
        <v>284</v>
      </c>
      <c r="I197" s="2" t="s">
        <v>389</v>
      </c>
      <c r="J197" s="2" t="s">
        <v>354</v>
      </c>
      <c r="K197" s="2" t="s">
        <v>304</v>
      </c>
      <c r="L197" s="2" t="s">
        <v>119</v>
      </c>
      <c r="M197" s="8" t="str">
        <f>HYPERLINK("http://slimages.macys.com/is/image/MCY/12122137 ")</f>
        <v xml:space="preserve">http://slimages.macys.com/is/image/MCY/12122137 </v>
      </c>
    </row>
    <row r="198" spans="1:13" ht="60" x14ac:dyDescent="0.25">
      <c r="A198" s="7" t="s">
        <v>5442</v>
      </c>
      <c r="B198" s="2" t="s">
        <v>1006</v>
      </c>
      <c r="C198" s="4">
        <v>3</v>
      </c>
      <c r="D198" s="5">
        <v>6.52</v>
      </c>
      <c r="E198" s="5">
        <v>14.99</v>
      </c>
      <c r="F198" s="4" t="s">
        <v>1007</v>
      </c>
      <c r="G198" s="2" t="s">
        <v>28</v>
      </c>
      <c r="H198" s="7" t="s">
        <v>311</v>
      </c>
      <c r="I198" s="2" t="s">
        <v>292</v>
      </c>
      <c r="J198" s="2" t="s">
        <v>354</v>
      </c>
      <c r="K198" s="2" t="s">
        <v>304</v>
      </c>
      <c r="L198" s="2" t="s">
        <v>119</v>
      </c>
      <c r="M198" s="8" t="str">
        <f>HYPERLINK("http://slimages.macys.com/is/image/MCY/11776479 ")</f>
        <v xml:space="preserve">http://slimages.macys.com/is/image/MCY/11776479 </v>
      </c>
    </row>
    <row r="199" spans="1:13" ht="60" x14ac:dyDescent="0.25">
      <c r="A199" s="7" t="s">
        <v>6294</v>
      </c>
      <c r="B199" s="2" t="s">
        <v>1006</v>
      </c>
      <c r="C199" s="4">
        <v>1</v>
      </c>
      <c r="D199" s="5">
        <v>6.52</v>
      </c>
      <c r="E199" s="5">
        <v>14.99</v>
      </c>
      <c r="F199" s="4" t="s">
        <v>1007</v>
      </c>
      <c r="G199" s="2" t="s">
        <v>28</v>
      </c>
      <c r="H199" s="7" t="s">
        <v>317</v>
      </c>
      <c r="I199" s="2" t="s">
        <v>292</v>
      </c>
      <c r="J199" s="2" t="s">
        <v>354</v>
      </c>
      <c r="K199" s="2" t="s">
        <v>304</v>
      </c>
      <c r="L199" s="2" t="s">
        <v>119</v>
      </c>
      <c r="M199" s="8" t="str">
        <f>HYPERLINK("http://slimages.macys.com/is/image/MCY/11776479 ")</f>
        <v xml:space="preserve">http://slimages.macys.com/is/image/MCY/11776479 </v>
      </c>
    </row>
    <row r="200" spans="1:13" ht="60" x14ac:dyDescent="0.25">
      <c r="A200" s="7" t="s">
        <v>7584</v>
      </c>
      <c r="B200" s="2" t="s">
        <v>7585</v>
      </c>
      <c r="C200" s="4">
        <v>1</v>
      </c>
      <c r="D200" s="5">
        <v>6.52</v>
      </c>
      <c r="E200" s="5">
        <v>16.989999999999998</v>
      </c>
      <c r="F200" s="4" t="s">
        <v>7586</v>
      </c>
      <c r="G200" s="2" t="s">
        <v>62</v>
      </c>
      <c r="H200" s="7" t="s">
        <v>217</v>
      </c>
      <c r="I200" s="2" t="s">
        <v>218</v>
      </c>
      <c r="J200" s="2" t="s">
        <v>1740</v>
      </c>
      <c r="K200" s="2" t="s">
        <v>304</v>
      </c>
      <c r="L200" s="2" t="s">
        <v>125</v>
      </c>
      <c r="M200" s="8" t="str">
        <f>HYPERLINK("http://slimages.macys.com/is/image/MCY/12688496 ")</f>
        <v xml:space="preserve">http://slimages.macys.com/is/image/MCY/12688496 </v>
      </c>
    </row>
    <row r="201" spans="1:13" ht="72" x14ac:dyDescent="0.25">
      <c r="A201" s="7" t="s">
        <v>7587</v>
      </c>
      <c r="B201" s="2" t="s">
        <v>7588</v>
      </c>
      <c r="C201" s="4">
        <v>1</v>
      </c>
      <c r="D201" s="5">
        <v>6.5</v>
      </c>
      <c r="E201" s="5">
        <v>16.989999999999998</v>
      </c>
      <c r="F201" s="4" t="s">
        <v>7589</v>
      </c>
      <c r="G201" s="2" t="s">
        <v>36</v>
      </c>
      <c r="H201" s="7" t="s">
        <v>209</v>
      </c>
      <c r="I201" s="2" t="s">
        <v>321</v>
      </c>
      <c r="J201" s="2" t="s">
        <v>477</v>
      </c>
      <c r="K201" s="2" t="s">
        <v>304</v>
      </c>
      <c r="L201" s="2" t="s">
        <v>1117</v>
      </c>
      <c r="M201" s="8" t="str">
        <f>HYPERLINK("http://slimages.macys.com/is/image/MCY/12239353 ")</f>
        <v xml:space="preserve">http://slimages.macys.com/is/image/MCY/12239353 </v>
      </c>
    </row>
    <row r="202" spans="1:13" ht="60" x14ac:dyDescent="0.25">
      <c r="A202" s="7" t="s">
        <v>7590</v>
      </c>
      <c r="B202" s="2" t="s">
        <v>7591</v>
      </c>
      <c r="C202" s="4">
        <v>1</v>
      </c>
      <c r="D202" s="5">
        <v>6.49</v>
      </c>
      <c r="E202" s="5">
        <v>12.99</v>
      </c>
      <c r="F202" s="4" t="s">
        <v>7592</v>
      </c>
      <c r="G202" s="2" t="s">
        <v>62</v>
      </c>
      <c r="H202" s="7" t="s">
        <v>63</v>
      </c>
      <c r="I202" s="2" t="s">
        <v>515</v>
      </c>
      <c r="J202" s="2" t="s">
        <v>516</v>
      </c>
      <c r="K202" s="2" t="s">
        <v>304</v>
      </c>
      <c r="L202" s="2" t="s">
        <v>100</v>
      </c>
      <c r="M202" s="8" t="str">
        <f>HYPERLINK("http://slimages.macys.com/is/image/MCY/12228423 ")</f>
        <v xml:space="preserve">http://slimages.macys.com/is/image/MCY/12228423 </v>
      </c>
    </row>
    <row r="203" spans="1:13" ht="60" x14ac:dyDescent="0.25">
      <c r="A203" s="7" t="s">
        <v>7593</v>
      </c>
      <c r="B203" s="2" t="s">
        <v>5457</v>
      </c>
      <c r="C203" s="4">
        <v>1</v>
      </c>
      <c r="D203" s="5">
        <v>6.46</v>
      </c>
      <c r="E203" s="5">
        <v>14.99</v>
      </c>
      <c r="F203" s="4" t="s">
        <v>5458</v>
      </c>
      <c r="G203" s="2" t="s">
        <v>41</v>
      </c>
      <c r="H203" s="7" t="s">
        <v>166</v>
      </c>
      <c r="I203" s="2" t="s">
        <v>292</v>
      </c>
      <c r="J203" s="2" t="s">
        <v>354</v>
      </c>
      <c r="K203" s="2" t="s">
        <v>304</v>
      </c>
      <c r="L203" s="2" t="s">
        <v>206</v>
      </c>
      <c r="M203" s="8" t="str">
        <f>HYPERLINK("http://slimages.macys.com/is/image/MCY/12951290 ")</f>
        <v xml:space="preserve">http://slimages.macys.com/is/image/MCY/12951290 </v>
      </c>
    </row>
    <row r="204" spans="1:13" ht="168" x14ac:dyDescent="0.25">
      <c r="A204" s="7" t="s">
        <v>7594</v>
      </c>
      <c r="B204" s="2" t="s">
        <v>7595</v>
      </c>
      <c r="C204" s="4">
        <v>1</v>
      </c>
      <c r="D204" s="5">
        <v>6.46</v>
      </c>
      <c r="E204" s="5">
        <v>19.989999999999998</v>
      </c>
      <c r="F204" s="4" t="s">
        <v>7596</v>
      </c>
      <c r="G204" s="2" t="s">
        <v>262</v>
      </c>
      <c r="H204" s="7" t="s">
        <v>442</v>
      </c>
      <c r="I204" s="2" t="s">
        <v>483</v>
      </c>
      <c r="J204" s="2" t="s">
        <v>536</v>
      </c>
      <c r="K204" s="2" t="s">
        <v>304</v>
      </c>
      <c r="L204" s="2" t="s">
        <v>7597</v>
      </c>
      <c r="M204" s="8" t="str">
        <f>HYPERLINK("http://slimages.macys.com/is/image/MCY/9860425 ")</f>
        <v xml:space="preserve">http://slimages.macys.com/is/image/MCY/9860425 </v>
      </c>
    </row>
    <row r="205" spans="1:13" ht="84" x14ac:dyDescent="0.25">
      <c r="A205" s="7" t="s">
        <v>7598</v>
      </c>
      <c r="B205" s="2" t="s">
        <v>1811</v>
      </c>
      <c r="C205" s="4">
        <v>1</v>
      </c>
      <c r="D205" s="5">
        <v>6.45</v>
      </c>
      <c r="E205" s="5">
        <v>16.989999999999998</v>
      </c>
      <c r="F205" s="4" t="s">
        <v>1812</v>
      </c>
      <c r="G205" s="2" t="s">
        <v>62</v>
      </c>
      <c r="H205" s="7" t="s">
        <v>284</v>
      </c>
      <c r="I205" s="2" t="s">
        <v>515</v>
      </c>
      <c r="J205" s="2" t="s">
        <v>827</v>
      </c>
      <c r="K205" s="2" t="s">
        <v>304</v>
      </c>
      <c r="L205" s="2" t="s">
        <v>1813</v>
      </c>
      <c r="M205" s="8" t="str">
        <f>HYPERLINK("http://slimages.macys.com/is/image/MCY/12686957 ")</f>
        <v xml:space="preserve">http://slimages.macys.com/is/image/MCY/12686957 </v>
      </c>
    </row>
    <row r="206" spans="1:13" ht="60" x14ac:dyDescent="0.25">
      <c r="A206" s="7" t="s">
        <v>6298</v>
      </c>
      <c r="B206" s="2" t="s">
        <v>1815</v>
      </c>
      <c r="C206" s="4">
        <v>1</v>
      </c>
      <c r="D206" s="5">
        <v>6.43</v>
      </c>
      <c r="E206" s="5">
        <v>16.989999999999998</v>
      </c>
      <c r="F206" s="4" t="s">
        <v>1816</v>
      </c>
      <c r="G206" s="2" t="s">
        <v>353</v>
      </c>
      <c r="H206" s="7" t="s">
        <v>228</v>
      </c>
      <c r="I206" s="2" t="s">
        <v>515</v>
      </c>
      <c r="J206" s="2" t="s">
        <v>827</v>
      </c>
      <c r="K206" s="2" t="s">
        <v>304</v>
      </c>
      <c r="L206" s="2" t="s">
        <v>358</v>
      </c>
      <c r="M206" s="8" t="str">
        <f>HYPERLINK("http://slimages.macys.com/is/image/MCY/13118981 ")</f>
        <v xml:space="preserve">http://slimages.macys.com/is/image/MCY/13118981 </v>
      </c>
    </row>
    <row r="207" spans="1:13" ht="60" x14ac:dyDescent="0.25">
      <c r="A207" s="7" t="s">
        <v>5935</v>
      </c>
      <c r="B207" s="2" t="s">
        <v>1815</v>
      </c>
      <c r="C207" s="4">
        <v>1</v>
      </c>
      <c r="D207" s="5">
        <v>6.43</v>
      </c>
      <c r="E207" s="5">
        <v>16.989999999999998</v>
      </c>
      <c r="F207" s="4" t="s">
        <v>1816</v>
      </c>
      <c r="G207" s="2" t="s">
        <v>353</v>
      </c>
      <c r="H207" s="7" t="s">
        <v>284</v>
      </c>
      <c r="I207" s="2" t="s">
        <v>515</v>
      </c>
      <c r="J207" s="2" t="s">
        <v>827</v>
      </c>
      <c r="K207" s="2" t="s">
        <v>304</v>
      </c>
      <c r="L207" s="2" t="s">
        <v>358</v>
      </c>
      <c r="M207" s="8" t="str">
        <f>HYPERLINK("http://slimages.macys.com/is/image/MCY/13118981 ")</f>
        <v xml:space="preserve">http://slimages.macys.com/is/image/MCY/13118981 </v>
      </c>
    </row>
    <row r="208" spans="1:13" ht="60" x14ac:dyDescent="0.25">
      <c r="A208" s="7" t="s">
        <v>7599</v>
      </c>
      <c r="B208" s="2" t="s">
        <v>1820</v>
      </c>
      <c r="C208" s="4">
        <v>1</v>
      </c>
      <c r="D208" s="5">
        <v>6.41</v>
      </c>
      <c r="E208" s="5">
        <v>16.989999999999998</v>
      </c>
      <c r="F208" s="4" t="s">
        <v>1821</v>
      </c>
      <c r="G208" s="2" t="s">
        <v>28</v>
      </c>
      <c r="H208" s="7" t="s">
        <v>284</v>
      </c>
      <c r="I208" s="2" t="s">
        <v>515</v>
      </c>
      <c r="J208" s="2" t="s">
        <v>827</v>
      </c>
      <c r="K208" s="2" t="s">
        <v>304</v>
      </c>
      <c r="L208" s="2" t="s">
        <v>358</v>
      </c>
      <c r="M208" s="8" t="str">
        <f>HYPERLINK("http://slimages.macys.com/is/image/MCY/11531066 ")</f>
        <v xml:space="preserve">http://slimages.macys.com/is/image/MCY/11531066 </v>
      </c>
    </row>
    <row r="209" spans="1:13" ht="60" x14ac:dyDescent="0.25">
      <c r="A209" s="7" t="s">
        <v>7600</v>
      </c>
      <c r="B209" s="2" t="s">
        <v>1820</v>
      </c>
      <c r="C209" s="4">
        <v>2</v>
      </c>
      <c r="D209" s="5">
        <v>6.41</v>
      </c>
      <c r="E209" s="5">
        <v>16.989999999999998</v>
      </c>
      <c r="F209" s="4" t="s">
        <v>1821</v>
      </c>
      <c r="G209" s="2" t="s">
        <v>28</v>
      </c>
      <c r="H209" s="7" t="s">
        <v>228</v>
      </c>
      <c r="I209" s="2" t="s">
        <v>515</v>
      </c>
      <c r="J209" s="2" t="s">
        <v>827</v>
      </c>
      <c r="K209" s="2" t="s">
        <v>304</v>
      </c>
      <c r="L209" s="2" t="s">
        <v>358</v>
      </c>
      <c r="M209" s="8" t="str">
        <f>HYPERLINK("http://slimages.macys.com/is/image/MCY/11531066 ")</f>
        <v xml:space="preserve">http://slimages.macys.com/is/image/MCY/11531066 </v>
      </c>
    </row>
    <row r="210" spans="1:13" ht="60" x14ac:dyDescent="0.25">
      <c r="A210" s="7" t="s">
        <v>7601</v>
      </c>
      <c r="B210" s="2" t="s">
        <v>7602</v>
      </c>
      <c r="C210" s="4">
        <v>1</v>
      </c>
      <c r="D210" s="5">
        <v>6.35</v>
      </c>
      <c r="E210" s="5">
        <v>14.77</v>
      </c>
      <c r="F210" s="4">
        <v>18208710</v>
      </c>
      <c r="G210" s="2" t="s">
        <v>36</v>
      </c>
      <c r="H210" s="7" t="s">
        <v>42</v>
      </c>
      <c r="I210" s="2" t="s">
        <v>153</v>
      </c>
      <c r="J210" s="2" t="s">
        <v>154</v>
      </c>
      <c r="K210" s="2" t="s">
        <v>304</v>
      </c>
      <c r="L210" s="2" t="s">
        <v>125</v>
      </c>
      <c r="M210" s="8" t="str">
        <f>HYPERLINK("http://slimages.macys.com/is/image/MCY/15107836 ")</f>
        <v xml:space="preserve">http://slimages.macys.com/is/image/MCY/15107836 </v>
      </c>
    </row>
    <row r="211" spans="1:13" ht="60" x14ac:dyDescent="0.25">
      <c r="A211" s="7" t="s">
        <v>7603</v>
      </c>
      <c r="B211" s="2" t="s">
        <v>7604</v>
      </c>
      <c r="C211" s="4">
        <v>1</v>
      </c>
      <c r="D211" s="5">
        <v>6.35</v>
      </c>
      <c r="E211" s="5">
        <v>16.989999999999998</v>
      </c>
      <c r="F211" s="4" t="s">
        <v>7605</v>
      </c>
      <c r="G211" s="2" t="s">
        <v>28</v>
      </c>
      <c r="H211" s="7" t="s">
        <v>228</v>
      </c>
      <c r="I211" s="2" t="s">
        <v>218</v>
      </c>
      <c r="J211" s="2" t="s">
        <v>1740</v>
      </c>
      <c r="K211" s="2" t="s">
        <v>304</v>
      </c>
      <c r="L211" s="2" t="s">
        <v>358</v>
      </c>
      <c r="M211" s="8" t="str">
        <f>HYPERLINK("http://slimages.macys.com/is/image/MCY/11464185 ")</f>
        <v xml:space="preserve">http://slimages.macys.com/is/image/MCY/11464185 </v>
      </c>
    </row>
    <row r="212" spans="1:13" ht="60" x14ac:dyDescent="0.25">
      <c r="A212" s="7" t="s">
        <v>7606</v>
      </c>
      <c r="B212" s="2" t="s">
        <v>7604</v>
      </c>
      <c r="C212" s="4">
        <v>1</v>
      </c>
      <c r="D212" s="5">
        <v>6.35</v>
      </c>
      <c r="E212" s="5">
        <v>16.989999999999998</v>
      </c>
      <c r="F212" s="4" t="s">
        <v>7605</v>
      </c>
      <c r="G212" s="2" t="s">
        <v>28</v>
      </c>
      <c r="H212" s="7" t="s">
        <v>217</v>
      </c>
      <c r="I212" s="2" t="s">
        <v>218</v>
      </c>
      <c r="J212" s="2" t="s">
        <v>1740</v>
      </c>
      <c r="K212" s="2" t="s">
        <v>304</v>
      </c>
      <c r="L212" s="2" t="s">
        <v>358</v>
      </c>
      <c r="M212" s="8" t="str">
        <f>HYPERLINK("http://slimages.macys.com/is/image/MCY/11464185 ")</f>
        <v xml:space="preserve">http://slimages.macys.com/is/image/MCY/11464185 </v>
      </c>
    </row>
    <row r="213" spans="1:13" ht="60" x14ac:dyDescent="0.25">
      <c r="A213" s="7" t="s">
        <v>7607</v>
      </c>
      <c r="B213" s="2" t="s">
        <v>7608</v>
      </c>
      <c r="C213" s="4">
        <v>1</v>
      </c>
      <c r="D213" s="5">
        <v>6.31</v>
      </c>
      <c r="E213" s="5">
        <v>19.989999999999998</v>
      </c>
      <c r="F213" s="4">
        <v>100024198</v>
      </c>
      <c r="G213" s="2" t="s">
        <v>41</v>
      </c>
      <c r="H213" s="7" t="s">
        <v>91</v>
      </c>
      <c r="I213" s="2" t="s">
        <v>7609</v>
      </c>
      <c r="J213" s="2" t="s">
        <v>536</v>
      </c>
      <c r="K213" s="2" t="s">
        <v>304</v>
      </c>
      <c r="L213" s="2" t="s">
        <v>119</v>
      </c>
      <c r="M213" s="8" t="str">
        <f>HYPERLINK("http://slimages.macys.com/is/image/MCY/9860458 ")</f>
        <v xml:space="preserve">http://slimages.macys.com/is/image/MCY/9860458 </v>
      </c>
    </row>
    <row r="214" spans="1:13" ht="60" x14ac:dyDescent="0.25">
      <c r="A214" s="7" t="s">
        <v>7610</v>
      </c>
      <c r="B214" s="2" t="s">
        <v>7611</v>
      </c>
      <c r="C214" s="4">
        <v>1</v>
      </c>
      <c r="D214" s="5">
        <v>6.28</v>
      </c>
      <c r="E214" s="5">
        <v>12.99</v>
      </c>
      <c r="F214" s="4" t="s">
        <v>7612</v>
      </c>
      <c r="G214" s="2" t="s">
        <v>171</v>
      </c>
      <c r="H214" s="7" t="s">
        <v>1151</v>
      </c>
      <c r="I214" s="2" t="s">
        <v>515</v>
      </c>
      <c r="J214" s="2" t="s">
        <v>516</v>
      </c>
      <c r="K214" s="2" t="s">
        <v>304</v>
      </c>
      <c r="L214" s="2" t="s">
        <v>358</v>
      </c>
      <c r="M214" s="8" t="str">
        <f>HYPERLINK("http://slimages.macys.com/is/image/MCY/11947448 ")</f>
        <v xml:space="preserve">http://slimages.macys.com/is/image/MCY/11947448 </v>
      </c>
    </row>
    <row r="215" spans="1:13" ht="60" x14ac:dyDescent="0.25">
      <c r="A215" s="7" t="s">
        <v>7613</v>
      </c>
      <c r="B215" s="2" t="s">
        <v>2627</v>
      </c>
      <c r="C215" s="4">
        <v>1</v>
      </c>
      <c r="D215" s="5">
        <v>6.27</v>
      </c>
      <c r="E215" s="5">
        <v>16.989999999999998</v>
      </c>
      <c r="F215" s="4" t="s">
        <v>7614</v>
      </c>
      <c r="G215" s="2" t="s">
        <v>62</v>
      </c>
      <c r="H215" s="7" t="s">
        <v>196</v>
      </c>
      <c r="I215" s="2" t="s">
        <v>515</v>
      </c>
      <c r="J215" s="2" t="s">
        <v>827</v>
      </c>
      <c r="K215" s="2" t="s">
        <v>304</v>
      </c>
      <c r="L215" s="2" t="s">
        <v>358</v>
      </c>
      <c r="M215" s="8" t="str">
        <f>HYPERLINK("http://slimages.macys.com/is/image/MCY/13119480 ")</f>
        <v xml:space="preserve">http://slimages.macys.com/is/image/MCY/13119480 </v>
      </c>
    </row>
    <row r="216" spans="1:13" ht="60" x14ac:dyDescent="0.25">
      <c r="A216" s="7" t="s">
        <v>7615</v>
      </c>
      <c r="B216" s="2" t="s">
        <v>7616</v>
      </c>
      <c r="C216" s="4">
        <v>1</v>
      </c>
      <c r="D216" s="5">
        <v>6.25</v>
      </c>
      <c r="E216" s="5">
        <v>13.99</v>
      </c>
      <c r="F216" s="4" t="s">
        <v>7617</v>
      </c>
      <c r="G216" s="2" t="s">
        <v>41</v>
      </c>
      <c r="H216" s="7" t="s">
        <v>166</v>
      </c>
      <c r="I216" s="2" t="s">
        <v>80</v>
      </c>
      <c r="J216" s="2" t="s">
        <v>124</v>
      </c>
      <c r="K216" s="2" t="s">
        <v>304</v>
      </c>
      <c r="L216" s="2" t="s">
        <v>206</v>
      </c>
      <c r="M216" s="8" t="str">
        <f>HYPERLINK("http://slimages.macys.com/is/image/MCY/13580962 ")</f>
        <v xml:space="preserve">http://slimages.macys.com/is/image/MCY/13580962 </v>
      </c>
    </row>
    <row r="217" spans="1:13" ht="60" x14ac:dyDescent="0.25">
      <c r="A217" s="7" t="s">
        <v>7618</v>
      </c>
      <c r="B217" s="2" t="s">
        <v>7619</v>
      </c>
      <c r="C217" s="4">
        <v>1</v>
      </c>
      <c r="D217" s="5">
        <v>6.2</v>
      </c>
      <c r="E217" s="5">
        <v>12.99</v>
      </c>
      <c r="F217" s="4" t="s">
        <v>7620</v>
      </c>
      <c r="G217" s="2" t="s">
        <v>582</v>
      </c>
      <c r="H217" s="7"/>
      <c r="I217" s="2" t="s">
        <v>523</v>
      </c>
      <c r="J217" s="2" t="s">
        <v>5463</v>
      </c>
      <c r="K217" s="2" t="s">
        <v>304</v>
      </c>
      <c r="L217" s="2" t="s">
        <v>75</v>
      </c>
      <c r="M217" s="8" t="str">
        <f>HYPERLINK("http://slimages.macys.com/is/image/MCY/9336742 ")</f>
        <v xml:space="preserve">http://slimages.macys.com/is/image/MCY/9336742 </v>
      </c>
    </row>
    <row r="218" spans="1:13" ht="60" x14ac:dyDescent="0.25">
      <c r="A218" s="7" t="s">
        <v>7621</v>
      </c>
      <c r="B218" s="2" t="s">
        <v>7622</v>
      </c>
      <c r="C218" s="4">
        <v>2</v>
      </c>
      <c r="D218" s="5">
        <v>6.19</v>
      </c>
      <c r="E218" s="5">
        <v>16.989999999999998</v>
      </c>
      <c r="F218" s="4" t="s">
        <v>7623</v>
      </c>
      <c r="G218" s="2" t="s">
        <v>653</v>
      </c>
      <c r="H218" s="7" t="s">
        <v>228</v>
      </c>
      <c r="I218" s="2" t="s">
        <v>515</v>
      </c>
      <c r="J218" s="2" t="s">
        <v>827</v>
      </c>
      <c r="K218" s="2" t="s">
        <v>304</v>
      </c>
      <c r="L218" s="2" t="s">
        <v>358</v>
      </c>
      <c r="M218" s="8" t="str">
        <f>HYPERLINK("http://slimages.macys.com/is/image/MCY/11860930 ")</f>
        <v xml:space="preserve">http://slimages.macys.com/is/image/MCY/11860930 </v>
      </c>
    </row>
    <row r="219" spans="1:13" ht="60" x14ac:dyDescent="0.25">
      <c r="A219" s="7" t="s">
        <v>7624</v>
      </c>
      <c r="B219" s="2" t="s">
        <v>7622</v>
      </c>
      <c r="C219" s="4">
        <v>1</v>
      </c>
      <c r="D219" s="5">
        <v>6.19</v>
      </c>
      <c r="E219" s="5">
        <v>16.989999999999998</v>
      </c>
      <c r="F219" s="4" t="s">
        <v>7623</v>
      </c>
      <c r="G219" s="2" t="s">
        <v>653</v>
      </c>
      <c r="H219" s="7" t="s">
        <v>159</v>
      </c>
      <c r="I219" s="2" t="s">
        <v>515</v>
      </c>
      <c r="J219" s="2" t="s">
        <v>827</v>
      </c>
      <c r="K219" s="2" t="s">
        <v>304</v>
      </c>
      <c r="L219" s="2" t="s">
        <v>358</v>
      </c>
      <c r="M219" s="8" t="str">
        <f>HYPERLINK("http://slimages.macys.com/is/image/MCY/11860930 ")</f>
        <v xml:space="preserve">http://slimages.macys.com/is/image/MCY/11860930 </v>
      </c>
    </row>
    <row r="220" spans="1:13" ht="60" x14ac:dyDescent="0.25">
      <c r="A220" s="7" t="s">
        <v>7625</v>
      </c>
      <c r="B220" s="2" t="s">
        <v>7622</v>
      </c>
      <c r="C220" s="4">
        <v>1</v>
      </c>
      <c r="D220" s="5">
        <v>6.19</v>
      </c>
      <c r="E220" s="5">
        <v>16.989999999999998</v>
      </c>
      <c r="F220" s="4" t="s">
        <v>7623</v>
      </c>
      <c r="G220" s="2" t="s">
        <v>653</v>
      </c>
      <c r="H220" s="7" t="s">
        <v>284</v>
      </c>
      <c r="I220" s="2" t="s">
        <v>515</v>
      </c>
      <c r="J220" s="2" t="s">
        <v>827</v>
      </c>
      <c r="K220" s="2" t="s">
        <v>304</v>
      </c>
      <c r="L220" s="2" t="s">
        <v>358</v>
      </c>
      <c r="M220" s="8" t="str">
        <f>HYPERLINK("http://slimages.macys.com/is/image/MCY/11860930 ")</f>
        <v xml:space="preserve">http://slimages.macys.com/is/image/MCY/11860930 </v>
      </c>
    </row>
    <row r="221" spans="1:13" ht="60" x14ac:dyDescent="0.25">
      <c r="A221" s="7" t="s">
        <v>7626</v>
      </c>
      <c r="B221" s="2" t="s">
        <v>7622</v>
      </c>
      <c r="C221" s="4">
        <v>1</v>
      </c>
      <c r="D221" s="5">
        <v>6.19</v>
      </c>
      <c r="E221" s="5">
        <v>16.989999999999998</v>
      </c>
      <c r="F221" s="4" t="s">
        <v>7623</v>
      </c>
      <c r="G221" s="2" t="s">
        <v>653</v>
      </c>
      <c r="H221" s="7" t="s">
        <v>196</v>
      </c>
      <c r="I221" s="2" t="s">
        <v>515</v>
      </c>
      <c r="J221" s="2" t="s">
        <v>827</v>
      </c>
      <c r="K221" s="2" t="s">
        <v>304</v>
      </c>
      <c r="L221" s="2" t="s">
        <v>358</v>
      </c>
      <c r="M221" s="8" t="str">
        <f>HYPERLINK("http://slimages.macys.com/is/image/MCY/11860930 ")</f>
        <v xml:space="preserve">http://slimages.macys.com/is/image/MCY/11860930 </v>
      </c>
    </row>
    <row r="222" spans="1:13" ht="84" x14ac:dyDescent="0.25">
      <c r="A222" s="7" t="s">
        <v>7627</v>
      </c>
      <c r="B222" s="2" t="s">
        <v>7628</v>
      </c>
      <c r="C222" s="4">
        <v>1</v>
      </c>
      <c r="D222" s="5">
        <v>6.19</v>
      </c>
      <c r="E222" s="5">
        <v>14.99</v>
      </c>
      <c r="F222" s="4" t="s">
        <v>7629</v>
      </c>
      <c r="G222" s="2" t="s">
        <v>1265</v>
      </c>
      <c r="H222" s="7" t="s">
        <v>159</v>
      </c>
      <c r="I222" s="2" t="s">
        <v>515</v>
      </c>
      <c r="J222" s="2" t="s">
        <v>827</v>
      </c>
      <c r="K222" s="2" t="s">
        <v>304</v>
      </c>
      <c r="L222" s="2" t="s">
        <v>7630</v>
      </c>
      <c r="M222" s="8" t="str">
        <f>HYPERLINK("http://slimages.macys.com/is/image/MCY/10410496 ")</f>
        <v xml:space="preserve">http://slimages.macys.com/is/image/MCY/10410496 </v>
      </c>
    </row>
    <row r="223" spans="1:13" ht="60" x14ac:dyDescent="0.25">
      <c r="A223" s="7" t="s">
        <v>4115</v>
      </c>
      <c r="B223" s="2" t="s">
        <v>1837</v>
      </c>
      <c r="C223" s="4">
        <v>1</v>
      </c>
      <c r="D223" s="5">
        <v>6.18</v>
      </c>
      <c r="E223" s="5">
        <v>16.989999999999998</v>
      </c>
      <c r="F223" s="4" t="s">
        <v>1838</v>
      </c>
      <c r="G223" s="2" t="s">
        <v>171</v>
      </c>
      <c r="H223" s="7" t="s">
        <v>159</v>
      </c>
      <c r="I223" s="2" t="s">
        <v>515</v>
      </c>
      <c r="J223" s="2" t="s">
        <v>827</v>
      </c>
      <c r="K223" s="2" t="s">
        <v>304</v>
      </c>
      <c r="L223" s="2" t="s">
        <v>358</v>
      </c>
      <c r="M223" s="8" t="str">
        <f>HYPERLINK("http://slimages.macys.com/is/image/MCY/11605899 ")</f>
        <v xml:space="preserve">http://slimages.macys.com/is/image/MCY/11605899 </v>
      </c>
    </row>
    <row r="224" spans="1:13" ht="60" x14ac:dyDescent="0.25">
      <c r="A224" s="7" t="s">
        <v>7631</v>
      </c>
      <c r="B224" s="2" t="s">
        <v>1837</v>
      </c>
      <c r="C224" s="4">
        <v>1</v>
      </c>
      <c r="D224" s="5">
        <v>6.18</v>
      </c>
      <c r="E224" s="5">
        <v>16.989999999999998</v>
      </c>
      <c r="F224" s="4" t="s">
        <v>1838</v>
      </c>
      <c r="G224" s="2" t="s">
        <v>171</v>
      </c>
      <c r="H224" s="7" t="s">
        <v>284</v>
      </c>
      <c r="I224" s="2" t="s">
        <v>515</v>
      </c>
      <c r="J224" s="2" t="s">
        <v>827</v>
      </c>
      <c r="K224" s="2" t="s">
        <v>304</v>
      </c>
      <c r="L224" s="2" t="s">
        <v>358</v>
      </c>
      <c r="M224" s="8" t="str">
        <f>HYPERLINK("http://slimages.macys.com/is/image/MCY/11605899 ")</f>
        <v xml:space="preserve">http://slimages.macys.com/is/image/MCY/11605899 </v>
      </c>
    </row>
    <row r="225" spans="1:13" ht="72" x14ac:dyDescent="0.25">
      <c r="A225" s="7" t="s">
        <v>7632</v>
      </c>
      <c r="B225" s="2" t="s">
        <v>2600</v>
      </c>
      <c r="C225" s="4">
        <v>1</v>
      </c>
      <c r="D225" s="5">
        <v>6.18</v>
      </c>
      <c r="E225" s="5">
        <v>14.99</v>
      </c>
      <c r="F225" s="4" t="s">
        <v>7633</v>
      </c>
      <c r="G225" s="2" t="s">
        <v>28</v>
      </c>
      <c r="H225" s="7" t="s">
        <v>311</v>
      </c>
      <c r="I225" s="2" t="s">
        <v>515</v>
      </c>
      <c r="J225" s="2" t="s">
        <v>516</v>
      </c>
      <c r="K225" s="2" t="s">
        <v>304</v>
      </c>
      <c r="L225" s="2" t="s">
        <v>1117</v>
      </c>
      <c r="M225" s="8" t="str">
        <f>HYPERLINK("http://slimages.macys.com/is/image/MCY/11606072 ")</f>
        <v xml:space="preserve">http://slimages.macys.com/is/image/MCY/11606072 </v>
      </c>
    </row>
    <row r="226" spans="1:13" ht="60" x14ac:dyDescent="0.25">
      <c r="A226" s="7" t="s">
        <v>7634</v>
      </c>
      <c r="B226" s="2" t="s">
        <v>7635</v>
      </c>
      <c r="C226" s="4">
        <v>1</v>
      </c>
      <c r="D226" s="5">
        <v>6.14</v>
      </c>
      <c r="E226" s="5">
        <v>14.99</v>
      </c>
      <c r="F226" s="4" t="s">
        <v>7636</v>
      </c>
      <c r="G226" s="2" t="s">
        <v>657</v>
      </c>
      <c r="H226" s="7" t="s">
        <v>1151</v>
      </c>
      <c r="I226" s="2" t="s">
        <v>1689</v>
      </c>
      <c r="J226" s="2" t="s">
        <v>354</v>
      </c>
      <c r="K226" s="2" t="s">
        <v>304</v>
      </c>
      <c r="L226" s="2" t="s">
        <v>335</v>
      </c>
      <c r="M226" s="8" t="str">
        <f>HYPERLINK("http://slimages.macys.com/is/image/MCY/10178071 ")</f>
        <v xml:space="preserve">http://slimages.macys.com/is/image/MCY/10178071 </v>
      </c>
    </row>
    <row r="227" spans="1:13" ht="60" x14ac:dyDescent="0.25">
      <c r="A227" s="7" t="s">
        <v>7637</v>
      </c>
      <c r="B227" s="2" t="s">
        <v>6907</v>
      </c>
      <c r="C227" s="4">
        <v>1</v>
      </c>
      <c r="D227" s="5">
        <v>6.13</v>
      </c>
      <c r="E227" s="5">
        <v>16.989999999999998</v>
      </c>
      <c r="F227" s="4" t="s">
        <v>6908</v>
      </c>
      <c r="G227" s="2" t="s">
        <v>793</v>
      </c>
      <c r="H227" s="7" t="s">
        <v>228</v>
      </c>
      <c r="I227" s="2" t="s">
        <v>389</v>
      </c>
      <c r="J227" s="2" t="s">
        <v>354</v>
      </c>
      <c r="K227" s="2" t="s">
        <v>304</v>
      </c>
      <c r="L227" s="2" t="s">
        <v>119</v>
      </c>
      <c r="M227" s="8" t="str">
        <f>HYPERLINK("http://slimages.macys.com/is/image/MCY/12121666 ")</f>
        <v xml:space="preserve">http://slimages.macys.com/is/image/MCY/12121666 </v>
      </c>
    </row>
    <row r="228" spans="1:13" ht="60" x14ac:dyDescent="0.25">
      <c r="A228" s="7" t="s">
        <v>7638</v>
      </c>
      <c r="B228" s="2" t="s">
        <v>4964</v>
      </c>
      <c r="C228" s="4">
        <v>1</v>
      </c>
      <c r="D228" s="5">
        <v>6.13</v>
      </c>
      <c r="E228" s="5">
        <v>16.989999999999998</v>
      </c>
      <c r="F228" s="4" t="s">
        <v>4965</v>
      </c>
      <c r="G228" s="2" t="s">
        <v>86</v>
      </c>
      <c r="H228" s="7" t="s">
        <v>284</v>
      </c>
      <c r="I228" s="2" t="s">
        <v>389</v>
      </c>
      <c r="J228" s="2" t="s">
        <v>354</v>
      </c>
      <c r="K228" s="2" t="s">
        <v>304</v>
      </c>
      <c r="L228" s="2" t="s">
        <v>596</v>
      </c>
      <c r="M228" s="8" t="str">
        <f>HYPERLINK("http://slimages.macys.com/is/image/MCY/12645407 ")</f>
        <v xml:space="preserve">http://slimages.macys.com/is/image/MCY/12645407 </v>
      </c>
    </row>
    <row r="229" spans="1:13" ht="60" x14ac:dyDescent="0.25">
      <c r="A229" s="7" t="s">
        <v>7639</v>
      </c>
      <c r="B229" s="2" t="s">
        <v>4964</v>
      </c>
      <c r="C229" s="4">
        <v>1</v>
      </c>
      <c r="D229" s="5">
        <v>6.13</v>
      </c>
      <c r="E229" s="5">
        <v>16.989999999999998</v>
      </c>
      <c r="F229" s="4" t="s">
        <v>4965</v>
      </c>
      <c r="G229" s="2" t="s">
        <v>86</v>
      </c>
      <c r="H229" s="7" t="s">
        <v>159</v>
      </c>
      <c r="I229" s="2" t="s">
        <v>389</v>
      </c>
      <c r="J229" s="2" t="s">
        <v>354</v>
      </c>
      <c r="K229" s="2" t="s">
        <v>304</v>
      </c>
      <c r="L229" s="2" t="s">
        <v>596</v>
      </c>
      <c r="M229" s="8" t="str">
        <f>HYPERLINK("http://slimages.macys.com/is/image/MCY/12645407 ")</f>
        <v xml:space="preserve">http://slimages.macys.com/is/image/MCY/12645407 </v>
      </c>
    </row>
    <row r="230" spans="1:13" ht="60" x14ac:dyDescent="0.25">
      <c r="A230" s="7" t="s">
        <v>4963</v>
      </c>
      <c r="B230" s="2" t="s">
        <v>4964</v>
      </c>
      <c r="C230" s="4">
        <v>1</v>
      </c>
      <c r="D230" s="5">
        <v>6.13</v>
      </c>
      <c r="E230" s="5">
        <v>16.989999999999998</v>
      </c>
      <c r="F230" s="4" t="s">
        <v>4965</v>
      </c>
      <c r="G230" s="2" t="s">
        <v>86</v>
      </c>
      <c r="H230" s="7" t="s">
        <v>196</v>
      </c>
      <c r="I230" s="2" t="s">
        <v>389</v>
      </c>
      <c r="J230" s="2" t="s">
        <v>354</v>
      </c>
      <c r="K230" s="2" t="s">
        <v>304</v>
      </c>
      <c r="L230" s="2" t="s">
        <v>596</v>
      </c>
      <c r="M230" s="8" t="str">
        <f>HYPERLINK("http://slimages.macys.com/is/image/MCY/12645407 ")</f>
        <v xml:space="preserve">http://slimages.macys.com/is/image/MCY/12645407 </v>
      </c>
    </row>
    <row r="231" spans="1:13" ht="60" x14ac:dyDescent="0.25">
      <c r="A231" s="7" t="s">
        <v>7640</v>
      </c>
      <c r="B231" s="2" t="s">
        <v>7641</v>
      </c>
      <c r="C231" s="4">
        <v>1</v>
      </c>
      <c r="D231" s="5">
        <v>6.1</v>
      </c>
      <c r="E231" s="5">
        <v>12.99</v>
      </c>
      <c r="F231" s="4" t="s">
        <v>7642</v>
      </c>
      <c r="G231" s="2" t="s">
        <v>28</v>
      </c>
      <c r="H231" s="7"/>
      <c r="I231" s="2" t="s">
        <v>523</v>
      </c>
      <c r="J231" s="2" t="s">
        <v>5463</v>
      </c>
      <c r="K231" s="2" t="s">
        <v>304</v>
      </c>
      <c r="L231" s="2" t="s">
        <v>100</v>
      </c>
      <c r="M231" s="8" t="str">
        <f>HYPERLINK("http://slimages.macys.com/is/image/MCY/11724541 ")</f>
        <v xml:space="preserve">http://slimages.macys.com/is/image/MCY/11724541 </v>
      </c>
    </row>
    <row r="232" spans="1:13" ht="60" x14ac:dyDescent="0.25">
      <c r="A232" s="7" t="s">
        <v>7643</v>
      </c>
      <c r="B232" s="2" t="s">
        <v>7534</v>
      </c>
      <c r="C232" s="4">
        <v>1</v>
      </c>
      <c r="D232" s="5">
        <v>6.02</v>
      </c>
      <c r="E232" s="5">
        <v>13.99</v>
      </c>
      <c r="F232" s="4" t="s">
        <v>7644</v>
      </c>
      <c r="G232" s="2" t="s">
        <v>62</v>
      </c>
      <c r="H232" s="7" t="s">
        <v>311</v>
      </c>
      <c r="I232" s="2" t="s">
        <v>218</v>
      </c>
      <c r="J232" s="2" t="s">
        <v>835</v>
      </c>
      <c r="K232" s="2" t="s">
        <v>304</v>
      </c>
      <c r="L232" s="2" t="s">
        <v>3629</v>
      </c>
      <c r="M232" s="8" t="str">
        <f>HYPERLINK("http://slimages.macys.com/is/image/MCY/12340443 ")</f>
        <v xml:space="preserve">http://slimages.macys.com/is/image/MCY/12340443 </v>
      </c>
    </row>
    <row r="233" spans="1:13" ht="60" x14ac:dyDescent="0.25">
      <c r="A233" s="7" t="s">
        <v>7645</v>
      </c>
      <c r="B233" s="2" t="s">
        <v>7646</v>
      </c>
      <c r="C233" s="4">
        <v>1</v>
      </c>
      <c r="D233" s="5">
        <v>6</v>
      </c>
      <c r="E233" s="5">
        <v>15.99</v>
      </c>
      <c r="F233" s="4" t="s">
        <v>7647</v>
      </c>
      <c r="G233" s="2" t="s">
        <v>41</v>
      </c>
      <c r="H233" s="7"/>
      <c r="I233" s="2" t="s">
        <v>321</v>
      </c>
      <c r="J233" s="2" t="s">
        <v>492</v>
      </c>
      <c r="K233" s="2" t="s">
        <v>304</v>
      </c>
      <c r="L233" s="2" t="s">
        <v>493</v>
      </c>
      <c r="M233" s="8" t="str">
        <f>HYPERLINK("http://slimages.macys.com/is/image/MCY/11539241 ")</f>
        <v xml:space="preserve">http://slimages.macys.com/is/image/MCY/11539241 </v>
      </c>
    </row>
    <row r="234" spans="1:13" ht="60" x14ac:dyDescent="0.25">
      <c r="A234" s="7" t="s">
        <v>4968</v>
      </c>
      <c r="B234" s="2" t="s">
        <v>4969</v>
      </c>
      <c r="C234" s="4">
        <v>1</v>
      </c>
      <c r="D234" s="5">
        <v>6</v>
      </c>
      <c r="E234" s="5">
        <v>10.99</v>
      </c>
      <c r="F234" s="4" t="s">
        <v>4970</v>
      </c>
      <c r="G234" s="2" t="s">
        <v>48</v>
      </c>
      <c r="H234" s="7" t="s">
        <v>166</v>
      </c>
      <c r="I234" s="2" t="s">
        <v>80</v>
      </c>
      <c r="J234" s="2" t="s">
        <v>1857</v>
      </c>
      <c r="K234" s="2" t="s">
        <v>304</v>
      </c>
      <c r="L234" s="2" t="s">
        <v>119</v>
      </c>
      <c r="M234" s="8" t="str">
        <f>HYPERLINK("http://slimages.macys.com/is/image/MCY/11207821 ")</f>
        <v xml:space="preserve">http://slimages.macys.com/is/image/MCY/11207821 </v>
      </c>
    </row>
    <row r="235" spans="1:13" ht="60" x14ac:dyDescent="0.25">
      <c r="A235" s="7" t="s">
        <v>7648</v>
      </c>
      <c r="B235" s="2" t="s">
        <v>4969</v>
      </c>
      <c r="C235" s="4">
        <v>1</v>
      </c>
      <c r="D235" s="5">
        <v>6</v>
      </c>
      <c r="E235" s="5">
        <v>10.99</v>
      </c>
      <c r="F235" s="4" t="s">
        <v>4970</v>
      </c>
      <c r="G235" s="2" t="s">
        <v>28</v>
      </c>
      <c r="H235" s="7" t="s">
        <v>123</v>
      </c>
      <c r="I235" s="2" t="s">
        <v>80</v>
      </c>
      <c r="J235" s="2" t="s">
        <v>1857</v>
      </c>
      <c r="K235" s="2" t="s">
        <v>304</v>
      </c>
      <c r="L235" s="2" t="s">
        <v>119</v>
      </c>
      <c r="M235" s="8" t="str">
        <f>HYPERLINK("http://slimages.macys.com/is/image/MCY/11207821 ")</f>
        <v xml:space="preserve">http://slimages.macys.com/is/image/MCY/11207821 </v>
      </c>
    </row>
    <row r="236" spans="1:13" ht="60" x14ac:dyDescent="0.25">
      <c r="A236" s="7" t="s">
        <v>7649</v>
      </c>
      <c r="B236" s="2" t="s">
        <v>4993</v>
      </c>
      <c r="C236" s="4">
        <v>1</v>
      </c>
      <c r="D236" s="5">
        <v>5.95</v>
      </c>
      <c r="E236" s="5">
        <v>14.99</v>
      </c>
      <c r="F236" s="4" t="s">
        <v>4994</v>
      </c>
      <c r="G236" s="2" t="s">
        <v>353</v>
      </c>
      <c r="H236" s="7"/>
      <c r="I236" s="2" t="s">
        <v>321</v>
      </c>
      <c r="J236" s="2" t="s">
        <v>492</v>
      </c>
      <c r="K236" s="2" t="s">
        <v>304</v>
      </c>
      <c r="L236" s="2" t="s">
        <v>125</v>
      </c>
      <c r="M236" s="8" t="str">
        <f>HYPERLINK("http://slimages.macys.com/is/image/MCY/10924171 ")</f>
        <v xml:space="preserve">http://slimages.macys.com/is/image/MCY/10924171 </v>
      </c>
    </row>
    <row r="237" spans="1:13" ht="60" x14ac:dyDescent="0.25">
      <c r="A237" s="7" t="s">
        <v>7650</v>
      </c>
      <c r="B237" s="2" t="s">
        <v>4993</v>
      </c>
      <c r="C237" s="4">
        <v>1</v>
      </c>
      <c r="D237" s="5">
        <v>5.95</v>
      </c>
      <c r="E237" s="5">
        <v>14.99</v>
      </c>
      <c r="F237" s="4" t="s">
        <v>4994</v>
      </c>
      <c r="G237" s="2" t="s">
        <v>698</v>
      </c>
      <c r="H237" s="7"/>
      <c r="I237" s="2" t="s">
        <v>321</v>
      </c>
      <c r="J237" s="2" t="s">
        <v>492</v>
      </c>
      <c r="K237" s="2" t="s">
        <v>304</v>
      </c>
      <c r="L237" s="2" t="s">
        <v>125</v>
      </c>
      <c r="M237" s="8" t="str">
        <f>HYPERLINK("http://slimages.macys.com/is/image/MCY/10924171 ")</f>
        <v xml:space="preserve">http://slimages.macys.com/is/image/MCY/10924171 </v>
      </c>
    </row>
    <row r="238" spans="1:13" ht="60" x14ac:dyDescent="0.25">
      <c r="A238" s="7" t="s">
        <v>7651</v>
      </c>
      <c r="B238" s="2" t="s">
        <v>7652</v>
      </c>
      <c r="C238" s="4">
        <v>1</v>
      </c>
      <c r="D238" s="5">
        <v>5.91</v>
      </c>
      <c r="E238" s="5">
        <v>14.99</v>
      </c>
      <c r="F238" s="4" t="s">
        <v>7653</v>
      </c>
      <c r="G238" s="2" t="s">
        <v>1265</v>
      </c>
      <c r="H238" s="7" t="s">
        <v>228</v>
      </c>
      <c r="I238" s="2" t="s">
        <v>515</v>
      </c>
      <c r="J238" s="2" t="s">
        <v>827</v>
      </c>
      <c r="K238" s="2" t="s">
        <v>304</v>
      </c>
      <c r="L238" s="2" t="s">
        <v>358</v>
      </c>
      <c r="M238" s="8" t="str">
        <f>HYPERLINK("http://slimages.macys.com/is/image/MCY/10410452 ")</f>
        <v xml:space="preserve">http://slimages.macys.com/is/image/MCY/10410452 </v>
      </c>
    </row>
    <row r="239" spans="1:13" ht="84" x14ac:dyDescent="0.25">
      <c r="A239" s="7" t="s">
        <v>7654</v>
      </c>
      <c r="B239" s="2" t="s">
        <v>7655</v>
      </c>
      <c r="C239" s="4">
        <v>1</v>
      </c>
      <c r="D239" s="5">
        <v>5.91</v>
      </c>
      <c r="E239" s="5">
        <v>17.989999999999998</v>
      </c>
      <c r="F239" s="4" t="s">
        <v>7656</v>
      </c>
      <c r="G239" s="2" t="s">
        <v>874</v>
      </c>
      <c r="H239" s="7"/>
      <c r="I239" s="2" t="s">
        <v>483</v>
      </c>
      <c r="J239" s="2" t="s">
        <v>536</v>
      </c>
      <c r="K239" s="2" t="s">
        <v>304</v>
      </c>
      <c r="L239" s="2" t="s">
        <v>7657</v>
      </c>
      <c r="M239" s="8" t="str">
        <f>HYPERLINK("http://slimages.macys.com/is/image/MCY/11707450 ")</f>
        <v xml:space="preserve">http://slimages.macys.com/is/image/MCY/11707450 </v>
      </c>
    </row>
    <row r="240" spans="1:13" ht="60" x14ac:dyDescent="0.25">
      <c r="A240" s="7" t="s">
        <v>7658</v>
      </c>
      <c r="B240" s="2" t="s">
        <v>7659</v>
      </c>
      <c r="C240" s="4">
        <v>1</v>
      </c>
      <c r="D240" s="5">
        <v>5.85</v>
      </c>
      <c r="E240" s="5">
        <v>12.99</v>
      </c>
      <c r="F240" s="4" t="s">
        <v>7660</v>
      </c>
      <c r="G240" s="2" t="s">
        <v>262</v>
      </c>
      <c r="H240" s="7" t="s">
        <v>42</v>
      </c>
      <c r="I240" s="2" t="s">
        <v>153</v>
      </c>
      <c r="J240" s="2" t="s">
        <v>154</v>
      </c>
      <c r="K240" s="2" t="s">
        <v>304</v>
      </c>
      <c r="L240" s="2" t="s">
        <v>206</v>
      </c>
      <c r="M240" s="8" t="str">
        <f>HYPERLINK("http://slimages.macys.com/is/image/MCY/9857718 ")</f>
        <v xml:space="preserve">http://slimages.macys.com/is/image/MCY/9857718 </v>
      </c>
    </row>
    <row r="241" spans="1:13" ht="60" x14ac:dyDescent="0.25">
      <c r="A241" s="7" t="s">
        <v>2634</v>
      </c>
      <c r="B241" s="2" t="s">
        <v>1874</v>
      </c>
      <c r="C241" s="4">
        <v>2</v>
      </c>
      <c r="D241" s="5">
        <v>5.85</v>
      </c>
      <c r="E241" s="5">
        <v>12.99</v>
      </c>
      <c r="F241" s="4" t="s">
        <v>1875</v>
      </c>
      <c r="G241" s="2" t="s">
        <v>41</v>
      </c>
      <c r="H241" s="7" t="s">
        <v>248</v>
      </c>
      <c r="I241" s="2" t="s">
        <v>966</v>
      </c>
      <c r="J241" s="2" t="s">
        <v>348</v>
      </c>
      <c r="K241" s="2" t="s">
        <v>304</v>
      </c>
      <c r="L241" s="2" t="s">
        <v>125</v>
      </c>
      <c r="M241" s="8" t="str">
        <f>HYPERLINK("http://slimages.macys.com/is/image/MCY/13984183 ")</f>
        <v xml:space="preserve">http://slimages.macys.com/is/image/MCY/13984183 </v>
      </c>
    </row>
    <row r="242" spans="1:13" ht="60" x14ac:dyDescent="0.25">
      <c r="A242" s="7" t="s">
        <v>1873</v>
      </c>
      <c r="B242" s="2" t="s">
        <v>1874</v>
      </c>
      <c r="C242" s="4">
        <v>1</v>
      </c>
      <c r="D242" s="5">
        <v>5.85</v>
      </c>
      <c r="E242" s="5">
        <v>12.99</v>
      </c>
      <c r="F242" s="4" t="s">
        <v>1875</v>
      </c>
      <c r="G242" s="2" t="s">
        <v>41</v>
      </c>
      <c r="H242" s="7" t="s">
        <v>266</v>
      </c>
      <c r="I242" s="2" t="s">
        <v>966</v>
      </c>
      <c r="J242" s="2" t="s">
        <v>348</v>
      </c>
      <c r="K242" s="2" t="s">
        <v>304</v>
      </c>
      <c r="L242" s="2" t="s">
        <v>125</v>
      </c>
      <c r="M242" s="8" t="str">
        <f>HYPERLINK("http://slimages.macys.com/is/image/MCY/13984183 ")</f>
        <v xml:space="preserve">http://slimages.macys.com/is/image/MCY/13984183 </v>
      </c>
    </row>
    <row r="243" spans="1:13" ht="60" x14ac:dyDescent="0.25">
      <c r="A243" s="7" t="s">
        <v>6927</v>
      </c>
      <c r="B243" s="2" t="s">
        <v>1874</v>
      </c>
      <c r="C243" s="4">
        <v>2</v>
      </c>
      <c r="D243" s="5">
        <v>5.85</v>
      </c>
      <c r="E243" s="5">
        <v>12.99</v>
      </c>
      <c r="F243" s="4" t="s">
        <v>1875</v>
      </c>
      <c r="G243" s="2" t="s">
        <v>41</v>
      </c>
      <c r="H243" s="7" t="s">
        <v>172</v>
      </c>
      <c r="I243" s="2" t="s">
        <v>966</v>
      </c>
      <c r="J243" s="2" t="s">
        <v>348</v>
      </c>
      <c r="K243" s="2" t="s">
        <v>304</v>
      </c>
      <c r="L243" s="2" t="s">
        <v>125</v>
      </c>
      <c r="M243" s="8" t="str">
        <f>HYPERLINK("http://slimages.macys.com/is/image/MCY/13984183 ")</f>
        <v xml:space="preserve">http://slimages.macys.com/is/image/MCY/13984183 </v>
      </c>
    </row>
    <row r="244" spans="1:13" ht="60" x14ac:dyDescent="0.25">
      <c r="A244" s="7" t="s">
        <v>7661</v>
      </c>
      <c r="B244" s="2" t="s">
        <v>7662</v>
      </c>
      <c r="C244" s="4">
        <v>1</v>
      </c>
      <c r="D244" s="5">
        <v>5.83</v>
      </c>
      <c r="E244" s="5">
        <v>17.989999999999998</v>
      </c>
      <c r="F244" s="4" t="s">
        <v>7663</v>
      </c>
      <c r="G244" s="2" t="s">
        <v>437</v>
      </c>
      <c r="H244" s="7" t="s">
        <v>91</v>
      </c>
      <c r="I244" s="2" t="s">
        <v>483</v>
      </c>
      <c r="J244" s="2" t="s">
        <v>536</v>
      </c>
      <c r="K244" s="2" t="s">
        <v>304</v>
      </c>
      <c r="L244" s="2" t="s">
        <v>119</v>
      </c>
      <c r="M244" s="8" t="str">
        <f>HYPERLINK("http://slimages.macys.com/is/image/MCY/12637272 ")</f>
        <v xml:space="preserve">http://slimages.macys.com/is/image/MCY/12637272 </v>
      </c>
    </row>
    <row r="245" spans="1:13" ht="60" x14ac:dyDescent="0.25">
      <c r="A245" s="7" t="s">
        <v>3392</v>
      </c>
      <c r="B245" s="2" t="s">
        <v>3393</v>
      </c>
      <c r="C245" s="4">
        <v>1</v>
      </c>
      <c r="D245" s="5">
        <v>5.8</v>
      </c>
      <c r="E245" s="5">
        <v>13.19</v>
      </c>
      <c r="F245" s="4">
        <v>17892010</v>
      </c>
      <c r="G245" s="2"/>
      <c r="H245" s="7" t="s">
        <v>233</v>
      </c>
      <c r="I245" s="2" t="s">
        <v>153</v>
      </c>
      <c r="J245" s="2" t="s">
        <v>154</v>
      </c>
      <c r="K245" s="2" t="s">
        <v>304</v>
      </c>
      <c r="L245" s="2" t="s">
        <v>38</v>
      </c>
      <c r="M245" s="8" t="str">
        <f>HYPERLINK("http://slimages.macys.com/is/image/MCY/13341121 ")</f>
        <v xml:space="preserve">http://slimages.macys.com/is/image/MCY/13341121 </v>
      </c>
    </row>
    <row r="246" spans="1:13" ht="60" x14ac:dyDescent="0.25">
      <c r="A246" s="7" t="s">
        <v>7664</v>
      </c>
      <c r="B246" s="2" t="s">
        <v>1877</v>
      </c>
      <c r="C246" s="4">
        <v>1</v>
      </c>
      <c r="D246" s="5">
        <v>5.8</v>
      </c>
      <c r="E246" s="5">
        <v>13.19</v>
      </c>
      <c r="F246" s="4">
        <v>18633810</v>
      </c>
      <c r="G246" s="2" t="s">
        <v>752</v>
      </c>
      <c r="H246" s="7" t="s">
        <v>482</v>
      </c>
      <c r="I246" s="2" t="s">
        <v>153</v>
      </c>
      <c r="J246" s="2" t="s">
        <v>154</v>
      </c>
      <c r="K246" s="2" t="s">
        <v>304</v>
      </c>
      <c r="L246" s="2" t="s">
        <v>38</v>
      </c>
      <c r="M246" s="8" t="str">
        <f>HYPERLINK("http://slimages.macys.com/is/image/MCY/13941918 ")</f>
        <v xml:space="preserve">http://slimages.macys.com/is/image/MCY/13941918 </v>
      </c>
    </row>
    <row r="247" spans="1:13" ht="60" x14ac:dyDescent="0.25">
      <c r="A247" s="7" t="s">
        <v>7665</v>
      </c>
      <c r="B247" s="2" t="s">
        <v>7666</v>
      </c>
      <c r="C247" s="4">
        <v>1</v>
      </c>
      <c r="D247" s="5">
        <v>5.75</v>
      </c>
      <c r="E247" s="5">
        <v>12.99</v>
      </c>
      <c r="F247" s="4" t="s">
        <v>7667</v>
      </c>
      <c r="G247" s="2" t="s">
        <v>437</v>
      </c>
      <c r="H247" s="7" t="s">
        <v>123</v>
      </c>
      <c r="I247" s="2" t="s">
        <v>515</v>
      </c>
      <c r="J247" s="2" t="s">
        <v>516</v>
      </c>
      <c r="K247" s="2" t="s">
        <v>304</v>
      </c>
      <c r="L247" s="2" t="s">
        <v>358</v>
      </c>
      <c r="M247" s="8" t="str">
        <f>HYPERLINK("http://slimages.macys.com/is/image/MCY/12953211 ")</f>
        <v xml:space="preserve">http://slimages.macys.com/is/image/MCY/12953211 </v>
      </c>
    </row>
    <row r="248" spans="1:13" ht="60" x14ac:dyDescent="0.25">
      <c r="A248" s="7" t="s">
        <v>7668</v>
      </c>
      <c r="B248" s="2" t="s">
        <v>7669</v>
      </c>
      <c r="C248" s="4">
        <v>2</v>
      </c>
      <c r="D248" s="5">
        <v>5.75</v>
      </c>
      <c r="E248" s="5">
        <v>12.99</v>
      </c>
      <c r="F248" s="4" t="s">
        <v>7670</v>
      </c>
      <c r="G248" s="2" t="s">
        <v>657</v>
      </c>
      <c r="H248" s="7" t="s">
        <v>166</v>
      </c>
      <c r="I248" s="2" t="s">
        <v>80</v>
      </c>
      <c r="J248" s="2" t="s">
        <v>167</v>
      </c>
      <c r="K248" s="2" t="s">
        <v>304</v>
      </c>
      <c r="L248" s="2" t="s">
        <v>119</v>
      </c>
      <c r="M248" s="8" t="str">
        <f>HYPERLINK("http://slimages.macys.com/is/image/MCY/9987058 ")</f>
        <v xml:space="preserve">http://slimages.macys.com/is/image/MCY/9987058 </v>
      </c>
    </row>
    <row r="249" spans="1:13" ht="60" x14ac:dyDescent="0.25">
      <c r="A249" s="7" t="s">
        <v>7671</v>
      </c>
      <c r="B249" s="2" t="s">
        <v>7666</v>
      </c>
      <c r="C249" s="4">
        <v>1</v>
      </c>
      <c r="D249" s="5">
        <v>5.75</v>
      </c>
      <c r="E249" s="5">
        <v>12.99</v>
      </c>
      <c r="F249" s="4" t="s">
        <v>7667</v>
      </c>
      <c r="G249" s="2" t="s">
        <v>437</v>
      </c>
      <c r="H249" s="7" t="s">
        <v>578</v>
      </c>
      <c r="I249" s="2" t="s">
        <v>515</v>
      </c>
      <c r="J249" s="2" t="s">
        <v>516</v>
      </c>
      <c r="K249" s="2" t="s">
        <v>304</v>
      </c>
      <c r="L249" s="2" t="s">
        <v>358</v>
      </c>
      <c r="M249" s="8" t="str">
        <f>HYPERLINK("http://slimages.macys.com/is/image/MCY/12953211 ")</f>
        <v xml:space="preserve">http://slimages.macys.com/is/image/MCY/12953211 </v>
      </c>
    </row>
    <row r="250" spans="1:13" ht="60" x14ac:dyDescent="0.25">
      <c r="A250" s="7" t="s">
        <v>7672</v>
      </c>
      <c r="B250" s="2" t="s">
        <v>7666</v>
      </c>
      <c r="C250" s="4">
        <v>2</v>
      </c>
      <c r="D250" s="5">
        <v>5.75</v>
      </c>
      <c r="E250" s="5">
        <v>12.99</v>
      </c>
      <c r="F250" s="4" t="s">
        <v>7667</v>
      </c>
      <c r="G250" s="2" t="s">
        <v>437</v>
      </c>
      <c r="H250" s="7" t="s">
        <v>311</v>
      </c>
      <c r="I250" s="2" t="s">
        <v>515</v>
      </c>
      <c r="J250" s="2" t="s">
        <v>516</v>
      </c>
      <c r="K250" s="2" t="s">
        <v>304</v>
      </c>
      <c r="L250" s="2" t="s">
        <v>358</v>
      </c>
      <c r="M250" s="8" t="str">
        <f>HYPERLINK("http://slimages.macys.com/is/image/MCY/12953211 ")</f>
        <v xml:space="preserve">http://slimages.macys.com/is/image/MCY/12953211 </v>
      </c>
    </row>
    <row r="251" spans="1:13" ht="60" x14ac:dyDescent="0.25">
      <c r="A251" s="7" t="s">
        <v>7673</v>
      </c>
      <c r="B251" s="2" t="s">
        <v>7666</v>
      </c>
      <c r="C251" s="4">
        <v>1</v>
      </c>
      <c r="D251" s="5">
        <v>5.75</v>
      </c>
      <c r="E251" s="5">
        <v>12.99</v>
      </c>
      <c r="F251" s="4" t="s">
        <v>7667</v>
      </c>
      <c r="G251" s="2" t="s">
        <v>437</v>
      </c>
      <c r="H251" s="7" t="s">
        <v>1151</v>
      </c>
      <c r="I251" s="2" t="s">
        <v>515</v>
      </c>
      <c r="J251" s="2" t="s">
        <v>516</v>
      </c>
      <c r="K251" s="2" t="s">
        <v>304</v>
      </c>
      <c r="L251" s="2" t="s">
        <v>358</v>
      </c>
      <c r="M251" s="8" t="str">
        <f>HYPERLINK("http://slimages.macys.com/is/image/MCY/12953211 ")</f>
        <v xml:space="preserve">http://slimages.macys.com/is/image/MCY/12953211 </v>
      </c>
    </row>
    <row r="252" spans="1:13" ht="60" x14ac:dyDescent="0.25">
      <c r="A252" s="7" t="s">
        <v>7674</v>
      </c>
      <c r="B252" s="2" t="s">
        <v>7666</v>
      </c>
      <c r="C252" s="4">
        <v>1</v>
      </c>
      <c r="D252" s="5">
        <v>5.75</v>
      </c>
      <c r="E252" s="5">
        <v>12.99</v>
      </c>
      <c r="F252" s="4" t="s">
        <v>7667</v>
      </c>
      <c r="G252" s="2" t="s">
        <v>437</v>
      </c>
      <c r="H252" s="7" t="s">
        <v>514</v>
      </c>
      <c r="I252" s="2" t="s">
        <v>515</v>
      </c>
      <c r="J252" s="2" t="s">
        <v>516</v>
      </c>
      <c r="K252" s="2" t="s">
        <v>304</v>
      </c>
      <c r="L252" s="2" t="s">
        <v>358</v>
      </c>
      <c r="M252" s="8" t="str">
        <f>HYPERLINK("http://slimages.macys.com/is/image/MCY/12953211 ")</f>
        <v xml:space="preserve">http://slimages.macys.com/is/image/MCY/12953211 </v>
      </c>
    </row>
    <row r="253" spans="1:13" ht="60" x14ac:dyDescent="0.25">
      <c r="A253" s="7" t="s">
        <v>7675</v>
      </c>
      <c r="B253" s="2" t="s">
        <v>7676</v>
      </c>
      <c r="C253" s="4">
        <v>1</v>
      </c>
      <c r="D253" s="5">
        <v>5.7</v>
      </c>
      <c r="E253" s="5">
        <v>12.09</v>
      </c>
      <c r="F253" s="4">
        <v>16714710</v>
      </c>
      <c r="G253" s="2" t="s">
        <v>476</v>
      </c>
      <c r="H253" s="7"/>
      <c r="I253" s="2" t="s">
        <v>153</v>
      </c>
      <c r="J253" s="2" t="s">
        <v>154</v>
      </c>
      <c r="K253" s="2" t="s">
        <v>304</v>
      </c>
      <c r="L253" s="2" t="s">
        <v>206</v>
      </c>
      <c r="M253" s="8" t="str">
        <f>HYPERLINK("http://slimages.macys.com/is/image/MCY/12754307 ")</f>
        <v xml:space="preserve">http://slimages.macys.com/is/image/MCY/12754307 </v>
      </c>
    </row>
    <row r="254" spans="1:13" ht="60" x14ac:dyDescent="0.25">
      <c r="A254" s="7" t="s">
        <v>7677</v>
      </c>
      <c r="B254" s="2" t="s">
        <v>1899</v>
      </c>
      <c r="C254" s="4">
        <v>1</v>
      </c>
      <c r="D254" s="5">
        <v>5.68</v>
      </c>
      <c r="E254" s="5">
        <v>16.989999999999998</v>
      </c>
      <c r="F254" s="4" t="s">
        <v>1900</v>
      </c>
      <c r="G254" s="2" t="s">
        <v>165</v>
      </c>
      <c r="H254" s="7" t="s">
        <v>284</v>
      </c>
      <c r="I254" s="2" t="s">
        <v>515</v>
      </c>
      <c r="J254" s="2" t="s">
        <v>827</v>
      </c>
      <c r="K254" s="2" t="s">
        <v>304</v>
      </c>
      <c r="L254" s="2" t="s">
        <v>358</v>
      </c>
      <c r="M254" s="8" t="str">
        <f>HYPERLINK("http://slimages.macys.com/is/image/MCY/3487948 ")</f>
        <v xml:space="preserve">http://slimages.macys.com/is/image/MCY/3487948 </v>
      </c>
    </row>
    <row r="255" spans="1:13" ht="60" x14ac:dyDescent="0.25">
      <c r="A255" s="7" t="s">
        <v>7678</v>
      </c>
      <c r="B255" s="2" t="s">
        <v>7679</v>
      </c>
      <c r="C255" s="4">
        <v>1</v>
      </c>
      <c r="D255" s="5">
        <v>5.57</v>
      </c>
      <c r="E255" s="5">
        <v>12.99</v>
      </c>
      <c r="F255" s="4" t="s">
        <v>7680</v>
      </c>
      <c r="G255" s="2" t="s">
        <v>129</v>
      </c>
      <c r="H255" s="7" t="s">
        <v>166</v>
      </c>
      <c r="I255" s="2" t="s">
        <v>292</v>
      </c>
      <c r="J255" s="2" t="s">
        <v>354</v>
      </c>
      <c r="K255" s="2" t="s">
        <v>304</v>
      </c>
      <c r="L255" s="2" t="s">
        <v>119</v>
      </c>
      <c r="M255" s="8" t="str">
        <f>HYPERLINK("http://slimages.macys.com/is/image/MCY/10377383 ")</f>
        <v xml:space="preserve">http://slimages.macys.com/is/image/MCY/10377383 </v>
      </c>
    </row>
    <row r="256" spans="1:13" ht="60" x14ac:dyDescent="0.25">
      <c r="A256" s="7" t="s">
        <v>1073</v>
      </c>
      <c r="B256" s="2" t="s">
        <v>1074</v>
      </c>
      <c r="C256" s="4">
        <v>1</v>
      </c>
      <c r="D256" s="5">
        <v>5.5</v>
      </c>
      <c r="E256" s="5">
        <v>12.99</v>
      </c>
      <c r="F256" s="4" t="s">
        <v>1075</v>
      </c>
      <c r="G256" s="2"/>
      <c r="H256" s="7" t="s">
        <v>442</v>
      </c>
      <c r="I256" s="2" t="s">
        <v>92</v>
      </c>
      <c r="J256" s="2" t="s">
        <v>1076</v>
      </c>
      <c r="K256" s="2" t="s">
        <v>304</v>
      </c>
      <c r="L256" s="2" t="s">
        <v>100</v>
      </c>
      <c r="M256" s="8" t="str">
        <f>HYPERLINK("http://slimages.macys.com/is/image/MCY/15654522 ")</f>
        <v xml:space="preserve">http://slimages.macys.com/is/image/MCY/15654522 </v>
      </c>
    </row>
    <row r="257" spans="1:13" ht="108" x14ac:dyDescent="0.25">
      <c r="A257" s="7" t="s">
        <v>7681</v>
      </c>
      <c r="B257" s="2" t="s">
        <v>7682</v>
      </c>
      <c r="C257" s="4">
        <v>1</v>
      </c>
      <c r="D257" s="5">
        <v>5.5</v>
      </c>
      <c r="E257" s="5">
        <v>17.989999999999998</v>
      </c>
      <c r="F257" s="4" t="s">
        <v>7683</v>
      </c>
      <c r="G257" s="2" t="s">
        <v>310</v>
      </c>
      <c r="H257" s="7" t="s">
        <v>590</v>
      </c>
      <c r="I257" s="2" t="s">
        <v>135</v>
      </c>
      <c r="J257" s="2" t="s">
        <v>430</v>
      </c>
      <c r="K257" s="2" t="s">
        <v>304</v>
      </c>
      <c r="L257" s="2" t="s">
        <v>7684</v>
      </c>
      <c r="M257" s="8" t="str">
        <f>HYPERLINK("http://slimages.macys.com/is/image/MCY/13040129 ")</f>
        <v xml:space="preserve">http://slimages.macys.com/is/image/MCY/13040129 </v>
      </c>
    </row>
    <row r="258" spans="1:13" ht="60" x14ac:dyDescent="0.25">
      <c r="A258" s="7" t="s">
        <v>7685</v>
      </c>
      <c r="B258" s="2" t="s">
        <v>1915</v>
      </c>
      <c r="C258" s="4">
        <v>1</v>
      </c>
      <c r="D258" s="5">
        <v>5.5</v>
      </c>
      <c r="E258" s="5">
        <v>10.99</v>
      </c>
      <c r="F258" s="4" t="s">
        <v>1916</v>
      </c>
      <c r="G258" s="2" t="s">
        <v>41</v>
      </c>
      <c r="H258" s="7" t="s">
        <v>228</v>
      </c>
      <c r="I258" s="2" t="s">
        <v>73</v>
      </c>
      <c r="J258" s="2" t="s">
        <v>1917</v>
      </c>
      <c r="K258" s="2" t="s">
        <v>304</v>
      </c>
      <c r="L258" s="2" t="s">
        <v>125</v>
      </c>
      <c r="M258" s="8" t="str">
        <f>HYPERLINK("http://slimages.macys.com/is/image/MCY/12235600 ")</f>
        <v xml:space="preserve">http://slimages.macys.com/is/image/MCY/12235600 </v>
      </c>
    </row>
    <row r="259" spans="1:13" ht="60" x14ac:dyDescent="0.25">
      <c r="A259" s="7" t="s">
        <v>5497</v>
      </c>
      <c r="B259" s="2" t="s">
        <v>1915</v>
      </c>
      <c r="C259" s="4">
        <v>1</v>
      </c>
      <c r="D259" s="5">
        <v>5.5</v>
      </c>
      <c r="E259" s="5">
        <v>10.99</v>
      </c>
      <c r="F259" s="4" t="s">
        <v>1916</v>
      </c>
      <c r="G259" s="2" t="s">
        <v>41</v>
      </c>
      <c r="H259" s="7" t="s">
        <v>196</v>
      </c>
      <c r="I259" s="2" t="s">
        <v>73</v>
      </c>
      <c r="J259" s="2" t="s">
        <v>1917</v>
      </c>
      <c r="K259" s="2" t="s">
        <v>304</v>
      </c>
      <c r="L259" s="2" t="s">
        <v>125</v>
      </c>
      <c r="M259" s="8" t="str">
        <f>HYPERLINK("http://slimages.macys.com/is/image/MCY/12235600 ")</f>
        <v xml:space="preserve">http://slimages.macys.com/is/image/MCY/12235600 </v>
      </c>
    </row>
    <row r="260" spans="1:13" ht="60" x14ac:dyDescent="0.25">
      <c r="A260" s="7" t="s">
        <v>7686</v>
      </c>
      <c r="B260" s="2" t="s">
        <v>7687</v>
      </c>
      <c r="C260" s="4">
        <v>1</v>
      </c>
      <c r="D260" s="5">
        <v>5.47</v>
      </c>
      <c r="E260" s="5">
        <v>12.99</v>
      </c>
      <c r="F260" s="4" t="s">
        <v>7688</v>
      </c>
      <c r="G260" s="2" t="s">
        <v>582</v>
      </c>
      <c r="H260" s="7" t="s">
        <v>123</v>
      </c>
      <c r="I260" s="2" t="s">
        <v>1689</v>
      </c>
      <c r="J260" s="2" t="s">
        <v>354</v>
      </c>
      <c r="K260" s="2" t="s">
        <v>304</v>
      </c>
      <c r="L260" s="2" t="s">
        <v>1334</v>
      </c>
      <c r="M260" s="8" t="str">
        <f>HYPERLINK("http://slimages.macys.com/is/image/MCY/10376589 ")</f>
        <v xml:space="preserve">http://slimages.macys.com/is/image/MCY/10376589 </v>
      </c>
    </row>
    <row r="261" spans="1:13" ht="60" x14ac:dyDescent="0.25">
      <c r="A261" s="7" t="s">
        <v>7689</v>
      </c>
      <c r="B261" s="2" t="s">
        <v>7690</v>
      </c>
      <c r="C261" s="4">
        <v>1</v>
      </c>
      <c r="D261" s="5">
        <v>5.46</v>
      </c>
      <c r="E261" s="5">
        <v>9.98</v>
      </c>
      <c r="F261" s="4" t="s">
        <v>7691</v>
      </c>
      <c r="G261" s="2" t="s">
        <v>41</v>
      </c>
      <c r="H261" s="7" t="s">
        <v>3990</v>
      </c>
      <c r="I261" s="2" t="s">
        <v>312</v>
      </c>
      <c r="J261" s="2" t="s">
        <v>7692</v>
      </c>
      <c r="K261" s="2"/>
      <c r="L261" s="2"/>
      <c r="M261" s="8" t="str">
        <f>HYPERLINK("http://slimages.macys.com/is/image/MCY/2044018 ")</f>
        <v xml:space="preserve">http://slimages.macys.com/is/image/MCY/2044018 </v>
      </c>
    </row>
    <row r="262" spans="1:13" ht="60" x14ac:dyDescent="0.25">
      <c r="A262" s="7" t="s">
        <v>7693</v>
      </c>
      <c r="B262" s="2" t="s">
        <v>7694</v>
      </c>
      <c r="C262" s="4">
        <v>1</v>
      </c>
      <c r="D262" s="5">
        <v>5.37</v>
      </c>
      <c r="E262" s="5">
        <v>12.99</v>
      </c>
      <c r="F262" s="4" t="s">
        <v>7695</v>
      </c>
      <c r="G262" s="2" t="s">
        <v>1265</v>
      </c>
      <c r="H262" s="7" t="s">
        <v>42</v>
      </c>
      <c r="I262" s="2" t="s">
        <v>483</v>
      </c>
      <c r="J262" s="2" t="s">
        <v>4176</v>
      </c>
      <c r="K262" s="2" t="s">
        <v>304</v>
      </c>
      <c r="L262" s="2" t="s">
        <v>596</v>
      </c>
      <c r="M262" s="8" t="str">
        <f>HYPERLINK("http://slimages.macys.com/is/image/MCY/11524060 ")</f>
        <v xml:space="preserve">http://slimages.macys.com/is/image/MCY/11524060 </v>
      </c>
    </row>
    <row r="263" spans="1:13" ht="60" x14ac:dyDescent="0.25">
      <c r="A263" s="7" t="s">
        <v>7696</v>
      </c>
      <c r="B263" s="2" t="s">
        <v>1943</v>
      </c>
      <c r="C263" s="4">
        <v>1</v>
      </c>
      <c r="D263" s="5">
        <v>5.3</v>
      </c>
      <c r="E263" s="5">
        <v>12.99</v>
      </c>
      <c r="F263" s="4" t="s">
        <v>1944</v>
      </c>
      <c r="G263" s="2" t="s">
        <v>41</v>
      </c>
      <c r="H263" s="7" t="s">
        <v>42</v>
      </c>
      <c r="I263" s="2" t="s">
        <v>483</v>
      </c>
      <c r="J263" s="2" t="s">
        <v>536</v>
      </c>
      <c r="K263" s="2" t="s">
        <v>304</v>
      </c>
      <c r="L263" s="2" t="s">
        <v>358</v>
      </c>
      <c r="M263" s="8" t="str">
        <f>HYPERLINK("http://slimages.macys.com/is/image/MCY/10546254 ")</f>
        <v xml:space="preserve">http://slimages.macys.com/is/image/MCY/10546254 </v>
      </c>
    </row>
    <row r="264" spans="1:13" ht="60" x14ac:dyDescent="0.25">
      <c r="A264" s="7" t="s">
        <v>7697</v>
      </c>
      <c r="B264" s="2" t="s">
        <v>7698</v>
      </c>
      <c r="C264" s="4">
        <v>1</v>
      </c>
      <c r="D264" s="5">
        <v>5.3</v>
      </c>
      <c r="E264" s="5">
        <v>12.99</v>
      </c>
      <c r="F264" s="4" t="s">
        <v>7699</v>
      </c>
      <c r="G264" s="2" t="s">
        <v>698</v>
      </c>
      <c r="H264" s="7" t="s">
        <v>91</v>
      </c>
      <c r="I264" s="2" t="s">
        <v>483</v>
      </c>
      <c r="J264" s="2" t="s">
        <v>536</v>
      </c>
      <c r="K264" s="2"/>
      <c r="L264" s="2"/>
      <c r="M264" s="8" t="str">
        <f>HYPERLINK("http://slimages.macys.com/is/image/MCY/10226650 ")</f>
        <v xml:space="preserve">http://slimages.macys.com/is/image/MCY/10226650 </v>
      </c>
    </row>
    <row r="265" spans="1:13" ht="60" x14ac:dyDescent="0.25">
      <c r="A265" s="7" t="s">
        <v>7700</v>
      </c>
      <c r="B265" s="2" t="s">
        <v>7701</v>
      </c>
      <c r="C265" s="4">
        <v>1</v>
      </c>
      <c r="D265" s="5">
        <v>5.26</v>
      </c>
      <c r="E265" s="5">
        <v>12.99</v>
      </c>
      <c r="F265" s="4" t="s">
        <v>7702</v>
      </c>
      <c r="G265" s="2" t="s">
        <v>103</v>
      </c>
      <c r="H265" s="7" t="s">
        <v>284</v>
      </c>
      <c r="I265" s="2" t="s">
        <v>389</v>
      </c>
      <c r="J265" s="2" t="s">
        <v>354</v>
      </c>
      <c r="K265" s="2" t="s">
        <v>304</v>
      </c>
      <c r="L265" s="2" t="s">
        <v>358</v>
      </c>
      <c r="M265" s="8" t="str">
        <f>HYPERLINK("http://slimages.macys.com/is/image/MCY/12654948 ")</f>
        <v xml:space="preserve">http://slimages.macys.com/is/image/MCY/12654948 </v>
      </c>
    </row>
    <row r="266" spans="1:13" ht="108" x14ac:dyDescent="0.25">
      <c r="A266" s="7" t="s">
        <v>7703</v>
      </c>
      <c r="B266" s="2" t="s">
        <v>7704</v>
      </c>
      <c r="C266" s="4">
        <v>1</v>
      </c>
      <c r="D266" s="5">
        <v>5.26</v>
      </c>
      <c r="E266" s="5">
        <v>16.8</v>
      </c>
      <c r="F266" s="4" t="s">
        <v>7705</v>
      </c>
      <c r="G266" s="2" t="s">
        <v>297</v>
      </c>
      <c r="H266" s="7" t="s">
        <v>149</v>
      </c>
      <c r="I266" s="2" t="s">
        <v>483</v>
      </c>
      <c r="J266" s="2" t="s">
        <v>536</v>
      </c>
      <c r="K266" s="2" t="s">
        <v>304</v>
      </c>
      <c r="L266" s="2" t="s">
        <v>7706</v>
      </c>
      <c r="M266" s="8" t="str">
        <f>HYPERLINK("http://slimages.macys.com/is/image/MCY/12646516 ")</f>
        <v xml:space="preserve">http://slimages.macys.com/is/image/MCY/12646516 </v>
      </c>
    </row>
    <row r="267" spans="1:13" ht="60" x14ac:dyDescent="0.25">
      <c r="A267" s="7" t="s">
        <v>7707</v>
      </c>
      <c r="B267" s="2" t="s">
        <v>5971</v>
      </c>
      <c r="C267" s="4">
        <v>1</v>
      </c>
      <c r="D267" s="5">
        <v>5.25</v>
      </c>
      <c r="E267" s="5">
        <v>12.99</v>
      </c>
      <c r="F267" s="4" t="s">
        <v>5972</v>
      </c>
      <c r="G267" s="2" t="s">
        <v>41</v>
      </c>
      <c r="H267" s="7" t="s">
        <v>228</v>
      </c>
      <c r="I267" s="2" t="s">
        <v>218</v>
      </c>
      <c r="J267" s="2" t="s">
        <v>1740</v>
      </c>
      <c r="K267" s="2" t="s">
        <v>304</v>
      </c>
      <c r="L267" s="2" t="s">
        <v>119</v>
      </c>
      <c r="M267" s="8" t="str">
        <f>HYPERLINK("http://slimages.macys.com/is/image/MCY/12688051 ")</f>
        <v xml:space="preserve">http://slimages.macys.com/is/image/MCY/12688051 </v>
      </c>
    </row>
    <row r="268" spans="1:13" ht="60" x14ac:dyDescent="0.25">
      <c r="A268" s="7" t="s">
        <v>7708</v>
      </c>
      <c r="B268" s="2" t="s">
        <v>7709</v>
      </c>
      <c r="C268" s="4">
        <v>1</v>
      </c>
      <c r="D268" s="5">
        <v>5.25</v>
      </c>
      <c r="E268" s="5">
        <v>14.99</v>
      </c>
      <c r="F268" s="4" t="s">
        <v>7710</v>
      </c>
      <c r="G268" s="2" t="s">
        <v>698</v>
      </c>
      <c r="H268" s="7" t="s">
        <v>209</v>
      </c>
      <c r="I268" s="2" t="s">
        <v>321</v>
      </c>
      <c r="J268" s="2" t="s">
        <v>492</v>
      </c>
      <c r="K268" s="2" t="s">
        <v>304</v>
      </c>
      <c r="L268" s="2" t="s">
        <v>6769</v>
      </c>
      <c r="M268" s="8" t="str">
        <f>HYPERLINK("http://slimages.macys.com/is/image/MCY/10924205 ")</f>
        <v xml:space="preserve">http://slimages.macys.com/is/image/MCY/10924205 </v>
      </c>
    </row>
    <row r="269" spans="1:13" ht="60" x14ac:dyDescent="0.25">
      <c r="A269" s="7" t="s">
        <v>7711</v>
      </c>
      <c r="B269" s="2" t="s">
        <v>7712</v>
      </c>
      <c r="C269" s="4">
        <v>1</v>
      </c>
      <c r="D269" s="5">
        <v>5.2</v>
      </c>
      <c r="E269" s="5">
        <v>10.99</v>
      </c>
      <c r="F269" s="4" t="s">
        <v>7713</v>
      </c>
      <c r="G269" s="2" t="s">
        <v>86</v>
      </c>
      <c r="H269" s="7" t="s">
        <v>196</v>
      </c>
      <c r="I269" s="2" t="s">
        <v>389</v>
      </c>
      <c r="J269" s="2" t="s">
        <v>354</v>
      </c>
      <c r="K269" s="2" t="s">
        <v>304</v>
      </c>
      <c r="L269" s="2" t="s">
        <v>119</v>
      </c>
      <c r="M269" s="8" t="str">
        <f>HYPERLINK("http://slimages.macys.com/is/image/MCY/11501283 ")</f>
        <v xml:space="preserve">http://slimages.macys.com/is/image/MCY/11501283 </v>
      </c>
    </row>
    <row r="270" spans="1:13" ht="60" x14ac:dyDescent="0.25">
      <c r="A270" s="7" t="s">
        <v>7714</v>
      </c>
      <c r="B270" s="2" t="s">
        <v>7715</v>
      </c>
      <c r="C270" s="4">
        <v>1</v>
      </c>
      <c r="D270" s="5">
        <v>5.2</v>
      </c>
      <c r="E270" s="5">
        <v>12.99</v>
      </c>
      <c r="F270" s="4" t="s">
        <v>7716</v>
      </c>
      <c r="G270" s="2" t="s">
        <v>582</v>
      </c>
      <c r="H270" s="7" t="s">
        <v>166</v>
      </c>
      <c r="I270" s="2" t="s">
        <v>218</v>
      </c>
      <c r="J270" s="2" t="s">
        <v>2008</v>
      </c>
      <c r="K270" s="2" t="s">
        <v>304</v>
      </c>
      <c r="L270" s="2" t="s">
        <v>358</v>
      </c>
      <c r="M270" s="8" t="str">
        <f>HYPERLINK("http://slimages.macys.com/is/image/MCY/11464245 ")</f>
        <v xml:space="preserve">http://slimages.macys.com/is/image/MCY/11464245 </v>
      </c>
    </row>
    <row r="271" spans="1:13" ht="60" x14ac:dyDescent="0.25">
      <c r="A271" s="7" t="s">
        <v>7717</v>
      </c>
      <c r="B271" s="2" t="s">
        <v>7712</v>
      </c>
      <c r="C271" s="4">
        <v>1</v>
      </c>
      <c r="D271" s="5">
        <v>5.2</v>
      </c>
      <c r="E271" s="5">
        <v>10.99</v>
      </c>
      <c r="F271" s="4" t="s">
        <v>7713</v>
      </c>
      <c r="G271" s="2" t="s">
        <v>86</v>
      </c>
      <c r="H271" s="7" t="s">
        <v>228</v>
      </c>
      <c r="I271" s="2" t="s">
        <v>389</v>
      </c>
      <c r="J271" s="2" t="s">
        <v>354</v>
      </c>
      <c r="K271" s="2" t="s">
        <v>304</v>
      </c>
      <c r="L271" s="2" t="s">
        <v>119</v>
      </c>
      <c r="M271" s="8" t="str">
        <f>HYPERLINK("http://slimages.macys.com/is/image/MCY/11501283 ")</f>
        <v xml:space="preserve">http://slimages.macys.com/is/image/MCY/11501283 </v>
      </c>
    </row>
    <row r="272" spans="1:13" ht="60" x14ac:dyDescent="0.25">
      <c r="A272" s="7" t="s">
        <v>7718</v>
      </c>
      <c r="B272" s="2" t="s">
        <v>7719</v>
      </c>
      <c r="C272" s="4">
        <v>1</v>
      </c>
      <c r="D272" s="5">
        <v>5.18</v>
      </c>
      <c r="E272" s="5">
        <v>12.99</v>
      </c>
      <c r="F272" s="4" t="s">
        <v>7720</v>
      </c>
      <c r="G272" s="2" t="s">
        <v>1302</v>
      </c>
      <c r="H272" s="7" t="s">
        <v>442</v>
      </c>
      <c r="I272" s="2" t="s">
        <v>483</v>
      </c>
      <c r="J272" s="2" t="s">
        <v>536</v>
      </c>
      <c r="K272" s="2" t="s">
        <v>304</v>
      </c>
      <c r="L272" s="2" t="s">
        <v>119</v>
      </c>
      <c r="M272" s="8" t="str">
        <f>HYPERLINK("http://slimages.macys.com/is/image/MCY/11523789 ")</f>
        <v xml:space="preserve">http://slimages.macys.com/is/image/MCY/11523789 </v>
      </c>
    </row>
    <row r="273" spans="1:13" ht="72" x14ac:dyDescent="0.25">
      <c r="A273" s="7" t="s">
        <v>7721</v>
      </c>
      <c r="B273" s="2" t="s">
        <v>1959</v>
      </c>
      <c r="C273" s="4">
        <v>1</v>
      </c>
      <c r="D273" s="5">
        <v>5.05</v>
      </c>
      <c r="E273" s="5">
        <v>12.99</v>
      </c>
      <c r="F273" s="4" t="s">
        <v>1960</v>
      </c>
      <c r="G273" s="2" t="s">
        <v>48</v>
      </c>
      <c r="H273" s="7" t="s">
        <v>228</v>
      </c>
      <c r="I273" s="2" t="s">
        <v>515</v>
      </c>
      <c r="J273" s="2" t="s">
        <v>827</v>
      </c>
      <c r="K273" s="2" t="s">
        <v>304</v>
      </c>
      <c r="L273" s="2" t="s">
        <v>1117</v>
      </c>
      <c r="M273" s="8" t="str">
        <f>HYPERLINK("http://slimages.macys.com/is/image/MCY/12688120 ")</f>
        <v xml:space="preserve">http://slimages.macys.com/is/image/MCY/12688120 </v>
      </c>
    </row>
    <row r="274" spans="1:13" ht="72" x14ac:dyDescent="0.25">
      <c r="A274" s="7" t="s">
        <v>7722</v>
      </c>
      <c r="B274" s="2" t="s">
        <v>1959</v>
      </c>
      <c r="C274" s="4">
        <v>1</v>
      </c>
      <c r="D274" s="5">
        <v>5.05</v>
      </c>
      <c r="E274" s="5">
        <v>12.99</v>
      </c>
      <c r="F274" s="4" t="s">
        <v>1960</v>
      </c>
      <c r="G274" s="2" t="s">
        <v>48</v>
      </c>
      <c r="H274" s="7" t="s">
        <v>159</v>
      </c>
      <c r="I274" s="2" t="s">
        <v>515</v>
      </c>
      <c r="J274" s="2" t="s">
        <v>827</v>
      </c>
      <c r="K274" s="2" t="s">
        <v>304</v>
      </c>
      <c r="L274" s="2" t="s">
        <v>1117</v>
      </c>
      <c r="M274" s="8" t="str">
        <f>HYPERLINK("http://slimages.macys.com/is/image/MCY/12688120 ")</f>
        <v xml:space="preserve">http://slimages.macys.com/is/image/MCY/12688120 </v>
      </c>
    </row>
    <row r="275" spans="1:13" ht="60" x14ac:dyDescent="0.25">
      <c r="A275" s="7" t="s">
        <v>7723</v>
      </c>
      <c r="B275" s="2" t="s">
        <v>1915</v>
      </c>
      <c r="C275" s="4">
        <v>1</v>
      </c>
      <c r="D275" s="5">
        <v>5</v>
      </c>
      <c r="E275" s="5">
        <v>9.99</v>
      </c>
      <c r="F275" s="4" t="s">
        <v>1962</v>
      </c>
      <c r="G275" s="2" t="s">
        <v>41</v>
      </c>
      <c r="H275" s="7" t="s">
        <v>317</v>
      </c>
      <c r="I275" s="2" t="s">
        <v>73</v>
      </c>
      <c r="J275" s="2" t="s">
        <v>1963</v>
      </c>
      <c r="K275" s="2" t="s">
        <v>304</v>
      </c>
      <c r="L275" s="2" t="s">
        <v>125</v>
      </c>
      <c r="M275" s="8" t="str">
        <f>HYPERLINK("http://slimages.macys.com/is/image/MCY/12235600 ")</f>
        <v xml:space="preserve">http://slimages.macys.com/is/image/MCY/12235600 </v>
      </c>
    </row>
    <row r="276" spans="1:13" ht="60" x14ac:dyDescent="0.25">
      <c r="A276" s="7" t="s">
        <v>5040</v>
      </c>
      <c r="B276" s="2" t="s">
        <v>1915</v>
      </c>
      <c r="C276" s="4">
        <v>1</v>
      </c>
      <c r="D276" s="5">
        <v>5</v>
      </c>
      <c r="E276" s="5">
        <v>9.99</v>
      </c>
      <c r="F276" s="4" t="s">
        <v>1962</v>
      </c>
      <c r="G276" s="2" t="s">
        <v>41</v>
      </c>
      <c r="H276" s="7" t="s">
        <v>311</v>
      </c>
      <c r="I276" s="2" t="s">
        <v>73</v>
      </c>
      <c r="J276" s="2" t="s">
        <v>1963</v>
      </c>
      <c r="K276" s="2" t="s">
        <v>304</v>
      </c>
      <c r="L276" s="2" t="s">
        <v>125</v>
      </c>
      <c r="M276" s="8" t="str">
        <f>HYPERLINK("http://slimages.macys.com/is/image/MCY/12235600 ")</f>
        <v xml:space="preserve">http://slimages.macys.com/is/image/MCY/12235600 </v>
      </c>
    </row>
    <row r="277" spans="1:13" ht="72" x14ac:dyDescent="0.25">
      <c r="A277" s="7" t="s">
        <v>7724</v>
      </c>
      <c r="B277" s="2" t="s">
        <v>7725</v>
      </c>
      <c r="C277" s="4">
        <v>1</v>
      </c>
      <c r="D277" s="5">
        <v>4.9800000000000004</v>
      </c>
      <c r="E277" s="5">
        <v>11.99</v>
      </c>
      <c r="F277" s="4" t="s">
        <v>7726</v>
      </c>
      <c r="G277" s="2" t="s">
        <v>36</v>
      </c>
      <c r="H277" s="7" t="s">
        <v>311</v>
      </c>
      <c r="I277" s="2" t="s">
        <v>1689</v>
      </c>
      <c r="J277" s="2" t="s">
        <v>354</v>
      </c>
      <c r="K277" s="2" t="s">
        <v>304</v>
      </c>
      <c r="L277" s="2" t="s">
        <v>7727</v>
      </c>
      <c r="M277" s="8" t="str">
        <f>HYPERLINK("http://slimages.macys.com/is/image/MCY/10376553 ")</f>
        <v xml:space="preserve">http://slimages.macys.com/is/image/MCY/10376553 </v>
      </c>
    </row>
    <row r="278" spans="1:13" ht="60" x14ac:dyDescent="0.25">
      <c r="A278" s="7" t="s">
        <v>7728</v>
      </c>
      <c r="B278" s="2" t="s">
        <v>4302</v>
      </c>
      <c r="C278" s="4">
        <v>1</v>
      </c>
      <c r="D278" s="5">
        <v>4.88</v>
      </c>
      <c r="E278" s="5">
        <v>9.99</v>
      </c>
      <c r="F278" s="4" t="s">
        <v>7729</v>
      </c>
      <c r="G278" s="2" t="s">
        <v>303</v>
      </c>
      <c r="H278" s="7" t="s">
        <v>1151</v>
      </c>
      <c r="I278" s="2" t="s">
        <v>515</v>
      </c>
      <c r="J278" s="2" t="s">
        <v>516</v>
      </c>
      <c r="K278" s="2" t="s">
        <v>304</v>
      </c>
      <c r="L278" s="2" t="s">
        <v>119</v>
      </c>
      <c r="M278" s="8" t="str">
        <f>HYPERLINK("http://slimages.macys.com/is/image/MCY/11706720 ")</f>
        <v xml:space="preserve">http://slimages.macys.com/is/image/MCY/11706720 </v>
      </c>
    </row>
    <row r="279" spans="1:13" ht="96" x14ac:dyDescent="0.25">
      <c r="A279" s="7" t="s">
        <v>7730</v>
      </c>
      <c r="B279" s="2" t="s">
        <v>7731</v>
      </c>
      <c r="C279" s="4">
        <v>1</v>
      </c>
      <c r="D279" s="5">
        <v>4.72</v>
      </c>
      <c r="E279" s="5">
        <v>10.99</v>
      </c>
      <c r="F279" s="4" t="s">
        <v>7732</v>
      </c>
      <c r="G279" s="2" t="s">
        <v>171</v>
      </c>
      <c r="H279" s="7" t="s">
        <v>442</v>
      </c>
      <c r="I279" s="2" t="s">
        <v>483</v>
      </c>
      <c r="J279" s="2" t="s">
        <v>536</v>
      </c>
      <c r="K279" s="2" t="s">
        <v>304</v>
      </c>
      <c r="L279" s="2" t="s">
        <v>7733</v>
      </c>
      <c r="M279" s="8" t="str">
        <f>HYPERLINK("http://slimages.macys.com/is/image/MCY/10536659 ")</f>
        <v xml:space="preserve">http://slimages.macys.com/is/image/MCY/10536659 </v>
      </c>
    </row>
    <row r="280" spans="1:13" ht="96" x14ac:dyDescent="0.25">
      <c r="A280" s="7" t="s">
        <v>7734</v>
      </c>
      <c r="B280" s="2" t="s">
        <v>7731</v>
      </c>
      <c r="C280" s="4">
        <v>1</v>
      </c>
      <c r="D280" s="5">
        <v>4.72</v>
      </c>
      <c r="E280" s="5">
        <v>10.99</v>
      </c>
      <c r="F280" s="4" t="s">
        <v>7732</v>
      </c>
      <c r="G280" s="2" t="s">
        <v>171</v>
      </c>
      <c r="H280" s="7" t="s">
        <v>91</v>
      </c>
      <c r="I280" s="2" t="s">
        <v>483</v>
      </c>
      <c r="J280" s="2" t="s">
        <v>536</v>
      </c>
      <c r="K280" s="2" t="s">
        <v>304</v>
      </c>
      <c r="L280" s="2" t="s">
        <v>7733</v>
      </c>
      <c r="M280" s="8" t="str">
        <f>HYPERLINK("http://slimages.macys.com/is/image/MCY/10536659 ")</f>
        <v xml:space="preserve">http://slimages.macys.com/is/image/MCY/10536659 </v>
      </c>
    </row>
    <row r="281" spans="1:13" ht="60" x14ac:dyDescent="0.25">
      <c r="A281" s="7" t="s">
        <v>7735</v>
      </c>
      <c r="B281" s="2" t="s">
        <v>7736</v>
      </c>
      <c r="C281" s="4">
        <v>3</v>
      </c>
      <c r="D281" s="5">
        <v>4.7</v>
      </c>
      <c r="E281" s="5">
        <v>12.99</v>
      </c>
      <c r="F281" s="4" t="s">
        <v>7737</v>
      </c>
      <c r="G281" s="2" t="s">
        <v>129</v>
      </c>
      <c r="H281" s="7" t="s">
        <v>91</v>
      </c>
      <c r="I281" s="2" t="s">
        <v>7609</v>
      </c>
      <c r="J281" s="2" t="s">
        <v>4176</v>
      </c>
      <c r="K281" s="2" t="s">
        <v>304</v>
      </c>
      <c r="L281" s="2" t="s">
        <v>206</v>
      </c>
      <c r="M281" s="8" t="str">
        <f>HYPERLINK("http://slimages.macys.com/is/image/MCY/10164710 ")</f>
        <v xml:space="preserve">http://slimages.macys.com/is/image/MCY/10164710 </v>
      </c>
    </row>
    <row r="282" spans="1:13" ht="60" x14ac:dyDescent="0.25">
      <c r="A282" s="7" t="s">
        <v>7738</v>
      </c>
      <c r="B282" s="2" t="s">
        <v>7736</v>
      </c>
      <c r="C282" s="4">
        <v>2</v>
      </c>
      <c r="D282" s="5">
        <v>4.7</v>
      </c>
      <c r="E282" s="5">
        <v>12.99</v>
      </c>
      <c r="F282" s="4" t="s">
        <v>7737</v>
      </c>
      <c r="G282" s="2" t="s">
        <v>129</v>
      </c>
      <c r="H282" s="7" t="s">
        <v>42</v>
      </c>
      <c r="I282" s="2" t="s">
        <v>7609</v>
      </c>
      <c r="J282" s="2" t="s">
        <v>4176</v>
      </c>
      <c r="K282" s="2" t="s">
        <v>304</v>
      </c>
      <c r="L282" s="2" t="s">
        <v>206</v>
      </c>
      <c r="M282" s="8" t="str">
        <f>HYPERLINK("http://slimages.macys.com/is/image/MCY/10164710 ")</f>
        <v xml:space="preserve">http://slimages.macys.com/is/image/MCY/10164710 </v>
      </c>
    </row>
    <row r="283" spans="1:13" ht="60" x14ac:dyDescent="0.25">
      <c r="A283" s="7" t="s">
        <v>7739</v>
      </c>
      <c r="B283" s="2" t="s">
        <v>7740</v>
      </c>
      <c r="C283" s="4">
        <v>1</v>
      </c>
      <c r="D283" s="5">
        <v>4.6900000000000004</v>
      </c>
      <c r="E283" s="5">
        <v>9.98</v>
      </c>
      <c r="F283" s="4" t="s">
        <v>7741</v>
      </c>
      <c r="G283" s="2" t="s">
        <v>79</v>
      </c>
      <c r="H283" s="7" t="s">
        <v>311</v>
      </c>
      <c r="I283" s="2" t="s">
        <v>342</v>
      </c>
      <c r="J283" s="2" t="s">
        <v>343</v>
      </c>
      <c r="K283" s="2" t="s">
        <v>304</v>
      </c>
      <c r="L283" s="2" t="s">
        <v>119</v>
      </c>
      <c r="M283" s="8" t="str">
        <f>HYPERLINK("http://slimages.macys.com/is/image/MCY/9003858 ")</f>
        <v xml:space="preserve">http://slimages.macys.com/is/image/MCY/9003858 </v>
      </c>
    </row>
    <row r="284" spans="1:13" ht="108" x14ac:dyDescent="0.25">
      <c r="A284" s="7" t="s">
        <v>1995</v>
      </c>
      <c r="B284" s="2" t="s">
        <v>1996</v>
      </c>
      <c r="C284" s="4">
        <v>1</v>
      </c>
      <c r="D284" s="5">
        <v>4.67</v>
      </c>
      <c r="E284" s="5">
        <v>12</v>
      </c>
      <c r="F284" s="4" t="s">
        <v>1997</v>
      </c>
      <c r="G284" s="2" t="s">
        <v>437</v>
      </c>
      <c r="H284" s="7" t="s">
        <v>149</v>
      </c>
      <c r="I284" s="2" t="s">
        <v>483</v>
      </c>
      <c r="J284" s="2" t="s">
        <v>536</v>
      </c>
      <c r="K284" s="2" t="s">
        <v>304</v>
      </c>
      <c r="L284" s="2" t="s">
        <v>1998</v>
      </c>
      <c r="M284" s="8" t="str">
        <f>HYPERLINK("http://slimages.macys.com/is/image/MCY/12466268 ")</f>
        <v xml:space="preserve">http://slimages.macys.com/is/image/MCY/12466268 </v>
      </c>
    </row>
    <row r="285" spans="1:13" ht="108" x14ac:dyDescent="0.25">
      <c r="A285" s="7" t="s">
        <v>1999</v>
      </c>
      <c r="B285" s="2" t="s">
        <v>1996</v>
      </c>
      <c r="C285" s="4">
        <v>1</v>
      </c>
      <c r="D285" s="5">
        <v>4.67</v>
      </c>
      <c r="E285" s="5">
        <v>12</v>
      </c>
      <c r="F285" s="4" t="s">
        <v>1997</v>
      </c>
      <c r="G285" s="2" t="s">
        <v>437</v>
      </c>
      <c r="H285" s="7" t="s">
        <v>482</v>
      </c>
      <c r="I285" s="2" t="s">
        <v>483</v>
      </c>
      <c r="J285" s="2" t="s">
        <v>536</v>
      </c>
      <c r="K285" s="2" t="s">
        <v>304</v>
      </c>
      <c r="L285" s="2" t="s">
        <v>1998</v>
      </c>
      <c r="M285" s="8" t="str">
        <f>HYPERLINK("http://slimages.macys.com/is/image/MCY/12466268 ")</f>
        <v xml:space="preserve">http://slimages.macys.com/is/image/MCY/12466268 </v>
      </c>
    </row>
    <row r="286" spans="1:13" ht="60" x14ac:dyDescent="0.25">
      <c r="A286" s="7" t="s">
        <v>7742</v>
      </c>
      <c r="B286" s="2" t="s">
        <v>7743</v>
      </c>
      <c r="C286" s="4">
        <v>1</v>
      </c>
      <c r="D286" s="5">
        <v>4.6500000000000004</v>
      </c>
      <c r="E286" s="5">
        <v>12.99</v>
      </c>
      <c r="F286" s="4" t="s">
        <v>7744</v>
      </c>
      <c r="G286" s="2" t="s">
        <v>297</v>
      </c>
      <c r="H286" s="7" t="s">
        <v>228</v>
      </c>
      <c r="I286" s="2" t="s">
        <v>218</v>
      </c>
      <c r="J286" s="2" t="s">
        <v>1740</v>
      </c>
      <c r="K286" s="2" t="s">
        <v>304</v>
      </c>
      <c r="L286" s="2" t="s">
        <v>119</v>
      </c>
      <c r="M286" s="8" t="str">
        <f>HYPERLINK("http://slimages.macys.com/is/image/MCY/11952741 ")</f>
        <v xml:space="preserve">http://slimages.macys.com/is/image/MCY/11952741 </v>
      </c>
    </row>
    <row r="287" spans="1:13" ht="60" x14ac:dyDescent="0.25">
      <c r="A287" s="7" t="s">
        <v>7745</v>
      </c>
      <c r="B287" s="2" t="s">
        <v>2002</v>
      </c>
      <c r="C287" s="4">
        <v>2</v>
      </c>
      <c r="D287" s="5">
        <v>4.6500000000000004</v>
      </c>
      <c r="E287" s="5">
        <v>14.99</v>
      </c>
      <c r="F287" s="4" t="s">
        <v>2003</v>
      </c>
      <c r="G287" s="2" t="s">
        <v>657</v>
      </c>
      <c r="H287" s="7" t="s">
        <v>317</v>
      </c>
      <c r="I287" s="2" t="s">
        <v>292</v>
      </c>
      <c r="J287" s="2" t="s">
        <v>354</v>
      </c>
      <c r="K287" s="2" t="s">
        <v>304</v>
      </c>
      <c r="L287" s="2" t="s">
        <v>125</v>
      </c>
      <c r="M287" s="8" t="str">
        <f>HYPERLINK("http://slimages.macys.com/is/image/MCY/13893167 ")</f>
        <v xml:space="preserve">http://slimages.macys.com/is/image/MCY/13893167 </v>
      </c>
    </row>
    <row r="288" spans="1:13" ht="60" x14ac:dyDescent="0.25">
      <c r="A288" s="7" t="s">
        <v>5531</v>
      </c>
      <c r="B288" s="2" t="s">
        <v>2002</v>
      </c>
      <c r="C288" s="4">
        <v>1</v>
      </c>
      <c r="D288" s="5">
        <v>4.6500000000000004</v>
      </c>
      <c r="E288" s="5">
        <v>14.99</v>
      </c>
      <c r="F288" s="4" t="s">
        <v>2003</v>
      </c>
      <c r="G288" s="2" t="s">
        <v>657</v>
      </c>
      <c r="H288" s="7" t="s">
        <v>311</v>
      </c>
      <c r="I288" s="2" t="s">
        <v>292</v>
      </c>
      <c r="J288" s="2" t="s">
        <v>354</v>
      </c>
      <c r="K288" s="2" t="s">
        <v>304</v>
      </c>
      <c r="L288" s="2" t="s">
        <v>125</v>
      </c>
      <c r="M288" s="8" t="str">
        <f>HYPERLINK("http://slimages.macys.com/is/image/MCY/13893167 ")</f>
        <v xml:space="preserve">http://slimages.macys.com/is/image/MCY/13893167 </v>
      </c>
    </row>
    <row r="289" spans="1:13" ht="60" x14ac:dyDescent="0.25">
      <c r="A289" s="7" t="s">
        <v>2001</v>
      </c>
      <c r="B289" s="2" t="s">
        <v>2002</v>
      </c>
      <c r="C289" s="4">
        <v>1</v>
      </c>
      <c r="D289" s="5">
        <v>4.6500000000000004</v>
      </c>
      <c r="E289" s="5">
        <v>14.99</v>
      </c>
      <c r="F289" s="4" t="s">
        <v>2003</v>
      </c>
      <c r="G289" s="2" t="s">
        <v>657</v>
      </c>
      <c r="H289" s="7" t="s">
        <v>123</v>
      </c>
      <c r="I289" s="2" t="s">
        <v>292</v>
      </c>
      <c r="J289" s="2" t="s">
        <v>354</v>
      </c>
      <c r="K289" s="2" t="s">
        <v>304</v>
      </c>
      <c r="L289" s="2" t="s">
        <v>125</v>
      </c>
      <c r="M289" s="8" t="str">
        <f>HYPERLINK("http://slimages.macys.com/is/image/MCY/13893167 ")</f>
        <v xml:space="preserve">http://slimages.macys.com/is/image/MCY/13893167 </v>
      </c>
    </row>
    <row r="290" spans="1:13" ht="60" x14ac:dyDescent="0.25">
      <c r="A290" s="7" t="s">
        <v>7746</v>
      </c>
      <c r="B290" s="2" t="s">
        <v>7747</v>
      </c>
      <c r="C290" s="4">
        <v>1</v>
      </c>
      <c r="D290" s="5">
        <v>4.6500000000000004</v>
      </c>
      <c r="E290" s="5">
        <v>12.99</v>
      </c>
      <c r="F290" s="4" t="s">
        <v>7748</v>
      </c>
      <c r="G290" s="2" t="s">
        <v>28</v>
      </c>
      <c r="H290" s="7" t="s">
        <v>284</v>
      </c>
      <c r="I290" s="2" t="s">
        <v>218</v>
      </c>
      <c r="J290" s="2" t="s">
        <v>1740</v>
      </c>
      <c r="K290" s="2" t="s">
        <v>304</v>
      </c>
      <c r="L290" s="2" t="s">
        <v>119</v>
      </c>
      <c r="M290" s="8" t="str">
        <f>HYPERLINK("http://slimages.macys.com/is/image/MCY/11464174 ")</f>
        <v xml:space="preserve">http://slimages.macys.com/is/image/MCY/11464174 </v>
      </c>
    </row>
    <row r="291" spans="1:13" ht="60" x14ac:dyDescent="0.25">
      <c r="A291" s="7" t="s">
        <v>2004</v>
      </c>
      <c r="B291" s="2" t="s">
        <v>2002</v>
      </c>
      <c r="C291" s="4">
        <v>2</v>
      </c>
      <c r="D291" s="5">
        <v>4.6500000000000004</v>
      </c>
      <c r="E291" s="5">
        <v>14.99</v>
      </c>
      <c r="F291" s="4" t="s">
        <v>2003</v>
      </c>
      <c r="G291" s="2" t="s">
        <v>657</v>
      </c>
      <c r="H291" s="7" t="s">
        <v>379</v>
      </c>
      <c r="I291" s="2" t="s">
        <v>292</v>
      </c>
      <c r="J291" s="2" t="s">
        <v>354</v>
      </c>
      <c r="K291" s="2" t="s">
        <v>304</v>
      </c>
      <c r="L291" s="2" t="s">
        <v>125</v>
      </c>
      <c r="M291" s="8" t="str">
        <f>HYPERLINK("http://slimages.macys.com/is/image/MCY/13893167 ")</f>
        <v xml:space="preserve">http://slimages.macys.com/is/image/MCY/13893167 </v>
      </c>
    </row>
    <row r="292" spans="1:13" ht="60" x14ac:dyDescent="0.25">
      <c r="A292" s="7" t="s">
        <v>5985</v>
      </c>
      <c r="B292" s="2" t="s">
        <v>2002</v>
      </c>
      <c r="C292" s="4">
        <v>1</v>
      </c>
      <c r="D292" s="5">
        <v>4.6500000000000004</v>
      </c>
      <c r="E292" s="5">
        <v>14.99</v>
      </c>
      <c r="F292" s="4" t="s">
        <v>2003</v>
      </c>
      <c r="G292" s="2" t="s">
        <v>657</v>
      </c>
      <c r="H292" s="7" t="s">
        <v>618</v>
      </c>
      <c r="I292" s="2" t="s">
        <v>292</v>
      </c>
      <c r="J292" s="2" t="s">
        <v>354</v>
      </c>
      <c r="K292" s="2" t="s">
        <v>304</v>
      </c>
      <c r="L292" s="2" t="s">
        <v>125</v>
      </c>
      <c r="M292" s="8" t="str">
        <f>HYPERLINK("http://slimages.macys.com/is/image/MCY/13893167 ")</f>
        <v xml:space="preserve">http://slimages.macys.com/is/image/MCY/13893167 </v>
      </c>
    </row>
    <row r="293" spans="1:13" ht="72" x14ac:dyDescent="0.25">
      <c r="A293" s="7" t="s">
        <v>7749</v>
      </c>
      <c r="B293" s="2" t="s">
        <v>5047</v>
      </c>
      <c r="C293" s="4">
        <v>1</v>
      </c>
      <c r="D293" s="5">
        <v>4.59</v>
      </c>
      <c r="E293" s="5">
        <v>12.99</v>
      </c>
      <c r="F293" s="4" t="s">
        <v>5048</v>
      </c>
      <c r="G293" s="2" t="s">
        <v>28</v>
      </c>
      <c r="H293" s="7" t="s">
        <v>228</v>
      </c>
      <c r="I293" s="2" t="s">
        <v>515</v>
      </c>
      <c r="J293" s="2" t="s">
        <v>827</v>
      </c>
      <c r="K293" s="2" t="s">
        <v>304</v>
      </c>
      <c r="L293" s="2" t="s">
        <v>1117</v>
      </c>
      <c r="M293" s="8" t="str">
        <f>HYPERLINK("http://slimages.macys.com/is/image/MCY/11605924 ")</f>
        <v xml:space="preserve">http://slimages.macys.com/is/image/MCY/11605924 </v>
      </c>
    </row>
    <row r="294" spans="1:13" ht="60" x14ac:dyDescent="0.25">
      <c r="A294" s="7" t="s">
        <v>6358</v>
      </c>
      <c r="B294" s="2" t="s">
        <v>6359</v>
      </c>
      <c r="C294" s="4">
        <v>1</v>
      </c>
      <c r="D294" s="5">
        <v>4.53</v>
      </c>
      <c r="E294" s="5">
        <v>12</v>
      </c>
      <c r="F294" s="4" t="s">
        <v>6360</v>
      </c>
      <c r="G294" s="2" t="s">
        <v>297</v>
      </c>
      <c r="H294" s="7" t="s">
        <v>482</v>
      </c>
      <c r="I294" s="2" t="s">
        <v>483</v>
      </c>
      <c r="J294" s="2" t="s">
        <v>536</v>
      </c>
      <c r="K294" s="2" t="s">
        <v>304</v>
      </c>
      <c r="L294" s="2" t="s">
        <v>358</v>
      </c>
      <c r="M294" s="8" t="str">
        <f>HYPERLINK("http://slimages.macys.com/is/image/MCY/11533942 ")</f>
        <v xml:space="preserve">http://slimages.macys.com/is/image/MCY/11533942 </v>
      </c>
    </row>
    <row r="295" spans="1:13" ht="60" x14ac:dyDescent="0.25">
      <c r="A295" s="7" t="s">
        <v>7750</v>
      </c>
      <c r="B295" s="2" t="s">
        <v>6989</v>
      </c>
      <c r="C295" s="4">
        <v>1</v>
      </c>
      <c r="D295" s="5">
        <v>4.5</v>
      </c>
      <c r="E295" s="5">
        <v>7.99</v>
      </c>
      <c r="F295" s="4" t="s">
        <v>7751</v>
      </c>
      <c r="G295" s="2" t="s">
        <v>41</v>
      </c>
      <c r="H295" s="7" t="s">
        <v>68</v>
      </c>
      <c r="I295" s="2" t="s">
        <v>73</v>
      </c>
      <c r="J295" s="2" t="s">
        <v>1963</v>
      </c>
      <c r="K295" s="2" t="s">
        <v>304</v>
      </c>
      <c r="L295" s="2" t="s">
        <v>119</v>
      </c>
      <c r="M295" s="8" t="str">
        <f>HYPERLINK("http://slimages.macys.com/is/image/MCY/12284138 ")</f>
        <v xml:space="preserve">http://slimages.macys.com/is/image/MCY/12284138 </v>
      </c>
    </row>
    <row r="296" spans="1:13" ht="60" x14ac:dyDescent="0.25">
      <c r="A296" s="7" t="s">
        <v>7752</v>
      </c>
      <c r="B296" s="2" t="s">
        <v>7753</v>
      </c>
      <c r="C296" s="4">
        <v>1</v>
      </c>
      <c r="D296" s="5">
        <v>4.5</v>
      </c>
      <c r="E296" s="5">
        <v>10.99</v>
      </c>
      <c r="F296" s="4" t="s">
        <v>7754</v>
      </c>
      <c r="G296" s="2" t="s">
        <v>48</v>
      </c>
      <c r="H296" s="7"/>
      <c r="I296" s="2" t="s">
        <v>312</v>
      </c>
      <c r="J296" s="2" t="s">
        <v>2077</v>
      </c>
      <c r="K296" s="2" t="s">
        <v>304</v>
      </c>
      <c r="L296" s="2" t="s">
        <v>125</v>
      </c>
      <c r="M296" s="8" t="str">
        <f>HYPERLINK("http://slimages.macys.com/is/image/MCY/10381406 ")</f>
        <v xml:space="preserve">http://slimages.macys.com/is/image/MCY/10381406 </v>
      </c>
    </row>
    <row r="297" spans="1:13" ht="60" x14ac:dyDescent="0.25">
      <c r="A297" s="7" t="s">
        <v>2025</v>
      </c>
      <c r="B297" s="2" t="s">
        <v>2023</v>
      </c>
      <c r="C297" s="4">
        <v>1</v>
      </c>
      <c r="D297" s="5">
        <v>4.46</v>
      </c>
      <c r="E297" s="5">
        <v>12</v>
      </c>
      <c r="F297" s="4" t="s">
        <v>2024</v>
      </c>
      <c r="G297" s="2" t="s">
        <v>437</v>
      </c>
      <c r="H297" s="7"/>
      <c r="I297" s="2" t="s">
        <v>483</v>
      </c>
      <c r="J297" s="2" t="s">
        <v>536</v>
      </c>
      <c r="K297" s="2" t="s">
        <v>304</v>
      </c>
      <c r="L297" s="2" t="s">
        <v>1207</v>
      </c>
      <c r="M297" s="8" t="str">
        <f>HYPERLINK("http://slimages.macys.com/is/image/MCY/12466266 ")</f>
        <v xml:space="preserve">http://slimages.macys.com/is/image/MCY/12466266 </v>
      </c>
    </row>
    <row r="298" spans="1:13" ht="60" x14ac:dyDescent="0.25">
      <c r="A298" s="7" t="s">
        <v>7755</v>
      </c>
      <c r="B298" s="2" t="s">
        <v>5074</v>
      </c>
      <c r="C298" s="4">
        <v>1</v>
      </c>
      <c r="D298" s="5">
        <v>4.4000000000000004</v>
      </c>
      <c r="E298" s="5">
        <v>10.99</v>
      </c>
      <c r="F298" s="4" t="s">
        <v>7756</v>
      </c>
      <c r="G298" s="2" t="s">
        <v>793</v>
      </c>
      <c r="H298" s="7" t="s">
        <v>514</v>
      </c>
      <c r="I298" s="2" t="s">
        <v>1689</v>
      </c>
      <c r="J298" s="2" t="s">
        <v>354</v>
      </c>
      <c r="K298" s="2" t="s">
        <v>304</v>
      </c>
      <c r="L298" s="2" t="s">
        <v>119</v>
      </c>
      <c r="M298" s="8" t="str">
        <f>HYPERLINK("http://slimages.macys.com/is/image/MCY/11500158 ")</f>
        <v xml:space="preserve">http://slimages.macys.com/is/image/MCY/11500158 </v>
      </c>
    </row>
    <row r="299" spans="1:13" ht="60" x14ac:dyDescent="0.25">
      <c r="A299" s="7" t="s">
        <v>7757</v>
      </c>
      <c r="B299" s="2" t="s">
        <v>7758</v>
      </c>
      <c r="C299" s="4">
        <v>1</v>
      </c>
      <c r="D299" s="5">
        <v>4.4000000000000004</v>
      </c>
      <c r="E299" s="5">
        <v>10.99</v>
      </c>
      <c r="F299" s="4" t="s">
        <v>7759</v>
      </c>
      <c r="G299" s="2" t="s">
        <v>36</v>
      </c>
      <c r="H299" s="7" t="s">
        <v>311</v>
      </c>
      <c r="I299" s="2" t="s">
        <v>1689</v>
      </c>
      <c r="J299" s="2" t="s">
        <v>354</v>
      </c>
      <c r="K299" s="2" t="s">
        <v>304</v>
      </c>
      <c r="L299" s="2" t="s">
        <v>119</v>
      </c>
      <c r="M299" s="8" t="str">
        <f>HYPERLINK("http://slimages.macys.com/is/image/MCY/11499893 ")</f>
        <v xml:space="preserve">http://slimages.macys.com/is/image/MCY/11499893 </v>
      </c>
    </row>
    <row r="300" spans="1:13" ht="60" x14ac:dyDescent="0.25">
      <c r="A300" s="7" t="s">
        <v>7760</v>
      </c>
      <c r="B300" s="2" t="s">
        <v>7761</v>
      </c>
      <c r="C300" s="4">
        <v>3</v>
      </c>
      <c r="D300" s="5">
        <v>4.38</v>
      </c>
      <c r="E300" s="5">
        <v>11.99</v>
      </c>
      <c r="F300" s="4" t="s">
        <v>7762</v>
      </c>
      <c r="G300" s="2" t="s">
        <v>129</v>
      </c>
      <c r="H300" s="7" t="s">
        <v>228</v>
      </c>
      <c r="I300" s="2" t="s">
        <v>292</v>
      </c>
      <c r="J300" s="2" t="s">
        <v>293</v>
      </c>
      <c r="K300" s="2" t="s">
        <v>304</v>
      </c>
      <c r="L300" s="2" t="s">
        <v>119</v>
      </c>
      <c r="M300" s="8" t="str">
        <f>HYPERLINK("http://slimages.macys.com/is/image/MCY/13938960 ")</f>
        <v xml:space="preserve">http://slimages.macys.com/is/image/MCY/13938960 </v>
      </c>
    </row>
    <row r="301" spans="1:13" ht="60" x14ac:dyDescent="0.25">
      <c r="A301" s="7" t="s">
        <v>7763</v>
      </c>
      <c r="B301" s="2" t="s">
        <v>1975</v>
      </c>
      <c r="C301" s="4">
        <v>1</v>
      </c>
      <c r="D301" s="5">
        <v>4.3600000000000003</v>
      </c>
      <c r="E301" s="5">
        <v>9.99</v>
      </c>
      <c r="F301" s="4" t="s">
        <v>2047</v>
      </c>
      <c r="G301" s="2" t="s">
        <v>527</v>
      </c>
      <c r="H301" s="7" t="s">
        <v>311</v>
      </c>
      <c r="I301" s="2" t="s">
        <v>515</v>
      </c>
      <c r="J301" s="2" t="s">
        <v>875</v>
      </c>
      <c r="K301" s="2" t="s">
        <v>304</v>
      </c>
      <c r="L301" s="2" t="s">
        <v>119</v>
      </c>
      <c r="M301" s="8" t="str">
        <f>HYPERLINK("http://slimages.macys.com/is/image/MCY/11526551 ")</f>
        <v xml:space="preserve">http://slimages.macys.com/is/image/MCY/11526551 </v>
      </c>
    </row>
    <row r="302" spans="1:13" ht="60" x14ac:dyDescent="0.25">
      <c r="A302" s="7" t="s">
        <v>7764</v>
      </c>
      <c r="B302" s="2" t="s">
        <v>2049</v>
      </c>
      <c r="C302" s="4">
        <v>2</v>
      </c>
      <c r="D302" s="5">
        <v>4.32</v>
      </c>
      <c r="E302" s="5">
        <v>10.99</v>
      </c>
      <c r="F302" s="4">
        <v>10005384800</v>
      </c>
      <c r="G302" s="2" t="s">
        <v>1360</v>
      </c>
      <c r="H302" s="7"/>
      <c r="I302" s="2" t="s">
        <v>483</v>
      </c>
      <c r="J302" s="2" t="s">
        <v>536</v>
      </c>
      <c r="K302" s="2" t="s">
        <v>304</v>
      </c>
      <c r="L302" s="2" t="s">
        <v>119</v>
      </c>
      <c r="M302" s="8" t="str">
        <f>HYPERLINK("http://slimages.macys.com/is/image/MCY/12465277 ")</f>
        <v xml:space="preserve">http://slimages.macys.com/is/image/MCY/12465277 </v>
      </c>
    </row>
    <row r="303" spans="1:13" ht="60" x14ac:dyDescent="0.25">
      <c r="A303" s="7" t="s">
        <v>7013</v>
      </c>
      <c r="B303" s="2" t="s">
        <v>2049</v>
      </c>
      <c r="C303" s="4">
        <v>3</v>
      </c>
      <c r="D303" s="5">
        <v>4.32</v>
      </c>
      <c r="E303" s="5">
        <v>10.99</v>
      </c>
      <c r="F303" s="4">
        <v>10005384800</v>
      </c>
      <c r="G303" s="2" t="s">
        <v>1360</v>
      </c>
      <c r="H303" s="7" t="s">
        <v>149</v>
      </c>
      <c r="I303" s="2" t="s">
        <v>483</v>
      </c>
      <c r="J303" s="2" t="s">
        <v>536</v>
      </c>
      <c r="K303" s="2" t="s">
        <v>304</v>
      </c>
      <c r="L303" s="2" t="s">
        <v>119</v>
      </c>
      <c r="M303" s="8" t="str">
        <f>HYPERLINK("http://slimages.macys.com/is/image/MCY/12465277 ")</f>
        <v xml:space="preserve">http://slimages.macys.com/is/image/MCY/12465277 </v>
      </c>
    </row>
    <row r="304" spans="1:13" ht="60" x14ac:dyDescent="0.25">
      <c r="A304" s="7" t="s">
        <v>5556</v>
      </c>
      <c r="B304" s="2" t="s">
        <v>2049</v>
      </c>
      <c r="C304" s="4">
        <v>1</v>
      </c>
      <c r="D304" s="5">
        <v>4.32</v>
      </c>
      <c r="E304" s="5">
        <v>10.99</v>
      </c>
      <c r="F304" s="4">
        <v>10005384800</v>
      </c>
      <c r="G304" s="2" t="s">
        <v>86</v>
      </c>
      <c r="H304" s="7" t="s">
        <v>149</v>
      </c>
      <c r="I304" s="2" t="s">
        <v>483</v>
      </c>
      <c r="J304" s="2" t="s">
        <v>536</v>
      </c>
      <c r="K304" s="2" t="s">
        <v>304</v>
      </c>
      <c r="L304" s="2" t="s">
        <v>119</v>
      </c>
      <c r="M304" s="8" t="str">
        <f>HYPERLINK("http://slimages.macys.com/is/image/MCY/12465277 ")</f>
        <v xml:space="preserve">http://slimages.macys.com/is/image/MCY/12465277 </v>
      </c>
    </row>
    <row r="305" spans="1:13" ht="60" x14ac:dyDescent="0.25">
      <c r="A305" s="7" t="s">
        <v>7765</v>
      </c>
      <c r="B305" s="2" t="s">
        <v>2055</v>
      </c>
      <c r="C305" s="4">
        <v>1</v>
      </c>
      <c r="D305" s="5">
        <v>4.3099999999999996</v>
      </c>
      <c r="E305" s="5">
        <v>10.99</v>
      </c>
      <c r="F305" s="4" t="s">
        <v>2056</v>
      </c>
      <c r="G305" s="2" t="s">
        <v>86</v>
      </c>
      <c r="H305" s="7" t="s">
        <v>228</v>
      </c>
      <c r="I305" s="2" t="s">
        <v>389</v>
      </c>
      <c r="J305" s="2" t="s">
        <v>354</v>
      </c>
      <c r="K305" s="2" t="s">
        <v>304</v>
      </c>
      <c r="L305" s="2" t="s">
        <v>358</v>
      </c>
      <c r="M305" s="8" t="str">
        <f>HYPERLINK("http://slimages.macys.com/is/image/MCY/11855534 ")</f>
        <v xml:space="preserve">http://slimages.macys.com/is/image/MCY/11855534 </v>
      </c>
    </row>
    <row r="306" spans="1:13" ht="60" x14ac:dyDescent="0.25">
      <c r="A306" s="7" t="s">
        <v>5995</v>
      </c>
      <c r="B306" s="2" t="s">
        <v>4238</v>
      </c>
      <c r="C306" s="4">
        <v>1</v>
      </c>
      <c r="D306" s="5">
        <v>4.26</v>
      </c>
      <c r="E306" s="5">
        <v>12.99</v>
      </c>
      <c r="F306" s="4" t="s">
        <v>4239</v>
      </c>
      <c r="G306" s="2" t="s">
        <v>62</v>
      </c>
      <c r="H306" s="7" t="s">
        <v>196</v>
      </c>
      <c r="I306" s="2" t="s">
        <v>515</v>
      </c>
      <c r="J306" s="2" t="s">
        <v>1971</v>
      </c>
      <c r="K306" s="2" t="s">
        <v>304</v>
      </c>
      <c r="L306" s="2" t="s">
        <v>119</v>
      </c>
      <c r="M306" s="8" t="str">
        <f>HYPERLINK("http://slimages.macys.com/is/image/MCY/13120668 ")</f>
        <v xml:space="preserve">http://slimages.macys.com/is/image/MCY/13120668 </v>
      </c>
    </row>
    <row r="307" spans="1:13" ht="60" x14ac:dyDescent="0.25">
      <c r="A307" s="7" t="s">
        <v>7766</v>
      </c>
      <c r="B307" s="2" t="s">
        <v>7767</v>
      </c>
      <c r="C307" s="4">
        <v>1</v>
      </c>
      <c r="D307" s="5">
        <v>4.25</v>
      </c>
      <c r="E307" s="5">
        <v>10.99</v>
      </c>
      <c r="F307" s="4" t="s">
        <v>7768</v>
      </c>
      <c r="G307" s="2" t="s">
        <v>476</v>
      </c>
      <c r="H307" s="7"/>
      <c r="I307" s="2" t="s">
        <v>312</v>
      </c>
      <c r="J307" s="2" t="s">
        <v>2077</v>
      </c>
      <c r="K307" s="2" t="s">
        <v>304</v>
      </c>
      <c r="L307" s="2" t="s">
        <v>125</v>
      </c>
      <c r="M307" s="8" t="str">
        <f>HYPERLINK("http://slimages.macys.com/is/image/MCY/12045140 ")</f>
        <v xml:space="preserve">http://slimages.macys.com/is/image/MCY/12045140 </v>
      </c>
    </row>
    <row r="308" spans="1:13" ht="60" x14ac:dyDescent="0.25">
      <c r="A308" s="7" t="s">
        <v>7769</v>
      </c>
      <c r="B308" s="2" t="s">
        <v>5559</v>
      </c>
      <c r="C308" s="4">
        <v>1</v>
      </c>
      <c r="D308" s="5">
        <v>4.25</v>
      </c>
      <c r="E308" s="5">
        <v>10.99</v>
      </c>
      <c r="F308" s="4" t="s">
        <v>5560</v>
      </c>
      <c r="G308" s="2" t="s">
        <v>41</v>
      </c>
      <c r="H308" s="7"/>
      <c r="I308" s="2" t="s">
        <v>312</v>
      </c>
      <c r="J308" s="2" t="s">
        <v>2077</v>
      </c>
      <c r="K308" s="2" t="s">
        <v>304</v>
      </c>
      <c r="L308" s="2" t="s">
        <v>125</v>
      </c>
      <c r="M308" s="8" t="str">
        <f>HYPERLINK("http://slimages.macys.com/is/image/MCY/12045146 ")</f>
        <v xml:space="preserve">http://slimages.macys.com/is/image/MCY/12045146 </v>
      </c>
    </row>
    <row r="309" spans="1:13" ht="60" x14ac:dyDescent="0.25">
      <c r="A309" s="7" t="s">
        <v>7770</v>
      </c>
      <c r="B309" s="2" t="s">
        <v>1991</v>
      </c>
      <c r="C309" s="4">
        <v>1</v>
      </c>
      <c r="D309" s="5">
        <v>4.25</v>
      </c>
      <c r="E309" s="5">
        <v>5.99</v>
      </c>
      <c r="F309" s="4" t="s">
        <v>2061</v>
      </c>
      <c r="G309" s="2" t="s">
        <v>36</v>
      </c>
      <c r="H309" s="7" t="s">
        <v>311</v>
      </c>
      <c r="I309" s="2" t="s">
        <v>73</v>
      </c>
      <c r="J309" s="2" t="s">
        <v>1963</v>
      </c>
      <c r="K309" s="2" t="s">
        <v>304</v>
      </c>
      <c r="L309" s="2" t="s">
        <v>125</v>
      </c>
      <c r="M309" s="8" t="str">
        <f>HYPERLINK("http://slimages.macys.com/is/image/MCY/13726811 ")</f>
        <v xml:space="preserve">http://slimages.macys.com/is/image/MCY/13726811 </v>
      </c>
    </row>
    <row r="310" spans="1:13" ht="60" x14ac:dyDescent="0.25">
      <c r="A310" s="7" t="s">
        <v>7015</v>
      </c>
      <c r="B310" s="2" t="s">
        <v>1991</v>
      </c>
      <c r="C310" s="4">
        <v>1</v>
      </c>
      <c r="D310" s="5">
        <v>4.25</v>
      </c>
      <c r="E310" s="5">
        <v>5.99</v>
      </c>
      <c r="F310" s="4" t="s">
        <v>2061</v>
      </c>
      <c r="G310" s="2" t="s">
        <v>36</v>
      </c>
      <c r="H310" s="7" t="s">
        <v>144</v>
      </c>
      <c r="I310" s="2" t="s">
        <v>73</v>
      </c>
      <c r="J310" s="2" t="s">
        <v>1963</v>
      </c>
      <c r="K310" s="2" t="s">
        <v>304</v>
      </c>
      <c r="L310" s="2" t="s">
        <v>125</v>
      </c>
      <c r="M310" s="8" t="str">
        <f>HYPERLINK("http://slimages.macys.com/is/image/MCY/13726811 ")</f>
        <v xml:space="preserve">http://slimages.macys.com/is/image/MCY/13726811 </v>
      </c>
    </row>
    <row r="311" spans="1:13" ht="60" x14ac:dyDescent="0.25">
      <c r="A311" s="7" t="s">
        <v>7771</v>
      </c>
      <c r="B311" s="2" t="s">
        <v>7772</v>
      </c>
      <c r="C311" s="4">
        <v>1</v>
      </c>
      <c r="D311" s="5">
        <v>4.16</v>
      </c>
      <c r="E311" s="5">
        <v>10.99</v>
      </c>
      <c r="F311" s="4" t="s">
        <v>7773</v>
      </c>
      <c r="G311" s="2" t="s">
        <v>303</v>
      </c>
      <c r="H311" s="7" t="s">
        <v>123</v>
      </c>
      <c r="I311" s="2" t="s">
        <v>1689</v>
      </c>
      <c r="J311" s="2" t="s">
        <v>354</v>
      </c>
      <c r="K311" s="2" t="s">
        <v>304</v>
      </c>
      <c r="L311" s="2" t="s">
        <v>358</v>
      </c>
      <c r="M311" s="8" t="str">
        <f>HYPERLINK("http://slimages.macys.com/is/image/MCY/12001149 ")</f>
        <v xml:space="preserve">http://slimages.macys.com/is/image/MCY/12001149 </v>
      </c>
    </row>
    <row r="312" spans="1:13" ht="60" x14ac:dyDescent="0.25">
      <c r="A312" s="7" t="s">
        <v>7774</v>
      </c>
      <c r="B312" s="2" t="s">
        <v>4241</v>
      </c>
      <c r="C312" s="4">
        <v>1</v>
      </c>
      <c r="D312" s="5">
        <v>4.16</v>
      </c>
      <c r="E312" s="5">
        <v>9.99</v>
      </c>
      <c r="F312" s="4" t="s">
        <v>4242</v>
      </c>
      <c r="G312" s="2" t="s">
        <v>48</v>
      </c>
      <c r="H312" s="7" t="s">
        <v>63</v>
      </c>
      <c r="I312" s="2" t="s">
        <v>515</v>
      </c>
      <c r="J312" s="2" t="s">
        <v>875</v>
      </c>
      <c r="K312" s="2" t="s">
        <v>304</v>
      </c>
      <c r="L312" s="2" t="s">
        <v>119</v>
      </c>
      <c r="M312" s="8" t="str">
        <f>HYPERLINK("http://slimages.macys.com/is/image/MCY/11603720 ")</f>
        <v xml:space="preserve">http://slimages.macys.com/is/image/MCY/11603720 </v>
      </c>
    </row>
    <row r="313" spans="1:13" ht="60" x14ac:dyDescent="0.25">
      <c r="A313" s="7" t="s">
        <v>2080</v>
      </c>
      <c r="B313" s="2" t="s">
        <v>2075</v>
      </c>
      <c r="C313" s="4">
        <v>1</v>
      </c>
      <c r="D313" s="5">
        <v>4.1500000000000004</v>
      </c>
      <c r="E313" s="5">
        <v>10.99</v>
      </c>
      <c r="F313" s="4" t="s">
        <v>2076</v>
      </c>
      <c r="G313" s="2"/>
      <c r="H313" s="7"/>
      <c r="I313" s="2" t="s">
        <v>312</v>
      </c>
      <c r="J313" s="2" t="s">
        <v>2077</v>
      </c>
      <c r="K313" s="2" t="s">
        <v>304</v>
      </c>
      <c r="L313" s="2" t="s">
        <v>2078</v>
      </c>
      <c r="M313" s="8" t="str">
        <f>HYPERLINK("http://slimages.macys.com/is/image/MCY/12045142 ")</f>
        <v xml:space="preserve">http://slimages.macys.com/is/image/MCY/12045142 </v>
      </c>
    </row>
    <row r="314" spans="1:13" ht="60" x14ac:dyDescent="0.25">
      <c r="A314" s="7" t="s">
        <v>2081</v>
      </c>
      <c r="B314" s="2" t="s">
        <v>2075</v>
      </c>
      <c r="C314" s="4">
        <v>2</v>
      </c>
      <c r="D314" s="5">
        <v>4.1500000000000004</v>
      </c>
      <c r="E314" s="5">
        <v>10.99</v>
      </c>
      <c r="F314" s="4" t="s">
        <v>2076</v>
      </c>
      <c r="G314" s="2"/>
      <c r="H314" s="7"/>
      <c r="I314" s="2" t="s">
        <v>312</v>
      </c>
      <c r="J314" s="2" t="s">
        <v>2077</v>
      </c>
      <c r="K314" s="2" t="s">
        <v>304</v>
      </c>
      <c r="L314" s="2" t="s">
        <v>2078</v>
      </c>
      <c r="M314" s="8" t="str">
        <f>HYPERLINK("http://slimages.macys.com/is/image/MCY/12045142 ")</f>
        <v xml:space="preserve">http://slimages.macys.com/is/image/MCY/12045142 </v>
      </c>
    </row>
    <row r="315" spans="1:13" ht="60" x14ac:dyDescent="0.25">
      <c r="A315" s="7" t="s">
        <v>7775</v>
      </c>
      <c r="B315" s="2" t="s">
        <v>2086</v>
      </c>
      <c r="C315" s="4">
        <v>1</v>
      </c>
      <c r="D315" s="5">
        <v>4.04</v>
      </c>
      <c r="E315" s="5">
        <v>6.99</v>
      </c>
      <c r="F315" s="4" t="s">
        <v>7776</v>
      </c>
      <c r="G315" s="2" t="s">
        <v>28</v>
      </c>
      <c r="H315" s="7" t="s">
        <v>217</v>
      </c>
      <c r="I315" s="2" t="s">
        <v>80</v>
      </c>
      <c r="J315" s="2" t="s">
        <v>1917</v>
      </c>
      <c r="K315" s="2" t="s">
        <v>304</v>
      </c>
      <c r="L315" s="2" t="s">
        <v>119</v>
      </c>
      <c r="M315" s="8" t="str">
        <f>HYPERLINK("http://slimages.macys.com/is/image/MCY/12284115 ")</f>
        <v xml:space="preserve">http://slimages.macys.com/is/image/MCY/12284115 </v>
      </c>
    </row>
    <row r="316" spans="1:13" ht="60" x14ac:dyDescent="0.25">
      <c r="A316" s="7" t="s">
        <v>7777</v>
      </c>
      <c r="B316" s="2" t="s">
        <v>7778</v>
      </c>
      <c r="C316" s="4">
        <v>1</v>
      </c>
      <c r="D316" s="5">
        <v>4</v>
      </c>
      <c r="E316" s="5">
        <v>10.99</v>
      </c>
      <c r="F316" s="4" t="s">
        <v>7779</v>
      </c>
      <c r="G316" s="2" t="s">
        <v>28</v>
      </c>
      <c r="H316" s="7" t="s">
        <v>196</v>
      </c>
      <c r="I316" s="2" t="s">
        <v>389</v>
      </c>
      <c r="J316" s="2" t="s">
        <v>354</v>
      </c>
      <c r="K316" s="2" t="s">
        <v>304</v>
      </c>
      <c r="L316" s="2" t="s">
        <v>390</v>
      </c>
      <c r="M316" s="8" t="str">
        <f>HYPERLINK("http://slimages.macys.com/is/image/MCY/12121748 ")</f>
        <v xml:space="preserve">http://slimages.macys.com/is/image/MCY/12121748 </v>
      </c>
    </row>
    <row r="317" spans="1:13" ht="60" x14ac:dyDescent="0.25">
      <c r="A317" s="7" t="s">
        <v>7780</v>
      </c>
      <c r="B317" s="2" t="s">
        <v>7781</v>
      </c>
      <c r="C317" s="4">
        <v>1</v>
      </c>
      <c r="D317" s="5">
        <v>4</v>
      </c>
      <c r="E317" s="5">
        <v>9.99</v>
      </c>
      <c r="F317" s="4" t="s">
        <v>7782</v>
      </c>
      <c r="G317" s="2" t="s">
        <v>793</v>
      </c>
      <c r="H317" s="7" t="s">
        <v>159</v>
      </c>
      <c r="I317" s="2" t="s">
        <v>468</v>
      </c>
      <c r="J317" s="2" t="s">
        <v>469</v>
      </c>
      <c r="K317" s="2" t="s">
        <v>304</v>
      </c>
      <c r="L317" s="2" t="s">
        <v>119</v>
      </c>
      <c r="M317" s="8" t="str">
        <f>HYPERLINK("http://slimages.macys.com/is/image/MCY/12506623 ")</f>
        <v xml:space="preserve">http://slimages.macys.com/is/image/MCY/12506623 </v>
      </c>
    </row>
    <row r="318" spans="1:13" ht="60" x14ac:dyDescent="0.25">
      <c r="A318" s="7" t="s">
        <v>7783</v>
      </c>
      <c r="B318" s="2" t="s">
        <v>7781</v>
      </c>
      <c r="C318" s="4">
        <v>1</v>
      </c>
      <c r="D318" s="5">
        <v>4</v>
      </c>
      <c r="E318" s="5">
        <v>9.99</v>
      </c>
      <c r="F318" s="4" t="s">
        <v>7782</v>
      </c>
      <c r="G318" s="2" t="s">
        <v>793</v>
      </c>
      <c r="H318" s="7" t="s">
        <v>228</v>
      </c>
      <c r="I318" s="2" t="s">
        <v>468</v>
      </c>
      <c r="J318" s="2" t="s">
        <v>469</v>
      </c>
      <c r="K318" s="2" t="s">
        <v>304</v>
      </c>
      <c r="L318" s="2" t="s">
        <v>119</v>
      </c>
      <c r="M318" s="8" t="str">
        <f>HYPERLINK("http://slimages.macys.com/is/image/MCY/12506623 ")</f>
        <v xml:space="preserve">http://slimages.macys.com/is/image/MCY/12506623 </v>
      </c>
    </row>
    <row r="319" spans="1:13" ht="60" x14ac:dyDescent="0.25">
      <c r="A319" s="7" t="s">
        <v>5053</v>
      </c>
      <c r="B319" s="2" t="s">
        <v>5054</v>
      </c>
      <c r="C319" s="4">
        <v>1</v>
      </c>
      <c r="D319" s="5">
        <v>3.9</v>
      </c>
      <c r="E319" s="5">
        <v>7.99</v>
      </c>
      <c r="F319" s="4" t="s">
        <v>5055</v>
      </c>
      <c r="G319" s="2" t="s">
        <v>1047</v>
      </c>
      <c r="H319" s="7"/>
      <c r="I319" s="2" t="s">
        <v>523</v>
      </c>
      <c r="J319" s="2" t="s">
        <v>5056</v>
      </c>
      <c r="K319" s="2" t="s">
        <v>304</v>
      </c>
      <c r="L319" s="2" t="s">
        <v>358</v>
      </c>
      <c r="M319" s="8" t="str">
        <f>HYPERLINK("http://slimages.macys.com/is/image/MCY/3254673 ")</f>
        <v xml:space="preserve">http://slimages.macys.com/is/image/MCY/3254673 </v>
      </c>
    </row>
    <row r="320" spans="1:13" ht="60" x14ac:dyDescent="0.25">
      <c r="A320" s="7" t="s">
        <v>7784</v>
      </c>
      <c r="B320" s="2" t="s">
        <v>7785</v>
      </c>
      <c r="C320" s="4">
        <v>1</v>
      </c>
      <c r="D320" s="5">
        <v>3.86</v>
      </c>
      <c r="E320" s="5">
        <v>10.99</v>
      </c>
      <c r="F320" s="4" t="s">
        <v>7786</v>
      </c>
      <c r="G320" s="2" t="s">
        <v>86</v>
      </c>
      <c r="H320" s="7" t="s">
        <v>149</v>
      </c>
      <c r="I320" s="2" t="s">
        <v>483</v>
      </c>
      <c r="J320" s="2" t="s">
        <v>536</v>
      </c>
      <c r="K320" s="2" t="s">
        <v>304</v>
      </c>
      <c r="L320" s="2" t="s">
        <v>87</v>
      </c>
      <c r="M320" s="8" t="str">
        <f>HYPERLINK("http://slimages.macys.com/is/image/MCY/12637213 ")</f>
        <v xml:space="preserve">http://slimages.macys.com/is/image/MCY/12637213 </v>
      </c>
    </row>
    <row r="321" spans="1:13" ht="60" x14ac:dyDescent="0.25">
      <c r="A321" s="7" t="s">
        <v>7787</v>
      </c>
      <c r="B321" s="2" t="s">
        <v>7788</v>
      </c>
      <c r="C321" s="4">
        <v>1</v>
      </c>
      <c r="D321" s="5">
        <v>3.85</v>
      </c>
      <c r="E321" s="5">
        <v>10.99</v>
      </c>
      <c r="F321" s="4">
        <v>64768</v>
      </c>
      <c r="G321" s="2" t="s">
        <v>41</v>
      </c>
      <c r="H321" s="7"/>
      <c r="I321" s="2" t="s">
        <v>523</v>
      </c>
      <c r="J321" s="2" t="s">
        <v>1227</v>
      </c>
      <c r="K321" s="2" t="s">
        <v>304</v>
      </c>
      <c r="L321" s="2" t="s">
        <v>323</v>
      </c>
      <c r="M321" s="8" t="str">
        <f>HYPERLINK("http://slimages.macys.com/is/image/MCY/9334235 ")</f>
        <v xml:space="preserve">http://slimages.macys.com/is/image/MCY/9334235 </v>
      </c>
    </row>
    <row r="322" spans="1:13" ht="60" x14ac:dyDescent="0.25">
      <c r="A322" s="7" t="s">
        <v>7789</v>
      </c>
      <c r="B322" s="2" t="s">
        <v>5595</v>
      </c>
      <c r="C322" s="4">
        <v>1</v>
      </c>
      <c r="D322" s="5">
        <v>3.7</v>
      </c>
      <c r="E322" s="5">
        <v>7.99</v>
      </c>
      <c r="F322" s="4" t="s">
        <v>5596</v>
      </c>
      <c r="G322" s="2" t="s">
        <v>41</v>
      </c>
      <c r="H322" s="7" t="s">
        <v>311</v>
      </c>
      <c r="I322" s="2" t="s">
        <v>292</v>
      </c>
      <c r="J322" s="2" t="s">
        <v>354</v>
      </c>
      <c r="K322" s="2" t="s">
        <v>304</v>
      </c>
      <c r="L322" s="2" t="s">
        <v>119</v>
      </c>
      <c r="M322" s="8" t="str">
        <f>HYPERLINK("http://slimages.macys.com/is/image/MCY/11279619 ")</f>
        <v xml:space="preserve">http://slimages.macys.com/is/image/MCY/11279619 </v>
      </c>
    </row>
    <row r="323" spans="1:13" ht="60" x14ac:dyDescent="0.25">
      <c r="A323" s="7" t="s">
        <v>7790</v>
      </c>
      <c r="B323" s="2" t="s">
        <v>7791</v>
      </c>
      <c r="C323" s="4">
        <v>1</v>
      </c>
      <c r="D323" s="5">
        <v>3.66</v>
      </c>
      <c r="E323" s="5">
        <v>7.99</v>
      </c>
      <c r="F323" s="4" t="s">
        <v>7792</v>
      </c>
      <c r="G323" s="2" t="s">
        <v>28</v>
      </c>
      <c r="H323" s="7" t="s">
        <v>123</v>
      </c>
      <c r="I323" s="2" t="s">
        <v>292</v>
      </c>
      <c r="J323" s="2" t="s">
        <v>354</v>
      </c>
      <c r="K323" s="2" t="s">
        <v>304</v>
      </c>
      <c r="L323" s="2" t="s">
        <v>119</v>
      </c>
      <c r="M323" s="8" t="str">
        <f>HYPERLINK("http://slimages.macys.com/is/image/MCY/11527193 ")</f>
        <v xml:space="preserve">http://slimages.macys.com/is/image/MCY/11527193 </v>
      </c>
    </row>
    <row r="324" spans="1:13" ht="60" x14ac:dyDescent="0.25">
      <c r="A324" s="7" t="s">
        <v>7793</v>
      </c>
      <c r="B324" s="2" t="s">
        <v>7794</v>
      </c>
      <c r="C324" s="4">
        <v>1</v>
      </c>
      <c r="D324" s="5">
        <v>3.66</v>
      </c>
      <c r="E324" s="5">
        <v>7.99</v>
      </c>
      <c r="F324" s="4" t="s">
        <v>7795</v>
      </c>
      <c r="G324" s="2" t="s">
        <v>657</v>
      </c>
      <c r="H324" s="7" t="s">
        <v>311</v>
      </c>
      <c r="I324" s="2" t="s">
        <v>292</v>
      </c>
      <c r="J324" s="2" t="s">
        <v>354</v>
      </c>
      <c r="K324" s="2" t="s">
        <v>304</v>
      </c>
      <c r="L324" s="2" t="s">
        <v>119</v>
      </c>
      <c r="M324" s="8" t="str">
        <f>HYPERLINK("http://slimages.macys.com/is/image/MCY/12001031 ")</f>
        <v xml:space="preserve">http://slimages.macys.com/is/image/MCY/12001031 </v>
      </c>
    </row>
    <row r="325" spans="1:13" ht="60" x14ac:dyDescent="0.25">
      <c r="A325" s="7" t="s">
        <v>7796</v>
      </c>
      <c r="B325" s="2" t="s">
        <v>7797</v>
      </c>
      <c r="C325" s="4">
        <v>1</v>
      </c>
      <c r="D325" s="5">
        <v>3.66</v>
      </c>
      <c r="E325" s="5">
        <v>7.99</v>
      </c>
      <c r="F325" s="4" t="s">
        <v>7798</v>
      </c>
      <c r="G325" s="2" t="s">
        <v>41</v>
      </c>
      <c r="H325" s="7" t="s">
        <v>311</v>
      </c>
      <c r="I325" s="2" t="s">
        <v>292</v>
      </c>
      <c r="J325" s="2" t="s">
        <v>354</v>
      </c>
      <c r="K325" s="2" t="s">
        <v>304</v>
      </c>
      <c r="L325" s="2" t="s">
        <v>571</v>
      </c>
      <c r="M325" s="8" t="str">
        <f>HYPERLINK("http://slimages.macys.com/is/image/MCY/12684445 ")</f>
        <v xml:space="preserve">http://slimages.macys.com/is/image/MCY/12684445 </v>
      </c>
    </row>
    <row r="326" spans="1:13" ht="60" x14ac:dyDescent="0.25">
      <c r="A326" s="7" t="s">
        <v>7799</v>
      </c>
      <c r="B326" s="2" t="s">
        <v>7794</v>
      </c>
      <c r="C326" s="4">
        <v>1</v>
      </c>
      <c r="D326" s="5">
        <v>3.66</v>
      </c>
      <c r="E326" s="5">
        <v>7.99</v>
      </c>
      <c r="F326" s="4" t="s">
        <v>7795</v>
      </c>
      <c r="G326" s="2" t="s">
        <v>657</v>
      </c>
      <c r="H326" s="7" t="s">
        <v>123</v>
      </c>
      <c r="I326" s="2" t="s">
        <v>292</v>
      </c>
      <c r="J326" s="2" t="s">
        <v>354</v>
      </c>
      <c r="K326" s="2" t="s">
        <v>304</v>
      </c>
      <c r="L326" s="2" t="s">
        <v>119</v>
      </c>
      <c r="M326" s="8" t="str">
        <f>HYPERLINK("http://slimages.macys.com/is/image/MCY/12001031 ")</f>
        <v xml:space="preserve">http://slimages.macys.com/is/image/MCY/12001031 </v>
      </c>
    </row>
    <row r="327" spans="1:13" ht="60" x14ac:dyDescent="0.25">
      <c r="A327" s="7" t="s">
        <v>7800</v>
      </c>
      <c r="B327" s="2" t="s">
        <v>7801</v>
      </c>
      <c r="C327" s="4">
        <v>1</v>
      </c>
      <c r="D327" s="5">
        <v>3.66</v>
      </c>
      <c r="E327" s="5">
        <v>7.99</v>
      </c>
      <c r="F327" s="4" t="s">
        <v>7802</v>
      </c>
      <c r="G327" s="2" t="s">
        <v>36</v>
      </c>
      <c r="H327" s="7" t="s">
        <v>311</v>
      </c>
      <c r="I327" s="2" t="s">
        <v>292</v>
      </c>
      <c r="J327" s="2" t="s">
        <v>354</v>
      </c>
      <c r="K327" s="2" t="s">
        <v>304</v>
      </c>
      <c r="L327" s="2" t="s">
        <v>119</v>
      </c>
      <c r="M327" s="8" t="str">
        <f>HYPERLINK("http://slimages.macys.com/is/image/MCY/11776403 ")</f>
        <v xml:space="preserve">http://slimages.macys.com/is/image/MCY/11776403 </v>
      </c>
    </row>
    <row r="328" spans="1:13" ht="72" x14ac:dyDescent="0.25">
      <c r="A328" s="7" t="s">
        <v>7803</v>
      </c>
      <c r="B328" s="2" t="s">
        <v>7804</v>
      </c>
      <c r="C328" s="4">
        <v>1</v>
      </c>
      <c r="D328" s="5">
        <v>3.58</v>
      </c>
      <c r="E328" s="5">
        <v>12.99</v>
      </c>
      <c r="F328" s="4" t="s">
        <v>7805</v>
      </c>
      <c r="G328" s="2" t="s">
        <v>195</v>
      </c>
      <c r="H328" s="7" t="s">
        <v>531</v>
      </c>
      <c r="I328" s="2" t="s">
        <v>483</v>
      </c>
      <c r="J328" s="2" t="s">
        <v>536</v>
      </c>
      <c r="K328" s="2" t="s">
        <v>304</v>
      </c>
      <c r="L328" s="2" t="s">
        <v>2632</v>
      </c>
      <c r="M328" s="8" t="str">
        <f>HYPERLINK("http://slimages.macys.com/is/image/MCY/11520374 ")</f>
        <v xml:space="preserve">http://slimages.macys.com/is/image/MCY/11520374 </v>
      </c>
    </row>
    <row r="329" spans="1:13" ht="60" x14ac:dyDescent="0.25">
      <c r="A329" s="7" t="s">
        <v>2115</v>
      </c>
      <c r="B329" s="2" t="s">
        <v>2113</v>
      </c>
      <c r="C329" s="4">
        <v>1</v>
      </c>
      <c r="D329" s="5">
        <v>3.58</v>
      </c>
      <c r="E329" s="5">
        <v>8.99</v>
      </c>
      <c r="F329" s="4" t="s">
        <v>2114</v>
      </c>
      <c r="G329" s="2" t="s">
        <v>297</v>
      </c>
      <c r="H329" s="7" t="s">
        <v>149</v>
      </c>
      <c r="I329" s="2" t="s">
        <v>483</v>
      </c>
      <c r="J329" s="2" t="s">
        <v>536</v>
      </c>
      <c r="K329" s="2" t="s">
        <v>304</v>
      </c>
      <c r="L329" s="2" t="s">
        <v>119</v>
      </c>
      <c r="M329" s="8" t="str">
        <f>HYPERLINK("http://slimages.macys.com/is/image/MCY/13987501 ")</f>
        <v xml:space="preserve">http://slimages.macys.com/is/image/MCY/13987501 </v>
      </c>
    </row>
    <row r="330" spans="1:13" ht="60" x14ac:dyDescent="0.25">
      <c r="A330" s="7" t="s">
        <v>7806</v>
      </c>
      <c r="B330" s="2" t="s">
        <v>4290</v>
      </c>
      <c r="C330" s="4">
        <v>1</v>
      </c>
      <c r="D330" s="5">
        <v>3.49</v>
      </c>
      <c r="E330" s="5">
        <v>7.99</v>
      </c>
      <c r="F330" s="4" t="s">
        <v>4291</v>
      </c>
      <c r="G330" s="2" t="s">
        <v>86</v>
      </c>
      <c r="H330" s="7" t="s">
        <v>514</v>
      </c>
      <c r="I330" s="2" t="s">
        <v>1689</v>
      </c>
      <c r="J330" s="2" t="s">
        <v>354</v>
      </c>
      <c r="K330" s="2" t="s">
        <v>304</v>
      </c>
      <c r="L330" s="2" t="s">
        <v>596</v>
      </c>
      <c r="M330" s="8" t="str">
        <f>HYPERLINK("http://slimages.macys.com/is/image/MCY/12938587 ")</f>
        <v xml:space="preserve">http://slimages.macys.com/is/image/MCY/12938587 </v>
      </c>
    </row>
    <row r="331" spans="1:13" ht="60" x14ac:dyDescent="0.25">
      <c r="A331" s="7" t="s">
        <v>7807</v>
      </c>
      <c r="B331" s="2" t="s">
        <v>4290</v>
      </c>
      <c r="C331" s="4">
        <v>1</v>
      </c>
      <c r="D331" s="5">
        <v>3.49</v>
      </c>
      <c r="E331" s="5">
        <v>7.99</v>
      </c>
      <c r="F331" s="4" t="s">
        <v>4291</v>
      </c>
      <c r="G331" s="2" t="s">
        <v>86</v>
      </c>
      <c r="H331" s="7" t="s">
        <v>1151</v>
      </c>
      <c r="I331" s="2" t="s">
        <v>1689</v>
      </c>
      <c r="J331" s="2" t="s">
        <v>354</v>
      </c>
      <c r="K331" s="2" t="s">
        <v>304</v>
      </c>
      <c r="L331" s="2" t="s">
        <v>596</v>
      </c>
      <c r="M331" s="8" t="str">
        <f>HYPERLINK("http://slimages.macys.com/is/image/MCY/12938587 ")</f>
        <v xml:space="preserve">http://slimages.macys.com/is/image/MCY/12938587 </v>
      </c>
    </row>
    <row r="332" spans="1:13" ht="60" x14ac:dyDescent="0.25">
      <c r="A332" s="7" t="s">
        <v>7808</v>
      </c>
      <c r="B332" s="2" t="s">
        <v>4316</v>
      </c>
      <c r="C332" s="4">
        <v>1</v>
      </c>
      <c r="D332" s="5">
        <v>3.49</v>
      </c>
      <c r="E332" s="5">
        <v>7.99</v>
      </c>
      <c r="F332" s="4" t="s">
        <v>4317</v>
      </c>
      <c r="G332" s="2" t="s">
        <v>103</v>
      </c>
      <c r="H332" s="7" t="s">
        <v>123</v>
      </c>
      <c r="I332" s="2" t="s">
        <v>1689</v>
      </c>
      <c r="J332" s="2" t="s">
        <v>354</v>
      </c>
      <c r="K332" s="2" t="s">
        <v>304</v>
      </c>
      <c r="L332" s="2" t="s">
        <v>596</v>
      </c>
      <c r="M332" s="8" t="str">
        <f>HYPERLINK("http://slimages.macys.com/is/image/MCY/12101731 ")</f>
        <v xml:space="preserve">http://slimages.macys.com/is/image/MCY/12101731 </v>
      </c>
    </row>
    <row r="333" spans="1:13" ht="60" x14ac:dyDescent="0.25">
      <c r="A333" s="7" t="s">
        <v>4315</v>
      </c>
      <c r="B333" s="2" t="s">
        <v>4316</v>
      </c>
      <c r="C333" s="4">
        <v>1</v>
      </c>
      <c r="D333" s="5">
        <v>3.49</v>
      </c>
      <c r="E333" s="5">
        <v>7.99</v>
      </c>
      <c r="F333" s="4" t="s">
        <v>4317</v>
      </c>
      <c r="G333" s="2" t="s">
        <v>103</v>
      </c>
      <c r="H333" s="7" t="s">
        <v>1151</v>
      </c>
      <c r="I333" s="2" t="s">
        <v>1689</v>
      </c>
      <c r="J333" s="2" t="s">
        <v>354</v>
      </c>
      <c r="K333" s="2" t="s">
        <v>304</v>
      </c>
      <c r="L333" s="2" t="s">
        <v>596</v>
      </c>
      <c r="M333" s="8" t="str">
        <f>HYPERLINK("http://slimages.macys.com/is/image/MCY/12101731 ")</f>
        <v xml:space="preserve">http://slimages.macys.com/is/image/MCY/12101731 </v>
      </c>
    </row>
    <row r="334" spans="1:13" ht="60" x14ac:dyDescent="0.25">
      <c r="A334" s="7" t="s">
        <v>5609</v>
      </c>
      <c r="B334" s="2" t="s">
        <v>4316</v>
      </c>
      <c r="C334" s="4">
        <v>1</v>
      </c>
      <c r="D334" s="5">
        <v>3.49</v>
      </c>
      <c r="E334" s="5">
        <v>7.99</v>
      </c>
      <c r="F334" s="4" t="s">
        <v>4317</v>
      </c>
      <c r="G334" s="2" t="s">
        <v>103</v>
      </c>
      <c r="H334" s="7" t="s">
        <v>514</v>
      </c>
      <c r="I334" s="2" t="s">
        <v>1689</v>
      </c>
      <c r="J334" s="2" t="s">
        <v>354</v>
      </c>
      <c r="K334" s="2" t="s">
        <v>304</v>
      </c>
      <c r="L334" s="2" t="s">
        <v>596</v>
      </c>
      <c r="M334" s="8" t="str">
        <f>HYPERLINK("http://slimages.macys.com/is/image/MCY/12101731 ")</f>
        <v xml:space="preserve">http://slimages.macys.com/is/image/MCY/12101731 </v>
      </c>
    </row>
    <row r="335" spans="1:13" ht="60" x14ac:dyDescent="0.25">
      <c r="A335" s="7" t="s">
        <v>7809</v>
      </c>
      <c r="B335" s="2" t="s">
        <v>4293</v>
      </c>
      <c r="C335" s="4">
        <v>1</v>
      </c>
      <c r="D335" s="5">
        <v>3.49</v>
      </c>
      <c r="E335" s="5">
        <v>7.99</v>
      </c>
      <c r="F335" s="4" t="s">
        <v>4294</v>
      </c>
      <c r="G335" s="2" t="s">
        <v>129</v>
      </c>
      <c r="H335" s="7" t="s">
        <v>123</v>
      </c>
      <c r="I335" s="2" t="s">
        <v>292</v>
      </c>
      <c r="J335" s="2" t="s">
        <v>354</v>
      </c>
      <c r="K335" s="2" t="s">
        <v>304</v>
      </c>
      <c r="L335" s="2" t="s">
        <v>119</v>
      </c>
      <c r="M335" s="8" t="str">
        <f>HYPERLINK("http://slimages.macys.com/is/image/MCY/13077248 ")</f>
        <v xml:space="preserve">http://slimages.macys.com/is/image/MCY/13077248 </v>
      </c>
    </row>
    <row r="336" spans="1:13" ht="60" x14ac:dyDescent="0.25">
      <c r="A336" s="7" t="s">
        <v>7810</v>
      </c>
      <c r="B336" s="2" t="s">
        <v>4399</v>
      </c>
      <c r="C336" s="4">
        <v>1</v>
      </c>
      <c r="D336" s="5">
        <v>3.49</v>
      </c>
      <c r="E336" s="5">
        <v>9.99</v>
      </c>
      <c r="F336" s="4" t="s">
        <v>7811</v>
      </c>
      <c r="G336" s="2" t="s">
        <v>297</v>
      </c>
      <c r="H336" s="7"/>
      <c r="I336" s="2" t="s">
        <v>483</v>
      </c>
      <c r="J336" s="2" t="s">
        <v>536</v>
      </c>
      <c r="K336" s="2" t="s">
        <v>304</v>
      </c>
      <c r="L336" s="2" t="s">
        <v>206</v>
      </c>
      <c r="M336" s="8" t="str">
        <f>HYPERLINK("http://slimages.macys.com/is/image/MCY/11699003 ")</f>
        <v xml:space="preserve">http://slimages.macys.com/is/image/MCY/11699003 </v>
      </c>
    </row>
    <row r="337" spans="1:13" ht="60" x14ac:dyDescent="0.25">
      <c r="A337" s="7" t="s">
        <v>5611</v>
      </c>
      <c r="B337" s="2" t="s">
        <v>5521</v>
      </c>
      <c r="C337" s="4">
        <v>1</v>
      </c>
      <c r="D337" s="5">
        <v>3.49</v>
      </c>
      <c r="E337" s="5">
        <v>7.99</v>
      </c>
      <c r="F337" s="4" t="s">
        <v>5612</v>
      </c>
      <c r="G337" s="2" t="s">
        <v>41</v>
      </c>
      <c r="H337" s="7" t="s">
        <v>311</v>
      </c>
      <c r="I337" s="2" t="s">
        <v>292</v>
      </c>
      <c r="J337" s="2" t="s">
        <v>354</v>
      </c>
      <c r="K337" s="2" t="s">
        <v>304</v>
      </c>
      <c r="L337" s="2" t="s">
        <v>571</v>
      </c>
      <c r="M337" s="8" t="str">
        <f>HYPERLINK("http://slimages.macys.com/is/image/MCY/12684342 ")</f>
        <v xml:space="preserve">http://slimages.macys.com/is/image/MCY/12684342 </v>
      </c>
    </row>
    <row r="338" spans="1:13" ht="60" x14ac:dyDescent="0.25">
      <c r="A338" s="7" t="s">
        <v>7812</v>
      </c>
      <c r="B338" s="2" t="s">
        <v>7813</v>
      </c>
      <c r="C338" s="4">
        <v>1</v>
      </c>
      <c r="D338" s="5">
        <v>3.48</v>
      </c>
      <c r="E338" s="5">
        <v>5.99</v>
      </c>
      <c r="F338" s="4" t="s">
        <v>7814</v>
      </c>
      <c r="G338" s="2" t="s">
        <v>41</v>
      </c>
      <c r="H338" s="7" t="s">
        <v>144</v>
      </c>
      <c r="I338" s="2" t="s">
        <v>80</v>
      </c>
      <c r="J338" s="2" t="s">
        <v>1857</v>
      </c>
      <c r="K338" s="2" t="s">
        <v>304</v>
      </c>
      <c r="L338" s="2" t="s">
        <v>119</v>
      </c>
      <c r="M338" s="8" t="str">
        <f>HYPERLINK("http://slimages.macys.com/is/image/MCY/12802575 ")</f>
        <v xml:space="preserve">http://slimages.macys.com/is/image/MCY/12802575 </v>
      </c>
    </row>
    <row r="339" spans="1:13" ht="60" x14ac:dyDescent="0.25">
      <c r="A339" s="7" t="s">
        <v>7815</v>
      </c>
      <c r="B339" s="2" t="s">
        <v>6437</v>
      </c>
      <c r="C339" s="4">
        <v>1</v>
      </c>
      <c r="D339" s="5">
        <v>3.48</v>
      </c>
      <c r="E339" s="5">
        <v>7.99</v>
      </c>
      <c r="F339" s="4" t="s">
        <v>6438</v>
      </c>
      <c r="G339" s="2" t="s">
        <v>28</v>
      </c>
      <c r="H339" s="7" t="s">
        <v>578</v>
      </c>
      <c r="I339" s="2" t="s">
        <v>483</v>
      </c>
      <c r="J339" s="2" t="s">
        <v>536</v>
      </c>
      <c r="K339" s="2" t="s">
        <v>304</v>
      </c>
      <c r="L339" s="2" t="s">
        <v>119</v>
      </c>
      <c r="M339" s="8" t="str">
        <f>HYPERLINK("http://slimages.macys.com/is/image/MCY/11436913 ")</f>
        <v xml:space="preserve">http://slimages.macys.com/is/image/MCY/11436913 </v>
      </c>
    </row>
    <row r="340" spans="1:13" ht="60" x14ac:dyDescent="0.25">
      <c r="A340" s="7" t="s">
        <v>7816</v>
      </c>
      <c r="B340" s="2" t="s">
        <v>6433</v>
      </c>
      <c r="C340" s="4">
        <v>1</v>
      </c>
      <c r="D340" s="5">
        <v>3.48</v>
      </c>
      <c r="E340" s="5">
        <v>5.99</v>
      </c>
      <c r="F340" s="4" t="s">
        <v>6434</v>
      </c>
      <c r="G340" s="2" t="s">
        <v>303</v>
      </c>
      <c r="H340" s="7" t="s">
        <v>68</v>
      </c>
      <c r="I340" s="2" t="s">
        <v>73</v>
      </c>
      <c r="J340" s="2" t="s">
        <v>1963</v>
      </c>
      <c r="K340" s="2" t="s">
        <v>304</v>
      </c>
      <c r="L340" s="2" t="s">
        <v>119</v>
      </c>
      <c r="M340" s="8" t="str">
        <f>HYPERLINK("http://slimages.macys.com/is/image/MCY/12688439 ")</f>
        <v xml:space="preserve">http://slimages.macys.com/is/image/MCY/12688439 </v>
      </c>
    </row>
    <row r="341" spans="1:13" ht="60" x14ac:dyDescent="0.25">
      <c r="A341" s="7" t="s">
        <v>7038</v>
      </c>
      <c r="B341" s="2" t="s">
        <v>5058</v>
      </c>
      <c r="C341" s="4">
        <v>1</v>
      </c>
      <c r="D341" s="5">
        <v>3.48</v>
      </c>
      <c r="E341" s="5">
        <v>5.99</v>
      </c>
      <c r="F341" s="4" t="s">
        <v>5059</v>
      </c>
      <c r="G341" s="2" t="s">
        <v>41</v>
      </c>
      <c r="H341" s="7" t="s">
        <v>144</v>
      </c>
      <c r="I341" s="2" t="s">
        <v>73</v>
      </c>
      <c r="J341" s="2" t="s">
        <v>1963</v>
      </c>
      <c r="K341" s="2" t="s">
        <v>304</v>
      </c>
      <c r="L341" s="2" t="s">
        <v>119</v>
      </c>
      <c r="M341" s="8" t="str">
        <f>HYPERLINK("http://slimages.macys.com/is/image/MCY/13360517 ")</f>
        <v xml:space="preserve">http://slimages.macys.com/is/image/MCY/13360517 </v>
      </c>
    </row>
    <row r="342" spans="1:13" ht="60" x14ac:dyDescent="0.25">
      <c r="A342" s="7" t="s">
        <v>7817</v>
      </c>
      <c r="B342" s="2" t="s">
        <v>5058</v>
      </c>
      <c r="C342" s="4">
        <v>1</v>
      </c>
      <c r="D342" s="5">
        <v>3.48</v>
      </c>
      <c r="E342" s="5">
        <v>5.99</v>
      </c>
      <c r="F342" s="4" t="s">
        <v>5059</v>
      </c>
      <c r="G342" s="2" t="s">
        <v>41</v>
      </c>
      <c r="H342" s="7" t="s">
        <v>63</v>
      </c>
      <c r="I342" s="2" t="s">
        <v>73</v>
      </c>
      <c r="J342" s="2" t="s">
        <v>1963</v>
      </c>
      <c r="K342" s="2" t="s">
        <v>304</v>
      </c>
      <c r="L342" s="2" t="s">
        <v>119</v>
      </c>
      <c r="M342" s="8" t="str">
        <f>HYPERLINK("http://slimages.macys.com/is/image/MCY/13360517 ")</f>
        <v xml:space="preserve">http://slimages.macys.com/is/image/MCY/13360517 </v>
      </c>
    </row>
    <row r="343" spans="1:13" ht="60" x14ac:dyDescent="0.25">
      <c r="A343" s="7" t="s">
        <v>5060</v>
      </c>
      <c r="B343" s="2" t="s">
        <v>2125</v>
      </c>
      <c r="C343" s="4">
        <v>1</v>
      </c>
      <c r="D343" s="5">
        <v>3.48</v>
      </c>
      <c r="E343" s="5">
        <v>5.99</v>
      </c>
      <c r="F343" s="4" t="s">
        <v>2126</v>
      </c>
      <c r="G343" s="2" t="s">
        <v>41</v>
      </c>
      <c r="H343" s="7" t="s">
        <v>68</v>
      </c>
      <c r="I343" s="2" t="s">
        <v>80</v>
      </c>
      <c r="J343" s="2" t="s">
        <v>1857</v>
      </c>
      <c r="K343" s="2" t="s">
        <v>304</v>
      </c>
      <c r="L343" s="2" t="s">
        <v>119</v>
      </c>
      <c r="M343" s="8" t="str">
        <f>HYPERLINK("http://slimages.macys.com/is/image/MCY/11209887 ")</f>
        <v xml:space="preserve">http://slimages.macys.com/is/image/MCY/11209887 </v>
      </c>
    </row>
    <row r="344" spans="1:13" ht="60" x14ac:dyDescent="0.25">
      <c r="A344" s="7" t="s">
        <v>5617</v>
      </c>
      <c r="B344" s="2" t="s">
        <v>2131</v>
      </c>
      <c r="C344" s="4">
        <v>1</v>
      </c>
      <c r="D344" s="5">
        <v>3.45</v>
      </c>
      <c r="E344" s="5">
        <v>7.99</v>
      </c>
      <c r="F344" s="4" t="s">
        <v>2132</v>
      </c>
      <c r="G344" s="2" t="s">
        <v>41</v>
      </c>
      <c r="H344" s="7" t="s">
        <v>123</v>
      </c>
      <c r="I344" s="2" t="s">
        <v>292</v>
      </c>
      <c r="J344" s="2" t="s">
        <v>354</v>
      </c>
      <c r="K344" s="2" t="s">
        <v>304</v>
      </c>
      <c r="L344" s="2" t="s">
        <v>119</v>
      </c>
      <c r="M344" s="8" t="str">
        <f>HYPERLINK("http://slimages.macys.com/is/image/MCY/12684452 ")</f>
        <v xml:space="preserve">http://slimages.macys.com/is/image/MCY/12684452 </v>
      </c>
    </row>
    <row r="345" spans="1:13" ht="60" x14ac:dyDescent="0.25">
      <c r="A345" s="7" t="s">
        <v>7818</v>
      </c>
      <c r="B345" s="2" t="s">
        <v>7819</v>
      </c>
      <c r="C345" s="4">
        <v>1</v>
      </c>
      <c r="D345" s="5">
        <v>3.45</v>
      </c>
      <c r="E345" s="5">
        <v>7.99</v>
      </c>
      <c r="F345" s="4" t="s">
        <v>7820</v>
      </c>
      <c r="G345" s="2" t="s">
        <v>41</v>
      </c>
      <c r="H345" s="7" t="s">
        <v>311</v>
      </c>
      <c r="I345" s="2" t="s">
        <v>292</v>
      </c>
      <c r="J345" s="2" t="s">
        <v>354</v>
      </c>
      <c r="K345" s="2" t="s">
        <v>304</v>
      </c>
      <c r="L345" s="2" t="s">
        <v>571</v>
      </c>
      <c r="M345" s="8" t="str">
        <f>HYPERLINK("http://slimages.macys.com/is/image/MCY/12684436 ")</f>
        <v xml:space="preserve">http://slimages.macys.com/is/image/MCY/12684436 </v>
      </c>
    </row>
    <row r="346" spans="1:13" ht="108" x14ac:dyDescent="0.25">
      <c r="A346" s="7" t="s">
        <v>6445</v>
      </c>
      <c r="B346" s="2" t="s">
        <v>565</v>
      </c>
      <c r="C346" s="4">
        <v>1</v>
      </c>
      <c r="D346" s="5">
        <v>3.45</v>
      </c>
      <c r="E346" s="5">
        <v>7.99</v>
      </c>
      <c r="F346" s="4" t="s">
        <v>566</v>
      </c>
      <c r="G346" s="2" t="s">
        <v>28</v>
      </c>
      <c r="H346" s="7" t="s">
        <v>311</v>
      </c>
      <c r="I346" s="2" t="s">
        <v>292</v>
      </c>
      <c r="J346" s="2" t="s">
        <v>354</v>
      </c>
      <c r="K346" s="2" t="s">
        <v>304</v>
      </c>
      <c r="L346" s="2" t="s">
        <v>567</v>
      </c>
      <c r="M346" s="8" t="str">
        <f>HYPERLINK("http://slimages.macys.com/is/image/MCY/12684419 ")</f>
        <v xml:space="preserve">http://slimages.macys.com/is/image/MCY/12684419 </v>
      </c>
    </row>
    <row r="347" spans="1:13" ht="60" x14ac:dyDescent="0.25">
      <c r="A347" s="7" t="s">
        <v>5622</v>
      </c>
      <c r="B347" s="2" t="s">
        <v>5619</v>
      </c>
      <c r="C347" s="4">
        <v>1</v>
      </c>
      <c r="D347" s="5">
        <v>3.44</v>
      </c>
      <c r="E347" s="5">
        <v>7.99</v>
      </c>
      <c r="F347" s="4" t="s">
        <v>5620</v>
      </c>
      <c r="G347" s="2" t="s">
        <v>785</v>
      </c>
      <c r="H347" s="7" t="s">
        <v>514</v>
      </c>
      <c r="I347" s="2" t="s">
        <v>1689</v>
      </c>
      <c r="J347" s="2" t="s">
        <v>354</v>
      </c>
      <c r="K347" s="2" t="s">
        <v>304</v>
      </c>
      <c r="L347" s="2" t="s">
        <v>596</v>
      </c>
      <c r="M347" s="8" t="str">
        <f>HYPERLINK("http://slimages.macys.com/is/image/MCY/11524090 ")</f>
        <v xml:space="preserve">http://slimages.macys.com/is/image/MCY/11524090 </v>
      </c>
    </row>
    <row r="348" spans="1:13" ht="60" x14ac:dyDescent="0.25">
      <c r="A348" s="7" t="s">
        <v>7821</v>
      </c>
      <c r="B348" s="2" t="s">
        <v>5625</v>
      </c>
      <c r="C348" s="4">
        <v>1</v>
      </c>
      <c r="D348" s="5">
        <v>3.36</v>
      </c>
      <c r="E348" s="5">
        <v>7.99</v>
      </c>
      <c r="F348" s="4" t="s">
        <v>5626</v>
      </c>
      <c r="G348" s="2" t="s">
        <v>103</v>
      </c>
      <c r="H348" s="7" t="s">
        <v>578</v>
      </c>
      <c r="I348" s="2" t="s">
        <v>1689</v>
      </c>
      <c r="J348" s="2" t="s">
        <v>354</v>
      </c>
      <c r="K348" s="2" t="s">
        <v>304</v>
      </c>
      <c r="L348" s="2" t="s">
        <v>596</v>
      </c>
      <c r="M348" s="8" t="str">
        <f>HYPERLINK("http://slimages.macys.com/is/image/MCY/11500990 ")</f>
        <v xml:space="preserve">http://slimages.macys.com/is/image/MCY/11500990 </v>
      </c>
    </row>
    <row r="349" spans="1:13" ht="72" x14ac:dyDescent="0.25">
      <c r="A349" s="7" t="s">
        <v>4334</v>
      </c>
      <c r="B349" s="2" t="s">
        <v>4328</v>
      </c>
      <c r="C349" s="4">
        <v>1</v>
      </c>
      <c r="D349" s="5">
        <v>3.36</v>
      </c>
      <c r="E349" s="5">
        <v>7.99</v>
      </c>
      <c r="F349" s="4" t="s">
        <v>4329</v>
      </c>
      <c r="G349" s="2" t="s">
        <v>86</v>
      </c>
      <c r="H349" s="7" t="s">
        <v>514</v>
      </c>
      <c r="I349" s="2" t="s">
        <v>1689</v>
      </c>
      <c r="J349" s="2" t="s">
        <v>354</v>
      </c>
      <c r="K349" s="2" t="s">
        <v>304</v>
      </c>
      <c r="L349" s="2" t="s">
        <v>1922</v>
      </c>
      <c r="M349" s="8" t="str">
        <f>HYPERLINK("http://slimages.macys.com/is/image/MCY/12495246 ")</f>
        <v xml:space="preserve">http://slimages.macys.com/is/image/MCY/12495246 </v>
      </c>
    </row>
    <row r="350" spans="1:13" ht="60" x14ac:dyDescent="0.25">
      <c r="A350" s="7" t="s">
        <v>7822</v>
      </c>
      <c r="B350" s="2" t="s">
        <v>7823</v>
      </c>
      <c r="C350" s="4">
        <v>1</v>
      </c>
      <c r="D350" s="5">
        <v>3.36</v>
      </c>
      <c r="E350" s="5">
        <v>7.99</v>
      </c>
      <c r="F350" s="4" t="s">
        <v>7824</v>
      </c>
      <c r="G350" s="2" t="s">
        <v>86</v>
      </c>
      <c r="H350" s="7" t="s">
        <v>514</v>
      </c>
      <c r="I350" s="2" t="s">
        <v>1689</v>
      </c>
      <c r="J350" s="2" t="s">
        <v>354</v>
      </c>
      <c r="K350" s="2" t="s">
        <v>304</v>
      </c>
      <c r="L350" s="2" t="s">
        <v>596</v>
      </c>
      <c r="M350" s="8" t="str">
        <f>HYPERLINK("http://slimages.macys.com/is/image/MCY/11499707 ")</f>
        <v xml:space="preserve">http://slimages.macys.com/is/image/MCY/11499707 </v>
      </c>
    </row>
    <row r="351" spans="1:13" ht="60" x14ac:dyDescent="0.25">
      <c r="A351" s="7" t="s">
        <v>7825</v>
      </c>
      <c r="B351" s="2" t="s">
        <v>7826</v>
      </c>
      <c r="C351" s="4">
        <v>1</v>
      </c>
      <c r="D351" s="5">
        <v>3.36</v>
      </c>
      <c r="E351" s="5">
        <v>7.99</v>
      </c>
      <c r="F351" s="4" t="s">
        <v>7827</v>
      </c>
      <c r="G351" s="2" t="s">
        <v>103</v>
      </c>
      <c r="H351" s="7" t="s">
        <v>1151</v>
      </c>
      <c r="I351" s="2" t="s">
        <v>1689</v>
      </c>
      <c r="J351" s="2" t="s">
        <v>354</v>
      </c>
      <c r="K351" s="2" t="s">
        <v>304</v>
      </c>
      <c r="L351" s="2" t="s">
        <v>596</v>
      </c>
      <c r="M351" s="8" t="str">
        <f>HYPERLINK("http://slimages.macys.com/is/image/MCY/9729368 ")</f>
        <v xml:space="preserve">http://slimages.macys.com/is/image/MCY/9729368 </v>
      </c>
    </row>
    <row r="352" spans="1:13" ht="60" x14ac:dyDescent="0.25">
      <c r="A352" s="7" t="s">
        <v>7828</v>
      </c>
      <c r="B352" s="2" t="s">
        <v>7826</v>
      </c>
      <c r="C352" s="4">
        <v>1</v>
      </c>
      <c r="D352" s="5">
        <v>3.36</v>
      </c>
      <c r="E352" s="5">
        <v>7.99</v>
      </c>
      <c r="F352" s="4" t="s">
        <v>7829</v>
      </c>
      <c r="G352" s="2" t="s">
        <v>86</v>
      </c>
      <c r="H352" s="7" t="s">
        <v>578</v>
      </c>
      <c r="I352" s="2" t="s">
        <v>1689</v>
      </c>
      <c r="J352" s="2" t="s">
        <v>354</v>
      </c>
      <c r="K352" s="2" t="s">
        <v>304</v>
      </c>
      <c r="L352" s="2" t="s">
        <v>596</v>
      </c>
      <c r="M352" s="8" t="str">
        <f>HYPERLINK("http://slimages.macys.com/is/image/MCY/11499000 ")</f>
        <v xml:space="preserve">http://slimages.macys.com/is/image/MCY/11499000 </v>
      </c>
    </row>
    <row r="353" spans="1:13" ht="60" x14ac:dyDescent="0.25">
      <c r="A353" s="7" t="s">
        <v>7830</v>
      </c>
      <c r="B353" s="2" t="s">
        <v>7826</v>
      </c>
      <c r="C353" s="4">
        <v>1</v>
      </c>
      <c r="D353" s="5">
        <v>3.36</v>
      </c>
      <c r="E353" s="5">
        <v>7.99</v>
      </c>
      <c r="F353" s="4" t="s">
        <v>7827</v>
      </c>
      <c r="G353" s="2" t="s">
        <v>103</v>
      </c>
      <c r="H353" s="7" t="s">
        <v>311</v>
      </c>
      <c r="I353" s="2" t="s">
        <v>1689</v>
      </c>
      <c r="J353" s="2" t="s">
        <v>354</v>
      </c>
      <c r="K353" s="2" t="s">
        <v>304</v>
      </c>
      <c r="L353" s="2" t="s">
        <v>596</v>
      </c>
      <c r="M353" s="8" t="str">
        <f>HYPERLINK("http://slimages.macys.com/is/image/MCY/9729368 ")</f>
        <v xml:space="preserve">http://slimages.macys.com/is/image/MCY/9729368 </v>
      </c>
    </row>
    <row r="354" spans="1:13" ht="60" x14ac:dyDescent="0.25">
      <c r="A354" s="7" t="s">
        <v>7831</v>
      </c>
      <c r="B354" s="2" t="s">
        <v>7826</v>
      </c>
      <c r="C354" s="4">
        <v>1</v>
      </c>
      <c r="D354" s="5">
        <v>3.36</v>
      </c>
      <c r="E354" s="5">
        <v>7.99</v>
      </c>
      <c r="F354" s="4" t="s">
        <v>7829</v>
      </c>
      <c r="G354" s="2" t="s">
        <v>86</v>
      </c>
      <c r="H354" s="7" t="s">
        <v>63</v>
      </c>
      <c r="I354" s="2" t="s">
        <v>1689</v>
      </c>
      <c r="J354" s="2" t="s">
        <v>354</v>
      </c>
      <c r="K354" s="2" t="s">
        <v>304</v>
      </c>
      <c r="L354" s="2" t="s">
        <v>596</v>
      </c>
      <c r="M354" s="8" t="str">
        <f>HYPERLINK("http://slimages.macys.com/is/image/MCY/11499000 ")</f>
        <v xml:space="preserve">http://slimages.macys.com/is/image/MCY/11499000 </v>
      </c>
    </row>
    <row r="355" spans="1:13" ht="60" x14ac:dyDescent="0.25">
      <c r="A355" s="7" t="s">
        <v>7832</v>
      </c>
      <c r="B355" s="2" t="s">
        <v>7826</v>
      </c>
      <c r="C355" s="4">
        <v>1</v>
      </c>
      <c r="D355" s="5">
        <v>3.36</v>
      </c>
      <c r="E355" s="5">
        <v>7.99</v>
      </c>
      <c r="F355" s="4" t="s">
        <v>7827</v>
      </c>
      <c r="G355" s="2" t="s">
        <v>103</v>
      </c>
      <c r="H355" s="7" t="s">
        <v>514</v>
      </c>
      <c r="I355" s="2" t="s">
        <v>1689</v>
      </c>
      <c r="J355" s="2" t="s">
        <v>354</v>
      </c>
      <c r="K355" s="2" t="s">
        <v>304</v>
      </c>
      <c r="L355" s="2" t="s">
        <v>596</v>
      </c>
      <c r="M355" s="8" t="str">
        <f>HYPERLINK("http://slimages.macys.com/is/image/MCY/9729368 ")</f>
        <v xml:space="preserve">http://slimages.macys.com/is/image/MCY/9729368 </v>
      </c>
    </row>
    <row r="356" spans="1:13" ht="60" x14ac:dyDescent="0.25">
      <c r="A356" s="7" t="s">
        <v>7833</v>
      </c>
      <c r="B356" s="2" t="s">
        <v>7834</v>
      </c>
      <c r="C356" s="4">
        <v>1</v>
      </c>
      <c r="D356" s="5">
        <v>3.36</v>
      </c>
      <c r="E356" s="5">
        <v>7.99</v>
      </c>
      <c r="F356" s="4" t="s">
        <v>7835</v>
      </c>
      <c r="G356" s="2" t="s">
        <v>86</v>
      </c>
      <c r="H356" s="7" t="s">
        <v>63</v>
      </c>
      <c r="I356" s="2" t="s">
        <v>1689</v>
      </c>
      <c r="J356" s="2" t="s">
        <v>354</v>
      </c>
      <c r="K356" s="2" t="s">
        <v>304</v>
      </c>
      <c r="L356" s="2" t="s">
        <v>596</v>
      </c>
      <c r="M356" s="8" t="str">
        <f>HYPERLINK("http://slimages.macys.com/is/image/MCY/11524085 ")</f>
        <v xml:space="preserve">http://slimages.macys.com/is/image/MCY/11524085 </v>
      </c>
    </row>
    <row r="357" spans="1:13" ht="60" x14ac:dyDescent="0.25">
      <c r="A357" s="7" t="s">
        <v>7836</v>
      </c>
      <c r="B357" s="2" t="s">
        <v>576</v>
      </c>
      <c r="C357" s="4">
        <v>1</v>
      </c>
      <c r="D357" s="5">
        <v>3.33</v>
      </c>
      <c r="E357" s="5">
        <v>7.99</v>
      </c>
      <c r="F357" s="4" t="s">
        <v>577</v>
      </c>
      <c r="G357" s="2" t="s">
        <v>41</v>
      </c>
      <c r="H357" s="7" t="s">
        <v>209</v>
      </c>
      <c r="I357" s="2" t="s">
        <v>292</v>
      </c>
      <c r="J357" s="2" t="s">
        <v>354</v>
      </c>
      <c r="K357" s="2" t="s">
        <v>304</v>
      </c>
      <c r="L357" s="2" t="s">
        <v>571</v>
      </c>
      <c r="M357" s="8" t="str">
        <f>HYPERLINK("http://slimages.macys.com/is/image/MCY/12951297 ")</f>
        <v xml:space="preserve">http://slimages.macys.com/is/image/MCY/12951297 </v>
      </c>
    </row>
    <row r="358" spans="1:13" ht="60" x14ac:dyDescent="0.25">
      <c r="A358" s="7" t="s">
        <v>7837</v>
      </c>
      <c r="B358" s="2" t="s">
        <v>7838</v>
      </c>
      <c r="C358" s="4">
        <v>2</v>
      </c>
      <c r="D358" s="5">
        <v>3.3</v>
      </c>
      <c r="E358" s="5">
        <v>7.99</v>
      </c>
      <c r="F358" s="4" t="s">
        <v>7839</v>
      </c>
      <c r="G358" s="2" t="s">
        <v>36</v>
      </c>
      <c r="H358" s="7" t="s">
        <v>514</v>
      </c>
      <c r="I358" s="2" t="s">
        <v>1689</v>
      </c>
      <c r="J358" s="2" t="s">
        <v>354</v>
      </c>
      <c r="K358" s="2" t="s">
        <v>304</v>
      </c>
      <c r="L358" s="2" t="s">
        <v>119</v>
      </c>
      <c r="M358" s="8" t="str">
        <f>HYPERLINK("http://slimages.macys.com/is/image/MCY/9757620 ")</f>
        <v xml:space="preserve">http://slimages.macys.com/is/image/MCY/9757620 </v>
      </c>
    </row>
    <row r="359" spans="1:13" ht="60" x14ac:dyDescent="0.25">
      <c r="A359" s="7" t="s">
        <v>7840</v>
      </c>
      <c r="B359" s="2" t="s">
        <v>7841</v>
      </c>
      <c r="C359" s="4">
        <v>1</v>
      </c>
      <c r="D359" s="5">
        <v>3.3</v>
      </c>
      <c r="E359" s="5">
        <v>7.99</v>
      </c>
      <c r="F359" s="4" t="s">
        <v>7842</v>
      </c>
      <c r="G359" s="2" t="s">
        <v>86</v>
      </c>
      <c r="H359" s="7" t="s">
        <v>123</v>
      </c>
      <c r="I359" s="2" t="s">
        <v>1689</v>
      </c>
      <c r="J359" s="2" t="s">
        <v>354</v>
      </c>
      <c r="K359" s="2" t="s">
        <v>304</v>
      </c>
      <c r="L359" s="2" t="s">
        <v>119</v>
      </c>
      <c r="M359" s="8" t="str">
        <f>HYPERLINK("http://slimages.macys.com/is/image/MCY/11135831 ")</f>
        <v xml:space="preserve">http://slimages.macys.com/is/image/MCY/11135831 </v>
      </c>
    </row>
    <row r="360" spans="1:13" ht="60" x14ac:dyDescent="0.25">
      <c r="A360" s="7" t="s">
        <v>7843</v>
      </c>
      <c r="B360" s="2" t="s">
        <v>7844</v>
      </c>
      <c r="C360" s="4">
        <v>1</v>
      </c>
      <c r="D360" s="5">
        <v>3.3</v>
      </c>
      <c r="E360" s="5">
        <v>7.99</v>
      </c>
      <c r="F360" s="4" t="s">
        <v>7845</v>
      </c>
      <c r="G360" s="2" t="s">
        <v>103</v>
      </c>
      <c r="H360" s="7" t="s">
        <v>514</v>
      </c>
      <c r="I360" s="2" t="s">
        <v>1689</v>
      </c>
      <c r="J360" s="2" t="s">
        <v>354</v>
      </c>
      <c r="K360" s="2" t="s">
        <v>304</v>
      </c>
      <c r="L360" s="2" t="s">
        <v>119</v>
      </c>
      <c r="M360" s="8" t="str">
        <f>HYPERLINK("http://slimages.macys.com/is/image/MCY/11135873 ")</f>
        <v xml:space="preserve">http://slimages.macys.com/is/image/MCY/11135873 </v>
      </c>
    </row>
    <row r="361" spans="1:13" ht="60" x14ac:dyDescent="0.25">
      <c r="A361" s="7" t="s">
        <v>7846</v>
      </c>
      <c r="B361" s="2" t="s">
        <v>7847</v>
      </c>
      <c r="C361" s="4">
        <v>1</v>
      </c>
      <c r="D361" s="5">
        <v>3.3</v>
      </c>
      <c r="E361" s="5">
        <v>7.99</v>
      </c>
      <c r="F361" s="4" t="s">
        <v>7848</v>
      </c>
      <c r="G361" s="2" t="s">
        <v>657</v>
      </c>
      <c r="H361" s="7" t="s">
        <v>514</v>
      </c>
      <c r="I361" s="2" t="s">
        <v>1689</v>
      </c>
      <c r="J361" s="2" t="s">
        <v>354</v>
      </c>
      <c r="K361" s="2" t="s">
        <v>304</v>
      </c>
      <c r="L361" s="2" t="s">
        <v>119</v>
      </c>
      <c r="M361" s="8" t="str">
        <f>HYPERLINK("http://slimages.macys.com/is/image/MCY/10571466 ")</f>
        <v xml:space="preserve">http://slimages.macys.com/is/image/MCY/10571466 </v>
      </c>
    </row>
    <row r="362" spans="1:13" ht="60" x14ac:dyDescent="0.25">
      <c r="A362" s="7" t="s">
        <v>7849</v>
      </c>
      <c r="B362" s="2" t="s">
        <v>7850</v>
      </c>
      <c r="C362" s="4">
        <v>1</v>
      </c>
      <c r="D362" s="5">
        <v>3.3</v>
      </c>
      <c r="E362" s="5">
        <v>7.99</v>
      </c>
      <c r="F362" s="4" t="s">
        <v>7851</v>
      </c>
      <c r="G362" s="2" t="s">
        <v>41</v>
      </c>
      <c r="H362" s="7" t="s">
        <v>311</v>
      </c>
      <c r="I362" s="2" t="s">
        <v>1689</v>
      </c>
      <c r="J362" s="2" t="s">
        <v>354</v>
      </c>
      <c r="K362" s="2" t="s">
        <v>304</v>
      </c>
      <c r="L362" s="2" t="s">
        <v>119</v>
      </c>
      <c r="M362" s="8" t="str">
        <f>HYPERLINK("http://slimages.macys.com/is/image/MCY/11375045 ")</f>
        <v xml:space="preserve">http://slimages.macys.com/is/image/MCY/11375045 </v>
      </c>
    </row>
    <row r="363" spans="1:13" ht="60" x14ac:dyDescent="0.25">
      <c r="A363" s="7" t="s">
        <v>7852</v>
      </c>
      <c r="B363" s="2" t="s">
        <v>6453</v>
      </c>
      <c r="C363" s="4">
        <v>2</v>
      </c>
      <c r="D363" s="5">
        <v>3.29</v>
      </c>
      <c r="E363" s="5">
        <v>7.99</v>
      </c>
      <c r="F363" s="4" t="s">
        <v>6454</v>
      </c>
      <c r="G363" s="2" t="s">
        <v>103</v>
      </c>
      <c r="H363" s="7" t="s">
        <v>514</v>
      </c>
      <c r="I363" s="2" t="s">
        <v>1689</v>
      </c>
      <c r="J363" s="2" t="s">
        <v>354</v>
      </c>
      <c r="K363" s="2" t="s">
        <v>304</v>
      </c>
      <c r="L363" s="2" t="s">
        <v>119</v>
      </c>
      <c r="M363" s="8" t="str">
        <f>HYPERLINK("http://slimages.macys.com/is/image/MCY/12101652 ")</f>
        <v xml:space="preserve">http://slimages.macys.com/is/image/MCY/12101652 </v>
      </c>
    </row>
    <row r="364" spans="1:13" ht="60" x14ac:dyDescent="0.25">
      <c r="A364" s="7" t="s">
        <v>7853</v>
      </c>
      <c r="B364" s="2" t="s">
        <v>7854</v>
      </c>
      <c r="C364" s="4">
        <v>1</v>
      </c>
      <c r="D364" s="5">
        <v>3.29</v>
      </c>
      <c r="E364" s="5">
        <v>7.99</v>
      </c>
      <c r="F364" s="4" t="s">
        <v>7855</v>
      </c>
      <c r="G364" s="2" t="s">
        <v>103</v>
      </c>
      <c r="H364" s="7" t="s">
        <v>123</v>
      </c>
      <c r="I364" s="2" t="s">
        <v>1689</v>
      </c>
      <c r="J364" s="2" t="s">
        <v>354</v>
      </c>
      <c r="K364" s="2" t="s">
        <v>304</v>
      </c>
      <c r="L364" s="2" t="s">
        <v>119</v>
      </c>
      <c r="M364" s="8" t="str">
        <f>HYPERLINK("http://slimages.macys.com/is/image/MCY/12465546 ")</f>
        <v xml:space="preserve">http://slimages.macys.com/is/image/MCY/12465546 </v>
      </c>
    </row>
    <row r="365" spans="1:13" ht="60" x14ac:dyDescent="0.25">
      <c r="A365" s="7" t="s">
        <v>7856</v>
      </c>
      <c r="B365" s="2" t="s">
        <v>7854</v>
      </c>
      <c r="C365" s="4">
        <v>1</v>
      </c>
      <c r="D365" s="5">
        <v>3.29</v>
      </c>
      <c r="E365" s="5">
        <v>7.99</v>
      </c>
      <c r="F365" s="4" t="s">
        <v>7855</v>
      </c>
      <c r="G365" s="2" t="s">
        <v>103</v>
      </c>
      <c r="H365" s="7" t="s">
        <v>514</v>
      </c>
      <c r="I365" s="2" t="s">
        <v>1689</v>
      </c>
      <c r="J365" s="2" t="s">
        <v>354</v>
      </c>
      <c r="K365" s="2" t="s">
        <v>304</v>
      </c>
      <c r="L365" s="2" t="s">
        <v>119</v>
      </c>
      <c r="M365" s="8" t="str">
        <f>HYPERLINK("http://slimages.macys.com/is/image/MCY/12465546 ")</f>
        <v xml:space="preserve">http://slimages.macys.com/is/image/MCY/12465546 </v>
      </c>
    </row>
    <row r="366" spans="1:13" ht="60" x14ac:dyDescent="0.25">
      <c r="A366" s="7" t="s">
        <v>7857</v>
      </c>
      <c r="B366" s="2" t="s">
        <v>6453</v>
      </c>
      <c r="C366" s="4">
        <v>3</v>
      </c>
      <c r="D366" s="5">
        <v>3.29</v>
      </c>
      <c r="E366" s="5">
        <v>7.99</v>
      </c>
      <c r="F366" s="4" t="s">
        <v>6454</v>
      </c>
      <c r="G366" s="2" t="s">
        <v>103</v>
      </c>
      <c r="H366" s="7" t="s">
        <v>1151</v>
      </c>
      <c r="I366" s="2" t="s">
        <v>1689</v>
      </c>
      <c r="J366" s="2" t="s">
        <v>354</v>
      </c>
      <c r="K366" s="2" t="s">
        <v>304</v>
      </c>
      <c r="L366" s="2" t="s">
        <v>119</v>
      </c>
      <c r="M366" s="8" t="str">
        <f>HYPERLINK("http://slimages.macys.com/is/image/MCY/12101652 ")</f>
        <v xml:space="preserve">http://slimages.macys.com/is/image/MCY/12101652 </v>
      </c>
    </row>
    <row r="367" spans="1:13" ht="60" x14ac:dyDescent="0.25">
      <c r="A367" s="7" t="s">
        <v>7858</v>
      </c>
      <c r="B367" s="2" t="s">
        <v>6453</v>
      </c>
      <c r="C367" s="4">
        <v>1</v>
      </c>
      <c r="D367" s="5">
        <v>3.29</v>
      </c>
      <c r="E367" s="5">
        <v>7.99</v>
      </c>
      <c r="F367" s="4" t="s">
        <v>6454</v>
      </c>
      <c r="G367" s="2" t="s">
        <v>103</v>
      </c>
      <c r="H367" s="7" t="s">
        <v>63</v>
      </c>
      <c r="I367" s="2" t="s">
        <v>1689</v>
      </c>
      <c r="J367" s="2" t="s">
        <v>354</v>
      </c>
      <c r="K367" s="2" t="s">
        <v>304</v>
      </c>
      <c r="L367" s="2" t="s">
        <v>119</v>
      </c>
      <c r="M367" s="8" t="str">
        <f>HYPERLINK("http://slimages.macys.com/is/image/MCY/12101652 ")</f>
        <v xml:space="preserve">http://slimages.macys.com/is/image/MCY/12101652 </v>
      </c>
    </row>
    <row r="368" spans="1:13" ht="60" x14ac:dyDescent="0.25">
      <c r="A368" s="7" t="s">
        <v>7859</v>
      </c>
      <c r="B368" s="2" t="s">
        <v>4354</v>
      </c>
      <c r="C368" s="4">
        <v>1</v>
      </c>
      <c r="D368" s="5">
        <v>3.29</v>
      </c>
      <c r="E368" s="5">
        <v>7.99</v>
      </c>
      <c r="F368" s="4" t="s">
        <v>4355</v>
      </c>
      <c r="G368" s="2" t="s">
        <v>793</v>
      </c>
      <c r="H368" s="7" t="s">
        <v>311</v>
      </c>
      <c r="I368" s="2" t="s">
        <v>1689</v>
      </c>
      <c r="J368" s="2" t="s">
        <v>354</v>
      </c>
      <c r="K368" s="2" t="s">
        <v>304</v>
      </c>
      <c r="L368" s="2" t="s">
        <v>119</v>
      </c>
      <c r="M368" s="8" t="str">
        <f>HYPERLINK("http://slimages.macys.com/is/image/MCY/12101657 ")</f>
        <v xml:space="preserve">http://slimages.macys.com/is/image/MCY/12101657 </v>
      </c>
    </row>
    <row r="369" spans="1:13" ht="60" x14ac:dyDescent="0.25">
      <c r="A369" s="7" t="s">
        <v>7860</v>
      </c>
      <c r="B369" s="2" t="s">
        <v>7861</v>
      </c>
      <c r="C369" s="4">
        <v>1</v>
      </c>
      <c r="D369" s="5">
        <v>3.29</v>
      </c>
      <c r="E369" s="5">
        <v>7.99</v>
      </c>
      <c r="F369" s="4" t="s">
        <v>7862</v>
      </c>
      <c r="G369" s="2" t="s">
        <v>41</v>
      </c>
      <c r="H369" s="7" t="s">
        <v>578</v>
      </c>
      <c r="I369" s="2" t="s">
        <v>1689</v>
      </c>
      <c r="J369" s="2" t="s">
        <v>354</v>
      </c>
      <c r="K369" s="2" t="s">
        <v>304</v>
      </c>
      <c r="L369" s="2" t="s">
        <v>119</v>
      </c>
      <c r="M369" s="8" t="str">
        <f>HYPERLINK("http://slimages.macys.com/is/image/MCY/11500723 ")</f>
        <v xml:space="preserve">http://slimages.macys.com/is/image/MCY/11500723 </v>
      </c>
    </row>
    <row r="370" spans="1:13" ht="60" x14ac:dyDescent="0.25">
      <c r="A370" s="7" t="s">
        <v>7863</v>
      </c>
      <c r="B370" s="2" t="s">
        <v>7864</v>
      </c>
      <c r="C370" s="4">
        <v>1</v>
      </c>
      <c r="D370" s="5">
        <v>3.29</v>
      </c>
      <c r="E370" s="5">
        <v>7.99</v>
      </c>
      <c r="F370" s="4" t="s">
        <v>7865</v>
      </c>
      <c r="G370" s="2" t="s">
        <v>103</v>
      </c>
      <c r="H370" s="7" t="s">
        <v>514</v>
      </c>
      <c r="I370" s="2" t="s">
        <v>1689</v>
      </c>
      <c r="J370" s="2" t="s">
        <v>354</v>
      </c>
      <c r="K370" s="2" t="s">
        <v>304</v>
      </c>
      <c r="L370" s="2" t="s">
        <v>119</v>
      </c>
      <c r="M370" s="8" t="str">
        <f>HYPERLINK("http://slimages.macys.com/is/image/MCY/11498966 ")</f>
        <v xml:space="preserve">http://slimages.macys.com/is/image/MCY/11498966 </v>
      </c>
    </row>
    <row r="371" spans="1:13" ht="60" x14ac:dyDescent="0.25">
      <c r="A371" s="7" t="s">
        <v>4356</v>
      </c>
      <c r="B371" s="2" t="s">
        <v>4357</v>
      </c>
      <c r="C371" s="4">
        <v>1</v>
      </c>
      <c r="D371" s="5">
        <v>3.29</v>
      </c>
      <c r="E371" s="5">
        <v>7.99</v>
      </c>
      <c r="F371" s="4" t="s">
        <v>4358</v>
      </c>
      <c r="G371" s="2" t="s">
        <v>86</v>
      </c>
      <c r="H371" s="7" t="s">
        <v>311</v>
      </c>
      <c r="I371" s="2" t="s">
        <v>1689</v>
      </c>
      <c r="J371" s="2" t="s">
        <v>354</v>
      </c>
      <c r="K371" s="2" t="s">
        <v>304</v>
      </c>
      <c r="L371" s="2" t="s">
        <v>119</v>
      </c>
      <c r="M371" s="8" t="str">
        <f>HYPERLINK("http://slimages.macys.com/is/image/MCY/11499070 ")</f>
        <v xml:space="preserve">http://slimages.macys.com/is/image/MCY/11499070 </v>
      </c>
    </row>
    <row r="372" spans="1:13" ht="60" x14ac:dyDescent="0.25">
      <c r="A372" s="7" t="s">
        <v>7866</v>
      </c>
      <c r="B372" s="2" t="s">
        <v>5643</v>
      </c>
      <c r="C372" s="4">
        <v>1</v>
      </c>
      <c r="D372" s="5">
        <v>3.29</v>
      </c>
      <c r="E372" s="5">
        <v>7.99</v>
      </c>
      <c r="F372" s="4" t="s">
        <v>5644</v>
      </c>
      <c r="G372" s="2" t="s">
        <v>86</v>
      </c>
      <c r="H372" s="7" t="s">
        <v>514</v>
      </c>
      <c r="I372" s="2" t="s">
        <v>1689</v>
      </c>
      <c r="J372" s="2" t="s">
        <v>354</v>
      </c>
      <c r="K372" s="2" t="s">
        <v>304</v>
      </c>
      <c r="L372" s="2" t="s">
        <v>119</v>
      </c>
      <c r="M372" s="8" t="str">
        <f>HYPERLINK("http://slimages.macys.com/is/image/MCY/12101662 ")</f>
        <v xml:space="preserve">http://slimages.macys.com/is/image/MCY/12101662 </v>
      </c>
    </row>
    <row r="373" spans="1:13" ht="60" x14ac:dyDescent="0.25">
      <c r="A373" s="7" t="s">
        <v>7067</v>
      </c>
      <c r="B373" s="2" t="s">
        <v>4357</v>
      </c>
      <c r="C373" s="4">
        <v>1</v>
      </c>
      <c r="D373" s="5">
        <v>3.29</v>
      </c>
      <c r="E373" s="5">
        <v>7.99</v>
      </c>
      <c r="F373" s="4" t="s">
        <v>4358</v>
      </c>
      <c r="G373" s="2" t="s">
        <v>86</v>
      </c>
      <c r="H373" s="7" t="s">
        <v>1151</v>
      </c>
      <c r="I373" s="2" t="s">
        <v>1689</v>
      </c>
      <c r="J373" s="2" t="s">
        <v>354</v>
      </c>
      <c r="K373" s="2" t="s">
        <v>304</v>
      </c>
      <c r="L373" s="2" t="s">
        <v>119</v>
      </c>
      <c r="M373" s="8" t="str">
        <f>HYPERLINK("http://slimages.macys.com/is/image/MCY/11499070 ")</f>
        <v xml:space="preserve">http://slimages.macys.com/is/image/MCY/11499070 </v>
      </c>
    </row>
    <row r="374" spans="1:13" ht="60" x14ac:dyDescent="0.25">
      <c r="A374" s="7" t="s">
        <v>7867</v>
      </c>
      <c r="B374" s="2" t="s">
        <v>7868</v>
      </c>
      <c r="C374" s="4">
        <v>1</v>
      </c>
      <c r="D374" s="5">
        <v>3.29</v>
      </c>
      <c r="E374" s="5">
        <v>7.99</v>
      </c>
      <c r="F374" s="4" t="s">
        <v>7869</v>
      </c>
      <c r="G374" s="2" t="s">
        <v>86</v>
      </c>
      <c r="H374" s="7" t="s">
        <v>514</v>
      </c>
      <c r="I374" s="2" t="s">
        <v>1689</v>
      </c>
      <c r="J374" s="2" t="s">
        <v>354</v>
      </c>
      <c r="K374" s="2" t="s">
        <v>304</v>
      </c>
      <c r="L374" s="2" t="s">
        <v>119</v>
      </c>
      <c r="M374" s="8" t="str">
        <f>HYPERLINK("http://slimages.macys.com/is/image/MCY/11498872 ")</f>
        <v xml:space="preserve">http://slimages.macys.com/is/image/MCY/11498872 </v>
      </c>
    </row>
    <row r="375" spans="1:13" ht="60" x14ac:dyDescent="0.25">
      <c r="A375" s="7" t="s">
        <v>7870</v>
      </c>
      <c r="B375" s="2" t="s">
        <v>5652</v>
      </c>
      <c r="C375" s="4">
        <v>1</v>
      </c>
      <c r="D375" s="5">
        <v>3.29</v>
      </c>
      <c r="E375" s="5">
        <v>7.99</v>
      </c>
      <c r="F375" s="4" t="s">
        <v>5653</v>
      </c>
      <c r="G375" s="2" t="s">
        <v>103</v>
      </c>
      <c r="H375" s="7" t="s">
        <v>514</v>
      </c>
      <c r="I375" s="2" t="s">
        <v>1689</v>
      </c>
      <c r="J375" s="2" t="s">
        <v>354</v>
      </c>
      <c r="K375" s="2" t="s">
        <v>304</v>
      </c>
      <c r="L375" s="2" t="s">
        <v>119</v>
      </c>
      <c r="M375" s="8" t="str">
        <f>HYPERLINK("http://slimages.macys.com/is/image/MCY/12101653 ")</f>
        <v xml:space="preserve">http://slimages.macys.com/is/image/MCY/12101653 </v>
      </c>
    </row>
    <row r="376" spans="1:13" ht="60" x14ac:dyDescent="0.25">
      <c r="A376" s="7" t="s">
        <v>7871</v>
      </c>
      <c r="B376" s="2" t="s">
        <v>4357</v>
      </c>
      <c r="C376" s="4">
        <v>1</v>
      </c>
      <c r="D376" s="5">
        <v>3.29</v>
      </c>
      <c r="E376" s="5">
        <v>7.99</v>
      </c>
      <c r="F376" s="4" t="s">
        <v>4358</v>
      </c>
      <c r="G376" s="2" t="s">
        <v>86</v>
      </c>
      <c r="H376" s="7" t="s">
        <v>514</v>
      </c>
      <c r="I376" s="2" t="s">
        <v>1689</v>
      </c>
      <c r="J376" s="2" t="s">
        <v>354</v>
      </c>
      <c r="K376" s="2" t="s">
        <v>304</v>
      </c>
      <c r="L376" s="2" t="s">
        <v>119</v>
      </c>
      <c r="M376" s="8" t="str">
        <f>HYPERLINK("http://slimages.macys.com/is/image/MCY/11499070 ")</f>
        <v xml:space="preserve">http://slimages.macys.com/is/image/MCY/11499070 </v>
      </c>
    </row>
    <row r="377" spans="1:13" ht="60" x14ac:dyDescent="0.25">
      <c r="A377" s="7" t="s">
        <v>7872</v>
      </c>
      <c r="B377" s="2" t="s">
        <v>5649</v>
      </c>
      <c r="C377" s="4">
        <v>1</v>
      </c>
      <c r="D377" s="5">
        <v>3.29</v>
      </c>
      <c r="E377" s="5">
        <v>7.99</v>
      </c>
      <c r="F377" s="4" t="s">
        <v>5650</v>
      </c>
      <c r="G377" s="2" t="s">
        <v>582</v>
      </c>
      <c r="H377" s="7" t="s">
        <v>1151</v>
      </c>
      <c r="I377" s="2" t="s">
        <v>1689</v>
      </c>
      <c r="J377" s="2" t="s">
        <v>354</v>
      </c>
      <c r="K377" s="2" t="s">
        <v>304</v>
      </c>
      <c r="L377" s="2" t="s">
        <v>119</v>
      </c>
      <c r="M377" s="8" t="str">
        <f>HYPERLINK("http://slimages.macys.com/is/image/MCY/12101663 ")</f>
        <v xml:space="preserve">http://slimages.macys.com/is/image/MCY/12101663 </v>
      </c>
    </row>
    <row r="378" spans="1:13" ht="60" x14ac:dyDescent="0.25">
      <c r="A378" s="7" t="s">
        <v>7873</v>
      </c>
      <c r="B378" s="2" t="s">
        <v>5074</v>
      </c>
      <c r="C378" s="4">
        <v>1</v>
      </c>
      <c r="D378" s="5">
        <v>3.29</v>
      </c>
      <c r="E378" s="5">
        <v>7.99</v>
      </c>
      <c r="F378" s="4" t="s">
        <v>5075</v>
      </c>
      <c r="G378" s="2" t="s">
        <v>41</v>
      </c>
      <c r="H378" s="7" t="s">
        <v>1151</v>
      </c>
      <c r="I378" s="2" t="s">
        <v>1689</v>
      </c>
      <c r="J378" s="2" t="s">
        <v>354</v>
      </c>
      <c r="K378" s="2" t="s">
        <v>304</v>
      </c>
      <c r="L378" s="2" t="s">
        <v>119</v>
      </c>
      <c r="M378" s="8" t="str">
        <f>HYPERLINK("http://slimages.macys.com/is/image/MCY/12101660 ")</f>
        <v xml:space="preserve">http://slimages.macys.com/is/image/MCY/12101660 </v>
      </c>
    </row>
    <row r="379" spans="1:13" ht="60" x14ac:dyDescent="0.25">
      <c r="A379" s="7" t="s">
        <v>7874</v>
      </c>
      <c r="B379" s="2" t="s">
        <v>7875</v>
      </c>
      <c r="C379" s="4">
        <v>2</v>
      </c>
      <c r="D379" s="5">
        <v>3.29</v>
      </c>
      <c r="E379" s="5">
        <v>7.99</v>
      </c>
      <c r="F379" s="4" t="s">
        <v>7876</v>
      </c>
      <c r="G379" s="2" t="s">
        <v>303</v>
      </c>
      <c r="H379" s="7" t="s">
        <v>514</v>
      </c>
      <c r="I379" s="2" t="s">
        <v>1689</v>
      </c>
      <c r="J379" s="2" t="s">
        <v>354</v>
      </c>
      <c r="K379" s="2" t="s">
        <v>304</v>
      </c>
      <c r="L379" s="2" t="s">
        <v>119</v>
      </c>
      <c r="M379" s="8" t="str">
        <f>HYPERLINK("http://slimages.macys.com/is/image/MCY/11777397 ")</f>
        <v xml:space="preserve">http://slimages.macys.com/is/image/MCY/11777397 </v>
      </c>
    </row>
    <row r="380" spans="1:13" ht="60" x14ac:dyDescent="0.25">
      <c r="A380" s="7" t="s">
        <v>7877</v>
      </c>
      <c r="B380" s="2" t="s">
        <v>6456</v>
      </c>
      <c r="C380" s="4">
        <v>1</v>
      </c>
      <c r="D380" s="5">
        <v>3.2</v>
      </c>
      <c r="E380" s="5">
        <v>6.99</v>
      </c>
      <c r="F380" s="4" t="s">
        <v>6457</v>
      </c>
      <c r="G380" s="2" t="s">
        <v>171</v>
      </c>
      <c r="H380" s="7" t="s">
        <v>149</v>
      </c>
      <c r="I380" s="2" t="s">
        <v>483</v>
      </c>
      <c r="J380" s="2" t="s">
        <v>536</v>
      </c>
      <c r="K380" s="2" t="s">
        <v>304</v>
      </c>
      <c r="L380" s="2" t="s">
        <v>119</v>
      </c>
      <c r="M380" s="8" t="str">
        <f>HYPERLINK("http://slimages.macys.com/is/image/MCY/11793237 ")</f>
        <v xml:space="preserve">http://slimages.macys.com/is/image/MCY/11793237 </v>
      </c>
    </row>
    <row r="381" spans="1:13" ht="60" x14ac:dyDescent="0.25">
      <c r="A381" s="7" t="s">
        <v>7878</v>
      </c>
      <c r="B381" s="2" t="s">
        <v>7879</v>
      </c>
      <c r="C381" s="4">
        <v>1</v>
      </c>
      <c r="D381" s="5">
        <v>3.2</v>
      </c>
      <c r="E381" s="5">
        <v>6.99</v>
      </c>
      <c r="F381" s="4" t="s">
        <v>7880</v>
      </c>
      <c r="G381" s="2" t="s">
        <v>86</v>
      </c>
      <c r="H381" s="7"/>
      <c r="I381" s="2" t="s">
        <v>483</v>
      </c>
      <c r="J381" s="2" t="s">
        <v>536</v>
      </c>
      <c r="K381" s="2" t="s">
        <v>304</v>
      </c>
      <c r="L381" s="2" t="s">
        <v>119</v>
      </c>
      <c r="M381" s="8" t="str">
        <f>HYPERLINK("http://slimages.macys.com/is/image/MCY/11710560 ")</f>
        <v xml:space="preserve">http://slimages.macys.com/is/image/MCY/11710560 </v>
      </c>
    </row>
    <row r="382" spans="1:13" ht="60" x14ac:dyDescent="0.25">
      <c r="A382" s="7" t="s">
        <v>7881</v>
      </c>
      <c r="B382" s="2" t="s">
        <v>4375</v>
      </c>
      <c r="C382" s="4">
        <v>1</v>
      </c>
      <c r="D382" s="5">
        <v>3.08</v>
      </c>
      <c r="E382" s="5">
        <v>7.99</v>
      </c>
      <c r="F382" s="4" t="s">
        <v>4376</v>
      </c>
      <c r="G382" s="2" t="s">
        <v>657</v>
      </c>
      <c r="H382" s="7" t="s">
        <v>578</v>
      </c>
      <c r="I382" s="2" t="s">
        <v>483</v>
      </c>
      <c r="J382" s="2" t="s">
        <v>536</v>
      </c>
      <c r="K382" s="2"/>
      <c r="L382" s="2"/>
      <c r="M382" s="8" t="str">
        <f>HYPERLINK("http://slimages.macys.com/is/image/MCY/12228382 ")</f>
        <v xml:space="preserve">http://slimages.macys.com/is/image/MCY/12228382 </v>
      </c>
    </row>
    <row r="383" spans="1:13" ht="60" x14ac:dyDescent="0.25">
      <c r="A383" s="7" t="s">
        <v>6476</v>
      </c>
      <c r="B383" s="2" t="s">
        <v>2183</v>
      </c>
      <c r="C383" s="4">
        <v>1</v>
      </c>
      <c r="D383" s="5">
        <v>2.97</v>
      </c>
      <c r="E383" s="5">
        <v>7.99</v>
      </c>
      <c r="F383" s="4" t="s">
        <v>2184</v>
      </c>
      <c r="G383" s="2" t="s">
        <v>595</v>
      </c>
      <c r="H383" s="7"/>
      <c r="I383" s="2" t="s">
        <v>483</v>
      </c>
      <c r="J383" s="2" t="s">
        <v>536</v>
      </c>
      <c r="K383" s="2" t="s">
        <v>304</v>
      </c>
      <c r="L383" s="2" t="s">
        <v>119</v>
      </c>
      <c r="M383" s="8" t="str">
        <f>HYPERLINK("http://slimages.macys.com/is/image/MCY/12465363 ")</f>
        <v xml:space="preserve">http://slimages.macys.com/is/image/MCY/12465363 </v>
      </c>
    </row>
    <row r="384" spans="1:13" ht="60" x14ac:dyDescent="0.25">
      <c r="A384" s="7" t="s">
        <v>7882</v>
      </c>
      <c r="B384" s="2" t="s">
        <v>2177</v>
      </c>
      <c r="C384" s="4">
        <v>1</v>
      </c>
      <c r="D384" s="5">
        <v>2.97</v>
      </c>
      <c r="E384" s="5">
        <v>7.99</v>
      </c>
      <c r="F384" s="4" t="s">
        <v>2178</v>
      </c>
      <c r="G384" s="2" t="s">
        <v>86</v>
      </c>
      <c r="H384" s="7" t="s">
        <v>590</v>
      </c>
      <c r="I384" s="2" t="s">
        <v>483</v>
      </c>
      <c r="J384" s="2" t="s">
        <v>536</v>
      </c>
      <c r="K384" s="2" t="s">
        <v>304</v>
      </c>
      <c r="L384" s="2" t="s">
        <v>119</v>
      </c>
      <c r="M384" s="8" t="str">
        <f>HYPERLINK("http://slimages.macys.com/is/image/MCY/12465218 ")</f>
        <v xml:space="preserve">http://slimages.macys.com/is/image/MCY/12465218 </v>
      </c>
    </row>
    <row r="385" spans="1:13" ht="60" x14ac:dyDescent="0.25">
      <c r="A385" s="7" t="s">
        <v>2182</v>
      </c>
      <c r="B385" s="2" t="s">
        <v>2183</v>
      </c>
      <c r="C385" s="4">
        <v>2</v>
      </c>
      <c r="D385" s="5">
        <v>2.97</v>
      </c>
      <c r="E385" s="5">
        <v>7.99</v>
      </c>
      <c r="F385" s="4" t="s">
        <v>2184</v>
      </c>
      <c r="G385" s="2" t="s">
        <v>595</v>
      </c>
      <c r="H385" s="7" t="s">
        <v>149</v>
      </c>
      <c r="I385" s="2" t="s">
        <v>483</v>
      </c>
      <c r="J385" s="2" t="s">
        <v>536</v>
      </c>
      <c r="K385" s="2" t="s">
        <v>304</v>
      </c>
      <c r="L385" s="2" t="s">
        <v>119</v>
      </c>
      <c r="M385" s="8" t="str">
        <f>HYPERLINK("http://slimages.macys.com/is/image/MCY/12465363 ")</f>
        <v xml:space="preserve">http://slimages.macys.com/is/image/MCY/12465363 </v>
      </c>
    </row>
    <row r="386" spans="1:13" ht="60" x14ac:dyDescent="0.25">
      <c r="A386" s="7" t="s">
        <v>4401</v>
      </c>
      <c r="B386" s="2" t="s">
        <v>2183</v>
      </c>
      <c r="C386" s="4">
        <v>1</v>
      </c>
      <c r="D386" s="5">
        <v>2.97</v>
      </c>
      <c r="E386" s="5">
        <v>7.99</v>
      </c>
      <c r="F386" s="4" t="s">
        <v>2184</v>
      </c>
      <c r="G386" s="2" t="s">
        <v>595</v>
      </c>
      <c r="H386" s="7" t="s">
        <v>590</v>
      </c>
      <c r="I386" s="2" t="s">
        <v>483</v>
      </c>
      <c r="J386" s="2" t="s">
        <v>536</v>
      </c>
      <c r="K386" s="2" t="s">
        <v>304</v>
      </c>
      <c r="L386" s="2" t="s">
        <v>119</v>
      </c>
      <c r="M386" s="8" t="str">
        <f>HYPERLINK("http://slimages.macys.com/is/image/MCY/12465363 ")</f>
        <v xml:space="preserve">http://slimages.macys.com/is/image/MCY/12465363 </v>
      </c>
    </row>
    <row r="387" spans="1:13" ht="60" x14ac:dyDescent="0.25">
      <c r="A387" s="7" t="s">
        <v>7883</v>
      </c>
      <c r="B387" s="2" t="s">
        <v>5669</v>
      </c>
      <c r="C387" s="4">
        <v>1</v>
      </c>
      <c r="D387" s="5">
        <v>2.91</v>
      </c>
      <c r="E387" s="5">
        <v>6.99</v>
      </c>
      <c r="F387" s="4" t="s">
        <v>5670</v>
      </c>
      <c r="G387" s="2" t="s">
        <v>48</v>
      </c>
      <c r="H387" s="7" t="s">
        <v>42</v>
      </c>
      <c r="I387" s="2" t="s">
        <v>483</v>
      </c>
      <c r="J387" s="2" t="s">
        <v>536</v>
      </c>
      <c r="K387" s="2" t="s">
        <v>304</v>
      </c>
      <c r="L387" s="2" t="s">
        <v>119</v>
      </c>
      <c r="M387" s="8" t="str">
        <f>HYPERLINK("http://slimages.macys.com/is/image/MCY/11436908 ")</f>
        <v xml:space="preserve">http://slimages.macys.com/is/image/MCY/11436908 </v>
      </c>
    </row>
    <row r="388" spans="1:13" ht="60" x14ac:dyDescent="0.25">
      <c r="A388" s="7" t="s">
        <v>7884</v>
      </c>
      <c r="B388" s="2" t="s">
        <v>7885</v>
      </c>
      <c r="C388" s="4">
        <v>1</v>
      </c>
      <c r="D388" s="5">
        <v>2.91</v>
      </c>
      <c r="E388" s="5">
        <v>7.99</v>
      </c>
      <c r="F388" s="4" t="s">
        <v>7886</v>
      </c>
      <c r="G388" s="2" t="s">
        <v>36</v>
      </c>
      <c r="H388" s="7" t="s">
        <v>1151</v>
      </c>
      <c r="I388" s="2" t="s">
        <v>483</v>
      </c>
      <c r="J388" s="2" t="s">
        <v>536</v>
      </c>
      <c r="K388" s="2" t="s">
        <v>304</v>
      </c>
      <c r="L388" s="2" t="s">
        <v>100</v>
      </c>
      <c r="M388" s="8" t="str">
        <f>HYPERLINK("http://slimages.macys.com/is/image/MCY/11433432 ")</f>
        <v xml:space="preserve">http://slimages.macys.com/is/image/MCY/11433432 </v>
      </c>
    </row>
    <row r="389" spans="1:13" ht="60" x14ac:dyDescent="0.25">
      <c r="A389" s="7" t="s">
        <v>2708</v>
      </c>
      <c r="B389" s="2" t="s">
        <v>2709</v>
      </c>
      <c r="C389" s="4">
        <v>1</v>
      </c>
      <c r="D389" s="5">
        <v>2.79</v>
      </c>
      <c r="E389" s="5">
        <v>6.99</v>
      </c>
      <c r="F389" s="4">
        <v>10004643300</v>
      </c>
      <c r="G389" s="2" t="s">
        <v>297</v>
      </c>
      <c r="H389" s="7" t="s">
        <v>586</v>
      </c>
      <c r="I389" s="2" t="s">
        <v>483</v>
      </c>
      <c r="J389" s="2" t="s">
        <v>2710</v>
      </c>
      <c r="K389" s="2" t="s">
        <v>304</v>
      </c>
      <c r="L389" s="2" t="s">
        <v>2711</v>
      </c>
      <c r="M389" s="8" t="str">
        <f>HYPERLINK("http://slimages.macys.com/is/image/MCY/11547123 ")</f>
        <v xml:space="preserve">http://slimages.macys.com/is/image/MCY/11547123 </v>
      </c>
    </row>
    <row r="390" spans="1:13" ht="60" x14ac:dyDescent="0.25">
      <c r="A390" s="7" t="s">
        <v>2712</v>
      </c>
      <c r="B390" s="2" t="s">
        <v>2713</v>
      </c>
      <c r="C390" s="4">
        <v>1</v>
      </c>
      <c r="D390" s="5">
        <v>2.79</v>
      </c>
      <c r="E390" s="5">
        <v>7.99</v>
      </c>
      <c r="F390" s="4">
        <v>10004191500</v>
      </c>
      <c r="G390" s="2" t="s">
        <v>1360</v>
      </c>
      <c r="H390" s="7"/>
      <c r="I390" s="2" t="s">
        <v>483</v>
      </c>
      <c r="J390" s="2" t="s">
        <v>536</v>
      </c>
      <c r="K390" s="2" t="s">
        <v>304</v>
      </c>
      <c r="L390" s="2" t="s">
        <v>119</v>
      </c>
      <c r="M390" s="8" t="str">
        <f>HYPERLINK("http://slimages.macys.com/is/image/MCY/11519696 ")</f>
        <v xml:space="preserve">http://slimages.macys.com/is/image/MCY/11519696 </v>
      </c>
    </row>
    <row r="391" spans="1:13" ht="60" x14ac:dyDescent="0.25">
      <c r="A391" s="7" t="s">
        <v>5679</v>
      </c>
      <c r="B391" s="2" t="s">
        <v>1217</v>
      </c>
      <c r="C391" s="4">
        <v>1</v>
      </c>
      <c r="D391" s="5">
        <v>2.77</v>
      </c>
      <c r="E391" s="5">
        <v>7.99</v>
      </c>
      <c r="F391" s="4">
        <v>10005049100</v>
      </c>
      <c r="G391" s="2" t="s">
        <v>527</v>
      </c>
      <c r="H391" s="7"/>
      <c r="I391" s="2" t="s">
        <v>483</v>
      </c>
      <c r="J391" s="2" t="s">
        <v>536</v>
      </c>
      <c r="K391" s="2" t="s">
        <v>304</v>
      </c>
      <c r="L391" s="2" t="s">
        <v>119</v>
      </c>
      <c r="M391" s="8" t="str">
        <f>HYPERLINK("http://slimages.macys.com/is/image/MCY/11520375 ")</f>
        <v xml:space="preserve">http://slimages.macys.com/is/image/MCY/11520375 </v>
      </c>
    </row>
    <row r="392" spans="1:13" ht="60" x14ac:dyDescent="0.25">
      <c r="A392" s="7" t="s">
        <v>1216</v>
      </c>
      <c r="B392" s="2" t="s">
        <v>1217</v>
      </c>
      <c r="C392" s="4">
        <v>1</v>
      </c>
      <c r="D392" s="5">
        <v>2.77</v>
      </c>
      <c r="E392" s="5">
        <v>7.99</v>
      </c>
      <c r="F392" s="4">
        <v>10005049100</v>
      </c>
      <c r="G392" s="2" t="s">
        <v>527</v>
      </c>
      <c r="H392" s="7" t="s">
        <v>604</v>
      </c>
      <c r="I392" s="2" t="s">
        <v>483</v>
      </c>
      <c r="J392" s="2" t="s">
        <v>536</v>
      </c>
      <c r="K392" s="2" t="s">
        <v>304</v>
      </c>
      <c r="L392" s="2" t="s">
        <v>119</v>
      </c>
      <c r="M392" s="8" t="str">
        <f>HYPERLINK("http://slimages.macys.com/is/image/MCY/11520375 ")</f>
        <v xml:space="preserve">http://slimages.macys.com/is/image/MCY/11520375 </v>
      </c>
    </row>
    <row r="393" spans="1:13" ht="60" x14ac:dyDescent="0.25">
      <c r="A393" s="7" t="s">
        <v>6484</v>
      </c>
      <c r="B393" s="2" t="s">
        <v>1219</v>
      </c>
      <c r="C393" s="4">
        <v>1</v>
      </c>
      <c r="D393" s="5">
        <v>2.75</v>
      </c>
      <c r="E393" s="5">
        <v>6.99</v>
      </c>
      <c r="F393" s="4" t="s">
        <v>1220</v>
      </c>
      <c r="G393" s="2" t="s">
        <v>527</v>
      </c>
      <c r="H393" s="7" t="s">
        <v>149</v>
      </c>
      <c r="I393" s="2" t="s">
        <v>483</v>
      </c>
      <c r="J393" s="2" t="s">
        <v>536</v>
      </c>
      <c r="K393" s="2" t="s">
        <v>304</v>
      </c>
      <c r="L393" s="2" t="s">
        <v>119</v>
      </c>
      <c r="M393" s="8" t="str">
        <f>HYPERLINK("http://slimages.macys.com/is/image/MCY/13987326 ")</f>
        <v xml:space="preserve">http://slimages.macys.com/is/image/MCY/13987326 </v>
      </c>
    </row>
    <row r="394" spans="1:13" ht="60" x14ac:dyDescent="0.25">
      <c r="A394" s="7" t="s">
        <v>2213</v>
      </c>
      <c r="B394" s="2" t="s">
        <v>1219</v>
      </c>
      <c r="C394" s="4">
        <v>1</v>
      </c>
      <c r="D394" s="5">
        <v>2.75</v>
      </c>
      <c r="E394" s="5">
        <v>6.99</v>
      </c>
      <c r="F394" s="4" t="s">
        <v>1220</v>
      </c>
      <c r="G394" s="2" t="s">
        <v>527</v>
      </c>
      <c r="H394" s="7" t="s">
        <v>442</v>
      </c>
      <c r="I394" s="2" t="s">
        <v>483</v>
      </c>
      <c r="J394" s="2" t="s">
        <v>536</v>
      </c>
      <c r="K394" s="2" t="s">
        <v>304</v>
      </c>
      <c r="L394" s="2" t="s">
        <v>119</v>
      </c>
      <c r="M394" s="8" t="str">
        <f>HYPERLINK("http://slimages.macys.com/is/image/MCY/13987326 ")</f>
        <v xml:space="preserve">http://slimages.macys.com/is/image/MCY/13987326 </v>
      </c>
    </row>
    <row r="395" spans="1:13" ht="60" x14ac:dyDescent="0.25">
      <c r="A395" s="7" t="s">
        <v>7887</v>
      </c>
      <c r="B395" s="2" t="s">
        <v>7888</v>
      </c>
      <c r="C395" s="4">
        <v>1</v>
      </c>
      <c r="D395" s="5">
        <v>2.72</v>
      </c>
      <c r="E395" s="5">
        <v>7.99</v>
      </c>
      <c r="F395" s="4" t="s">
        <v>7889</v>
      </c>
      <c r="G395" s="2" t="s">
        <v>41</v>
      </c>
      <c r="H395" s="7" t="s">
        <v>514</v>
      </c>
      <c r="I395" s="2" t="s">
        <v>483</v>
      </c>
      <c r="J395" s="2" t="s">
        <v>536</v>
      </c>
      <c r="K395" s="2" t="s">
        <v>304</v>
      </c>
      <c r="L395" s="2" t="s">
        <v>87</v>
      </c>
      <c r="M395" s="8" t="str">
        <f>HYPERLINK("http://slimages.macys.com/is/image/MCY/11857491 ")</f>
        <v xml:space="preserve">http://slimages.macys.com/is/image/MCY/11857491 </v>
      </c>
    </row>
    <row r="396" spans="1:13" ht="60" x14ac:dyDescent="0.25">
      <c r="A396" s="7" t="s">
        <v>6028</v>
      </c>
      <c r="B396" s="2" t="s">
        <v>2223</v>
      </c>
      <c r="C396" s="4">
        <v>2</v>
      </c>
      <c r="D396" s="5">
        <v>2.69</v>
      </c>
      <c r="E396" s="5">
        <v>5.99</v>
      </c>
      <c r="F396" s="4" t="s">
        <v>2224</v>
      </c>
      <c r="G396" s="2" t="s">
        <v>238</v>
      </c>
      <c r="H396" s="7" t="s">
        <v>590</v>
      </c>
      <c r="I396" s="2" t="s">
        <v>483</v>
      </c>
      <c r="J396" s="2" t="s">
        <v>536</v>
      </c>
      <c r="K396" s="2" t="s">
        <v>304</v>
      </c>
      <c r="L396" s="2" t="s">
        <v>206</v>
      </c>
      <c r="M396" s="8" t="str">
        <f>HYPERLINK("http://slimages.macys.com/is/image/MCY/11436881 ")</f>
        <v xml:space="preserve">http://slimages.macys.com/is/image/MCY/11436881 </v>
      </c>
    </row>
    <row r="397" spans="1:13" ht="60" x14ac:dyDescent="0.25">
      <c r="A397" s="7" t="s">
        <v>2226</v>
      </c>
      <c r="B397" s="2" t="s">
        <v>2223</v>
      </c>
      <c r="C397" s="4">
        <v>3</v>
      </c>
      <c r="D397" s="5">
        <v>2.69</v>
      </c>
      <c r="E397" s="5">
        <v>5.99</v>
      </c>
      <c r="F397" s="4" t="s">
        <v>2224</v>
      </c>
      <c r="G397" s="2" t="s">
        <v>28</v>
      </c>
      <c r="H397" s="7" t="s">
        <v>42</v>
      </c>
      <c r="I397" s="2" t="s">
        <v>483</v>
      </c>
      <c r="J397" s="2" t="s">
        <v>536</v>
      </c>
      <c r="K397" s="2" t="s">
        <v>304</v>
      </c>
      <c r="L397" s="2" t="s">
        <v>206</v>
      </c>
      <c r="M397" s="8" t="str">
        <f>HYPERLINK("http://slimages.macys.com/is/image/MCY/11436881 ")</f>
        <v xml:space="preserve">http://slimages.macys.com/is/image/MCY/11436881 </v>
      </c>
    </row>
    <row r="398" spans="1:13" ht="60" x14ac:dyDescent="0.25">
      <c r="A398" s="7" t="s">
        <v>7890</v>
      </c>
      <c r="B398" s="2" t="s">
        <v>2223</v>
      </c>
      <c r="C398" s="4">
        <v>1</v>
      </c>
      <c r="D398" s="5">
        <v>2.69</v>
      </c>
      <c r="E398" s="5">
        <v>5.99</v>
      </c>
      <c r="F398" s="4" t="s">
        <v>2224</v>
      </c>
      <c r="G398" s="2" t="s">
        <v>437</v>
      </c>
      <c r="H398" s="7" t="s">
        <v>149</v>
      </c>
      <c r="I398" s="2" t="s">
        <v>483</v>
      </c>
      <c r="J398" s="2" t="s">
        <v>536</v>
      </c>
      <c r="K398" s="2" t="s">
        <v>304</v>
      </c>
      <c r="L398" s="2" t="s">
        <v>206</v>
      </c>
      <c r="M398" s="8" t="str">
        <f>HYPERLINK("http://slimages.macys.com/is/image/MCY/11436881 ")</f>
        <v xml:space="preserve">http://slimages.macys.com/is/image/MCY/11436881 </v>
      </c>
    </row>
    <row r="399" spans="1:13" ht="60" x14ac:dyDescent="0.25">
      <c r="A399" s="7" t="s">
        <v>4467</v>
      </c>
      <c r="B399" s="2" t="s">
        <v>2223</v>
      </c>
      <c r="C399" s="4">
        <v>3</v>
      </c>
      <c r="D399" s="5">
        <v>2.69</v>
      </c>
      <c r="E399" s="5">
        <v>5.99</v>
      </c>
      <c r="F399" s="4" t="s">
        <v>2224</v>
      </c>
      <c r="G399" s="2" t="s">
        <v>238</v>
      </c>
      <c r="H399" s="7" t="s">
        <v>42</v>
      </c>
      <c r="I399" s="2" t="s">
        <v>483</v>
      </c>
      <c r="J399" s="2" t="s">
        <v>536</v>
      </c>
      <c r="K399" s="2" t="s">
        <v>304</v>
      </c>
      <c r="L399" s="2" t="s">
        <v>206</v>
      </c>
      <c r="M399" s="8" t="str">
        <f>HYPERLINK("http://slimages.macys.com/is/image/MCY/11436881 ")</f>
        <v xml:space="preserve">http://slimages.macys.com/is/image/MCY/11436881 </v>
      </c>
    </row>
    <row r="400" spans="1:13" ht="60" x14ac:dyDescent="0.25">
      <c r="A400" s="7" t="s">
        <v>6491</v>
      </c>
      <c r="B400" s="2" t="s">
        <v>6492</v>
      </c>
      <c r="C400" s="4">
        <v>1</v>
      </c>
      <c r="D400" s="5">
        <v>2.68</v>
      </c>
      <c r="E400" s="5">
        <v>5.99</v>
      </c>
      <c r="F400" s="4" t="s">
        <v>6493</v>
      </c>
      <c r="G400" s="2" t="s">
        <v>41</v>
      </c>
      <c r="H400" s="7" t="s">
        <v>149</v>
      </c>
      <c r="I400" s="2" t="s">
        <v>483</v>
      </c>
      <c r="J400" s="2" t="s">
        <v>536</v>
      </c>
      <c r="K400" s="2" t="s">
        <v>304</v>
      </c>
      <c r="L400" s="2" t="s">
        <v>206</v>
      </c>
      <c r="M400" s="8" t="str">
        <f>HYPERLINK("http://slimages.macys.com/is/image/MCY/12644512 ")</f>
        <v xml:space="preserve">http://slimages.macys.com/is/image/MCY/12644512 </v>
      </c>
    </row>
    <row r="401" spans="1:13" ht="60" x14ac:dyDescent="0.25">
      <c r="A401" s="7" t="s">
        <v>7891</v>
      </c>
      <c r="B401" s="2" t="s">
        <v>7892</v>
      </c>
      <c r="C401" s="4">
        <v>1</v>
      </c>
      <c r="D401" s="5">
        <v>2.68</v>
      </c>
      <c r="E401" s="5">
        <v>5.99</v>
      </c>
      <c r="F401" s="4" t="s">
        <v>7893</v>
      </c>
      <c r="G401" s="2" t="s">
        <v>28</v>
      </c>
      <c r="H401" s="7" t="s">
        <v>149</v>
      </c>
      <c r="I401" s="2" t="s">
        <v>483</v>
      </c>
      <c r="J401" s="2" t="s">
        <v>536</v>
      </c>
      <c r="K401" s="2" t="s">
        <v>304</v>
      </c>
      <c r="L401" s="2" t="s">
        <v>38</v>
      </c>
      <c r="M401" s="8" t="str">
        <f>HYPERLINK("http://slimages.macys.com/is/image/MCY/11389109 ")</f>
        <v xml:space="preserve">http://slimages.macys.com/is/image/MCY/11389109 </v>
      </c>
    </row>
    <row r="402" spans="1:13" ht="84" x14ac:dyDescent="0.25">
      <c r="A402" s="7" t="s">
        <v>5685</v>
      </c>
      <c r="B402" s="2" t="s">
        <v>2228</v>
      </c>
      <c r="C402" s="4">
        <v>1</v>
      </c>
      <c r="D402" s="5">
        <v>2.67</v>
      </c>
      <c r="E402" s="5">
        <v>7.99</v>
      </c>
      <c r="F402" s="4" t="s">
        <v>2229</v>
      </c>
      <c r="G402" s="2" t="s">
        <v>527</v>
      </c>
      <c r="H402" s="7" t="s">
        <v>442</v>
      </c>
      <c r="I402" s="2" t="s">
        <v>483</v>
      </c>
      <c r="J402" s="2" t="s">
        <v>536</v>
      </c>
      <c r="K402" s="2" t="s">
        <v>304</v>
      </c>
      <c r="L402" s="2" t="s">
        <v>2230</v>
      </c>
      <c r="M402" s="8" t="str">
        <f>HYPERLINK("http://slimages.macys.com/is/image/MCY/14385110 ")</f>
        <v xml:space="preserve">http://slimages.macys.com/is/image/MCY/14385110 </v>
      </c>
    </row>
    <row r="403" spans="1:13" ht="60" x14ac:dyDescent="0.25">
      <c r="A403" s="7" t="s">
        <v>7894</v>
      </c>
      <c r="B403" s="2" t="s">
        <v>7895</v>
      </c>
      <c r="C403" s="4">
        <v>1</v>
      </c>
      <c r="D403" s="5">
        <v>2.65</v>
      </c>
      <c r="E403" s="5">
        <v>7.99</v>
      </c>
      <c r="F403" s="4">
        <v>10005378500</v>
      </c>
      <c r="G403" s="2" t="s">
        <v>1147</v>
      </c>
      <c r="H403" s="7" t="s">
        <v>482</v>
      </c>
      <c r="I403" s="2" t="s">
        <v>483</v>
      </c>
      <c r="J403" s="2" t="s">
        <v>536</v>
      </c>
      <c r="K403" s="2" t="s">
        <v>304</v>
      </c>
      <c r="L403" s="2" t="s">
        <v>100</v>
      </c>
      <c r="M403" s="8" t="str">
        <f>HYPERLINK("http://slimages.macys.com/is/image/MCY/12466196 ")</f>
        <v xml:space="preserve">http://slimages.macys.com/is/image/MCY/12466196 </v>
      </c>
    </row>
    <row r="404" spans="1:13" ht="60" x14ac:dyDescent="0.25">
      <c r="A404" s="7" t="s">
        <v>7896</v>
      </c>
      <c r="B404" s="2" t="s">
        <v>7895</v>
      </c>
      <c r="C404" s="4">
        <v>1</v>
      </c>
      <c r="D404" s="5">
        <v>2.65</v>
      </c>
      <c r="E404" s="5">
        <v>7.99</v>
      </c>
      <c r="F404" s="4">
        <v>10005378500</v>
      </c>
      <c r="G404" s="2" t="s">
        <v>1147</v>
      </c>
      <c r="H404" s="7"/>
      <c r="I404" s="2" t="s">
        <v>483</v>
      </c>
      <c r="J404" s="2" t="s">
        <v>536</v>
      </c>
      <c r="K404" s="2" t="s">
        <v>304</v>
      </c>
      <c r="L404" s="2" t="s">
        <v>100</v>
      </c>
      <c r="M404" s="8" t="str">
        <f>HYPERLINK("http://slimages.macys.com/is/image/MCY/12466196 ")</f>
        <v xml:space="preserve">http://slimages.macys.com/is/image/MCY/12466196 </v>
      </c>
    </row>
    <row r="405" spans="1:13" ht="60" x14ac:dyDescent="0.25">
      <c r="A405" s="7" t="s">
        <v>2248</v>
      </c>
      <c r="B405" s="2" t="s">
        <v>2246</v>
      </c>
      <c r="C405" s="4">
        <v>1</v>
      </c>
      <c r="D405" s="5">
        <v>2.64</v>
      </c>
      <c r="E405" s="5">
        <v>6.99</v>
      </c>
      <c r="F405" s="4" t="s">
        <v>2247</v>
      </c>
      <c r="G405" s="2" t="s">
        <v>262</v>
      </c>
      <c r="H405" s="7" t="s">
        <v>590</v>
      </c>
      <c r="I405" s="2" t="s">
        <v>483</v>
      </c>
      <c r="J405" s="2" t="s">
        <v>536</v>
      </c>
      <c r="K405" s="2" t="s">
        <v>304</v>
      </c>
      <c r="L405" s="2" t="s">
        <v>119</v>
      </c>
      <c r="M405" s="8" t="str">
        <f>HYPERLINK("http://slimages.macys.com/is/image/MCY/13987489 ")</f>
        <v xml:space="preserve">http://slimages.macys.com/is/image/MCY/13987489 </v>
      </c>
    </row>
    <row r="406" spans="1:13" ht="60" x14ac:dyDescent="0.25">
      <c r="A406" s="7" t="s">
        <v>2249</v>
      </c>
      <c r="B406" s="2" t="s">
        <v>2246</v>
      </c>
      <c r="C406" s="4">
        <v>1</v>
      </c>
      <c r="D406" s="5">
        <v>2.64</v>
      </c>
      <c r="E406" s="5">
        <v>6.99</v>
      </c>
      <c r="F406" s="4" t="s">
        <v>2247</v>
      </c>
      <c r="G406" s="2" t="s">
        <v>262</v>
      </c>
      <c r="H406" s="7" t="s">
        <v>149</v>
      </c>
      <c r="I406" s="2" t="s">
        <v>483</v>
      </c>
      <c r="J406" s="2" t="s">
        <v>536</v>
      </c>
      <c r="K406" s="2" t="s">
        <v>304</v>
      </c>
      <c r="L406" s="2" t="s">
        <v>119</v>
      </c>
      <c r="M406" s="8" t="str">
        <f>HYPERLINK("http://slimages.macys.com/is/image/MCY/13987489 ")</f>
        <v xml:space="preserve">http://slimages.macys.com/is/image/MCY/13987489 </v>
      </c>
    </row>
    <row r="407" spans="1:13" ht="60" x14ac:dyDescent="0.25">
      <c r="A407" s="7" t="s">
        <v>7159</v>
      </c>
      <c r="B407" s="2" t="s">
        <v>4495</v>
      </c>
      <c r="C407" s="4">
        <v>1</v>
      </c>
      <c r="D407" s="5">
        <v>2.63</v>
      </c>
      <c r="E407" s="5">
        <v>5.99</v>
      </c>
      <c r="F407" s="4" t="s">
        <v>4496</v>
      </c>
      <c r="G407" s="2" t="s">
        <v>86</v>
      </c>
      <c r="H407" s="7" t="s">
        <v>590</v>
      </c>
      <c r="I407" s="2" t="s">
        <v>483</v>
      </c>
      <c r="J407" s="2" t="s">
        <v>536</v>
      </c>
      <c r="K407" s="2" t="s">
        <v>304</v>
      </c>
      <c r="L407" s="2" t="s">
        <v>206</v>
      </c>
      <c r="M407" s="8" t="str">
        <f t="shared" ref="M407:M416" si="3">HYPERLINK("http://slimages.macys.com/is/image/MCY/11709478 ")</f>
        <v xml:space="preserve">http://slimages.macys.com/is/image/MCY/11709478 </v>
      </c>
    </row>
    <row r="408" spans="1:13" ht="60" x14ac:dyDescent="0.25">
      <c r="A408" s="7" t="s">
        <v>4494</v>
      </c>
      <c r="B408" s="2" t="s">
        <v>4495</v>
      </c>
      <c r="C408" s="4">
        <v>1</v>
      </c>
      <c r="D408" s="5">
        <v>2.63</v>
      </c>
      <c r="E408" s="5">
        <v>5.99</v>
      </c>
      <c r="F408" s="4" t="s">
        <v>4496</v>
      </c>
      <c r="G408" s="2" t="s">
        <v>1147</v>
      </c>
      <c r="H408" s="7" t="s">
        <v>149</v>
      </c>
      <c r="I408" s="2" t="s">
        <v>483</v>
      </c>
      <c r="J408" s="2" t="s">
        <v>536</v>
      </c>
      <c r="K408" s="2" t="s">
        <v>304</v>
      </c>
      <c r="L408" s="2" t="s">
        <v>206</v>
      </c>
      <c r="M408" s="8" t="str">
        <f t="shared" si="3"/>
        <v xml:space="preserve">http://slimages.macys.com/is/image/MCY/11709478 </v>
      </c>
    </row>
    <row r="409" spans="1:13" ht="60" x14ac:dyDescent="0.25">
      <c r="A409" s="7" t="s">
        <v>7897</v>
      </c>
      <c r="B409" s="2" t="s">
        <v>4495</v>
      </c>
      <c r="C409" s="4">
        <v>2</v>
      </c>
      <c r="D409" s="5">
        <v>2.63</v>
      </c>
      <c r="E409" s="5">
        <v>5.99</v>
      </c>
      <c r="F409" s="4" t="s">
        <v>4496</v>
      </c>
      <c r="G409" s="2" t="s">
        <v>1147</v>
      </c>
      <c r="H409" s="7" t="s">
        <v>590</v>
      </c>
      <c r="I409" s="2" t="s">
        <v>483</v>
      </c>
      <c r="J409" s="2" t="s">
        <v>536</v>
      </c>
      <c r="K409" s="2" t="s">
        <v>304</v>
      </c>
      <c r="L409" s="2" t="s">
        <v>206</v>
      </c>
      <c r="M409" s="8" t="str">
        <f t="shared" si="3"/>
        <v xml:space="preserve">http://slimages.macys.com/is/image/MCY/11709478 </v>
      </c>
    </row>
    <row r="410" spans="1:13" ht="60" x14ac:dyDescent="0.25">
      <c r="A410" s="7" t="s">
        <v>7898</v>
      </c>
      <c r="B410" s="2" t="s">
        <v>4495</v>
      </c>
      <c r="C410" s="4">
        <v>1</v>
      </c>
      <c r="D410" s="5">
        <v>2.63</v>
      </c>
      <c r="E410" s="5">
        <v>5.99</v>
      </c>
      <c r="F410" s="4" t="s">
        <v>4496</v>
      </c>
      <c r="G410" s="2" t="s">
        <v>86</v>
      </c>
      <c r="H410" s="7" t="s">
        <v>91</v>
      </c>
      <c r="I410" s="2" t="s">
        <v>483</v>
      </c>
      <c r="J410" s="2" t="s">
        <v>536</v>
      </c>
      <c r="K410" s="2" t="s">
        <v>304</v>
      </c>
      <c r="L410" s="2" t="s">
        <v>206</v>
      </c>
      <c r="M410" s="8" t="str">
        <f t="shared" si="3"/>
        <v xml:space="preserve">http://slimages.macys.com/is/image/MCY/11709478 </v>
      </c>
    </row>
    <row r="411" spans="1:13" ht="60" x14ac:dyDescent="0.25">
      <c r="A411" s="7" t="s">
        <v>7899</v>
      </c>
      <c r="B411" s="2" t="s">
        <v>4495</v>
      </c>
      <c r="C411" s="4">
        <v>4</v>
      </c>
      <c r="D411" s="5">
        <v>2.63</v>
      </c>
      <c r="E411" s="5">
        <v>5.99</v>
      </c>
      <c r="F411" s="4" t="s">
        <v>4496</v>
      </c>
      <c r="G411" s="2" t="s">
        <v>1147</v>
      </c>
      <c r="H411" s="7" t="s">
        <v>42</v>
      </c>
      <c r="I411" s="2" t="s">
        <v>483</v>
      </c>
      <c r="J411" s="2" t="s">
        <v>536</v>
      </c>
      <c r="K411" s="2" t="s">
        <v>304</v>
      </c>
      <c r="L411" s="2" t="s">
        <v>206</v>
      </c>
      <c r="M411" s="8" t="str">
        <f t="shared" si="3"/>
        <v xml:space="preserve">http://slimages.macys.com/is/image/MCY/11709478 </v>
      </c>
    </row>
    <row r="412" spans="1:13" ht="60" x14ac:dyDescent="0.25">
      <c r="A412" s="7" t="s">
        <v>5687</v>
      </c>
      <c r="B412" s="2" t="s">
        <v>4495</v>
      </c>
      <c r="C412" s="4">
        <v>1</v>
      </c>
      <c r="D412" s="5">
        <v>2.63</v>
      </c>
      <c r="E412" s="5">
        <v>5.99</v>
      </c>
      <c r="F412" s="4" t="s">
        <v>4496</v>
      </c>
      <c r="G412" s="2" t="s">
        <v>86</v>
      </c>
      <c r="H412" s="7" t="s">
        <v>442</v>
      </c>
      <c r="I412" s="2" t="s">
        <v>483</v>
      </c>
      <c r="J412" s="2" t="s">
        <v>536</v>
      </c>
      <c r="K412" s="2" t="s">
        <v>304</v>
      </c>
      <c r="L412" s="2" t="s">
        <v>206</v>
      </c>
      <c r="M412" s="8" t="str">
        <f t="shared" si="3"/>
        <v xml:space="preserve">http://slimages.macys.com/is/image/MCY/11709478 </v>
      </c>
    </row>
    <row r="413" spans="1:13" ht="60" x14ac:dyDescent="0.25">
      <c r="A413" s="7" t="s">
        <v>7900</v>
      </c>
      <c r="B413" s="2" t="s">
        <v>4495</v>
      </c>
      <c r="C413" s="4">
        <v>1</v>
      </c>
      <c r="D413" s="5">
        <v>2.63</v>
      </c>
      <c r="E413" s="5">
        <v>5.99</v>
      </c>
      <c r="F413" s="4" t="s">
        <v>4496</v>
      </c>
      <c r="G413" s="2" t="s">
        <v>171</v>
      </c>
      <c r="H413" s="7" t="s">
        <v>149</v>
      </c>
      <c r="I413" s="2" t="s">
        <v>483</v>
      </c>
      <c r="J413" s="2" t="s">
        <v>536</v>
      </c>
      <c r="K413" s="2" t="s">
        <v>304</v>
      </c>
      <c r="L413" s="2" t="s">
        <v>206</v>
      </c>
      <c r="M413" s="8" t="str">
        <f t="shared" si="3"/>
        <v xml:space="preserve">http://slimages.macys.com/is/image/MCY/11709478 </v>
      </c>
    </row>
    <row r="414" spans="1:13" ht="60" x14ac:dyDescent="0.25">
      <c r="A414" s="7" t="s">
        <v>7901</v>
      </c>
      <c r="B414" s="2" t="s">
        <v>4495</v>
      </c>
      <c r="C414" s="4">
        <v>1</v>
      </c>
      <c r="D414" s="5">
        <v>2.63</v>
      </c>
      <c r="E414" s="5">
        <v>5.99</v>
      </c>
      <c r="F414" s="4" t="s">
        <v>4496</v>
      </c>
      <c r="G414" s="2" t="s">
        <v>437</v>
      </c>
      <c r="H414" s="7" t="s">
        <v>91</v>
      </c>
      <c r="I414" s="2" t="s">
        <v>483</v>
      </c>
      <c r="J414" s="2" t="s">
        <v>536</v>
      </c>
      <c r="K414" s="2" t="s">
        <v>304</v>
      </c>
      <c r="L414" s="2" t="s">
        <v>206</v>
      </c>
      <c r="M414" s="8" t="str">
        <f t="shared" si="3"/>
        <v xml:space="preserve">http://slimages.macys.com/is/image/MCY/11709478 </v>
      </c>
    </row>
    <row r="415" spans="1:13" ht="60" x14ac:dyDescent="0.25">
      <c r="A415" s="7" t="s">
        <v>7902</v>
      </c>
      <c r="B415" s="2" t="s">
        <v>4495</v>
      </c>
      <c r="C415" s="4">
        <v>1</v>
      </c>
      <c r="D415" s="5">
        <v>2.63</v>
      </c>
      <c r="E415" s="5">
        <v>5.99</v>
      </c>
      <c r="F415" s="4" t="s">
        <v>4496</v>
      </c>
      <c r="G415" s="2" t="s">
        <v>437</v>
      </c>
      <c r="H415" s="7" t="s">
        <v>590</v>
      </c>
      <c r="I415" s="2" t="s">
        <v>483</v>
      </c>
      <c r="J415" s="2" t="s">
        <v>536</v>
      </c>
      <c r="K415" s="2" t="s">
        <v>304</v>
      </c>
      <c r="L415" s="2" t="s">
        <v>206</v>
      </c>
      <c r="M415" s="8" t="str">
        <f t="shared" si="3"/>
        <v xml:space="preserve">http://slimages.macys.com/is/image/MCY/11709478 </v>
      </c>
    </row>
    <row r="416" spans="1:13" ht="60" x14ac:dyDescent="0.25">
      <c r="A416" s="7" t="s">
        <v>7903</v>
      </c>
      <c r="B416" s="2" t="s">
        <v>4495</v>
      </c>
      <c r="C416" s="4">
        <v>3</v>
      </c>
      <c r="D416" s="5">
        <v>2.63</v>
      </c>
      <c r="E416" s="5">
        <v>5.99</v>
      </c>
      <c r="F416" s="4" t="s">
        <v>4496</v>
      </c>
      <c r="G416" s="2" t="s">
        <v>1147</v>
      </c>
      <c r="H416" s="7" t="s">
        <v>442</v>
      </c>
      <c r="I416" s="2" t="s">
        <v>483</v>
      </c>
      <c r="J416" s="2" t="s">
        <v>536</v>
      </c>
      <c r="K416" s="2" t="s">
        <v>304</v>
      </c>
      <c r="L416" s="2" t="s">
        <v>206</v>
      </c>
      <c r="M416" s="8" t="str">
        <f t="shared" si="3"/>
        <v xml:space="preserve">http://slimages.macys.com/is/image/MCY/11709478 </v>
      </c>
    </row>
    <row r="417" spans="1:13" ht="60" x14ac:dyDescent="0.25">
      <c r="A417" s="7" t="s">
        <v>7904</v>
      </c>
      <c r="B417" s="2" t="s">
        <v>1240</v>
      </c>
      <c r="C417" s="4">
        <v>1</v>
      </c>
      <c r="D417" s="5">
        <v>2.62</v>
      </c>
      <c r="E417" s="5">
        <v>6.99</v>
      </c>
      <c r="F417" s="4" t="s">
        <v>1241</v>
      </c>
      <c r="G417" s="2" t="s">
        <v>28</v>
      </c>
      <c r="H417" s="7" t="s">
        <v>590</v>
      </c>
      <c r="I417" s="2" t="s">
        <v>483</v>
      </c>
      <c r="J417" s="2" t="s">
        <v>536</v>
      </c>
      <c r="K417" s="2" t="s">
        <v>304</v>
      </c>
      <c r="L417" s="2" t="s">
        <v>100</v>
      </c>
      <c r="M417" s="8" t="str">
        <f>HYPERLINK("http://slimages.macys.com/is/image/MCY/13336558 ")</f>
        <v xml:space="preserve">http://slimages.macys.com/is/image/MCY/13336558 </v>
      </c>
    </row>
    <row r="418" spans="1:13" ht="60" x14ac:dyDescent="0.25">
      <c r="A418" s="7" t="s">
        <v>7905</v>
      </c>
      <c r="B418" s="2" t="s">
        <v>7906</v>
      </c>
      <c r="C418" s="4">
        <v>1</v>
      </c>
      <c r="D418" s="5">
        <v>2.62</v>
      </c>
      <c r="E418" s="5">
        <v>6.99</v>
      </c>
      <c r="F418" s="4" t="s">
        <v>7907</v>
      </c>
      <c r="G418" s="2" t="s">
        <v>41</v>
      </c>
      <c r="H418" s="7" t="s">
        <v>149</v>
      </c>
      <c r="I418" s="2" t="s">
        <v>483</v>
      </c>
      <c r="J418" s="2" t="s">
        <v>536</v>
      </c>
      <c r="K418" s="2" t="s">
        <v>304</v>
      </c>
      <c r="L418" s="2" t="s">
        <v>100</v>
      </c>
      <c r="M418" s="8" t="str">
        <f>HYPERLINK("http://slimages.macys.com/is/image/MCY/11855828 ")</f>
        <v xml:space="preserve">http://slimages.macys.com/is/image/MCY/11855828 </v>
      </c>
    </row>
    <row r="419" spans="1:13" ht="60" x14ac:dyDescent="0.25">
      <c r="A419" s="7" t="s">
        <v>7167</v>
      </c>
      <c r="B419" s="2" t="s">
        <v>7168</v>
      </c>
      <c r="C419" s="4">
        <v>1</v>
      </c>
      <c r="D419" s="5">
        <v>2.62</v>
      </c>
      <c r="E419" s="5">
        <v>6.99</v>
      </c>
      <c r="F419" s="4" t="s">
        <v>7169</v>
      </c>
      <c r="G419" s="2" t="s">
        <v>36</v>
      </c>
      <c r="H419" s="7" t="s">
        <v>149</v>
      </c>
      <c r="I419" s="2" t="s">
        <v>483</v>
      </c>
      <c r="J419" s="2" t="s">
        <v>536</v>
      </c>
      <c r="K419" s="2" t="s">
        <v>304</v>
      </c>
      <c r="L419" s="2" t="s">
        <v>100</v>
      </c>
      <c r="M419" s="8" t="str">
        <f>HYPERLINK("http://slimages.macys.com/is/image/MCY/11258891 ")</f>
        <v xml:space="preserve">http://slimages.macys.com/is/image/MCY/11258891 </v>
      </c>
    </row>
    <row r="420" spans="1:13" ht="60" x14ac:dyDescent="0.25">
      <c r="A420" s="7" t="s">
        <v>7163</v>
      </c>
      <c r="B420" s="2" t="s">
        <v>1240</v>
      </c>
      <c r="C420" s="4">
        <v>1</v>
      </c>
      <c r="D420" s="5">
        <v>2.62</v>
      </c>
      <c r="E420" s="5">
        <v>6.99</v>
      </c>
      <c r="F420" s="4" t="s">
        <v>1241</v>
      </c>
      <c r="G420" s="2" t="s">
        <v>28</v>
      </c>
      <c r="H420" s="7" t="s">
        <v>42</v>
      </c>
      <c r="I420" s="2" t="s">
        <v>483</v>
      </c>
      <c r="J420" s="2" t="s">
        <v>536</v>
      </c>
      <c r="K420" s="2" t="s">
        <v>304</v>
      </c>
      <c r="L420" s="2" t="s">
        <v>100</v>
      </c>
      <c r="M420" s="8" t="str">
        <f>HYPERLINK("http://slimages.macys.com/is/image/MCY/13336558 ")</f>
        <v xml:space="preserve">http://slimages.macys.com/is/image/MCY/13336558 </v>
      </c>
    </row>
    <row r="421" spans="1:13" ht="60" x14ac:dyDescent="0.25">
      <c r="A421" s="7" t="s">
        <v>7908</v>
      </c>
      <c r="B421" s="2" t="s">
        <v>7168</v>
      </c>
      <c r="C421" s="4">
        <v>1</v>
      </c>
      <c r="D421" s="5">
        <v>2.62</v>
      </c>
      <c r="E421" s="5">
        <v>6.99</v>
      </c>
      <c r="F421" s="4" t="s">
        <v>7169</v>
      </c>
      <c r="G421" s="2" t="s">
        <v>36</v>
      </c>
      <c r="H421" s="7" t="s">
        <v>91</v>
      </c>
      <c r="I421" s="2" t="s">
        <v>483</v>
      </c>
      <c r="J421" s="2" t="s">
        <v>536</v>
      </c>
      <c r="K421" s="2" t="s">
        <v>304</v>
      </c>
      <c r="L421" s="2" t="s">
        <v>100</v>
      </c>
      <c r="M421" s="8" t="str">
        <f>HYPERLINK("http://slimages.macys.com/is/image/MCY/11258891 ")</f>
        <v xml:space="preserve">http://slimages.macys.com/is/image/MCY/11258891 </v>
      </c>
    </row>
    <row r="422" spans="1:13" ht="60" x14ac:dyDescent="0.25">
      <c r="A422" s="7" t="s">
        <v>2266</v>
      </c>
      <c r="B422" s="2" t="s">
        <v>2254</v>
      </c>
      <c r="C422" s="4">
        <v>2</v>
      </c>
      <c r="D422" s="5">
        <v>2.62</v>
      </c>
      <c r="E422" s="5">
        <v>5.99</v>
      </c>
      <c r="F422" s="4" t="s">
        <v>2255</v>
      </c>
      <c r="G422" s="2" t="s">
        <v>657</v>
      </c>
      <c r="H422" s="7" t="s">
        <v>442</v>
      </c>
      <c r="I422" s="2" t="s">
        <v>483</v>
      </c>
      <c r="J422" s="2" t="s">
        <v>536</v>
      </c>
      <c r="K422" s="2" t="s">
        <v>304</v>
      </c>
      <c r="L422" s="2" t="s">
        <v>119</v>
      </c>
      <c r="M422" s="8" t="str">
        <f>HYPERLINK("http://slimages.macys.com/is/image/MCY/12644604 ")</f>
        <v xml:space="preserve">http://slimages.macys.com/is/image/MCY/12644604 </v>
      </c>
    </row>
    <row r="423" spans="1:13" ht="60" x14ac:dyDescent="0.25">
      <c r="A423" s="7" t="s">
        <v>5689</v>
      </c>
      <c r="B423" s="2" t="s">
        <v>1253</v>
      </c>
      <c r="C423" s="4">
        <v>1</v>
      </c>
      <c r="D423" s="5">
        <v>2.61</v>
      </c>
      <c r="E423" s="5">
        <v>6.99</v>
      </c>
      <c r="F423" s="4" t="s">
        <v>1254</v>
      </c>
      <c r="G423" s="2" t="s">
        <v>171</v>
      </c>
      <c r="H423" s="7"/>
      <c r="I423" s="2" t="s">
        <v>483</v>
      </c>
      <c r="J423" s="2" t="s">
        <v>536</v>
      </c>
      <c r="K423" s="2" t="s">
        <v>304</v>
      </c>
      <c r="L423" s="2" t="s">
        <v>38</v>
      </c>
      <c r="M423" s="8" t="str">
        <f>HYPERLINK("http://slimages.macys.com/is/image/MCY/13987491 ")</f>
        <v xml:space="preserve">http://slimages.macys.com/is/image/MCY/13987491 </v>
      </c>
    </row>
    <row r="424" spans="1:13" ht="60" x14ac:dyDescent="0.25">
      <c r="A424" s="7" t="s">
        <v>7909</v>
      </c>
      <c r="B424" s="2" t="s">
        <v>2279</v>
      </c>
      <c r="C424" s="4">
        <v>1</v>
      </c>
      <c r="D424" s="5">
        <v>2.59</v>
      </c>
      <c r="E424" s="5">
        <v>7.99</v>
      </c>
      <c r="F424" s="4" t="s">
        <v>2280</v>
      </c>
      <c r="G424" s="2" t="s">
        <v>86</v>
      </c>
      <c r="H424" s="7" t="s">
        <v>149</v>
      </c>
      <c r="I424" s="2" t="s">
        <v>483</v>
      </c>
      <c r="J424" s="2" t="s">
        <v>536</v>
      </c>
      <c r="K424" s="2" t="s">
        <v>304</v>
      </c>
      <c r="L424" s="2" t="s">
        <v>100</v>
      </c>
      <c r="M424" s="8" t="str">
        <f>HYPERLINK("http://slimages.macys.com/is/image/MCY/12465706 ")</f>
        <v xml:space="preserve">http://slimages.macys.com/is/image/MCY/12465706 </v>
      </c>
    </row>
    <row r="425" spans="1:13" ht="60" x14ac:dyDescent="0.25">
      <c r="A425" s="7" t="s">
        <v>2278</v>
      </c>
      <c r="B425" s="2" t="s">
        <v>2279</v>
      </c>
      <c r="C425" s="4">
        <v>1</v>
      </c>
      <c r="D425" s="5">
        <v>2.59</v>
      </c>
      <c r="E425" s="5">
        <v>7.99</v>
      </c>
      <c r="F425" s="4" t="s">
        <v>2280</v>
      </c>
      <c r="G425" s="2" t="s">
        <v>86</v>
      </c>
      <c r="H425" s="7"/>
      <c r="I425" s="2" t="s">
        <v>483</v>
      </c>
      <c r="J425" s="2" t="s">
        <v>536</v>
      </c>
      <c r="K425" s="2" t="s">
        <v>304</v>
      </c>
      <c r="L425" s="2" t="s">
        <v>100</v>
      </c>
      <c r="M425" s="8" t="str">
        <f>HYPERLINK("http://slimages.macys.com/is/image/MCY/12465706 ")</f>
        <v xml:space="preserve">http://slimages.macys.com/is/image/MCY/12465706 </v>
      </c>
    </row>
    <row r="426" spans="1:13" ht="60" x14ac:dyDescent="0.25">
      <c r="A426" s="7" t="s">
        <v>2281</v>
      </c>
      <c r="B426" s="2" t="s">
        <v>1312</v>
      </c>
      <c r="C426" s="4">
        <v>1</v>
      </c>
      <c r="D426" s="5">
        <v>2.59</v>
      </c>
      <c r="E426" s="5">
        <v>7.99</v>
      </c>
      <c r="F426" s="4">
        <v>10005378600</v>
      </c>
      <c r="G426" s="2" t="s">
        <v>437</v>
      </c>
      <c r="H426" s="7" t="s">
        <v>149</v>
      </c>
      <c r="I426" s="2" t="s">
        <v>483</v>
      </c>
      <c r="J426" s="2" t="s">
        <v>536</v>
      </c>
      <c r="K426" s="2" t="s">
        <v>304</v>
      </c>
      <c r="L426" s="2" t="s">
        <v>100</v>
      </c>
      <c r="M426" s="8" t="str">
        <f>HYPERLINK("http://slimages.macys.com/is/image/MCY/12633240 ")</f>
        <v xml:space="preserve">http://slimages.macys.com/is/image/MCY/12633240 </v>
      </c>
    </row>
    <row r="427" spans="1:13" ht="60" x14ac:dyDescent="0.25">
      <c r="A427" s="7" t="s">
        <v>7910</v>
      </c>
      <c r="B427" s="2" t="s">
        <v>1312</v>
      </c>
      <c r="C427" s="4">
        <v>3</v>
      </c>
      <c r="D427" s="5">
        <v>2.59</v>
      </c>
      <c r="E427" s="5">
        <v>7.99</v>
      </c>
      <c r="F427" s="4">
        <v>10005378600</v>
      </c>
      <c r="G427" s="2" t="s">
        <v>437</v>
      </c>
      <c r="H427" s="7"/>
      <c r="I427" s="2" t="s">
        <v>483</v>
      </c>
      <c r="J427" s="2" t="s">
        <v>536</v>
      </c>
      <c r="K427" s="2" t="s">
        <v>304</v>
      </c>
      <c r="L427" s="2" t="s">
        <v>100</v>
      </c>
      <c r="M427" s="8" t="str">
        <f>HYPERLINK("http://slimages.macys.com/is/image/MCY/12633240 ")</f>
        <v xml:space="preserve">http://slimages.macys.com/is/image/MCY/12633240 </v>
      </c>
    </row>
    <row r="428" spans="1:13" ht="60" x14ac:dyDescent="0.25">
      <c r="A428" s="7" t="s">
        <v>7911</v>
      </c>
      <c r="B428" s="2" t="s">
        <v>4526</v>
      </c>
      <c r="C428" s="4">
        <v>1</v>
      </c>
      <c r="D428" s="5">
        <v>2.59</v>
      </c>
      <c r="E428" s="5">
        <v>7.99</v>
      </c>
      <c r="F428" s="4" t="s">
        <v>4527</v>
      </c>
      <c r="G428" s="2" t="s">
        <v>1265</v>
      </c>
      <c r="H428" s="7" t="s">
        <v>482</v>
      </c>
      <c r="I428" s="2" t="s">
        <v>483</v>
      </c>
      <c r="J428" s="2" t="s">
        <v>536</v>
      </c>
      <c r="K428" s="2" t="s">
        <v>304</v>
      </c>
      <c r="L428" s="2" t="s">
        <v>100</v>
      </c>
      <c r="M428" s="8" t="str">
        <f>HYPERLINK("http://slimages.macys.com/is/image/MCY/12466031 ")</f>
        <v xml:space="preserve">http://slimages.macys.com/is/image/MCY/12466031 </v>
      </c>
    </row>
    <row r="429" spans="1:13" ht="60" x14ac:dyDescent="0.25">
      <c r="A429" s="7" t="s">
        <v>7912</v>
      </c>
      <c r="B429" s="2" t="s">
        <v>7913</v>
      </c>
      <c r="C429" s="4">
        <v>2</v>
      </c>
      <c r="D429" s="5">
        <v>2.57</v>
      </c>
      <c r="E429" s="5">
        <v>6.99</v>
      </c>
      <c r="F429" s="4" t="s">
        <v>7914</v>
      </c>
      <c r="G429" s="2" t="s">
        <v>28</v>
      </c>
      <c r="H429" s="7" t="s">
        <v>149</v>
      </c>
      <c r="I429" s="2" t="s">
        <v>483</v>
      </c>
      <c r="J429" s="2" t="s">
        <v>536</v>
      </c>
      <c r="K429" s="2" t="s">
        <v>304</v>
      </c>
      <c r="L429" s="2" t="s">
        <v>100</v>
      </c>
      <c r="M429" s="8" t="str">
        <f>HYPERLINK("http://slimages.macys.com/is/image/MCY/11379069 ")</f>
        <v xml:space="preserve">http://slimages.macys.com/is/image/MCY/11379069 </v>
      </c>
    </row>
    <row r="430" spans="1:13" ht="60" x14ac:dyDescent="0.25">
      <c r="A430" s="7" t="s">
        <v>7915</v>
      </c>
      <c r="B430" s="2" t="s">
        <v>7913</v>
      </c>
      <c r="C430" s="4">
        <v>6</v>
      </c>
      <c r="D430" s="5">
        <v>2.57</v>
      </c>
      <c r="E430" s="5">
        <v>6.99</v>
      </c>
      <c r="F430" s="4" t="s">
        <v>7914</v>
      </c>
      <c r="G430" s="2" t="s">
        <v>28</v>
      </c>
      <c r="H430" s="7" t="s">
        <v>590</v>
      </c>
      <c r="I430" s="2" t="s">
        <v>483</v>
      </c>
      <c r="J430" s="2" t="s">
        <v>536</v>
      </c>
      <c r="K430" s="2" t="s">
        <v>304</v>
      </c>
      <c r="L430" s="2" t="s">
        <v>100</v>
      </c>
      <c r="M430" s="8" t="str">
        <f>HYPERLINK("http://slimages.macys.com/is/image/MCY/11379069 ")</f>
        <v xml:space="preserve">http://slimages.macys.com/is/image/MCY/11379069 </v>
      </c>
    </row>
    <row r="431" spans="1:13" ht="60" x14ac:dyDescent="0.25">
      <c r="A431" s="7" t="s">
        <v>7916</v>
      </c>
      <c r="B431" s="2" t="s">
        <v>7917</v>
      </c>
      <c r="C431" s="4">
        <v>6</v>
      </c>
      <c r="D431" s="5">
        <v>2.57</v>
      </c>
      <c r="E431" s="5">
        <v>6.99</v>
      </c>
      <c r="F431" s="4" t="s">
        <v>7918</v>
      </c>
      <c r="G431" s="2" t="s">
        <v>41</v>
      </c>
      <c r="H431" s="7" t="s">
        <v>442</v>
      </c>
      <c r="I431" s="2" t="s">
        <v>483</v>
      </c>
      <c r="J431" s="2" t="s">
        <v>536</v>
      </c>
      <c r="K431" s="2" t="s">
        <v>304</v>
      </c>
      <c r="L431" s="2" t="s">
        <v>100</v>
      </c>
      <c r="M431" s="8" t="str">
        <f>HYPERLINK("http://slimages.macys.com/is/image/MCY/11340098 ")</f>
        <v xml:space="preserve">http://slimages.macys.com/is/image/MCY/11340098 </v>
      </c>
    </row>
    <row r="432" spans="1:13" ht="60" x14ac:dyDescent="0.25">
      <c r="A432" s="7" t="s">
        <v>7919</v>
      </c>
      <c r="B432" s="2" t="s">
        <v>7917</v>
      </c>
      <c r="C432" s="4">
        <v>1</v>
      </c>
      <c r="D432" s="5">
        <v>2.57</v>
      </c>
      <c r="E432" s="5">
        <v>6.99</v>
      </c>
      <c r="F432" s="4" t="s">
        <v>7918</v>
      </c>
      <c r="G432" s="2" t="s">
        <v>41</v>
      </c>
      <c r="H432" s="7" t="s">
        <v>91</v>
      </c>
      <c r="I432" s="2" t="s">
        <v>483</v>
      </c>
      <c r="J432" s="2" t="s">
        <v>536</v>
      </c>
      <c r="K432" s="2" t="s">
        <v>304</v>
      </c>
      <c r="L432" s="2" t="s">
        <v>100</v>
      </c>
      <c r="M432" s="8" t="str">
        <f>HYPERLINK("http://slimages.macys.com/is/image/MCY/11340098 ")</f>
        <v xml:space="preserve">http://slimages.macys.com/is/image/MCY/11340098 </v>
      </c>
    </row>
    <row r="433" spans="1:13" ht="60" x14ac:dyDescent="0.25">
      <c r="A433" s="7" t="s">
        <v>7920</v>
      </c>
      <c r="B433" s="2" t="s">
        <v>7913</v>
      </c>
      <c r="C433" s="4">
        <v>2</v>
      </c>
      <c r="D433" s="5">
        <v>2.57</v>
      </c>
      <c r="E433" s="5">
        <v>6.99</v>
      </c>
      <c r="F433" s="4" t="s">
        <v>7914</v>
      </c>
      <c r="G433" s="2" t="s">
        <v>28</v>
      </c>
      <c r="H433" s="7" t="s">
        <v>442</v>
      </c>
      <c r="I433" s="2" t="s">
        <v>483</v>
      </c>
      <c r="J433" s="2" t="s">
        <v>536</v>
      </c>
      <c r="K433" s="2" t="s">
        <v>304</v>
      </c>
      <c r="L433" s="2" t="s">
        <v>100</v>
      </c>
      <c r="M433" s="8" t="str">
        <f>HYPERLINK("http://slimages.macys.com/is/image/MCY/11379069 ")</f>
        <v xml:space="preserve">http://slimages.macys.com/is/image/MCY/11379069 </v>
      </c>
    </row>
    <row r="434" spans="1:13" ht="60" x14ac:dyDescent="0.25">
      <c r="A434" s="7" t="s">
        <v>7921</v>
      </c>
      <c r="B434" s="2" t="s">
        <v>7917</v>
      </c>
      <c r="C434" s="4">
        <v>1</v>
      </c>
      <c r="D434" s="5">
        <v>2.57</v>
      </c>
      <c r="E434" s="5">
        <v>6.99</v>
      </c>
      <c r="F434" s="4" t="s">
        <v>7918</v>
      </c>
      <c r="G434" s="2" t="s">
        <v>41</v>
      </c>
      <c r="H434" s="7" t="s">
        <v>42</v>
      </c>
      <c r="I434" s="2" t="s">
        <v>483</v>
      </c>
      <c r="J434" s="2" t="s">
        <v>536</v>
      </c>
      <c r="K434" s="2" t="s">
        <v>304</v>
      </c>
      <c r="L434" s="2" t="s">
        <v>100</v>
      </c>
      <c r="M434" s="8" t="str">
        <f>HYPERLINK("http://slimages.macys.com/is/image/MCY/11340098 ")</f>
        <v xml:space="preserve">http://slimages.macys.com/is/image/MCY/11340098 </v>
      </c>
    </row>
    <row r="435" spans="1:13" ht="60" x14ac:dyDescent="0.25">
      <c r="A435" s="7" t="s">
        <v>7922</v>
      </c>
      <c r="B435" s="2" t="s">
        <v>7913</v>
      </c>
      <c r="C435" s="4">
        <v>5</v>
      </c>
      <c r="D435" s="5">
        <v>2.57</v>
      </c>
      <c r="E435" s="5">
        <v>6.99</v>
      </c>
      <c r="F435" s="4" t="s">
        <v>7914</v>
      </c>
      <c r="G435" s="2" t="s">
        <v>28</v>
      </c>
      <c r="H435" s="7" t="s">
        <v>91</v>
      </c>
      <c r="I435" s="2" t="s">
        <v>483</v>
      </c>
      <c r="J435" s="2" t="s">
        <v>536</v>
      </c>
      <c r="K435" s="2" t="s">
        <v>304</v>
      </c>
      <c r="L435" s="2" t="s">
        <v>100</v>
      </c>
      <c r="M435" s="8" t="str">
        <f>HYPERLINK("http://slimages.macys.com/is/image/MCY/11379069 ")</f>
        <v xml:space="preserve">http://slimages.macys.com/is/image/MCY/11379069 </v>
      </c>
    </row>
    <row r="436" spans="1:13" ht="60" x14ac:dyDescent="0.25">
      <c r="A436" s="7" t="s">
        <v>6041</v>
      </c>
      <c r="B436" s="2" t="s">
        <v>6032</v>
      </c>
      <c r="C436" s="4">
        <v>1</v>
      </c>
      <c r="D436" s="5">
        <v>2.57</v>
      </c>
      <c r="E436" s="5">
        <v>6.99</v>
      </c>
      <c r="F436" s="4" t="s">
        <v>6033</v>
      </c>
      <c r="G436" s="2" t="s">
        <v>41</v>
      </c>
      <c r="H436" s="7" t="s">
        <v>442</v>
      </c>
      <c r="I436" s="2" t="s">
        <v>483</v>
      </c>
      <c r="J436" s="2" t="s">
        <v>536</v>
      </c>
      <c r="K436" s="2" t="s">
        <v>304</v>
      </c>
      <c r="L436" s="2" t="s">
        <v>100</v>
      </c>
      <c r="M436" s="8" t="str">
        <f>HYPERLINK("http://slimages.macys.com/is/image/MCY/11378313 ")</f>
        <v xml:space="preserve">http://slimages.macys.com/is/image/MCY/11378313 </v>
      </c>
    </row>
    <row r="437" spans="1:13" ht="60" x14ac:dyDescent="0.25">
      <c r="A437" s="7" t="s">
        <v>7923</v>
      </c>
      <c r="B437" s="2" t="s">
        <v>4532</v>
      </c>
      <c r="C437" s="4">
        <v>1</v>
      </c>
      <c r="D437" s="5">
        <v>2.57</v>
      </c>
      <c r="E437" s="5">
        <v>6.99</v>
      </c>
      <c r="F437" s="4">
        <v>100021102</v>
      </c>
      <c r="G437" s="2" t="s">
        <v>7924</v>
      </c>
      <c r="H437" s="7" t="s">
        <v>442</v>
      </c>
      <c r="I437" s="2" t="s">
        <v>483</v>
      </c>
      <c r="J437" s="2" t="s">
        <v>536</v>
      </c>
      <c r="K437" s="2" t="s">
        <v>304</v>
      </c>
      <c r="L437" s="2" t="s">
        <v>596</v>
      </c>
      <c r="M437" s="8" t="str">
        <f>HYPERLINK("http://slimages.macys.com/is/image/MCY/9648773 ")</f>
        <v xml:space="preserve">http://slimages.macys.com/is/image/MCY/9648773 </v>
      </c>
    </row>
    <row r="438" spans="1:13" ht="60" x14ac:dyDescent="0.25">
      <c r="A438" s="7" t="s">
        <v>7925</v>
      </c>
      <c r="B438" s="2" t="s">
        <v>7913</v>
      </c>
      <c r="C438" s="4">
        <v>3</v>
      </c>
      <c r="D438" s="5">
        <v>2.57</v>
      </c>
      <c r="E438" s="5">
        <v>6.99</v>
      </c>
      <c r="F438" s="4" t="s">
        <v>7914</v>
      </c>
      <c r="G438" s="2" t="s">
        <v>28</v>
      </c>
      <c r="H438" s="7" t="s">
        <v>42</v>
      </c>
      <c r="I438" s="2" t="s">
        <v>483</v>
      </c>
      <c r="J438" s="2" t="s">
        <v>536</v>
      </c>
      <c r="K438" s="2" t="s">
        <v>304</v>
      </c>
      <c r="L438" s="2" t="s">
        <v>100</v>
      </c>
      <c r="M438" s="8" t="str">
        <f>HYPERLINK("http://slimages.macys.com/is/image/MCY/11379069 ")</f>
        <v xml:space="preserve">http://slimages.macys.com/is/image/MCY/11379069 </v>
      </c>
    </row>
    <row r="439" spans="1:13" ht="60" x14ac:dyDescent="0.25">
      <c r="A439" s="7" t="s">
        <v>6059</v>
      </c>
      <c r="B439" s="2" t="s">
        <v>1260</v>
      </c>
      <c r="C439" s="4">
        <v>1</v>
      </c>
      <c r="D439" s="5">
        <v>2.56</v>
      </c>
      <c r="E439" s="5">
        <v>6.99</v>
      </c>
      <c r="F439" s="4" t="s">
        <v>1261</v>
      </c>
      <c r="G439" s="2" t="s">
        <v>86</v>
      </c>
      <c r="H439" s="7" t="s">
        <v>442</v>
      </c>
      <c r="I439" s="2" t="s">
        <v>483</v>
      </c>
      <c r="J439" s="2" t="s">
        <v>536</v>
      </c>
      <c r="K439" s="2" t="s">
        <v>304</v>
      </c>
      <c r="L439" s="2" t="s">
        <v>100</v>
      </c>
      <c r="M439" s="8" t="str">
        <f>HYPERLINK("http://slimages.macys.com/is/image/MCY/11779082 ")</f>
        <v xml:space="preserve">http://slimages.macys.com/is/image/MCY/11779082 </v>
      </c>
    </row>
    <row r="440" spans="1:13" ht="60" x14ac:dyDescent="0.25">
      <c r="A440" s="7" t="s">
        <v>7926</v>
      </c>
      <c r="B440" s="2" t="s">
        <v>1260</v>
      </c>
      <c r="C440" s="4">
        <v>2</v>
      </c>
      <c r="D440" s="5">
        <v>2.56</v>
      </c>
      <c r="E440" s="5">
        <v>6.99</v>
      </c>
      <c r="F440" s="4" t="s">
        <v>1261</v>
      </c>
      <c r="G440" s="2" t="s">
        <v>1265</v>
      </c>
      <c r="H440" s="7" t="s">
        <v>42</v>
      </c>
      <c r="I440" s="2" t="s">
        <v>483</v>
      </c>
      <c r="J440" s="2" t="s">
        <v>536</v>
      </c>
      <c r="K440" s="2" t="s">
        <v>304</v>
      </c>
      <c r="L440" s="2" t="s">
        <v>100</v>
      </c>
      <c r="M440" s="8" t="str">
        <f>HYPERLINK("http://slimages.macys.com/is/image/MCY/11779082 ")</f>
        <v xml:space="preserve">http://slimages.macys.com/is/image/MCY/11779082 </v>
      </c>
    </row>
    <row r="441" spans="1:13" ht="60" x14ac:dyDescent="0.25">
      <c r="A441" s="7" t="s">
        <v>7927</v>
      </c>
      <c r="B441" s="2" t="s">
        <v>1260</v>
      </c>
      <c r="C441" s="4">
        <v>3</v>
      </c>
      <c r="D441" s="5">
        <v>2.56</v>
      </c>
      <c r="E441" s="5">
        <v>6.99</v>
      </c>
      <c r="F441" s="4" t="s">
        <v>1261</v>
      </c>
      <c r="G441" s="2" t="s">
        <v>1265</v>
      </c>
      <c r="H441" s="7" t="s">
        <v>91</v>
      </c>
      <c r="I441" s="2" t="s">
        <v>483</v>
      </c>
      <c r="J441" s="2" t="s">
        <v>536</v>
      </c>
      <c r="K441" s="2" t="s">
        <v>304</v>
      </c>
      <c r="L441" s="2" t="s">
        <v>100</v>
      </c>
      <c r="M441" s="8" t="str">
        <f>HYPERLINK("http://slimages.macys.com/is/image/MCY/11779082 ")</f>
        <v xml:space="preserve">http://slimages.macys.com/is/image/MCY/11779082 </v>
      </c>
    </row>
    <row r="442" spans="1:13" ht="60" x14ac:dyDescent="0.25">
      <c r="A442" s="7" t="s">
        <v>7928</v>
      </c>
      <c r="B442" s="2" t="s">
        <v>1260</v>
      </c>
      <c r="C442" s="4">
        <v>2</v>
      </c>
      <c r="D442" s="5">
        <v>2.56</v>
      </c>
      <c r="E442" s="5">
        <v>6.99</v>
      </c>
      <c r="F442" s="4" t="s">
        <v>1261</v>
      </c>
      <c r="G442" s="2" t="s">
        <v>1265</v>
      </c>
      <c r="H442" s="7" t="s">
        <v>442</v>
      </c>
      <c r="I442" s="2" t="s">
        <v>483</v>
      </c>
      <c r="J442" s="2" t="s">
        <v>536</v>
      </c>
      <c r="K442" s="2" t="s">
        <v>304</v>
      </c>
      <c r="L442" s="2" t="s">
        <v>100</v>
      </c>
      <c r="M442" s="8" t="str">
        <f>HYPERLINK("http://slimages.macys.com/is/image/MCY/11779082 ")</f>
        <v xml:space="preserve">http://slimages.macys.com/is/image/MCY/11779082 </v>
      </c>
    </row>
    <row r="443" spans="1:13" ht="60" x14ac:dyDescent="0.25">
      <c r="A443" s="7" t="s">
        <v>6063</v>
      </c>
      <c r="B443" s="2" t="s">
        <v>1260</v>
      </c>
      <c r="C443" s="4">
        <v>2</v>
      </c>
      <c r="D443" s="5">
        <v>2.56</v>
      </c>
      <c r="E443" s="5">
        <v>6.99</v>
      </c>
      <c r="F443" s="4" t="s">
        <v>1261</v>
      </c>
      <c r="G443" s="2" t="s">
        <v>86</v>
      </c>
      <c r="H443" s="7" t="s">
        <v>590</v>
      </c>
      <c r="I443" s="2" t="s">
        <v>483</v>
      </c>
      <c r="J443" s="2" t="s">
        <v>536</v>
      </c>
      <c r="K443" s="2" t="s">
        <v>304</v>
      </c>
      <c r="L443" s="2" t="s">
        <v>100</v>
      </c>
      <c r="M443" s="8" t="str">
        <f>HYPERLINK("http://slimages.macys.com/is/image/MCY/11779082 ")</f>
        <v xml:space="preserve">http://slimages.macys.com/is/image/MCY/11779082 </v>
      </c>
    </row>
    <row r="444" spans="1:13" ht="60" x14ac:dyDescent="0.25">
      <c r="A444" s="7" t="s">
        <v>6527</v>
      </c>
      <c r="B444" s="2" t="s">
        <v>6528</v>
      </c>
      <c r="C444" s="4">
        <v>1</v>
      </c>
      <c r="D444" s="5">
        <v>2.56</v>
      </c>
      <c r="E444" s="5">
        <v>6.99</v>
      </c>
      <c r="F444" s="4" t="s">
        <v>6529</v>
      </c>
      <c r="G444" s="2" t="s">
        <v>129</v>
      </c>
      <c r="H444" s="7" t="s">
        <v>91</v>
      </c>
      <c r="I444" s="2" t="s">
        <v>483</v>
      </c>
      <c r="J444" s="2" t="s">
        <v>536</v>
      </c>
      <c r="K444" s="2" t="s">
        <v>304</v>
      </c>
      <c r="L444" s="2" t="s">
        <v>100</v>
      </c>
      <c r="M444" s="8" t="str">
        <f>HYPERLINK("http://slimages.macys.com/is/image/MCY/10379616 ")</f>
        <v xml:space="preserve">http://slimages.macys.com/is/image/MCY/10379616 </v>
      </c>
    </row>
    <row r="445" spans="1:13" ht="60" x14ac:dyDescent="0.25">
      <c r="A445" s="7" t="s">
        <v>7929</v>
      </c>
      <c r="B445" s="2" t="s">
        <v>1260</v>
      </c>
      <c r="C445" s="4">
        <v>1</v>
      </c>
      <c r="D445" s="5">
        <v>2.56</v>
      </c>
      <c r="E445" s="5">
        <v>6.99</v>
      </c>
      <c r="F445" s="4" t="s">
        <v>1261</v>
      </c>
      <c r="G445" s="2" t="s">
        <v>1360</v>
      </c>
      <c r="H445" s="7" t="s">
        <v>590</v>
      </c>
      <c r="I445" s="2" t="s">
        <v>483</v>
      </c>
      <c r="J445" s="2" t="s">
        <v>536</v>
      </c>
      <c r="K445" s="2" t="s">
        <v>304</v>
      </c>
      <c r="L445" s="2" t="s">
        <v>100</v>
      </c>
      <c r="M445" s="8" t="str">
        <f>HYPERLINK("http://slimages.macys.com/is/image/MCY/11779082 ")</f>
        <v xml:space="preserve">http://slimages.macys.com/is/image/MCY/11779082 </v>
      </c>
    </row>
    <row r="446" spans="1:13" ht="60" x14ac:dyDescent="0.25">
      <c r="A446" s="7" t="s">
        <v>6058</v>
      </c>
      <c r="B446" s="2" t="s">
        <v>1260</v>
      </c>
      <c r="C446" s="4">
        <v>1</v>
      </c>
      <c r="D446" s="5">
        <v>2.56</v>
      </c>
      <c r="E446" s="5">
        <v>6.99</v>
      </c>
      <c r="F446" s="4" t="s">
        <v>1261</v>
      </c>
      <c r="G446" s="2" t="s">
        <v>86</v>
      </c>
      <c r="H446" s="7" t="s">
        <v>149</v>
      </c>
      <c r="I446" s="2" t="s">
        <v>483</v>
      </c>
      <c r="J446" s="2" t="s">
        <v>536</v>
      </c>
      <c r="K446" s="2" t="s">
        <v>304</v>
      </c>
      <c r="L446" s="2" t="s">
        <v>100</v>
      </c>
      <c r="M446" s="8" t="str">
        <f>HYPERLINK("http://slimages.macys.com/is/image/MCY/11779082 ")</f>
        <v xml:space="preserve">http://slimages.macys.com/is/image/MCY/11779082 </v>
      </c>
    </row>
    <row r="447" spans="1:13" ht="60" x14ac:dyDescent="0.25">
      <c r="A447" s="7" t="s">
        <v>7930</v>
      </c>
      <c r="B447" s="2" t="s">
        <v>7931</v>
      </c>
      <c r="C447" s="4">
        <v>1</v>
      </c>
      <c r="D447" s="5">
        <v>2.5499999999999998</v>
      </c>
      <c r="E447" s="5">
        <v>7.99</v>
      </c>
      <c r="F447" s="4">
        <v>10004190300</v>
      </c>
      <c r="G447" s="2" t="s">
        <v>262</v>
      </c>
      <c r="H447" s="7"/>
      <c r="I447" s="2" t="s">
        <v>483</v>
      </c>
      <c r="J447" s="2" t="s">
        <v>536</v>
      </c>
      <c r="K447" s="2" t="s">
        <v>304</v>
      </c>
      <c r="L447" s="2" t="s">
        <v>119</v>
      </c>
      <c r="M447" s="8" t="str">
        <f>HYPERLINK("http://slimages.macys.com/is/image/MCY/11520406 ")</f>
        <v xml:space="preserve">http://slimages.macys.com/is/image/MCY/11520406 </v>
      </c>
    </row>
    <row r="448" spans="1:13" ht="60" x14ac:dyDescent="0.25">
      <c r="A448" s="7" t="s">
        <v>6066</v>
      </c>
      <c r="B448" s="2" t="s">
        <v>2283</v>
      </c>
      <c r="C448" s="4">
        <v>2</v>
      </c>
      <c r="D448" s="5">
        <v>2.5499999999999998</v>
      </c>
      <c r="E448" s="5">
        <v>5.99</v>
      </c>
      <c r="F448" s="4" t="s">
        <v>2284</v>
      </c>
      <c r="G448" s="2" t="s">
        <v>86</v>
      </c>
      <c r="H448" s="7" t="s">
        <v>590</v>
      </c>
      <c r="I448" s="2" t="s">
        <v>483</v>
      </c>
      <c r="J448" s="2" t="s">
        <v>536</v>
      </c>
      <c r="K448" s="2" t="s">
        <v>304</v>
      </c>
      <c r="L448" s="2" t="s">
        <v>206</v>
      </c>
      <c r="M448" s="8" t="str">
        <f>HYPERLINK("http://slimages.macys.com/is/image/MCY/11436902 ")</f>
        <v xml:space="preserve">http://slimages.macys.com/is/image/MCY/11436902 </v>
      </c>
    </row>
    <row r="449" spans="1:13" ht="84" x14ac:dyDescent="0.25">
      <c r="A449" s="7" t="s">
        <v>7932</v>
      </c>
      <c r="B449" s="2" t="s">
        <v>4538</v>
      </c>
      <c r="C449" s="4">
        <v>1</v>
      </c>
      <c r="D449" s="5">
        <v>2.5499999999999998</v>
      </c>
      <c r="E449" s="5">
        <v>6.99</v>
      </c>
      <c r="F449" s="4" t="s">
        <v>4539</v>
      </c>
      <c r="G449" s="2" t="s">
        <v>1265</v>
      </c>
      <c r="H449" s="7"/>
      <c r="I449" s="2" t="s">
        <v>483</v>
      </c>
      <c r="J449" s="2" t="s">
        <v>536</v>
      </c>
      <c r="K449" s="2" t="s">
        <v>304</v>
      </c>
      <c r="L449" s="2" t="s">
        <v>1308</v>
      </c>
      <c r="M449" s="8" t="str">
        <f>HYPERLINK("http://slimages.macys.com/is/image/MCY/13987471 ")</f>
        <v xml:space="preserve">http://slimages.macys.com/is/image/MCY/13987471 </v>
      </c>
    </row>
    <row r="450" spans="1:13" ht="60" x14ac:dyDescent="0.25">
      <c r="A450" s="7" t="s">
        <v>7933</v>
      </c>
      <c r="B450" s="2" t="s">
        <v>7934</v>
      </c>
      <c r="C450" s="4">
        <v>1</v>
      </c>
      <c r="D450" s="5">
        <v>2.54</v>
      </c>
      <c r="E450" s="5">
        <v>6.99</v>
      </c>
      <c r="F450" s="4">
        <v>100027917</v>
      </c>
      <c r="G450" s="2" t="s">
        <v>134</v>
      </c>
      <c r="H450" s="7" t="s">
        <v>590</v>
      </c>
      <c r="I450" s="2" t="s">
        <v>483</v>
      </c>
      <c r="J450" s="2" t="s">
        <v>536</v>
      </c>
      <c r="K450" s="2" t="s">
        <v>304</v>
      </c>
      <c r="L450" s="2" t="s">
        <v>100</v>
      </c>
      <c r="M450" s="8" t="str">
        <f>HYPERLINK("http://slimages.macys.com/is/image/MCY/9815562 ")</f>
        <v xml:space="preserve">http://slimages.macys.com/is/image/MCY/9815562 </v>
      </c>
    </row>
    <row r="451" spans="1:13" ht="60" x14ac:dyDescent="0.25">
      <c r="A451" s="7" t="s">
        <v>7195</v>
      </c>
      <c r="B451" s="2" t="s">
        <v>2722</v>
      </c>
      <c r="C451" s="4">
        <v>1</v>
      </c>
      <c r="D451" s="5">
        <v>2.54</v>
      </c>
      <c r="E451" s="5">
        <v>6.99</v>
      </c>
      <c r="F451" s="4">
        <v>10006317100</v>
      </c>
      <c r="G451" s="2" t="s">
        <v>1302</v>
      </c>
      <c r="H451" s="7" t="s">
        <v>590</v>
      </c>
      <c r="I451" s="2" t="s">
        <v>483</v>
      </c>
      <c r="J451" s="2" t="s">
        <v>536</v>
      </c>
      <c r="K451" s="2" t="s">
        <v>304</v>
      </c>
      <c r="L451" s="2" t="s">
        <v>38</v>
      </c>
      <c r="M451" s="8" t="str">
        <f>HYPERLINK("http://slimages.macys.com/is/image/MCY/13987493 ")</f>
        <v xml:space="preserve">http://slimages.macys.com/is/image/MCY/13987493 </v>
      </c>
    </row>
    <row r="452" spans="1:13" ht="60" x14ac:dyDescent="0.25">
      <c r="A452" s="7" t="s">
        <v>6551</v>
      </c>
      <c r="B452" s="2" t="s">
        <v>2722</v>
      </c>
      <c r="C452" s="4">
        <v>3</v>
      </c>
      <c r="D452" s="5">
        <v>2.54</v>
      </c>
      <c r="E452" s="5">
        <v>6.99</v>
      </c>
      <c r="F452" s="4">
        <v>10006317100</v>
      </c>
      <c r="G452" s="2" t="s">
        <v>1302</v>
      </c>
      <c r="H452" s="7"/>
      <c r="I452" s="2" t="s">
        <v>483</v>
      </c>
      <c r="J452" s="2" t="s">
        <v>536</v>
      </c>
      <c r="K452" s="2" t="s">
        <v>304</v>
      </c>
      <c r="L452" s="2" t="s">
        <v>38</v>
      </c>
      <c r="M452" s="8" t="str">
        <f>HYPERLINK("http://slimages.macys.com/is/image/MCY/13987493 ")</f>
        <v xml:space="preserve">http://slimages.macys.com/is/image/MCY/13987493 </v>
      </c>
    </row>
    <row r="453" spans="1:13" ht="60" x14ac:dyDescent="0.25">
      <c r="A453" s="7" t="s">
        <v>6068</v>
      </c>
      <c r="B453" s="2" t="s">
        <v>1260</v>
      </c>
      <c r="C453" s="4">
        <v>6</v>
      </c>
      <c r="D453" s="5">
        <v>2.5299999999999998</v>
      </c>
      <c r="E453" s="5">
        <v>6.99</v>
      </c>
      <c r="F453" s="4" t="s">
        <v>1261</v>
      </c>
      <c r="G453" s="2" t="s">
        <v>1265</v>
      </c>
      <c r="H453" s="7" t="s">
        <v>149</v>
      </c>
      <c r="I453" s="2" t="s">
        <v>483</v>
      </c>
      <c r="J453" s="2" t="s">
        <v>536</v>
      </c>
      <c r="K453" s="2" t="s">
        <v>304</v>
      </c>
      <c r="L453" s="2" t="s">
        <v>100</v>
      </c>
      <c r="M453" s="8" t="str">
        <f>HYPERLINK("http://slimages.macys.com/is/image/MCY/11779082 ")</f>
        <v xml:space="preserve">http://slimages.macys.com/is/image/MCY/11779082 </v>
      </c>
    </row>
    <row r="454" spans="1:13" ht="60" x14ac:dyDescent="0.25">
      <c r="A454" s="7" t="s">
        <v>7935</v>
      </c>
      <c r="B454" s="2" t="s">
        <v>7936</v>
      </c>
      <c r="C454" s="4">
        <v>1</v>
      </c>
      <c r="D454" s="5">
        <v>2.5299999999999998</v>
      </c>
      <c r="E454" s="5">
        <v>5.99</v>
      </c>
      <c r="F454" s="4" t="s">
        <v>7937</v>
      </c>
      <c r="G454" s="2" t="s">
        <v>41</v>
      </c>
      <c r="H454" s="7" t="s">
        <v>590</v>
      </c>
      <c r="I454" s="2" t="s">
        <v>483</v>
      </c>
      <c r="J454" s="2" t="s">
        <v>536</v>
      </c>
      <c r="K454" s="2" t="s">
        <v>304</v>
      </c>
      <c r="L454" s="2" t="s">
        <v>100</v>
      </c>
      <c r="M454" s="8" t="str">
        <f>HYPERLINK("http://slimages.macys.com/is/image/MCY/12466327 ")</f>
        <v xml:space="preserve">http://slimages.macys.com/is/image/MCY/12466327 </v>
      </c>
    </row>
    <row r="455" spans="1:13" ht="60" x14ac:dyDescent="0.25">
      <c r="A455" s="7" t="s">
        <v>6070</v>
      </c>
      <c r="B455" s="2" t="s">
        <v>1260</v>
      </c>
      <c r="C455" s="4">
        <v>1</v>
      </c>
      <c r="D455" s="5">
        <v>2.5299999999999998</v>
      </c>
      <c r="E455" s="5">
        <v>6.99</v>
      </c>
      <c r="F455" s="4" t="s">
        <v>1261</v>
      </c>
      <c r="G455" s="2" t="s">
        <v>2107</v>
      </c>
      <c r="H455" s="7" t="s">
        <v>149</v>
      </c>
      <c r="I455" s="2" t="s">
        <v>483</v>
      </c>
      <c r="J455" s="2" t="s">
        <v>536</v>
      </c>
      <c r="K455" s="2" t="s">
        <v>304</v>
      </c>
      <c r="L455" s="2" t="s">
        <v>100</v>
      </c>
      <c r="M455" s="8" t="str">
        <f>HYPERLINK("http://slimages.macys.com/is/image/MCY/11779082 ")</f>
        <v xml:space="preserve">http://slimages.macys.com/is/image/MCY/11779082 </v>
      </c>
    </row>
    <row r="456" spans="1:13" ht="60" x14ac:dyDescent="0.25">
      <c r="A456" s="7" t="s">
        <v>1276</v>
      </c>
      <c r="B456" s="2" t="s">
        <v>1277</v>
      </c>
      <c r="C456" s="4">
        <v>1</v>
      </c>
      <c r="D456" s="5">
        <v>2.5299999999999998</v>
      </c>
      <c r="E456" s="5">
        <v>5.99</v>
      </c>
      <c r="F456" s="4" t="s">
        <v>1278</v>
      </c>
      <c r="G456" s="2" t="s">
        <v>527</v>
      </c>
      <c r="H456" s="7" t="s">
        <v>442</v>
      </c>
      <c r="I456" s="2" t="s">
        <v>483</v>
      </c>
      <c r="J456" s="2" t="s">
        <v>536</v>
      </c>
      <c r="K456" s="2" t="s">
        <v>304</v>
      </c>
      <c r="L456" s="2" t="s">
        <v>119</v>
      </c>
      <c r="M456" s="8" t="str">
        <f>HYPERLINK("http://slimages.macys.com/is/image/MCY/13987179 ")</f>
        <v xml:space="preserve">http://slimages.macys.com/is/image/MCY/13987179 </v>
      </c>
    </row>
    <row r="457" spans="1:13" ht="60" x14ac:dyDescent="0.25">
      <c r="A457" s="7" t="s">
        <v>7938</v>
      </c>
      <c r="B457" s="2" t="s">
        <v>5715</v>
      </c>
      <c r="C457" s="4">
        <v>1</v>
      </c>
      <c r="D457" s="5">
        <v>2.5299999999999998</v>
      </c>
      <c r="E457" s="5">
        <v>5.99</v>
      </c>
      <c r="F457" s="4" t="s">
        <v>5716</v>
      </c>
      <c r="G457" s="2" t="s">
        <v>657</v>
      </c>
      <c r="H457" s="7" t="s">
        <v>590</v>
      </c>
      <c r="I457" s="2" t="s">
        <v>483</v>
      </c>
      <c r="J457" s="2" t="s">
        <v>536</v>
      </c>
      <c r="K457" s="2" t="s">
        <v>304</v>
      </c>
      <c r="L457" s="2" t="s">
        <v>119</v>
      </c>
      <c r="M457" s="8" t="str">
        <f>HYPERLINK("http://slimages.macys.com/is/image/MCY/12228382 ")</f>
        <v xml:space="preserve">http://slimages.macys.com/is/image/MCY/12228382 </v>
      </c>
    </row>
    <row r="458" spans="1:13" ht="60" x14ac:dyDescent="0.25">
      <c r="A458" s="7" t="s">
        <v>7939</v>
      </c>
      <c r="B458" s="2" t="s">
        <v>7940</v>
      </c>
      <c r="C458" s="4">
        <v>1</v>
      </c>
      <c r="D458" s="5">
        <v>2.5299999999999998</v>
      </c>
      <c r="E458" s="5">
        <v>6.99</v>
      </c>
      <c r="F458" s="4" t="s">
        <v>7941</v>
      </c>
      <c r="G458" s="2" t="s">
        <v>36</v>
      </c>
      <c r="H458" s="7" t="s">
        <v>91</v>
      </c>
      <c r="I458" s="2" t="s">
        <v>483</v>
      </c>
      <c r="J458" s="2" t="s">
        <v>536</v>
      </c>
      <c r="K458" s="2" t="s">
        <v>304</v>
      </c>
      <c r="L458" s="2" t="s">
        <v>100</v>
      </c>
      <c r="M458" s="8" t="str">
        <f>HYPERLINK("http://slimages.macys.com/is/image/MCY/11433432 ")</f>
        <v xml:space="preserve">http://slimages.macys.com/is/image/MCY/11433432 </v>
      </c>
    </row>
    <row r="459" spans="1:13" ht="60" x14ac:dyDescent="0.25">
      <c r="A459" s="7" t="s">
        <v>7942</v>
      </c>
      <c r="B459" s="2" t="s">
        <v>7943</v>
      </c>
      <c r="C459" s="4">
        <v>1</v>
      </c>
      <c r="D459" s="5">
        <v>2.5299999999999998</v>
      </c>
      <c r="E459" s="5">
        <v>5.99</v>
      </c>
      <c r="F459" s="4" t="s">
        <v>7944</v>
      </c>
      <c r="G459" s="2" t="s">
        <v>36</v>
      </c>
      <c r="H459" s="7" t="s">
        <v>91</v>
      </c>
      <c r="I459" s="2" t="s">
        <v>483</v>
      </c>
      <c r="J459" s="2" t="s">
        <v>536</v>
      </c>
      <c r="K459" s="2" t="s">
        <v>304</v>
      </c>
      <c r="L459" s="2" t="s">
        <v>119</v>
      </c>
      <c r="M459" s="8" t="str">
        <f>HYPERLINK("http://slimages.macys.com/is/image/MCY/12640857 ")</f>
        <v xml:space="preserve">http://slimages.macys.com/is/image/MCY/12640857 </v>
      </c>
    </row>
    <row r="460" spans="1:13" ht="60" x14ac:dyDescent="0.25">
      <c r="A460" s="7" t="s">
        <v>7945</v>
      </c>
      <c r="B460" s="2" t="s">
        <v>7946</v>
      </c>
      <c r="C460" s="4">
        <v>1</v>
      </c>
      <c r="D460" s="5">
        <v>2.5299999999999998</v>
      </c>
      <c r="E460" s="5">
        <v>5.99</v>
      </c>
      <c r="F460" s="4" t="s">
        <v>7947</v>
      </c>
      <c r="G460" s="2" t="s">
        <v>41</v>
      </c>
      <c r="H460" s="7" t="s">
        <v>42</v>
      </c>
      <c r="I460" s="2" t="s">
        <v>483</v>
      </c>
      <c r="J460" s="2" t="s">
        <v>536</v>
      </c>
      <c r="K460" s="2" t="s">
        <v>304</v>
      </c>
      <c r="L460" s="2" t="s">
        <v>100</v>
      </c>
      <c r="M460" s="8" t="str">
        <f>HYPERLINK("http://slimages.macys.com/is/image/MCY/11855777 ")</f>
        <v xml:space="preserve">http://slimages.macys.com/is/image/MCY/11855777 </v>
      </c>
    </row>
    <row r="461" spans="1:13" ht="60" x14ac:dyDescent="0.25">
      <c r="A461" s="7" t="s">
        <v>7948</v>
      </c>
      <c r="B461" s="2" t="s">
        <v>7940</v>
      </c>
      <c r="C461" s="4">
        <v>1</v>
      </c>
      <c r="D461" s="5">
        <v>2.5299999999999998</v>
      </c>
      <c r="E461" s="5">
        <v>6.99</v>
      </c>
      <c r="F461" s="4" t="s">
        <v>7941</v>
      </c>
      <c r="G461" s="2" t="s">
        <v>36</v>
      </c>
      <c r="H461" s="7" t="s">
        <v>442</v>
      </c>
      <c r="I461" s="2" t="s">
        <v>483</v>
      </c>
      <c r="J461" s="2" t="s">
        <v>536</v>
      </c>
      <c r="K461" s="2" t="s">
        <v>304</v>
      </c>
      <c r="L461" s="2" t="s">
        <v>100</v>
      </c>
      <c r="M461" s="8" t="str">
        <f>HYPERLINK("http://slimages.macys.com/is/image/MCY/11433432 ")</f>
        <v xml:space="preserve">http://slimages.macys.com/is/image/MCY/11433432 </v>
      </c>
    </row>
    <row r="462" spans="1:13" ht="96" x14ac:dyDescent="0.25">
      <c r="A462" s="7" t="s">
        <v>7949</v>
      </c>
      <c r="B462" s="2" t="s">
        <v>7950</v>
      </c>
      <c r="C462" s="4">
        <v>1</v>
      </c>
      <c r="D462" s="5">
        <v>2.5299999999999998</v>
      </c>
      <c r="E462" s="5">
        <v>5.99</v>
      </c>
      <c r="F462" s="4" t="s">
        <v>7951</v>
      </c>
      <c r="G462" s="2" t="s">
        <v>41</v>
      </c>
      <c r="H462" s="7" t="s">
        <v>149</v>
      </c>
      <c r="I462" s="2" t="s">
        <v>483</v>
      </c>
      <c r="J462" s="2" t="s">
        <v>536</v>
      </c>
      <c r="K462" s="2" t="s">
        <v>304</v>
      </c>
      <c r="L462" s="2" t="s">
        <v>7952</v>
      </c>
      <c r="M462" s="8" t="str">
        <f>HYPERLINK("http://slimages.macys.com/is/image/MCY/12643291 ")</f>
        <v xml:space="preserve">http://slimages.macys.com/is/image/MCY/12643291 </v>
      </c>
    </row>
    <row r="463" spans="1:13" ht="60" x14ac:dyDescent="0.25">
      <c r="A463" s="7" t="s">
        <v>7953</v>
      </c>
      <c r="B463" s="2" t="s">
        <v>7954</v>
      </c>
      <c r="C463" s="4">
        <v>1</v>
      </c>
      <c r="D463" s="5">
        <v>2.5299999999999998</v>
      </c>
      <c r="E463" s="5">
        <v>5.99</v>
      </c>
      <c r="F463" s="4" t="s">
        <v>7955</v>
      </c>
      <c r="G463" s="2" t="s">
        <v>129</v>
      </c>
      <c r="H463" s="7" t="s">
        <v>442</v>
      </c>
      <c r="I463" s="2" t="s">
        <v>483</v>
      </c>
      <c r="J463" s="2" t="s">
        <v>536</v>
      </c>
      <c r="K463" s="2" t="s">
        <v>304</v>
      </c>
      <c r="L463" s="2" t="s">
        <v>100</v>
      </c>
      <c r="M463" s="8" t="str">
        <f>HYPERLINK("http://slimages.macys.com/is/image/MCY/11857563 ")</f>
        <v xml:space="preserve">http://slimages.macys.com/is/image/MCY/11857563 </v>
      </c>
    </row>
    <row r="464" spans="1:13" ht="60" x14ac:dyDescent="0.25">
      <c r="A464" s="7" t="s">
        <v>7956</v>
      </c>
      <c r="B464" s="2" t="s">
        <v>5715</v>
      </c>
      <c r="C464" s="4">
        <v>1</v>
      </c>
      <c r="D464" s="5">
        <v>2.5299999999999998</v>
      </c>
      <c r="E464" s="5">
        <v>5.99</v>
      </c>
      <c r="F464" s="4" t="s">
        <v>5716</v>
      </c>
      <c r="G464" s="2" t="s">
        <v>657</v>
      </c>
      <c r="H464" s="7" t="s">
        <v>442</v>
      </c>
      <c r="I464" s="2" t="s">
        <v>483</v>
      </c>
      <c r="J464" s="2" t="s">
        <v>536</v>
      </c>
      <c r="K464" s="2" t="s">
        <v>304</v>
      </c>
      <c r="L464" s="2" t="s">
        <v>119</v>
      </c>
      <c r="M464" s="8" t="str">
        <f>HYPERLINK("http://slimages.macys.com/is/image/MCY/12228382 ")</f>
        <v xml:space="preserve">http://slimages.macys.com/is/image/MCY/12228382 </v>
      </c>
    </row>
    <row r="465" spans="1:13" ht="60" x14ac:dyDescent="0.25">
      <c r="A465" s="7" t="s">
        <v>7957</v>
      </c>
      <c r="B465" s="2" t="s">
        <v>7943</v>
      </c>
      <c r="C465" s="4">
        <v>1</v>
      </c>
      <c r="D465" s="5">
        <v>2.5299999999999998</v>
      </c>
      <c r="E465" s="5">
        <v>5.99</v>
      </c>
      <c r="F465" s="4" t="s">
        <v>7944</v>
      </c>
      <c r="G465" s="2" t="s">
        <v>36</v>
      </c>
      <c r="H465" s="7" t="s">
        <v>442</v>
      </c>
      <c r="I465" s="2" t="s">
        <v>483</v>
      </c>
      <c r="J465" s="2" t="s">
        <v>536</v>
      </c>
      <c r="K465" s="2" t="s">
        <v>304</v>
      </c>
      <c r="L465" s="2" t="s">
        <v>119</v>
      </c>
      <c r="M465" s="8" t="str">
        <f>HYPERLINK("http://slimages.macys.com/is/image/MCY/12640857 ")</f>
        <v xml:space="preserve">http://slimages.macys.com/is/image/MCY/12640857 </v>
      </c>
    </row>
    <row r="466" spans="1:13" ht="60" x14ac:dyDescent="0.25">
      <c r="A466" s="7" t="s">
        <v>4555</v>
      </c>
      <c r="B466" s="2" t="s">
        <v>4545</v>
      </c>
      <c r="C466" s="4">
        <v>1</v>
      </c>
      <c r="D466" s="5">
        <v>2.5299999999999998</v>
      </c>
      <c r="E466" s="5">
        <v>5.99</v>
      </c>
      <c r="F466" s="4" t="s">
        <v>4546</v>
      </c>
      <c r="G466" s="2" t="s">
        <v>657</v>
      </c>
      <c r="H466" s="7" t="s">
        <v>590</v>
      </c>
      <c r="I466" s="2" t="s">
        <v>483</v>
      </c>
      <c r="J466" s="2" t="s">
        <v>536</v>
      </c>
      <c r="K466" s="2" t="s">
        <v>304</v>
      </c>
      <c r="L466" s="2" t="s">
        <v>119</v>
      </c>
      <c r="M466" s="8" t="str">
        <f>HYPERLINK("http://slimages.macys.com/is/image/MCY/11856951 ")</f>
        <v xml:space="preserve">http://slimages.macys.com/is/image/MCY/11856951 </v>
      </c>
    </row>
    <row r="467" spans="1:13" ht="60" x14ac:dyDescent="0.25">
      <c r="A467" s="7" t="s">
        <v>7199</v>
      </c>
      <c r="B467" s="2" t="s">
        <v>1260</v>
      </c>
      <c r="C467" s="4">
        <v>2</v>
      </c>
      <c r="D467" s="5">
        <v>2.5299999999999998</v>
      </c>
      <c r="E467" s="5">
        <v>6.99</v>
      </c>
      <c r="F467" s="4" t="s">
        <v>1261</v>
      </c>
      <c r="G467" s="2" t="s">
        <v>1265</v>
      </c>
      <c r="H467" s="7" t="s">
        <v>590</v>
      </c>
      <c r="I467" s="2" t="s">
        <v>483</v>
      </c>
      <c r="J467" s="2" t="s">
        <v>536</v>
      </c>
      <c r="K467" s="2" t="s">
        <v>304</v>
      </c>
      <c r="L467" s="2" t="s">
        <v>100</v>
      </c>
      <c r="M467" s="8" t="str">
        <f>HYPERLINK("http://slimages.macys.com/is/image/MCY/11779082 ")</f>
        <v xml:space="preserve">http://slimages.macys.com/is/image/MCY/11779082 </v>
      </c>
    </row>
    <row r="468" spans="1:13" ht="60" x14ac:dyDescent="0.25">
      <c r="A468" s="7" t="s">
        <v>7958</v>
      </c>
      <c r="B468" s="2" t="s">
        <v>7959</v>
      </c>
      <c r="C468" s="4">
        <v>1</v>
      </c>
      <c r="D468" s="5">
        <v>2.5299999999999998</v>
      </c>
      <c r="E468" s="5">
        <v>5.99</v>
      </c>
      <c r="F468" s="4" t="s">
        <v>7960</v>
      </c>
      <c r="G468" s="2" t="s">
        <v>36</v>
      </c>
      <c r="H468" s="7" t="s">
        <v>91</v>
      </c>
      <c r="I468" s="2" t="s">
        <v>483</v>
      </c>
      <c r="J468" s="2" t="s">
        <v>536</v>
      </c>
      <c r="K468" s="2" t="s">
        <v>304</v>
      </c>
      <c r="L468" s="2" t="s">
        <v>206</v>
      </c>
      <c r="M468" s="8" t="str">
        <f>HYPERLINK("http://slimages.macys.com/is/image/MCY/11855533 ")</f>
        <v xml:space="preserve">http://slimages.macys.com/is/image/MCY/11855533 </v>
      </c>
    </row>
    <row r="469" spans="1:13" ht="60" x14ac:dyDescent="0.25">
      <c r="A469" s="7" t="s">
        <v>7961</v>
      </c>
      <c r="B469" s="2" t="s">
        <v>7943</v>
      </c>
      <c r="C469" s="4">
        <v>1</v>
      </c>
      <c r="D469" s="5">
        <v>2.5299999999999998</v>
      </c>
      <c r="E469" s="5">
        <v>5.99</v>
      </c>
      <c r="F469" s="4" t="s">
        <v>7944</v>
      </c>
      <c r="G469" s="2" t="s">
        <v>36</v>
      </c>
      <c r="H469" s="7" t="s">
        <v>590</v>
      </c>
      <c r="I469" s="2" t="s">
        <v>483</v>
      </c>
      <c r="J469" s="2" t="s">
        <v>536</v>
      </c>
      <c r="K469" s="2" t="s">
        <v>304</v>
      </c>
      <c r="L469" s="2" t="s">
        <v>119</v>
      </c>
      <c r="M469" s="8" t="str">
        <f>HYPERLINK("http://slimages.macys.com/is/image/MCY/12640857 ")</f>
        <v xml:space="preserve">http://slimages.macys.com/is/image/MCY/12640857 </v>
      </c>
    </row>
    <row r="470" spans="1:13" ht="60" x14ac:dyDescent="0.25">
      <c r="A470" s="7" t="s">
        <v>3522</v>
      </c>
      <c r="B470" s="2" t="s">
        <v>3523</v>
      </c>
      <c r="C470" s="4">
        <v>1</v>
      </c>
      <c r="D470" s="5">
        <v>2.5099999999999998</v>
      </c>
      <c r="E470" s="5">
        <v>5.99</v>
      </c>
      <c r="F470" s="4" t="s">
        <v>3524</v>
      </c>
      <c r="G470" s="2" t="s">
        <v>657</v>
      </c>
      <c r="H470" s="7" t="s">
        <v>42</v>
      </c>
      <c r="I470" s="2" t="s">
        <v>483</v>
      </c>
      <c r="J470" s="2" t="s">
        <v>536</v>
      </c>
      <c r="K470" s="2" t="s">
        <v>304</v>
      </c>
      <c r="L470" s="2" t="s">
        <v>119</v>
      </c>
      <c r="M470" s="8" t="str">
        <f>HYPERLINK("http://slimages.macys.com/is/image/MCY/13987476 ")</f>
        <v xml:space="preserve">http://slimages.macys.com/is/image/MCY/13987476 </v>
      </c>
    </row>
    <row r="471" spans="1:13" ht="60" x14ac:dyDescent="0.25">
      <c r="A471" s="7" t="s">
        <v>7201</v>
      </c>
      <c r="B471" s="2" t="s">
        <v>2299</v>
      </c>
      <c r="C471" s="4">
        <v>1</v>
      </c>
      <c r="D471" s="5">
        <v>2.5099999999999998</v>
      </c>
      <c r="E471" s="5">
        <v>5.99</v>
      </c>
      <c r="F471" s="4" t="s">
        <v>2300</v>
      </c>
      <c r="G471" s="2" t="s">
        <v>28</v>
      </c>
      <c r="H471" s="7" t="s">
        <v>590</v>
      </c>
      <c r="I471" s="2" t="s">
        <v>483</v>
      </c>
      <c r="J471" s="2" t="s">
        <v>536</v>
      </c>
      <c r="K471" s="2" t="s">
        <v>304</v>
      </c>
      <c r="L471" s="2" t="s">
        <v>119</v>
      </c>
      <c r="M471" s="8" t="str">
        <f>HYPERLINK("http://slimages.macys.com/is/image/MCY/13987054 ")</f>
        <v xml:space="preserve">http://slimages.macys.com/is/image/MCY/13987054 </v>
      </c>
    </row>
    <row r="472" spans="1:13" ht="60" x14ac:dyDescent="0.25">
      <c r="A472" s="7" t="s">
        <v>2297</v>
      </c>
      <c r="B472" s="2" t="s">
        <v>2295</v>
      </c>
      <c r="C472" s="4">
        <v>1</v>
      </c>
      <c r="D472" s="5">
        <v>2.5099999999999998</v>
      </c>
      <c r="E472" s="5">
        <v>5.99</v>
      </c>
      <c r="F472" s="4" t="s">
        <v>2296</v>
      </c>
      <c r="G472" s="2" t="s">
        <v>28</v>
      </c>
      <c r="H472" s="7" t="s">
        <v>91</v>
      </c>
      <c r="I472" s="2" t="s">
        <v>483</v>
      </c>
      <c r="J472" s="2" t="s">
        <v>536</v>
      </c>
      <c r="K472" s="2" t="s">
        <v>304</v>
      </c>
      <c r="L472" s="2" t="s">
        <v>119</v>
      </c>
      <c r="M472" s="8" t="str">
        <f>HYPERLINK("http://slimages.macys.com/is/image/MCY/11436914 ")</f>
        <v xml:space="preserve">http://slimages.macys.com/is/image/MCY/11436914 </v>
      </c>
    </row>
    <row r="473" spans="1:13" ht="60" x14ac:dyDescent="0.25">
      <c r="A473" s="7" t="s">
        <v>7962</v>
      </c>
      <c r="B473" s="2" t="s">
        <v>7963</v>
      </c>
      <c r="C473" s="4">
        <v>1</v>
      </c>
      <c r="D473" s="5">
        <v>2.5</v>
      </c>
      <c r="E473" s="5">
        <v>5.99</v>
      </c>
      <c r="F473" s="4" t="s">
        <v>7964</v>
      </c>
      <c r="G473" s="2" t="s">
        <v>41</v>
      </c>
      <c r="H473" s="7" t="s">
        <v>149</v>
      </c>
      <c r="I473" s="2" t="s">
        <v>483</v>
      </c>
      <c r="J473" s="2" t="s">
        <v>536</v>
      </c>
      <c r="K473" s="2" t="s">
        <v>304</v>
      </c>
      <c r="L473" s="2" t="s">
        <v>100</v>
      </c>
      <c r="M473" s="8" t="str">
        <f>HYPERLINK("http://slimages.macys.com/is/image/MCY/11499977 ")</f>
        <v xml:space="preserve">http://slimages.macys.com/is/image/MCY/11499977 </v>
      </c>
    </row>
    <row r="474" spans="1:13" ht="60" x14ac:dyDescent="0.25">
      <c r="A474" s="7" t="s">
        <v>2729</v>
      </c>
      <c r="B474" s="2" t="s">
        <v>1300</v>
      </c>
      <c r="C474" s="4">
        <v>1</v>
      </c>
      <c r="D474" s="5">
        <v>2.4900000000000002</v>
      </c>
      <c r="E474" s="5">
        <v>6.99</v>
      </c>
      <c r="F474" s="4" t="s">
        <v>1301</v>
      </c>
      <c r="G474" s="2" t="s">
        <v>1302</v>
      </c>
      <c r="H474" s="7" t="s">
        <v>482</v>
      </c>
      <c r="I474" s="2" t="s">
        <v>483</v>
      </c>
      <c r="J474" s="2" t="s">
        <v>536</v>
      </c>
      <c r="K474" s="2" t="s">
        <v>304</v>
      </c>
      <c r="L474" s="2" t="s">
        <v>596</v>
      </c>
      <c r="M474" s="8" t="str">
        <f>HYPERLINK("http://slimages.macys.com/is/image/MCY/13337498 ")</f>
        <v xml:space="preserve">http://slimages.macys.com/is/image/MCY/13337498 </v>
      </c>
    </row>
    <row r="475" spans="1:13" ht="60" x14ac:dyDescent="0.25">
      <c r="A475" s="7" t="s">
        <v>7965</v>
      </c>
      <c r="B475" s="2" t="s">
        <v>7966</v>
      </c>
      <c r="C475" s="4">
        <v>1</v>
      </c>
      <c r="D475" s="5">
        <v>2.4900000000000002</v>
      </c>
      <c r="E475" s="5">
        <v>6.99</v>
      </c>
      <c r="F475" s="4" t="s">
        <v>7967</v>
      </c>
      <c r="G475" s="2" t="s">
        <v>41</v>
      </c>
      <c r="H475" s="7" t="s">
        <v>149</v>
      </c>
      <c r="I475" s="2" t="s">
        <v>483</v>
      </c>
      <c r="J475" s="2" t="s">
        <v>536</v>
      </c>
      <c r="K475" s="2" t="s">
        <v>304</v>
      </c>
      <c r="L475" s="2" t="s">
        <v>100</v>
      </c>
      <c r="M475" s="8" t="str">
        <f>HYPERLINK("http://slimages.macys.com/is/image/MCY/11499902 ")</f>
        <v xml:space="preserve">http://slimages.macys.com/is/image/MCY/11499902 </v>
      </c>
    </row>
    <row r="476" spans="1:13" ht="60" x14ac:dyDescent="0.25">
      <c r="A476" s="7" t="s">
        <v>7968</v>
      </c>
      <c r="B476" s="2" t="s">
        <v>7969</v>
      </c>
      <c r="C476" s="4">
        <v>1</v>
      </c>
      <c r="D476" s="5">
        <v>2.4900000000000002</v>
      </c>
      <c r="E476" s="5">
        <v>7.99</v>
      </c>
      <c r="F476" s="4" t="s">
        <v>7970</v>
      </c>
      <c r="G476" s="2" t="s">
        <v>41</v>
      </c>
      <c r="H476" s="7" t="s">
        <v>578</v>
      </c>
      <c r="I476" s="2" t="s">
        <v>483</v>
      </c>
      <c r="J476" s="2" t="s">
        <v>536</v>
      </c>
      <c r="K476" s="2" t="s">
        <v>304</v>
      </c>
      <c r="L476" s="2" t="s">
        <v>206</v>
      </c>
      <c r="M476" s="8" t="str">
        <f>HYPERLINK("http://slimages.macys.com/is/image/MCY/11856981 ")</f>
        <v xml:space="preserve">http://slimages.macys.com/is/image/MCY/11856981 </v>
      </c>
    </row>
    <row r="477" spans="1:13" ht="60" x14ac:dyDescent="0.25">
      <c r="A477" s="7" t="s">
        <v>2314</v>
      </c>
      <c r="B477" s="2" t="s">
        <v>622</v>
      </c>
      <c r="C477" s="4">
        <v>4</v>
      </c>
      <c r="D477" s="5">
        <v>2.48</v>
      </c>
      <c r="E477" s="5">
        <v>7.99</v>
      </c>
      <c r="F477" s="4">
        <v>10005379300</v>
      </c>
      <c r="G477" s="2" t="s">
        <v>437</v>
      </c>
      <c r="H477" s="7"/>
      <c r="I477" s="2" t="s">
        <v>483</v>
      </c>
      <c r="J477" s="2" t="s">
        <v>536</v>
      </c>
      <c r="K477" s="2" t="s">
        <v>304</v>
      </c>
      <c r="L477" s="2" t="s">
        <v>623</v>
      </c>
      <c r="M477" s="8" t="str">
        <f t="shared" ref="M477:M484" si="4">HYPERLINK("http://slimages.macys.com/is/image/MCY/12465415 ")</f>
        <v xml:space="preserve">http://slimages.macys.com/is/image/MCY/12465415 </v>
      </c>
    </row>
    <row r="478" spans="1:13" ht="60" x14ac:dyDescent="0.25">
      <c r="A478" s="7" t="s">
        <v>621</v>
      </c>
      <c r="B478" s="2" t="s">
        <v>622</v>
      </c>
      <c r="C478" s="4">
        <v>2</v>
      </c>
      <c r="D478" s="5">
        <v>2.48</v>
      </c>
      <c r="E478" s="5">
        <v>7.99</v>
      </c>
      <c r="F478" s="4">
        <v>10005379300</v>
      </c>
      <c r="G478" s="2" t="s">
        <v>437</v>
      </c>
      <c r="H478" s="7" t="s">
        <v>590</v>
      </c>
      <c r="I478" s="2" t="s">
        <v>483</v>
      </c>
      <c r="J478" s="2" t="s">
        <v>536</v>
      </c>
      <c r="K478" s="2" t="s">
        <v>304</v>
      </c>
      <c r="L478" s="2" t="s">
        <v>623</v>
      </c>
      <c r="M478" s="8" t="str">
        <f t="shared" si="4"/>
        <v xml:space="preserve">http://slimages.macys.com/is/image/MCY/12465415 </v>
      </c>
    </row>
    <row r="479" spans="1:13" ht="60" x14ac:dyDescent="0.25">
      <c r="A479" s="7" t="s">
        <v>2311</v>
      </c>
      <c r="B479" s="2" t="s">
        <v>622</v>
      </c>
      <c r="C479" s="4">
        <v>3</v>
      </c>
      <c r="D479" s="5">
        <v>2.48</v>
      </c>
      <c r="E479" s="5">
        <v>7.99</v>
      </c>
      <c r="F479" s="4">
        <v>10005379300</v>
      </c>
      <c r="G479" s="2" t="s">
        <v>62</v>
      </c>
      <c r="H479" s="7" t="s">
        <v>482</v>
      </c>
      <c r="I479" s="2" t="s">
        <v>483</v>
      </c>
      <c r="J479" s="2" t="s">
        <v>536</v>
      </c>
      <c r="K479" s="2" t="s">
        <v>304</v>
      </c>
      <c r="L479" s="2" t="s">
        <v>623</v>
      </c>
      <c r="M479" s="8" t="str">
        <f t="shared" si="4"/>
        <v xml:space="preserve">http://slimages.macys.com/is/image/MCY/12465415 </v>
      </c>
    </row>
    <row r="480" spans="1:13" ht="60" x14ac:dyDescent="0.25">
      <c r="A480" s="7" t="s">
        <v>2309</v>
      </c>
      <c r="B480" s="2" t="s">
        <v>622</v>
      </c>
      <c r="C480" s="4">
        <v>2</v>
      </c>
      <c r="D480" s="5">
        <v>2.48</v>
      </c>
      <c r="E480" s="5">
        <v>7.99</v>
      </c>
      <c r="F480" s="4">
        <v>10005379300</v>
      </c>
      <c r="G480" s="2" t="s">
        <v>437</v>
      </c>
      <c r="H480" s="7" t="s">
        <v>482</v>
      </c>
      <c r="I480" s="2" t="s">
        <v>483</v>
      </c>
      <c r="J480" s="2" t="s">
        <v>536</v>
      </c>
      <c r="K480" s="2" t="s">
        <v>304</v>
      </c>
      <c r="L480" s="2" t="s">
        <v>623</v>
      </c>
      <c r="M480" s="8" t="str">
        <f t="shared" si="4"/>
        <v xml:space="preserve">http://slimages.macys.com/is/image/MCY/12465415 </v>
      </c>
    </row>
    <row r="481" spans="1:13" ht="60" x14ac:dyDescent="0.25">
      <c r="A481" s="7" t="s">
        <v>2310</v>
      </c>
      <c r="B481" s="2" t="s">
        <v>622</v>
      </c>
      <c r="C481" s="4">
        <v>5</v>
      </c>
      <c r="D481" s="5">
        <v>2.48</v>
      </c>
      <c r="E481" s="5">
        <v>7.99</v>
      </c>
      <c r="F481" s="4">
        <v>10005379300</v>
      </c>
      <c r="G481" s="2" t="s">
        <v>62</v>
      </c>
      <c r="H481" s="7"/>
      <c r="I481" s="2" t="s">
        <v>483</v>
      </c>
      <c r="J481" s="2" t="s">
        <v>536</v>
      </c>
      <c r="K481" s="2" t="s">
        <v>304</v>
      </c>
      <c r="L481" s="2" t="s">
        <v>623</v>
      </c>
      <c r="M481" s="8" t="str">
        <f t="shared" si="4"/>
        <v xml:space="preserve">http://slimages.macys.com/is/image/MCY/12465415 </v>
      </c>
    </row>
    <row r="482" spans="1:13" ht="60" x14ac:dyDescent="0.25">
      <c r="A482" s="7" t="s">
        <v>2312</v>
      </c>
      <c r="B482" s="2" t="s">
        <v>622</v>
      </c>
      <c r="C482" s="4">
        <v>4</v>
      </c>
      <c r="D482" s="5">
        <v>2.48</v>
      </c>
      <c r="E482" s="5">
        <v>7.99</v>
      </c>
      <c r="F482" s="4">
        <v>10005379300</v>
      </c>
      <c r="G482" s="2" t="s">
        <v>62</v>
      </c>
      <c r="H482" s="7" t="s">
        <v>149</v>
      </c>
      <c r="I482" s="2" t="s">
        <v>483</v>
      </c>
      <c r="J482" s="2" t="s">
        <v>536</v>
      </c>
      <c r="K482" s="2" t="s">
        <v>304</v>
      </c>
      <c r="L482" s="2" t="s">
        <v>623</v>
      </c>
      <c r="M482" s="8" t="str">
        <f t="shared" si="4"/>
        <v xml:space="preserve">http://slimages.macys.com/is/image/MCY/12465415 </v>
      </c>
    </row>
    <row r="483" spans="1:13" ht="60" x14ac:dyDescent="0.25">
      <c r="A483" s="7" t="s">
        <v>2316</v>
      </c>
      <c r="B483" s="2" t="s">
        <v>622</v>
      </c>
      <c r="C483" s="4">
        <v>2</v>
      </c>
      <c r="D483" s="5">
        <v>2.48</v>
      </c>
      <c r="E483" s="5">
        <v>7.99</v>
      </c>
      <c r="F483" s="4">
        <v>10005379300</v>
      </c>
      <c r="G483" s="2" t="s">
        <v>437</v>
      </c>
      <c r="H483" s="7" t="s">
        <v>442</v>
      </c>
      <c r="I483" s="2" t="s">
        <v>483</v>
      </c>
      <c r="J483" s="2" t="s">
        <v>536</v>
      </c>
      <c r="K483" s="2" t="s">
        <v>304</v>
      </c>
      <c r="L483" s="2" t="s">
        <v>623</v>
      </c>
      <c r="M483" s="8" t="str">
        <f t="shared" si="4"/>
        <v xml:space="preserve">http://slimages.macys.com/is/image/MCY/12465415 </v>
      </c>
    </row>
    <row r="484" spans="1:13" ht="60" x14ac:dyDescent="0.25">
      <c r="A484" s="7" t="s">
        <v>2313</v>
      </c>
      <c r="B484" s="2" t="s">
        <v>622</v>
      </c>
      <c r="C484" s="4">
        <v>3</v>
      </c>
      <c r="D484" s="5">
        <v>2.48</v>
      </c>
      <c r="E484" s="5">
        <v>7.99</v>
      </c>
      <c r="F484" s="4">
        <v>10005379300</v>
      </c>
      <c r="G484" s="2" t="s">
        <v>437</v>
      </c>
      <c r="H484" s="7" t="s">
        <v>149</v>
      </c>
      <c r="I484" s="2" t="s">
        <v>483</v>
      </c>
      <c r="J484" s="2" t="s">
        <v>536</v>
      </c>
      <c r="K484" s="2" t="s">
        <v>304</v>
      </c>
      <c r="L484" s="2" t="s">
        <v>623</v>
      </c>
      <c r="M484" s="8" t="str">
        <f t="shared" si="4"/>
        <v xml:space="preserve">http://slimages.macys.com/is/image/MCY/12465415 </v>
      </c>
    </row>
    <row r="485" spans="1:13" ht="60" x14ac:dyDescent="0.25">
      <c r="A485" s="7" t="s">
        <v>7971</v>
      </c>
      <c r="B485" s="2" t="s">
        <v>7972</v>
      </c>
      <c r="C485" s="4">
        <v>1</v>
      </c>
      <c r="D485" s="5">
        <v>2.48</v>
      </c>
      <c r="E485" s="5">
        <v>5.99</v>
      </c>
      <c r="F485" s="4" t="s">
        <v>7973</v>
      </c>
      <c r="G485" s="2" t="s">
        <v>103</v>
      </c>
      <c r="H485" s="7" t="s">
        <v>442</v>
      </c>
      <c r="I485" s="2" t="s">
        <v>483</v>
      </c>
      <c r="J485" s="2" t="s">
        <v>536</v>
      </c>
      <c r="K485" s="2" t="s">
        <v>304</v>
      </c>
      <c r="L485" s="2" t="s">
        <v>206</v>
      </c>
      <c r="M485" s="8" t="str">
        <f>HYPERLINK("http://slimages.macys.com/is/image/MCY/11378867 ")</f>
        <v xml:space="preserve">http://slimages.macys.com/is/image/MCY/11378867 </v>
      </c>
    </row>
    <row r="486" spans="1:13" ht="96" x14ac:dyDescent="0.25">
      <c r="A486" s="7" t="s">
        <v>7210</v>
      </c>
      <c r="B486" s="2" t="s">
        <v>2318</v>
      </c>
      <c r="C486" s="4">
        <v>1</v>
      </c>
      <c r="D486" s="5">
        <v>2.4700000000000002</v>
      </c>
      <c r="E486" s="5">
        <v>6.99</v>
      </c>
      <c r="F486" s="4">
        <v>10006315800</v>
      </c>
      <c r="G486" s="2" t="s">
        <v>527</v>
      </c>
      <c r="H486" s="7"/>
      <c r="I486" s="2" t="s">
        <v>483</v>
      </c>
      <c r="J486" s="2" t="s">
        <v>536</v>
      </c>
      <c r="K486" s="2" t="s">
        <v>304</v>
      </c>
      <c r="L486" s="2" t="s">
        <v>2319</v>
      </c>
      <c r="M486" s="8" t="str">
        <f>HYPERLINK("http://slimages.macys.com/is/image/MCY/13987454 ")</f>
        <v xml:space="preserve">http://slimages.macys.com/is/image/MCY/13987454 </v>
      </c>
    </row>
    <row r="487" spans="1:13" ht="96" x14ac:dyDescent="0.25">
      <c r="A487" s="7" t="s">
        <v>7974</v>
      </c>
      <c r="B487" s="2" t="s">
        <v>7975</v>
      </c>
      <c r="C487" s="4">
        <v>1</v>
      </c>
      <c r="D487" s="5">
        <v>2.4700000000000002</v>
      </c>
      <c r="E487" s="5">
        <v>6.99</v>
      </c>
      <c r="F487" s="4" t="s">
        <v>7976</v>
      </c>
      <c r="G487" s="2" t="s">
        <v>41</v>
      </c>
      <c r="H487" s="7" t="s">
        <v>442</v>
      </c>
      <c r="I487" s="2" t="s">
        <v>483</v>
      </c>
      <c r="J487" s="2" t="s">
        <v>536</v>
      </c>
      <c r="K487" s="2" t="s">
        <v>304</v>
      </c>
      <c r="L487" s="2" t="s">
        <v>1224</v>
      </c>
      <c r="M487" s="8" t="str">
        <f>HYPERLINK("http://slimages.macys.com/is/image/MCY/13386555 ")</f>
        <v xml:space="preserve">http://slimages.macys.com/is/image/MCY/13386555 </v>
      </c>
    </row>
    <row r="488" spans="1:13" ht="60" x14ac:dyDescent="0.25">
      <c r="A488" s="7" t="s">
        <v>2320</v>
      </c>
      <c r="B488" s="2" t="s">
        <v>1327</v>
      </c>
      <c r="C488" s="4">
        <v>1</v>
      </c>
      <c r="D488" s="5">
        <v>2.44</v>
      </c>
      <c r="E488" s="5">
        <v>5.99</v>
      </c>
      <c r="F488" s="4" t="s">
        <v>1328</v>
      </c>
      <c r="G488" s="2" t="s">
        <v>41</v>
      </c>
      <c r="H488" s="7" t="s">
        <v>149</v>
      </c>
      <c r="I488" s="2" t="s">
        <v>483</v>
      </c>
      <c r="J488" s="2" t="s">
        <v>536</v>
      </c>
      <c r="K488" s="2" t="s">
        <v>304</v>
      </c>
      <c r="L488" s="2" t="s">
        <v>119</v>
      </c>
      <c r="M488" s="8" t="str">
        <f>HYPERLINK("http://slimages.macys.com/is/image/MCY/12466322 ")</f>
        <v xml:space="preserve">http://slimages.macys.com/is/image/MCY/12466322 </v>
      </c>
    </row>
    <row r="489" spans="1:13" ht="60" x14ac:dyDescent="0.25">
      <c r="A489" s="7" t="s">
        <v>7977</v>
      </c>
      <c r="B489" s="2" t="s">
        <v>1327</v>
      </c>
      <c r="C489" s="4">
        <v>1</v>
      </c>
      <c r="D489" s="5">
        <v>2.44</v>
      </c>
      <c r="E489" s="5">
        <v>5.99</v>
      </c>
      <c r="F489" s="4" t="s">
        <v>1328</v>
      </c>
      <c r="G489" s="2" t="s">
        <v>41</v>
      </c>
      <c r="H489" s="7" t="s">
        <v>442</v>
      </c>
      <c r="I489" s="2" t="s">
        <v>483</v>
      </c>
      <c r="J489" s="2" t="s">
        <v>536</v>
      </c>
      <c r="K489" s="2" t="s">
        <v>304</v>
      </c>
      <c r="L489" s="2" t="s">
        <v>119</v>
      </c>
      <c r="M489" s="8" t="str">
        <f>HYPERLINK("http://slimages.macys.com/is/image/MCY/12466322 ")</f>
        <v xml:space="preserve">http://slimages.macys.com/is/image/MCY/12466322 </v>
      </c>
    </row>
    <row r="490" spans="1:13" ht="60" x14ac:dyDescent="0.25">
      <c r="A490" s="7" t="s">
        <v>3531</v>
      </c>
      <c r="B490" s="2" t="s">
        <v>1327</v>
      </c>
      <c r="C490" s="4">
        <v>1</v>
      </c>
      <c r="D490" s="5">
        <v>2.44</v>
      </c>
      <c r="E490" s="5">
        <v>5.99</v>
      </c>
      <c r="F490" s="4" t="s">
        <v>1328</v>
      </c>
      <c r="G490" s="2" t="s">
        <v>41</v>
      </c>
      <c r="H490" s="7" t="s">
        <v>590</v>
      </c>
      <c r="I490" s="2" t="s">
        <v>483</v>
      </c>
      <c r="J490" s="2" t="s">
        <v>536</v>
      </c>
      <c r="K490" s="2" t="s">
        <v>304</v>
      </c>
      <c r="L490" s="2" t="s">
        <v>119</v>
      </c>
      <c r="M490" s="8" t="str">
        <f>HYPERLINK("http://slimages.macys.com/is/image/MCY/12466322 ")</f>
        <v xml:space="preserve">http://slimages.macys.com/is/image/MCY/12466322 </v>
      </c>
    </row>
    <row r="491" spans="1:13" ht="60" x14ac:dyDescent="0.25">
      <c r="A491" s="7" t="s">
        <v>7978</v>
      </c>
      <c r="B491" s="2" t="s">
        <v>7979</v>
      </c>
      <c r="C491" s="4">
        <v>1</v>
      </c>
      <c r="D491" s="5">
        <v>2.41</v>
      </c>
      <c r="E491" s="5">
        <v>5.99</v>
      </c>
      <c r="F491" s="4" t="s">
        <v>7980</v>
      </c>
      <c r="G491" s="2" t="s">
        <v>353</v>
      </c>
      <c r="H491" s="7" t="s">
        <v>149</v>
      </c>
      <c r="I491" s="2" t="s">
        <v>483</v>
      </c>
      <c r="J491" s="2" t="s">
        <v>536</v>
      </c>
      <c r="K491" s="2" t="s">
        <v>304</v>
      </c>
      <c r="L491" s="2" t="s">
        <v>100</v>
      </c>
      <c r="M491" s="8" t="str">
        <f>HYPERLINK("http://slimages.macys.com/is/image/MCY/12466328 ")</f>
        <v xml:space="preserve">http://slimages.macys.com/is/image/MCY/12466328 </v>
      </c>
    </row>
    <row r="492" spans="1:13" ht="60" x14ac:dyDescent="0.25">
      <c r="A492" s="7" t="s">
        <v>5737</v>
      </c>
      <c r="B492" s="2" t="s">
        <v>5738</v>
      </c>
      <c r="C492" s="4">
        <v>1</v>
      </c>
      <c r="D492" s="5">
        <v>2.41</v>
      </c>
      <c r="E492" s="5">
        <v>5.99</v>
      </c>
      <c r="F492" s="4" t="s">
        <v>5739</v>
      </c>
      <c r="G492" s="2" t="s">
        <v>1360</v>
      </c>
      <c r="H492" s="7" t="s">
        <v>149</v>
      </c>
      <c r="I492" s="2" t="s">
        <v>483</v>
      </c>
      <c r="J492" s="2" t="s">
        <v>536</v>
      </c>
      <c r="K492" s="2" t="s">
        <v>304</v>
      </c>
      <c r="L492" s="2" t="s">
        <v>119</v>
      </c>
      <c r="M492" s="8" t="str">
        <f>HYPERLINK("http://slimages.macys.com/is/image/MCY/12641081 ")</f>
        <v xml:space="preserve">http://slimages.macys.com/is/image/MCY/12641081 </v>
      </c>
    </row>
    <row r="493" spans="1:13" ht="96" x14ac:dyDescent="0.25">
      <c r="A493" s="7" t="s">
        <v>7981</v>
      </c>
      <c r="B493" s="2" t="s">
        <v>6587</v>
      </c>
      <c r="C493" s="4">
        <v>1</v>
      </c>
      <c r="D493" s="5">
        <v>2.41</v>
      </c>
      <c r="E493" s="5">
        <v>5.99</v>
      </c>
      <c r="F493" s="4" t="s">
        <v>6588</v>
      </c>
      <c r="G493" s="2" t="s">
        <v>28</v>
      </c>
      <c r="H493" s="7" t="s">
        <v>590</v>
      </c>
      <c r="I493" s="2" t="s">
        <v>483</v>
      </c>
      <c r="J493" s="2" t="s">
        <v>536</v>
      </c>
      <c r="K493" s="2" t="s">
        <v>304</v>
      </c>
      <c r="L493" s="2" t="s">
        <v>4455</v>
      </c>
      <c r="M493" s="8" t="str">
        <f>HYPERLINK("http://slimages.macys.com/is/image/MCY/12642198 ")</f>
        <v xml:space="preserve">http://slimages.macys.com/is/image/MCY/12642198 </v>
      </c>
    </row>
    <row r="494" spans="1:13" ht="60" x14ac:dyDescent="0.25">
      <c r="A494" s="7" t="s">
        <v>7982</v>
      </c>
      <c r="B494" s="2" t="s">
        <v>7227</v>
      </c>
      <c r="C494" s="4">
        <v>1</v>
      </c>
      <c r="D494" s="5">
        <v>2.4</v>
      </c>
      <c r="E494" s="5">
        <v>5.99</v>
      </c>
      <c r="F494" s="4" t="s">
        <v>7228</v>
      </c>
      <c r="G494" s="2" t="s">
        <v>28</v>
      </c>
      <c r="H494" s="7" t="s">
        <v>590</v>
      </c>
      <c r="I494" s="2" t="s">
        <v>483</v>
      </c>
      <c r="J494" s="2" t="s">
        <v>536</v>
      </c>
      <c r="K494" s="2" t="s">
        <v>304</v>
      </c>
      <c r="L494" s="2" t="s">
        <v>38</v>
      </c>
      <c r="M494" s="8" t="str">
        <f>HYPERLINK("http://slimages.macys.com/is/image/MCY/11953879 ")</f>
        <v xml:space="preserve">http://slimages.macys.com/is/image/MCY/11953879 </v>
      </c>
    </row>
    <row r="495" spans="1:13" ht="60" x14ac:dyDescent="0.25">
      <c r="A495" s="7" t="s">
        <v>7983</v>
      </c>
      <c r="B495" s="2" t="s">
        <v>7984</v>
      </c>
      <c r="C495" s="4">
        <v>2</v>
      </c>
      <c r="D495" s="5">
        <v>2.4</v>
      </c>
      <c r="E495" s="5">
        <v>5.99</v>
      </c>
      <c r="F495" s="4" t="s">
        <v>7985</v>
      </c>
      <c r="G495" s="2" t="s">
        <v>41</v>
      </c>
      <c r="H495" s="7" t="s">
        <v>42</v>
      </c>
      <c r="I495" s="2" t="s">
        <v>483</v>
      </c>
      <c r="J495" s="2" t="s">
        <v>536</v>
      </c>
      <c r="K495" s="2"/>
      <c r="L495" s="2"/>
      <c r="M495" s="8" t="str">
        <f>HYPERLINK("http://slimages.macys.com/is/image/MCY/11525783 ")</f>
        <v xml:space="preserve">http://slimages.macys.com/is/image/MCY/11525783 </v>
      </c>
    </row>
    <row r="496" spans="1:13" ht="60" x14ac:dyDescent="0.25">
      <c r="A496" s="7" t="s">
        <v>7226</v>
      </c>
      <c r="B496" s="2" t="s">
        <v>7227</v>
      </c>
      <c r="C496" s="4">
        <v>2</v>
      </c>
      <c r="D496" s="5">
        <v>2.4</v>
      </c>
      <c r="E496" s="5">
        <v>5.99</v>
      </c>
      <c r="F496" s="4" t="s">
        <v>7228</v>
      </c>
      <c r="G496" s="2" t="s">
        <v>28</v>
      </c>
      <c r="H496" s="7" t="s">
        <v>42</v>
      </c>
      <c r="I496" s="2" t="s">
        <v>483</v>
      </c>
      <c r="J496" s="2" t="s">
        <v>536</v>
      </c>
      <c r="K496" s="2" t="s">
        <v>304</v>
      </c>
      <c r="L496" s="2" t="s">
        <v>38</v>
      </c>
      <c r="M496" s="8" t="str">
        <f>HYPERLINK("http://slimages.macys.com/is/image/MCY/11953879 ")</f>
        <v xml:space="preserve">http://slimages.macys.com/is/image/MCY/11953879 </v>
      </c>
    </row>
    <row r="497" spans="1:13" ht="60" x14ac:dyDescent="0.25">
      <c r="A497" s="7" t="s">
        <v>7986</v>
      </c>
      <c r="B497" s="2" t="s">
        <v>3540</v>
      </c>
      <c r="C497" s="4">
        <v>1</v>
      </c>
      <c r="D497" s="5">
        <v>2.4</v>
      </c>
      <c r="E497" s="5">
        <v>5.99</v>
      </c>
      <c r="F497" s="4" t="s">
        <v>3541</v>
      </c>
      <c r="G497" s="2" t="s">
        <v>41</v>
      </c>
      <c r="H497" s="7" t="s">
        <v>42</v>
      </c>
      <c r="I497" s="2" t="s">
        <v>483</v>
      </c>
      <c r="J497" s="2" t="s">
        <v>536</v>
      </c>
      <c r="K497" s="2" t="s">
        <v>304</v>
      </c>
      <c r="L497" s="2" t="s">
        <v>100</v>
      </c>
      <c r="M497" s="8" t="str">
        <f>HYPERLINK("http://slimages.macys.com/is/image/MCY/12406900 ")</f>
        <v xml:space="preserve">http://slimages.macys.com/is/image/MCY/12406900 </v>
      </c>
    </row>
    <row r="498" spans="1:13" ht="60" x14ac:dyDescent="0.25">
      <c r="A498" s="7" t="s">
        <v>7987</v>
      </c>
      <c r="B498" s="2" t="s">
        <v>3540</v>
      </c>
      <c r="C498" s="4">
        <v>1</v>
      </c>
      <c r="D498" s="5">
        <v>2.4</v>
      </c>
      <c r="E498" s="5">
        <v>5.99</v>
      </c>
      <c r="F498" s="4" t="s">
        <v>3541</v>
      </c>
      <c r="G498" s="2" t="s">
        <v>41</v>
      </c>
      <c r="H498" s="7" t="s">
        <v>442</v>
      </c>
      <c r="I498" s="2" t="s">
        <v>483</v>
      </c>
      <c r="J498" s="2" t="s">
        <v>536</v>
      </c>
      <c r="K498" s="2" t="s">
        <v>304</v>
      </c>
      <c r="L498" s="2" t="s">
        <v>100</v>
      </c>
      <c r="M498" s="8" t="str">
        <f>HYPERLINK("http://slimages.macys.com/is/image/MCY/12406900 ")</f>
        <v xml:space="preserve">http://slimages.macys.com/is/image/MCY/12406900 </v>
      </c>
    </row>
    <row r="499" spans="1:13" ht="60" x14ac:dyDescent="0.25">
      <c r="A499" s="7" t="s">
        <v>7988</v>
      </c>
      <c r="B499" s="2" t="s">
        <v>6594</v>
      </c>
      <c r="C499" s="4">
        <v>1</v>
      </c>
      <c r="D499" s="5">
        <v>2.4</v>
      </c>
      <c r="E499" s="5">
        <v>5.99</v>
      </c>
      <c r="F499" s="4" t="s">
        <v>6595</v>
      </c>
      <c r="G499" s="2" t="s">
        <v>28</v>
      </c>
      <c r="H499" s="7" t="s">
        <v>442</v>
      </c>
      <c r="I499" s="2" t="s">
        <v>483</v>
      </c>
      <c r="J499" s="2" t="s">
        <v>536</v>
      </c>
      <c r="K499" s="2" t="s">
        <v>304</v>
      </c>
      <c r="L499" s="2" t="s">
        <v>87</v>
      </c>
      <c r="M499" s="8" t="str">
        <f>HYPERLINK("http://slimages.macys.com/is/image/MCY/12466288 ")</f>
        <v xml:space="preserve">http://slimages.macys.com/is/image/MCY/12466288 </v>
      </c>
    </row>
    <row r="500" spans="1:13" ht="60" x14ac:dyDescent="0.25">
      <c r="A500" s="7" t="s">
        <v>7225</v>
      </c>
      <c r="B500" s="2" t="s">
        <v>1336</v>
      </c>
      <c r="C500" s="4">
        <v>1</v>
      </c>
      <c r="D500" s="5">
        <v>2.4</v>
      </c>
      <c r="E500" s="5">
        <v>5.99</v>
      </c>
      <c r="F500" s="4" t="s">
        <v>1337</v>
      </c>
      <c r="G500" s="2" t="s">
        <v>657</v>
      </c>
      <c r="H500" s="7" t="s">
        <v>91</v>
      </c>
      <c r="I500" s="2" t="s">
        <v>483</v>
      </c>
      <c r="J500" s="2" t="s">
        <v>536</v>
      </c>
      <c r="K500" s="2" t="s">
        <v>304</v>
      </c>
      <c r="L500" s="2" t="s">
        <v>119</v>
      </c>
      <c r="M500" s="8" t="str">
        <f>HYPERLINK("http://slimages.macys.com/is/image/MCY/13987252 ")</f>
        <v xml:space="preserve">http://slimages.macys.com/is/image/MCY/13987252 </v>
      </c>
    </row>
    <row r="501" spans="1:13" ht="60" x14ac:dyDescent="0.25">
      <c r="A501" s="7" t="s">
        <v>7989</v>
      </c>
      <c r="B501" s="2" t="s">
        <v>7990</v>
      </c>
      <c r="C501" s="4">
        <v>1</v>
      </c>
      <c r="D501" s="5">
        <v>2.4</v>
      </c>
      <c r="E501" s="5">
        <v>5.99</v>
      </c>
      <c r="F501" s="4" t="s">
        <v>7991</v>
      </c>
      <c r="G501" s="2" t="s">
        <v>41</v>
      </c>
      <c r="H501" s="7" t="s">
        <v>590</v>
      </c>
      <c r="I501" s="2" t="s">
        <v>483</v>
      </c>
      <c r="J501" s="2" t="s">
        <v>536</v>
      </c>
      <c r="K501" s="2" t="s">
        <v>304</v>
      </c>
      <c r="L501" s="2" t="s">
        <v>100</v>
      </c>
      <c r="M501" s="8" t="str">
        <f>HYPERLINK("http://slimages.macys.com/is/image/MCY/12466323 ")</f>
        <v xml:space="preserve">http://slimages.macys.com/is/image/MCY/12466323 </v>
      </c>
    </row>
    <row r="502" spans="1:13" ht="60" x14ac:dyDescent="0.25">
      <c r="A502" s="7" t="s">
        <v>6592</v>
      </c>
      <c r="B502" s="2" t="s">
        <v>1336</v>
      </c>
      <c r="C502" s="4">
        <v>1</v>
      </c>
      <c r="D502" s="5">
        <v>2.4</v>
      </c>
      <c r="E502" s="5">
        <v>5.99</v>
      </c>
      <c r="F502" s="4" t="s">
        <v>1337</v>
      </c>
      <c r="G502" s="2" t="s">
        <v>657</v>
      </c>
      <c r="H502" s="7" t="s">
        <v>590</v>
      </c>
      <c r="I502" s="2" t="s">
        <v>483</v>
      </c>
      <c r="J502" s="2" t="s">
        <v>536</v>
      </c>
      <c r="K502" s="2" t="s">
        <v>304</v>
      </c>
      <c r="L502" s="2" t="s">
        <v>119</v>
      </c>
      <c r="M502" s="8" t="str">
        <f>HYPERLINK("http://slimages.macys.com/is/image/MCY/13987252 ")</f>
        <v xml:space="preserve">http://slimages.macys.com/is/image/MCY/13987252 </v>
      </c>
    </row>
    <row r="503" spans="1:13" ht="60" x14ac:dyDescent="0.25">
      <c r="A503" s="7" t="s">
        <v>7992</v>
      </c>
      <c r="B503" s="2" t="s">
        <v>7227</v>
      </c>
      <c r="C503" s="4">
        <v>1</v>
      </c>
      <c r="D503" s="5">
        <v>2.4</v>
      </c>
      <c r="E503" s="5">
        <v>5.99</v>
      </c>
      <c r="F503" s="4" t="s">
        <v>7228</v>
      </c>
      <c r="G503" s="2" t="s">
        <v>28</v>
      </c>
      <c r="H503" s="7" t="s">
        <v>149</v>
      </c>
      <c r="I503" s="2" t="s">
        <v>483</v>
      </c>
      <c r="J503" s="2" t="s">
        <v>536</v>
      </c>
      <c r="K503" s="2" t="s">
        <v>304</v>
      </c>
      <c r="L503" s="2" t="s">
        <v>38</v>
      </c>
      <c r="M503" s="8" t="str">
        <f>HYPERLINK("http://slimages.macys.com/is/image/MCY/11953879 ")</f>
        <v xml:space="preserve">http://slimages.macys.com/is/image/MCY/11953879 </v>
      </c>
    </row>
    <row r="504" spans="1:13" ht="60" x14ac:dyDescent="0.25">
      <c r="A504" s="7" t="s">
        <v>7993</v>
      </c>
      <c r="B504" s="2" t="s">
        <v>7994</v>
      </c>
      <c r="C504" s="4">
        <v>1</v>
      </c>
      <c r="D504" s="5">
        <v>2.38</v>
      </c>
      <c r="E504" s="5">
        <v>6.99</v>
      </c>
      <c r="F504" s="4">
        <v>10004347900</v>
      </c>
      <c r="G504" s="2" t="s">
        <v>134</v>
      </c>
      <c r="H504" s="7" t="s">
        <v>149</v>
      </c>
      <c r="I504" s="2" t="s">
        <v>483</v>
      </c>
      <c r="J504" s="2" t="s">
        <v>536</v>
      </c>
      <c r="K504" s="2" t="s">
        <v>304</v>
      </c>
      <c r="L504" s="2" t="s">
        <v>263</v>
      </c>
      <c r="M504" s="8" t="str">
        <f>HYPERLINK("http://slimages.macys.com/is/image/MCY/11436892 ")</f>
        <v xml:space="preserve">http://slimages.macys.com/is/image/MCY/11436892 </v>
      </c>
    </row>
    <row r="505" spans="1:13" ht="60" x14ac:dyDescent="0.25">
      <c r="A505" s="7" t="s">
        <v>7995</v>
      </c>
      <c r="B505" s="2" t="s">
        <v>7996</v>
      </c>
      <c r="C505" s="4">
        <v>1</v>
      </c>
      <c r="D505" s="5">
        <v>2.37</v>
      </c>
      <c r="E505" s="5">
        <v>6.99</v>
      </c>
      <c r="F505" s="4" t="s">
        <v>7997</v>
      </c>
      <c r="G505" s="2" t="s">
        <v>643</v>
      </c>
      <c r="H505" s="7" t="s">
        <v>91</v>
      </c>
      <c r="I505" s="2" t="s">
        <v>483</v>
      </c>
      <c r="J505" s="2" t="s">
        <v>536</v>
      </c>
      <c r="K505" s="2" t="s">
        <v>304</v>
      </c>
      <c r="L505" s="2" t="s">
        <v>38</v>
      </c>
      <c r="M505" s="8" t="str">
        <f>HYPERLINK("http://slimages.macys.com/is/image/MCY/13386660 ")</f>
        <v xml:space="preserve">http://slimages.macys.com/is/image/MCY/13386660 </v>
      </c>
    </row>
    <row r="506" spans="1:13" ht="60" x14ac:dyDescent="0.25">
      <c r="A506" s="7" t="s">
        <v>7998</v>
      </c>
      <c r="B506" s="2" t="s">
        <v>7999</v>
      </c>
      <c r="C506" s="4">
        <v>1</v>
      </c>
      <c r="D506" s="5">
        <v>2.37</v>
      </c>
      <c r="E506" s="5">
        <v>5.99</v>
      </c>
      <c r="F506" s="4" t="s">
        <v>8000</v>
      </c>
      <c r="G506" s="2" t="s">
        <v>41</v>
      </c>
      <c r="H506" s="7" t="s">
        <v>91</v>
      </c>
      <c r="I506" s="2" t="s">
        <v>483</v>
      </c>
      <c r="J506" s="2" t="s">
        <v>536</v>
      </c>
      <c r="K506" s="2" t="s">
        <v>304</v>
      </c>
      <c r="L506" s="2" t="s">
        <v>100</v>
      </c>
      <c r="M506" s="8" t="str">
        <f>HYPERLINK("http://slimages.macys.com/is/image/MCY/11436778 ")</f>
        <v xml:space="preserve">http://slimages.macys.com/is/image/MCY/11436778 </v>
      </c>
    </row>
    <row r="507" spans="1:13" ht="60" x14ac:dyDescent="0.25">
      <c r="A507" s="7" t="s">
        <v>2328</v>
      </c>
      <c r="B507" s="2" t="s">
        <v>1348</v>
      </c>
      <c r="C507" s="4">
        <v>1</v>
      </c>
      <c r="D507" s="5">
        <v>2.36</v>
      </c>
      <c r="E507" s="5">
        <v>5.99</v>
      </c>
      <c r="F507" s="4" t="s">
        <v>1349</v>
      </c>
      <c r="G507" s="2" t="s">
        <v>62</v>
      </c>
      <c r="H507" s="7" t="s">
        <v>442</v>
      </c>
      <c r="I507" s="2" t="s">
        <v>483</v>
      </c>
      <c r="J507" s="2" t="s">
        <v>536</v>
      </c>
      <c r="K507" s="2" t="s">
        <v>304</v>
      </c>
      <c r="L507" s="2" t="s">
        <v>38</v>
      </c>
      <c r="M507" s="8" t="str">
        <f>HYPERLINK("http://slimages.macys.com/is/image/MCY/13337362 ")</f>
        <v xml:space="preserve">http://slimages.macys.com/is/image/MCY/13337362 </v>
      </c>
    </row>
    <row r="508" spans="1:13" ht="60" x14ac:dyDescent="0.25">
      <c r="A508" s="7" t="s">
        <v>2333</v>
      </c>
      <c r="B508" s="2" t="s">
        <v>2330</v>
      </c>
      <c r="C508" s="4">
        <v>1</v>
      </c>
      <c r="D508" s="5">
        <v>2.35</v>
      </c>
      <c r="E508" s="5">
        <v>5.99</v>
      </c>
      <c r="F508" s="4" t="s">
        <v>2331</v>
      </c>
      <c r="G508" s="2" t="s">
        <v>36</v>
      </c>
      <c r="H508" s="7" t="s">
        <v>590</v>
      </c>
      <c r="I508" s="2" t="s">
        <v>483</v>
      </c>
      <c r="J508" s="2" t="s">
        <v>536</v>
      </c>
      <c r="K508" s="2" t="s">
        <v>304</v>
      </c>
      <c r="L508" s="2" t="s">
        <v>596</v>
      </c>
      <c r="M508" s="8" t="str">
        <f>HYPERLINK("http://slimages.macys.com/is/image/MCY/12466357 ")</f>
        <v xml:space="preserve">http://slimages.macys.com/is/image/MCY/12466357 </v>
      </c>
    </row>
    <row r="509" spans="1:13" ht="60" x14ac:dyDescent="0.25">
      <c r="A509" s="7" t="s">
        <v>4570</v>
      </c>
      <c r="B509" s="2" t="s">
        <v>2330</v>
      </c>
      <c r="C509" s="4">
        <v>1</v>
      </c>
      <c r="D509" s="5">
        <v>2.35</v>
      </c>
      <c r="E509" s="5">
        <v>5.99</v>
      </c>
      <c r="F509" s="4" t="s">
        <v>2331</v>
      </c>
      <c r="G509" s="2" t="s">
        <v>36</v>
      </c>
      <c r="H509" s="7" t="s">
        <v>149</v>
      </c>
      <c r="I509" s="2" t="s">
        <v>483</v>
      </c>
      <c r="J509" s="2" t="s">
        <v>536</v>
      </c>
      <c r="K509" s="2" t="s">
        <v>304</v>
      </c>
      <c r="L509" s="2" t="s">
        <v>596</v>
      </c>
      <c r="M509" s="8" t="str">
        <f>HYPERLINK("http://slimages.macys.com/is/image/MCY/12466357 ")</f>
        <v xml:space="preserve">http://slimages.macys.com/is/image/MCY/12466357 </v>
      </c>
    </row>
    <row r="510" spans="1:13" ht="60" x14ac:dyDescent="0.25">
      <c r="A510" s="7" t="s">
        <v>5753</v>
      </c>
      <c r="B510" s="2" t="s">
        <v>2330</v>
      </c>
      <c r="C510" s="4">
        <v>1</v>
      </c>
      <c r="D510" s="5">
        <v>2.35</v>
      </c>
      <c r="E510" s="5">
        <v>5.99</v>
      </c>
      <c r="F510" s="4" t="s">
        <v>2331</v>
      </c>
      <c r="G510" s="2" t="s">
        <v>36</v>
      </c>
      <c r="H510" s="7" t="s">
        <v>91</v>
      </c>
      <c r="I510" s="2" t="s">
        <v>483</v>
      </c>
      <c r="J510" s="2" t="s">
        <v>536</v>
      </c>
      <c r="K510" s="2" t="s">
        <v>304</v>
      </c>
      <c r="L510" s="2" t="s">
        <v>596</v>
      </c>
      <c r="M510" s="8" t="str">
        <f>HYPERLINK("http://slimages.macys.com/is/image/MCY/12466357 ")</f>
        <v xml:space="preserve">http://slimages.macys.com/is/image/MCY/12466357 </v>
      </c>
    </row>
    <row r="511" spans="1:13" ht="60" x14ac:dyDescent="0.25">
      <c r="A511" s="7" t="s">
        <v>8001</v>
      </c>
      <c r="B511" s="2" t="s">
        <v>8002</v>
      </c>
      <c r="C511" s="4">
        <v>2</v>
      </c>
      <c r="D511" s="5">
        <v>2.34</v>
      </c>
      <c r="E511" s="5">
        <v>5.99</v>
      </c>
      <c r="F511" s="4" t="s">
        <v>8003</v>
      </c>
      <c r="G511" s="2" t="s">
        <v>388</v>
      </c>
      <c r="H511" s="7" t="s">
        <v>42</v>
      </c>
      <c r="I511" s="2" t="s">
        <v>483</v>
      </c>
      <c r="J511" s="2" t="s">
        <v>536</v>
      </c>
      <c r="K511" s="2" t="s">
        <v>304</v>
      </c>
      <c r="L511" s="2" t="s">
        <v>206</v>
      </c>
      <c r="M511" s="8" t="str">
        <f>HYPERLINK("http://slimages.macys.com/is/image/MCY/13386727 ")</f>
        <v xml:space="preserve">http://slimages.macys.com/is/image/MCY/13386727 </v>
      </c>
    </row>
    <row r="512" spans="1:13" ht="60" x14ac:dyDescent="0.25">
      <c r="A512" s="7" t="s">
        <v>8004</v>
      </c>
      <c r="B512" s="2" t="s">
        <v>4573</v>
      </c>
      <c r="C512" s="4">
        <v>2</v>
      </c>
      <c r="D512" s="5">
        <v>2.34</v>
      </c>
      <c r="E512" s="5">
        <v>5.99</v>
      </c>
      <c r="F512" s="4" t="s">
        <v>4574</v>
      </c>
      <c r="G512" s="2" t="s">
        <v>1360</v>
      </c>
      <c r="H512" s="7" t="s">
        <v>42</v>
      </c>
      <c r="I512" s="2" t="s">
        <v>483</v>
      </c>
      <c r="J512" s="2" t="s">
        <v>536</v>
      </c>
      <c r="K512" s="2" t="s">
        <v>304</v>
      </c>
      <c r="L512" s="2" t="s">
        <v>38</v>
      </c>
      <c r="M512" s="8" t="str">
        <f>HYPERLINK("http://slimages.macys.com/is/image/MCY/13987605 ")</f>
        <v xml:space="preserve">http://slimages.macys.com/is/image/MCY/13987605 </v>
      </c>
    </row>
    <row r="513" spans="1:13" ht="60" x14ac:dyDescent="0.25">
      <c r="A513" s="7" t="s">
        <v>8005</v>
      </c>
      <c r="B513" s="2" t="s">
        <v>8002</v>
      </c>
      <c r="C513" s="4">
        <v>1</v>
      </c>
      <c r="D513" s="5">
        <v>2.34</v>
      </c>
      <c r="E513" s="5">
        <v>5.99</v>
      </c>
      <c r="F513" s="4" t="s">
        <v>8003</v>
      </c>
      <c r="G513" s="2" t="s">
        <v>388</v>
      </c>
      <c r="H513" s="7" t="s">
        <v>442</v>
      </c>
      <c r="I513" s="2" t="s">
        <v>483</v>
      </c>
      <c r="J513" s="2" t="s">
        <v>536</v>
      </c>
      <c r="K513" s="2" t="s">
        <v>304</v>
      </c>
      <c r="L513" s="2" t="s">
        <v>206</v>
      </c>
      <c r="M513" s="8" t="str">
        <f>HYPERLINK("http://slimages.macys.com/is/image/MCY/13386727 ")</f>
        <v xml:space="preserve">http://slimages.macys.com/is/image/MCY/13386727 </v>
      </c>
    </row>
    <row r="514" spans="1:13" ht="60" x14ac:dyDescent="0.25">
      <c r="A514" s="7" t="s">
        <v>7235</v>
      </c>
      <c r="B514" s="2" t="s">
        <v>7236</v>
      </c>
      <c r="C514" s="4">
        <v>1</v>
      </c>
      <c r="D514" s="5">
        <v>2.34</v>
      </c>
      <c r="E514" s="5">
        <v>5.99</v>
      </c>
      <c r="F514" s="4" t="s">
        <v>7237</v>
      </c>
      <c r="G514" s="2" t="s">
        <v>103</v>
      </c>
      <c r="H514" s="7" t="s">
        <v>42</v>
      </c>
      <c r="I514" s="2" t="s">
        <v>483</v>
      </c>
      <c r="J514" s="2" t="s">
        <v>536</v>
      </c>
      <c r="K514" s="2" t="s">
        <v>304</v>
      </c>
      <c r="L514" s="2" t="s">
        <v>87</v>
      </c>
      <c r="M514" s="8" t="str">
        <f>HYPERLINK("http://slimages.macys.com/is/image/MCY/12466358 ")</f>
        <v xml:space="preserve">http://slimages.macys.com/is/image/MCY/12466358 </v>
      </c>
    </row>
    <row r="515" spans="1:13" ht="60" x14ac:dyDescent="0.25">
      <c r="A515" s="7" t="s">
        <v>8006</v>
      </c>
      <c r="B515" s="2" t="s">
        <v>7236</v>
      </c>
      <c r="C515" s="4">
        <v>2</v>
      </c>
      <c r="D515" s="5">
        <v>2.34</v>
      </c>
      <c r="E515" s="5">
        <v>5.99</v>
      </c>
      <c r="F515" s="4" t="s">
        <v>7237</v>
      </c>
      <c r="G515" s="2" t="s">
        <v>103</v>
      </c>
      <c r="H515" s="7" t="s">
        <v>442</v>
      </c>
      <c r="I515" s="2" t="s">
        <v>483</v>
      </c>
      <c r="J515" s="2" t="s">
        <v>536</v>
      </c>
      <c r="K515" s="2" t="s">
        <v>304</v>
      </c>
      <c r="L515" s="2" t="s">
        <v>87</v>
      </c>
      <c r="M515" s="8" t="str">
        <f>HYPERLINK("http://slimages.macys.com/is/image/MCY/12466358 ")</f>
        <v xml:space="preserve">http://slimages.macys.com/is/image/MCY/12466358 </v>
      </c>
    </row>
    <row r="516" spans="1:13" ht="60" x14ac:dyDescent="0.25">
      <c r="A516" s="7" t="s">
        <v>8007</v>
      </c>
      <c r="B516" s="2" t="s">
        <v>1354</v>
      </c>
      <c r="C516" s="4">
        <v>1</v>
      </c>
      <c r="D516" s="5">
        <v>2.34</v>
      </c>
      <c r="E516" s="5">
        <v>5.99</v>
      </c>
      <c r="F516" s="4" t="s">
        <v>1355</v>
      </c>
      <c r="G516" s="2" t="s">
        <v>643</v>
      </c>
      <c r="H516" s="7" t="s">
        <v>149</v>
      </c>
      <c r="I516" s="2" t="s">
        <v>483</v>
      </c>
      <c r="J516" s="2" t="s">
        <v>536</v>
      </c>
      <c r="K516" s="2" t="s">
        <v>304</v>
      </c>
      <c r="L516" s="2" t="s">
        <v>38</v>
      </c>
      <c r="M516" s="8" t="str">
        <f>HYPERLINK("http://slimages.macys.com/is/image/MCY/13337390 ")</f>
        <v xml:space="preserve">http://slimages.macys.com/is/image/MCY/13337390 </v>
      </c>
    </row>
    <row r="517" spans="1:13" ht="60" x14ac:dyDescent="0.25">
      <c r="A517" s="7" t="s">
        <v>8008</v>
      </c>
      <c r="B517" s="2" t="s">
        <v>8009</v>
      </c>
      <c r="C517" s="4">
        <v>1</v>
      </c>
      <c r="D517" s="5">
        <v>2.34</v>
      </c>
      <c r="E517" s="5">
        <v>5.99</v>
      </c>
      <c r="F517" s="4" t="s">
        <v>8010</v>
      </c>
      <c r="G517" s="2" t="s">
        <v>28</v>
      </c>
      <c r="H517" s="7" t="s">
        <v>149</v>
      </c>
      <c r="I517" s="2" t="s">
        <v>483</v>
      </c>
      <c r="J517" s="2" t="s">
        <v>536</v>
      </c>
      <c r="K517" s="2" t="s">
        <v>304</v>
      </c>
      <c r="L517" s="2" t="s">
        <v>206</v>
      </c>
      <c r="M517" s="8" t="str">
        <f>HYPERLINK("http://slimages.macys.com/is/image/MCY/11853502 ")</f>
        <v xml:space="preserve">http://slimages.macys.com/is/image/MCY/11853502 </v>
      </c>
    </row>
    <row r="518" spans="1:13" ht="60" x14ac:dyDescent="0.25">
      <c r="A518" s="7" t="s">
        <v>8011</v>
      </c>
      <c r="B518" s="2" t="s">
        <v>4573</v>
      </c>
      <c r="C518" s="4">
        <v>1</v>
      </c>
      <c r="D518" s="5">
        <v>2.34</v>
      </c>
      <c r="E518" s="5">
        <v>5.99</v>
      </c>
      <c r="F518" s="4" t="s">
        <v>4574</v>
      </c>
      <c r="G518" s="2" t="s">
        <v>1360</v>
      </c>
      <c r="H518" s="7" t="s">
        <v>442</v>
      </c>
      <c r="I518" s="2" t="s">
        <v>483</v>
      </c>
      <c r="J518" s="2" t="s">
        <v>536</v>
      </c>
      <c r="K518" s="2" t="s">
        <v>304</v>
      </c>
      <c r="L518" s="2" t="s">
        <v>38</v>
      </c>
      <c r="M518" s="8" t="str">
        <f>HYPERLINK("http://slimages.macys.com/is/image/MCY/13987605 ")</f>
        <v xml:space="preserve">http://slimages.macys.com/is/image/MCY/13987605 </v>
      </c>
    </row>
    <row r="519" spans="1:13" ht="60" x14ac:dyDescent="0.25">
      <c r="A519" s="7" t="s">
        <v>8012</v>
      </c>
      <c r="B519" s="2" t="s">
        <v>2335</v>
      </c>
      <c r="C519" s="4">
        <v>2</v>
      </c>
      <c r="D519" s="5">
        <v>2.34</v>
      </c>
      <c r="E519" s="5">
        <v>5.99</v>
      </c>
      <c r="F519" s="4" t="s">
        <v>2336</v>
      </c>
      <c r="G519" s="2" t="s">
        <v>41</v>
      </c>
      <c r="H519" s="7" t="s">
        <v>91</v>
      </c>
      <c r="I519" s="2" t="s">
        <v>483</v>
      </c>
      <c r="J519" s="2" t="s">
        <v>536</v>
      </c>
      <c r="K519" s="2" t="s">
        <v>304</v>
      </c>
      <c r="L519" s="2" t="s">
        <v>100</v>
      </c>
      <c r="M519" s="8" t="str">
        <f>HYPERLINK("http://slimages.macys.com/is/image/MCY/12466329 ")</f>
        <v xml:space="preserve">http://slimages.macys.com/is/image/MCY/12466329 </v>
      </c>
    </row>
    <row r="520" spans="1:13" ht="60" x14ac:dyDescent="0.25">
      <c r="A520" s="7" t="s">
        <v>8013</v>
      </c>
      <c r="B520" s="2" t="s">
        <v>7236</v>
      </c>
      <c r="C520" s="4">
        <v>2</v>
      </c>
      <c r="D520" s="5">
        <v>2.34</v>
      </c>
      <c r="E520" s="5">
        <v>5.99</v>
      </c>
      <c r="F520" s="4" t="s">
        <v>7237</v>
      </c>
      <c r="G520" s="2" t="s">
        <v>103</v>
      </c>
      <c r="H520" s="7" t="s">
        <v>91</v>
      </c>
      <c r="I520" s="2" t="s">
        <v>483</v>
      </c>
      <c r="J520" s="2" t="s">
        <v>536</v>
      </c>
      <c r="K520" s="2" t="s">
        <v>304</v>
      </c>
      <c r="L520" s="2" t="s">
        <v>87</v>
      </c>
      <c r="M520" s="8" t="str">
        <f>HYPERLINK("http://slimages.macys.com/is/image/MCY/12466358 ")</f>
        <v xml:space="preserve">http://slimages.macys.com/is/image/MCY/12466358 </v>
      </c>
    </row>
    <row r="521" spans="1:13" ht="60" x14ac:dyDescent="0.25">
      <c r="A521" s="7" t="s">
        <v>4572</v>
      </c>
      <c r="B521" s="2" t="s">
        <v>4573</v>
      </c>
      <c r="C521" s="4">
        <v>2</v>
      </c>
      <c r="D521" s="5">
        <v>2.34</v>
      </c>
      <c r="E521" s="5">
        <v>5.99</v>
      </c>
      <c r="F521" s="4" t="s">
        <v>4574</v>
      </c>
      <c r="G521" s="2" t="s">
        <v>1360</v>
      </c>
      <c r="H521" s="7" t="s">
        <v>91</v>
      </c>
      <c r="I521" s="2" t="s">
        <v>483</v>
      </c>
      <c r="J521" s="2" t="s">
        <v>536</v>
      </c>
      <c r="K521" s="2" t="s">
        <v>304</v>
      </c>
      <c r="L521" s="2" t="s">
        <v>38</v>
      </c>
      <c r="M521" s="8" t="str">
        <f>HYPERLINK("http://slimages.macys.com/is/image/MCY/13987605 ")</f>
        <v xml:space="preserve">http://slimages.macys.com/is/image/MCY/13987605 </v>
      </c>
    </row>
    <row r="522" spans="1:13" ht="60" x14ac:dyDescent="0.25">
      <c r="A522" s="7" t="s">
        <v>8014</v>
      </c>
      <c r="B522" s="2" t="s">
        <v>8015</v>
      </c>
      <c r="C522" s="4">
        <v>1</v>
      </c>
      <c r="D522" s="5">
        <v>2.33</v>
      </c>
      <c r="E522" s="5">
        <v>5.99</v>
      </c>
      <c r="F522" s="4" t="s">
        <v>8016</v>
      </c>
      <c r="G522" s="2" t="s">
        <v>48</v>
      </c>
      <c r="H522" s="7" t="s">
        <v>149</v>
      </c>
      <c r="I522" s="2" t="s">
        <v>483</v>
      </c>
      <c r="J522" s="2" t="s">
        <v>536</v>
      </c>
      <c r="K522" s="2" t="s">
        <v>304</v>
      </c>
      <c r="L522" s="2" t="s">
        <v>119</v>
      </c>
      <c r="M522" s="8" t="str">
        <f>HYPERLINK("http://slimages.macys.com/is/image/MCY/11856975 ")</f>
        <v xml:space="preserve">http://slimages.macys.com/is/image/MCY/11856975 </v>
      </c>
    </row>
    <row r="523" spans="1:13" ht="60" x14ac:dyDescent="0.25">
      <c r="A523" s="7" t="s">
        <v>7242</v>
      </c>
      <c r="B523" s="2" t="s">
        <v>6610</v>
      </c>
      <c r="C523" s="4">
        <v>1</v>
      </c>
      <c r="D523" s="5">
        <v>2.33</v>
      </c>
      <c r="E523" s="5">
        <v>6.99</v>
      </c>
      <c r="F523" s="4" t="s">
        <v>6611</v>
      </c>
      <c r="G523" s="2" t="s">
        <v>41</v>
      </c>
      <c r="H523" s="7" t="s">
        <v>590</v>
      </c>
      <c r="I523" s="2" t="s">
        <v>483</v>
      </c>
      <c r="J523" s="2" t="s">
        <v>536</v>
      </c>
      <c r="K523" s="2" t="s">
        <v>304</v>
      </c>
      <c r="L523" s="2" t="s">
        <v>100</v>
      </c>
      <c r="M523" s="8" t="str">
        <f>HYPERLINK("http://slimages.macys.com/is/image/MCY/12636233 ")</f>
        <v xml:space="preserve">http://slimages.macys.com/is/image/MCY/12636233 </v>
      </c>
    </row>
    <row r="524" spans="1:13" ht="60" x14ac:dyDescent="0.25">
      <c r="A524" s="7" t="s">
        <v>8017</v>
      </c>
      <c r="B524" s="2" t="s">
        <v>4576</v>
      </c>
      <c r="C524" s="4">
        <v>1</v>
      </c>
      <c r="D524" s="5">
        <v>2.33</v>
      </c>
      <c r="E524" s="5">
        <v>6.99</v>
      </c>
      <c r="F524" s="4" t="s">
        <v>4577</v>
      </c>
      <c r="G524" s="2" t="s">
        <v>297</v>
      </c>
      <c r="H524" s="7" t="s">
        <v>149</v>
      </c>
      <c r="I524" s="2" t="s">
        <v>483</v>
      </c>
      <c r="J524" s="2" t="s">
        <v>536</v>
      </c>
      <c r="K524" s="2" t="s">
        <v>304</v>
      </c>
      <c r="L524" s="2" t="s">
        <v>596</v>
      </c>
      <c r="M524" s="8" t="str">
        <f>HYPERLINK("http://slimages.macys.com/is/image/MCY/12465959 ")</f>
        <v xml:space="preserve">http://slimages.macys.com/is/image/MCY/12465959 </v>
      </c>
    </row>
    <row r="525" spans="1:13" ht="60" x14ac:dyDescent="0.25">
      <c r="A525" s="7" t="s">
        <v>6077</v>
      </c>
      <c r="B525" s="2" t="s">
        <v>5762</v>
      </c>
      <c r="C525" s="4">
        <v>1</v>
      </c>
      <c r="D525" s="5">
        <v>2.33</v>
      </c>
      <c r="E525" s="5">
        <v>5.99</v>
      </c>
      <c r="F525" s="4" t="s">
        <v>5763</v>
      </c>
      <c r="G525" s="2" t="s">
        <v>657</v>
      </c>
      <c r="H525" s="7" t="s">
        <v>442</v>
      </c>
      <c r="I525" s="2" t="s">
        <v>483</v>
      </c>
      <c r="J525" s="2" t="s">
        <v>536</v>
      </c>
      <c r="K525" s="2" t="s">
        <v>304</v>
      </c>
      <c r="L525" s="2" t="s">
        <v>119</v>
      </c>
      <c r="M525" s="8" t="str">
        <f>HYPERLINK("http://slimages.macys.com/is/image/MCY/11856987 ")</f>
        <v xml:space="preserve">http://slimages.macys.com/is/image/MCY/11856987 </v>
      </c>
    </row>
    <row r="526" spans="1:13" ht="60" x14ac:dyDescent="0.25">
      <c r="A526" s="7" t="s">
        <v>8018</v>
      </c>
      <c r="B526" s="2" t="s">
        <v>5762</v>
      </c>
      <c r="C526" s="4">
        <v>1</v>
      </c>
      <c r="D526" s="5">
        <v>2.33</v>
      </c>
      <c r="E526" s="5">
        <v>5.99</v>
      </c>
      <c r="F526" s="4" t="s">
        <v>5763</v>
      </c>
      <c r="G526" s="2" t="s">
        <v>657</v>
      </c>
      <c r="H526" s="7" t="s">
        <v>91</v>
      </c>
      <c r="I526" s="2" t="s">
        <v>483</v>
      </c>
      <c r="J526" s="2" t="s">
        <v>536</v>
      </c>
      <c r="K526" s="2" t="s">
        <v>304</v>
      </c>
      <c r="L526" s="2" t="s">
        <v>119</v>
      </c>
      <c r="M526" s="8" t="str">
        <f>HYPERLINK("http://slimages.macys.com/is/image/MCY/11856987 ")</f>
        <v xml:space="preserve">http://slimages.macys.com/is/image/MCY/11856987 </v>
      </c>
    </row>
    <row r="527" spans="1:13" ht="60" x14ac:dyDescent="0.25">
      <c r="A527" s="7" t="s">
        <v>2342</v>
      </c>
      <c r="B527" s="2" t="s">
        <v>2343</v>
      </c>
      <c r="C527" s="4">
        <v>4</v>
      </c>
      <c r="D527" s="5">
        <v>2.33</v>
      </c>
      <c r="E527" s="5">
        <v>7.99</v>
      </c>
      <c r="F527" s="4">
        <v>10005049200</v>
      </c>
      <c r="G527" s="2" t="s">
        <v>527</v>
      </c>
      <c r="H527" s="7" t="s">
        <v>531</v>
      </c>
      <c r="I527" s="2" t="s">
        <v>483</v>
      </c>
      <c r="J527" s="2" t="s">
        <v>536</v>
      </c>
      <c r="K527" s="2" t="s">
        <v>304</v>
      </c>
      <c r="L527" s="2" t="s">
        <v>75</v>
      </c>
      <c r="M527" s="8" t="str">
        <f>HYPERLINK("http://slimages.macys.com/is/image/MCY/11520401 ")</f>
        <v xml:space="preserve">http://slimages.macys.com/is/image/MCY/11520401 </v>
      </c>
    </row>
    <row r="528" spans="1:13" ht="60" x14ac:dyDescent="0.25">
      <c r="A528" s="7" t="s">
        <v>1358</v>
      </c>
      <c r="B528" s="2" t="s">
        <v>1359</v>
      </c>
      <c r="C528" s="4">
        <v>7</v>
      </c>
      <c r="D528" s="5">
        <v>2.33</v>
      </c>
      <c r="E528" s="5">
        <v>7.99</v>
      </c>
      <c r="F528" s="4">
        <v>10004191800</v>
      </c>
      <c r="G528" s="2" t="s">
        <v>1360</v>
      </c>
      <c r="H528" s="7" t="s">
        <v>531</v>
      </c>
      <c r="I528" s="2" t="s">
        <v>483</v>
      </c>
      <c r="J528" s="2" t="s">
        <v>536</v>
      </c>
      <c r="K528" s="2" t="s">
        <v>304</v>
      </c>
      <c r="L528" s="2" t="s">
        <v>38</v>
      </c>
      <c r="M528" s="8" t="str">
        <f>HYPERLINK("http://slimages.macys.com/is/image/MCY/11520378 ")</f>
        <v xml:space="preserve">http://slimages.macys.com/is/image/MCY/11520378 </v>
      </c>
    </row>
    <row r="529" spans="1:13" ht="60" x14ac:dyDescent="0.25">
      <c r="A529" s="7" t="s">
        <v>8019</v>
      </c>
      <c r="B529" s="2" t="s">
        <v>8020</v>
      </c>
      <c r="C529" s="4">
        <v>2</v>
      </c>
      <c r="D529" s="5">
        <v>2.33</v>
      </c>
      <c r="E529" s="5">
        <v>4.99</v>
      </c>
      <c r="F529" s="4">
        <v>100002979</v>
      </c>
      <c r="G529" s="2" t="s">
        <v>582</v>
      </c>
      <c r="H529" s="7" t="s">
        <v>531</v>
      </c>
      <c r="I529" s="2" t="s">
        <v>483</v>
      </c>
      <c r="J529" s="2" t="s">
        <v>536</v>
      </c>
      <c r="K529" s="2" t="s">
        <v>304</v>
      </c>
      <c r="L529" s="2" t="s">
        <v>8021</v>
      </c>
      <c r="M529" s="8" t="str">
        <f>HYPERLINK("http://slimages.macys.com/is/image/MCY/8691453 ")</f>
        <v xml:space="preserve">http://slimages.macys.com/is/image/MCY/8691453 </v>
      </c>
    </row>
    <row r="530" spans="1:13" ht="60" x14ac:dyDescent="0.25">
      <c r="A530" s="7" t="s">
        <v>2347</v>
      </c>
      <c r="B530" s="2" t="s">
        <v>2348</v>
      </c>
      <c r="C530" s="4">
        <v>2</v>
      </c>
      <c r="D530" s="5">
        <v>2.31</v>
      </c>
      <c r="E530" s="5">
        <v>7.99</v>
      </c>
      <c r="F530" s="4">
        <v>10005380100</v>
      </c>
      <c r="G530" s="2" t="s">
        <v>1360</v>
      </c>
      <c r="H530" s="7" t="s">
        <v>531</v>
      </c>
      <c r="I530" s="2" t="s">
        <v>483</v>
      </c>
      <c r="J530" s="2" t="s">
        <v>536</v>
      </c>
      <c r="K530" s="2" t="s">
        <v>304</v>
      </c>
      <c r="L530" s="2" t="s">
        <v>87</v>
      </c>
      <c r="M530" s="8" t="str">
        <f>HYPERLINK("http://slimages.macys.com/is/image/MCY/12466174 ")</f>
        <v xml:space="preserve">http://slimages.macys.com/is/image/MCY/12466174 </v>
      </c>
    </row>
    <row r="531" spans="1:13" ht="60" x14ac:dyDescent="0.25">
      <c r="A531" s="7" t="s">
        <v>5764</v>
      </c>
      <c r="B531" s="2" t="s">
        <v>4579</v>
      </c>
      <c r="C531" s="4">
        <v>8</v>
      </c>
      <c r="D531" s="5">
        <v>2.31</v>
      </c>
      <c r="E531" s="5">
        <v>7.99</v>
      </c>
      <c r="F531" s="4">
        <v>10004192100</v>
      </c>
      <c r="G531" s="2" t="s">
        <v>171</v>
      </c>
      <c r="H531" s="7" t="s">
        <v>531</v>
      </c>
      <c r="I531" s="2" t="s">
        <v>483</v>
      </c>
      <c r="J531" s="2" t="s">
        <v>536</v>
      </c>
      <c r="K531" s="2" t="s">
        <v>304</v>
      </c>
      <c r="L531" s="2" t="s">
        <v>75</v>
      </c>
      <c r="M531" s="8" t="str">
        <f>HYPERLINK("http://slimages.macys.com/is/image/MCY/11519987 ")</f>
        <v xml:space="preserve">http://slimages.macys.com/is/image/MCY/11519987 </v>
      </c>
    </row>
    <row r="532" spans="1:13" ht="60" x14ac:dyDescent="0.25">
      <c r="A532" s="7" t="s">
        <v>8022</v>
      </c>
      <c r="B532" s="2" t="s">
        <v>2364</v>
      </c>
      <c r="C532" s="4">
        <v>1</v>
      </c>
      <c r="D532" s="5">
        <v>2.29</v>
      </c>
      <c r="E532" s="5">
        <v>5.99</v>
      </c>
      <c r="F532" s="4" t="s">
        <v>2365</v>
      </c>
      <c r="G532" s="2" t="s">
        <v>657</v>
      </c>
      <c r="H532" s="7" t="s">
        <v>149</v>
      </c>
      <c r="I532" s="2" t="s">
        <v>483</v>
      </c>
      <c r="J532" s="2" t="s">
        <v>536</v>
      </c>
      <c r="K532" s="2" t="s">
        <v>304</v>
      </c>
      <c r="L532" s="2" t="s">
        <v>119</v>
      </c>
      <c r="M532" s="8" t="str">
        <f>HYPERLINK("http://slimages.macys.com/is/image/MCY/12644673 ")</f>
        <v xml:space="preserve">http://slimages.macys.com/is/image/MCY/12644673 </v>
      </c>
    </row>
    <row r="533" spans="1:13" ht="60" x14ac:dyDescent="0.25">
      <c r="A533" s="7" t="s">
        <v>1364</v>
      </c>
      <c r="B533" s="2" t="s">
        <v>1365</v>
      </c>
      <c r="C533" s="4">
        <v>1</v>
      </c>
      <c r="D533" s="5">
        <v>2.29</v>
      </c>
      <c r="E533" s="5">
        <v>5.99</v>
      </c>
      <c r="F533" s="4" t="s">
        <v>1366</v>
      </c>
      <c r="G533" s="2" t="s">
        <v>62</v>
      </c>
      <c r="H533" s="7" t="s">
        <v>590</v>
      </c>
      <c r="I533" s="2" t="s">
        <v>483</v>
      </c>
      <c r="J533" s="2" t="s">
        <v>536</v>
      </c>
      <c r="K533" s="2" t="s">
        <v>304</v>
      </c>
      <c r="L533" s="2" t="s">
        <v>206</v>
      </c>
      <c r="M533" s="8" t="str">
        <f>HYPERLINK("http://slimages.macys.com/is/image/MCY/12463166 ")</f>
        <v xml:space="preserve">http://slimages.macys.com/is/image/MCY/12463166 </v>
      </c>
    </row>
    <row r="534" spans="1:13" ht="60" x14ac:dyDescent="0.25">
      <c r="A534" s="7" t="s">
        <v>8023</v>
      </c>
      <c r="B534" s="2" t="s">
        <v>7244</v>
      </c>
      <c r="C534" s="4">
        <v>2</v>
      </c>
      <c r="D534" s="5">
        <v>2.29</v>
      </c>
      <c r="E534" s="5">
        <v>5.99</v>
      </c>
      <c r="F534" s="4" t="s">
        <v>7245</v>
      </c>
      <c r="G534" s="2" t="s">
        <v>41</v>
      </c>
      <c r="H534" s="7" t="s">
        <v>91</v>
      </c>
      <c r="I534" s="2" t="s">
        <v>483</v>
      </c>
      <c r="J534" s="2" t="s">
        <v>536</v>
      </c>
      <c r="K534" s="2" t="s">
        <v>304</v>
      </c>
      <c r="L534" s="2" t="s">
        <v>206</v>
      </c>
      <c r="M534" s="8" t="str">
        <f>HYPERLINK("http://slimages.macys.com/is/image/MCY/11857585 ")</f>
        <v xml:space="preserve">http://slimages.macys.com/is/image/MCY/11857585 </v>
      </c>
    </row>
    <row r="535" spans="1:13" ht="60" x14ac:dyDescent="0.25">
      <c r="A535" s="7" t="s">
        <v>6626</v>
      </c>
      <c r="B535" s="2" t="s">
        <v>2359</v>
      </c>
      <c r="C535" s="4">
        <v>1</v>
      </c>
      <c r="D535" s="5">
        <v>2.29</v>
      </c>
      <c r="E535" s="5">
        <v>5.99</v>
      </c>
      <c r="F535" s="4" t="s">
        <v>2360</v>
      </c>
      <c r="G535" s="2" t="s">
        <v>28</v>
      </c>
      <c r="H535" s="7" t="s">
        <v>91</v>
      </c>
      <c r="I535" s="2" t="s">
        <v>483</v>
      </c>
      <c r="J535" s="2" t="s">
        <v>536</v>
      </c>
      <c r="K535" s="2" t="s">
        <v>304</v>
      </c>
      <c r="L535" s="2" t="s">
        <v>119</v>
      </c>
      <c r="M535" s="8" t="str">
        <f>HYPERLINK("http://slimages.macys.com/is/image/MCY/12644507 ")</f>
        <v xml:space="preserve">http://slimages.macys.com/is/image/MCY/12644507 </v>
      </c>
    </row>
    <row r="536" spans="1:13" ht="60" x14ac:dyDescent="0.25">
      <c r="A536" s="7" t="s">
        <v>7243</v>
      </c>
      <c r="B536" s="2" t="s">
        <v>7244</v>
      </c>
      <c r="C536" s="4">
        <v>2</v>
      </c>
      <c r="D536" s="5">
        <v>2.29</v>
      </c>
      <c r="E536" s="5">
        <v>5.99</v>
      </c>
      <c r="F536" s="4" t="s">
        <v>7245</v>
      </c>
      <c r="G536" s="2" t="s">
        <v>41</v>
      </c>
      <c r="H536" s="7" t="s">
        <v>442</v>
      </c>
      <c r="I536" s="2" t="s">
        <v>483</v>
      </c>
      <c r="J536" s="2" t="s">
        <v>536</v>
      </c>
      <c r="K536" s="2" t="s">
        <v>304</v>
      </c>
      <c r="L536" s="2" t="s">
        <v>206</v>
      </c>
      <c r="M536" s="8" t="str">
        <f>HYPERLINK("http://slimages.macys.com/is/image/MCY/11857585 ")</f>
        <v xml:space="preserve">http://slimages.macys.com/is/image/MCY/11857585 </v>
      </c>
    </row>
    <row r="537" spans="1:13" ht="60" x14ac:dyDescent="0.25">
      <c r="A537" s="7" t="s">
        <v>2366</v>
      </c>
      <c r="B537" s="2" t="s">
        <v>2364</v>
      </c>
      <c r="C537" s="4">
        <v>1</v>
      </c>
      <c r="D537" s="5">
        <v>2.29</v>
      </c>
      <c r="E537" s="5">
        <v>5.99</v>
      </c>
      <c r="F537" s="4" t="s">
        <v>2365</v>
      </c>
      <c r="G537" s="2" t="s">
        <v>657</v>
      </c>
      <c r="H537" s="7" t="s">
        <v>590</v>
      </c>
      <c r="I537" s="2" t="s">
        <v>483</v>
      </c>
      <c r="J537" s="2" t="s">
        <v>536</v>
      </c>
      <c r="K537" s="2" t="s">
        <v>304</v>
      </c>
      <c r="L537" s="2" t="s">
        <v>119</v>
      </c>
      <c r="M537" s="8" t="str">
        <f>HYPERLINK("http://slimages.macys.com/is/image/MCY/12644673 ")</f>
        <v xml:space="preserve">http://slimages.macys.com/is/image/MCY/12644673 </v>
      </c>
    </row>
    <row r="538" spans="1:13" ht="60" x14ac:dyDescent="0.25">
      <c r="A538" s="7" t="s">
        <v>8024</v>
      </c>
      <c r="B538" s="2" t="s">
        <v>5767</v>
      </c>
      <c r="C538" s="4">
        <v>1</v>
      </c>
      <c r="D538" s="5">
        <v>2.29</v>
      </c>
      <c r="E538" s="5">
        <v>5.99</v>
      </c>
      <c r="F538" s="4" t="s">
        <v>5768</v>
      </c>
      <c r="G538" s="2" t="s">
        <v>129</v>
      </c>
      <c r="H538" s="7" t="s">
        <v>442</v>
      </c>
      <c r="I538" s="2" t="s">
        <v>483</v>
      </c>
      <c r="J538" s="2" t="s">
        <v>536</v>
      </c>
      <c r="K538" s="2" t="s">
        <v>304</v>
      </c>
      <c r="L538" s="2" t="s">
        <v>119</v>
      </c>
      <c r="M538" s="8" t="str">
        <f>HYPERLINK("http://slimages.macys.com/is/image/MCY/11523899 ")</f>
        <v xml:space="preserve">http://slimages.macys.com/is/image/MCY/11523899 </v>
      </c>
    </row>
    <row r="539" spans="1:13" ht="60" x14ac:dyDescent="0.25">
      <c r="A539" s="7" t="s">
        <v>8025</v>
      </c>
      <c r="B539" s="2" t="s">
        <v>2364</v>
      </c>
      <c r="C539" s="4">
        <v>1</v>
      </c>
      <c r="D539" s="5">
        <v>2.29</v>
      </c>
      <c r="E539" s="5">
        <v>5.99</v>
      </c>
      <c r="F539" s="4" t="s">
        <v>2365</v>
      </c>
      <c r="G539" s="2" t="s">
        <v>657</v>
      </c>
      <c r="H539" s="7" t="s">
        <v>91</v>
      </c>
      <c r="I539" s="2" t="s">
        <v>483</v>
      </c>
      <c r="J539" s="2" t="s">
        <v>536</v>
      </c>
      <c r="K539" s="2" t="s">
        <v>304</v>
      </c>
      <c r="L539" s="2" t="s">
        <v>119</v>
      </c>
      <c r="M539" s="8" t="str">
        <f>HYPERLINK("http://slimages.macys.com/is/image/MCY/12644673 ")</f>
        <v xml:space="preserve">http://slimages.macys.com/is/image/MCY/12644673 </v>
      </c>
    </row>
    <row r="540" spans="1:13" ht="60" x14ac:dyDescent="0.25">
      <c r="A540" s="7" t="s">
        <v>8026</v>
      </c>
      <c r="B540" s="2" t="s">
        <v>7244</v>
      </c>
      <c r="C540" s="4">
        <v>1</v>
      </c>
      <c r="D540" s="5">
        <v>2.29</v>
      </c>
      <c r="E540" s="5">
        <v>5.99</v>
      </c>
      <c r="F540" s="4" t="s">
        <v>7245</v>
      </c>
      <c r="G540" s="2" t="s">
        <v>41</v>
      </c>
      <c r="H540" s="7" t="s">
        <v>42</v>
      </c>
      <c r="I540" s="2" t="s">
        <v>483</v>
      </c>
      <c r="J540" s="2" t="s">
        <v>536</v>
      </c>
      <c r="K540" s="2" t="s">
        <v>304</v>
      </c>
      <c r="L540" s="2" t="s">
        <v>206</v>
      </c>
      <c r="M540" s="8" t="str">
        <f>HYPERLINK("http://slimages.macys.com/is/image/MCY/11857585 ")</f>
        <v xml:space="preserve">http://slimages.macys.com/is/image/MCY/11857585 </v>
      </c>
    </row>
    <row r="541" spans="1:13" ht="60" x14ac:dyDescent="0.25">
      <c r="A541" s="7" t="s">
        <v>8027</v>
      </c>
      <c r="B541" s="2" t="s">
        <v>1365</v>
      </c>
      <c r="C541" s="4">
        <v>1</v>
      </c>
      <c r="D541" s="5">
        <v>2.29</v>
      </c>
      <c r="E541" s="5">
        <v>5.99</v>
      </c>
      <c r="F541" s="4" t="s">
        <v>1366</v>
      </c>
      <c r="G541" s="2" t="s">
        <v>62</v>
      </c>
      <c r="H541" s="7" t="s">
        <v>42</v>
      </c>
      <c r="I541" s="2" t="s">
        <v>483</v>
      </c>
      <c r="J541" s="2" t="s">
        <v>536</v>
      </c>
      <c r="K541" s="2" t="s">
        <v>304</v>
      </c>
      <c r="L541" s="2" t="s">
        <v>206</v>
      </c>
      <c r="M541" s="8" t="str">
        <f>HYPERLINK("http://slimages.macys.com/is/image/MCY/12463166 ")</f>
        <v xml:space="preserve">http://slimages.macys.com/is/image/MCY/12463166 </v>
      </c>
    </row>
    <row r="542" spans="1:13" ht="60" x14ac:dyDescent="0.25">
      <c r="A542" s="7" t="s">
        <v>1370</v>
      </c>
      <c r="B542" s="2" t="s">
        <v>1368</v>
      </c>
      <c r="C542" s="4">
        <v>1</v>
      </c>
      <c r="D542" s="5">
        <v>2.2799999999999998</v>
      </c>
      <c r="E542" s="5">
        <v>5.99</v>
      </c>
      <c r="F542" s="4" t="s">
        <v>1369</v>
      </c>
      <c r="G542" s="2" t="s">
        <v>41</v>
      </c>
      <c r="H542" s="7" t="s">
        <v>42</v>
      </c>
      <c r="I542" s="2" t="s">
        <v>483</v>
      </c>
      <c r="J542" s="2" t="s">
        <v>536</v>
      </c>
      <c r="K542" s="2" t="s">
        <v>304</v>
      </c>
      <c r="L542" s="2" t="s">
        <v>38</v>
      </c>
      <c r="M542" s="8" t="str">
        <f>HYPERLINK("http://slimages.macys.com/is/image/MCY/13987603 ")</f>
        <v xml:space="preserve">http://slimages.macys.com/is/image/MCY/13987603 </v>
      </c>
    </row>
    <row r="543" spans="1:13" ht="60" x14ac:dyDescent="0.25">
      <c r="A543" s="7" t="s">
        <v>8028</v>
      </c>
      <c r="B543" s="2" t="s">
        <v>1368</v>
      </c>
      <c r="C543" s="4">
        <v>1</v>
      </c>
      <c r="D543" s="5">
        <v>2.2799999999999998</v>
      </c>
      <c r="E543" s="5">
        <v>5.99</v>
      </c>
      <c r="F543" s="4" t="s">
        <v>1369</v>
      </c>
      <c r="G543" s="2" t="s">
        <v>41</v>
      </c>
      <c r="H543" s="7" t="s">
        <v>149</v>
      </c>
      <c r="I543" s="2" t="s">
        <v>483</v>
      </c>
      <c r="J543" s="2" t="s">
        <v>536</v>
      </c>
      <c r="K543" s="2" t="s">
        <v>304</v>
      </c>
      <c r="L543" s="2" t="s">
        <v>38</v>
      </c>
      <c r="M543" s="8" t="str">
        <f>HYPERLINK("http://slimages.macys.com/is/image/MCY/13987603 ")</f>
        <v xml:space="preserve">http://slimages.macys.com/is/image/MCY/13987603 </v>
      </c>
    </row>
    <row r="544" spans="1:13" ht="60" x14ac:dyDescent="0.25">
      <c r="A544" s="7" t="s">
        <v>8029</v>
      </c>
      <c r="B544" s="2" t="s">
        <v>1391</v>
      </c>
      <c r="C544" s="4">
        <v>1</v>
      </c>
      <c r="D544" s="5">
        <v>2.27</v>
      </c>
      <c r="E544" s="5">
        <v>5.99</v>
      </c>
      <c r="F544" s="4" t="s">
        <v>7252</v>
      </c>
      <c r="G544" s="2" t="s">
        <v>1147</v>
      </c>
      <c r="H544" s="7" t="s">
        <v>91</v>
      </c>
      <c r="I544" s="2" t="s">
        <v>483</v>
      </c>
      <c r="J544" s="2" t="s">
        <v>536</v>
      </c>
      <c r="K544" s="2" t="s">
        <v>304</v>
      </c>
      <c r="L544" s="2" t="s">
        <v>206</v>
      </c>
      <c r="M544" s="8" t="str">
        <f>HYPERLINK("http://slimages.macys.com/is/image/MCY/11855627 ")</f>
        <v xml:space="preserve">http://slimages.macys.com/is/image/MCY/11855627 </v>
      </c>
    </row>
    <row r="545" spans="1:13" ht="60" x14ac:dyDescent="0.25">
      <c r="A545" s="7" t="s">
        <v>4586</v>
      </c>
      <c r="B545" s="2" t="s">
        <v>4587</v>
      </c>
      <c r="C545" s="4">
        <v>1</v>
      </c>
      <c r="D545" s="5">
        <v>2.27</v>
      </c>
      <c r="E545" s="5">
        <v>5.99</v>
      </c>
      <c r="F545" s="4" t="s">
        <v>4588</v>
      </c>
      <c r="G545" s="2" t="s">
        <v>129</v>
      </c>
      <c r="H545" s="7" t="s">
        <v>42</v>
      </c>
      <c r="I545" s="2" t="s">
        <v>483</v>
      </c>
      <c r="J545" s="2" t="s">
        <v>536</v>
      </c>
      <c r="K545" s="2" t="s">
        <v>304</v>
      </c>
      <c r="L545" s="2" t="s">
        <v>38</v>
      </c>
      <c r="M545" s="8" t="str">
        <f>HYPERLINK("http://slimages.macys.com/is/image/MCY/11857357 ")</f>
        <v xml:space="preserve">http://slimages.macys.com/is/image/MCY/11857357 </v>
      </c>
    </row>
    <row r="546" spans="1:13" ht="60" x14ac:dyDescent="0.25">
      <c r="A546" s="7" t="s">
        <v>1377</v>
      </c>
      <c r="B546" s="2" t="s">
        <v>1372</v>
      </c>
      <c r="C546" s="4">
        <v>2</v>
      </c>
      <c r="D546" s="5">
        <v>2.27</v>
      </c>
      <c r="E546" s="5">
        <v>5.99</v>
      </c>
      <c r="F546" s="4" t="s">
        <v>1373</v>
      </c>
      <c r="G546" s="2" t="s">
        <v>134</v>
      </c>
      <c r="H546" s="7" t="s">
        <v>91</v>
      </c>
      <c r="I546" s="2" t="s">
        <v>483</v>
      </c>
      <c r="J546" s="2" t="s">
        <v>536</v>
      </c>
      <c r="K546" s="2" t="s">
        <v>304</v>
      </c>
      <c r="L546" s="2" t="s">
        <v>119</v>
      </c>
      <c r="M546" s="8" t="str">
        <f>HYPERLINK("http://slimages.macys.com/is/image/MCY/12642166 ")</f>
        <v xml:space="preserve">http://slimages.macys.com/is/image/MCY/12642166 </v>
      </c>
    </row>
    <row r="547" spans="1:13" ht="60" x14ac:dyDescent="0.25">
      <c r="A547" s="7" t="s">
        <v>7246</v>
      </c>
      <c r="B547" s="2" t="s">
        <v>4594</v>
      </c>
      <c r="C547" s="4">
        <v>1</v>
      </c>
      <c r="D547" s="5">
        <v>2.27</v>
      </c>
      <c r="E547" s="5">
        <v>5.99</v>
      </c>
      <c r="F547" s="4" t="s">
        <v>4595</v>
      </c>
      <c r="G547" s="2" t="s">
        <v>41</v>
      </c>
      <c r="H547" s="7" t="s">
        <v>91</v>
      </c>
      <c r="I547" s="2" t="s">
        <v>483</v>
      </c>
      <c r="J547" s="2" t="s">
        <v>536</v>
      </c>
      <c r="K547" s="2" t="s">
        <v>304</v>
      </c>
      <c r="L547" s="2" t="s">
        <v>87</v>
      </c>
      <c r="M547" s="8" t="str">
        <f>HYPERLINK("http://slimages.macys.com/is/image/MCY/12466281 ")</f>
        <v xml:space="preserve">http://slimages.macys.com/is/image/MCY/12466281 </v>
      </c>
    </row>
    <row r="548" spans="1:13" ht="60" x14ac:dyDescent="0.25">
      <c r="A548" s="7" t="s">
        <v>8030</v>
      </c>
      <c r="B548" s="2" t="s">
        <v>6631</v>
      </c>
      <c r="C548" s="4">
        <v>1</v>
      </c>
      <c r="D548" s="5">
        <v>2.27</v>
      </c>
      <c r="E548" s="5">
        <v>5.99</v>
      </c>
      <c r="F548" s="4" t="s">
        <v>6632</v>
      </c>
      <c r="G548" s="2" t="s">
        <v>353</v>
      </c>
      <c r="H548" s="7" t="s">
        <v>42</v>
      </c>
      <c r="I548" s="2" t="s">
        <v>483</v>
      </c>
      <c r="J548" s="2" t="s">
        <v>536</v>
      </c>
      <c r="K548" s="2" t="s">
        <v>304</v>
      </c>
      <c r="L548" s="2" t="s">
        <v>38</v>
      </c>
      <c r="M548" s="8" t="str">
        <f>HYPERLINK("http://slimages.macys.com/is/image/MCY/12466331 ")</f>
        <v xml:space="preserve">http://slimages.macys.com/is/image/MCY/12466331 </v>
      </c>
    </row>
    <row r="549" spans="1:13" ht="60" x14ac:dyDescent="0.25">
      <c r="A549" s="7" t="s">
        <v>1374</v>
      </c>
      <c r="B549" s="2" t="s">
        <v>1372</v>
      </c>
      <c r="C549" s="4">
        <v>2</v>
      </c>
      <c r="D549" s="5">
        <v>2.27</v>
      </c>
      <c r="E549" s="5">
        <v>5.99</v>
      </c>
      <c r="F549" s="4" t="s">
        <v>1373</v>
      </c>
      <c r="G549" s="2" t="s">
        <v>134</v>
      </c>
      <c r="H549" s="7" t="s">
        <v>590</v>
      </c>
      <c r="I549" s="2" t="s">
        <v>483</v>
      </c>
      <c r="J549" s="2" t="s">
        <v>536</v>
      </c>
      <c r="K549" s="2" t="s">
        <v>304</v>
      </c>
      <c r="L549" s="2" t="s">
        <v>119</v>
      </c>
      <c r="M549" s="8" t="str">
        <f>HYPERLINK("http://slimages.macys.com/is/image/MCY/12642166 ")</f>
        <v xml:space="preserve">http://slimages.macys.com/is/image/MCY/12642166 </v>
      </c>
    </row>
    <row r="550" spans="1:13" ht="60" x14ac:dyDescent="0.25">
      <c r="A550" s="7" t="s">
        <v>8031</v>
      </c>
      <c r="B550" s="2" t="s">
        <v>6628</v>
      </c>
      <c r="C550" s="4">
        <v>1</v>
      </c>
      <c r="D550" s="5">
        <v>2.27</v>
      </c>
      <c r="E550" s="5">
        <v>5.99</v>
      </c>
      <c r="F550" s="4" t="s">
        <v>6629</v>
      </c>
      <c r="G550" s="2" t="s">
        <v>86</v>
      </c>
      <c r="H550" s="7" t="s">
        <v>590</v>
      </c>
      <c r="I550" s="2" t="s">
        <v>483</v>
      </c>
      <c r="J550" s="2" t="s">
        <v>536</v>
      </c>
      <c r="K550" s="2" t="s">
        <v>304</v>
      </c>
      <c r="L550" s="2" t="s">
        <v>119</v>
      </c>
      <c r="M550" s="8" t="str">
        <f>HYPERLINK("http://slimages.macys.com/is/image/MCY/11377335 ")</f>
        <v xml:space="preserve">http://slimages.macys.com/is/image/MCY/11377335 </v>
      </c>
    </row>
    <row r="551" spans="1:13" ht="60" x14ac:dyDescent="0.25">
      <c r="A551" s="7" t="s">
        <v>7250</v>
      </c>
      <c r="B551" s="2" t="s">
        <v>5718</v>
      </c>
      <c r="C551" s="4">
        <v>2</v>
      </c>
      <c r="D551" s="5">
        <v>2.27</v>
      </c>
      <c r="E551" s="5">
        <v>5.99</v>
      </c>
      <c r="F551" s="4" t="s">
        <v>7248</v>
      </c>
      <c r="G551" s="2" t="s">
        <v>41</v>
      </c>
      <c r="H551" s="7" t="s">
        <v>42</v>
      </c>
      <c r="I551" s="2" t="s">
        <v>483</v>
      </c>
      <c r="J551" s="2" t="s">
        <v>536</v>
      </c>
      <c r="K551" s="2" t="s">
        <v>304</v>
      </c>
      <c r="L551" s="2" t="s">
        <v>87</v>
      </c>
      <c r="M551" s="8" t="str">
        <f>HYPERLINK("http://slimages.macys.com/is/image/MCY/12466263 ")</f>
        <v xml:space="preserve">http://slimages.macys.com/is/image/MCY/12466263 </v>
      </c>
    </row>
    <row r="552" spans="1:13" ht="60" x14ac:dyDescent="0.25">
      <c r="A552" s="7" t="s">
        <v>1371</v>
      </c>
      <c r="B552" s="2" t="s">
        <v>1372</v>
      </c>
      <c r="C552" s="4">
        <v>1</v>
      </c>
      <c r="D552" s="5">
        <v>2.27</v>
      </c>
      <c r="E552" s="5">
        <v>5.99</v>
      </c>
      <c r="F552" s="4" t="s">
        <v>1373</v>
      </c>
      <c r="G552" s="2" t="s">
        <v>134</v>
      </c>
      <c r="H552" s="7" t="s">
        <v>442</v>
      </c>
      <c r="I552" s="2" t="s">
        <v>483</v>
      </c>
      <c r="J552" s="2" t="s">
        <v>536</v>
      </c>
      <c r="K552" s="2" t="s">
        <v>304</v>
      </c>
      <c r="L552" s="2" t="s">
        <v>119</v>
      </c>
      <c r="M552" s="8" t="str">
        <f>HYPERLINK("http://slimages.macys.com/is/image/MCY/12642166 ")</f>
        <v xml:space="preserve">http://slimages.macys.com/is/image/MCY/12642166 </v>
      </c>
    </row>
    <row r="553" spans="1:13" ht="60" x14ac:dyDescent="0.25">
      <c r="A553" s="7" t="s">
        <v>1375</v>
      </c>
      <c r="B553" s="2" t="s">
        <v>1372</v>
      </c>
      <c r="C553" s="4">
        <v>1</v>
      </c>
      <c r="D553" s="5">
        <v>2.27</v>
      </c>
      <c r="E553" s="5">
        <v>5.99</v>
      </c>
      <c r="F553" s="4" t="s">
        <v>1373</v>
      </c>
      <c r="G553" s="2" t="s">
        <v>134</v>
      </c>
      <c r="H553" s="7" t="s">
        <v>42</v>
      </c>
      <c r="I553" s="2" t="s">
        <v>483</v>
      </c>
      <c r="J553" s="2" t="s">
        <v>536</v>
      </c>
      <c r="K553" s="2" t="s">
        <v>304</v>
      </c>
      <c r="L553" s="2" t="s">
        <v>119</v>
      </c>
      <c r="M553" s="8" t="str">
        <f>HYPERLINK("http://slimages.macys.com/is/image/MCY/12642166 ")</f>
        <v xml:space="preserve">http://slimages.macys.com/is/image/MCY/12642166 </v>
      </c>
    </row>
    <row r="554" spans="1:13" ht="60" x14ac:dyDescent="0.25">
      <c r="A554" s="7" t="s">
        <v>8032</v>
      </c>
      <c r="B554" s="2" t="s">
        <v>1379</v>
      </c>
      <c r="C554" s="4">
        <v>1</v>
      </c>
      <c r="D554" s="5">
        <v>2.25</v>
      </c>
      <c r="E554" s="5">
        <v>5.99</v>
      </c>
      <c r="F554" s="4" t="s">
        <v>1380</v>
      </c>
      <c r="G554" s="2" t="s">
        <v>41</v>
      </c>
      <c r="H554" s="7" t="s">
        <v>590</v>
      </c>
      <c r="I554" s="2" t="s">
        <v>483</v>
      </c>
      <c r="J554" s="2" t="s">
        <v>536</v>
      </c>
      <c r="K554" s="2" t="s">
        <v>304</v>
      </c>
      <c r="L554" s="2" t="s">
        <v>206</v>
      </c>
      <c r="M554" s="8" t="str">
        <f>HYPERLINK("http://slimages.macys.com/is/image/MCY/13386152 ")</f>
        <v xml:space="preserve">http://slimages.macys.com/is/image/MCY/13386152 </v>
      </c>
    </row>
    <row r="555" spans="1:13" ht="60" x14ac:dyDescent="0.25">
      <c r="A555" s="7" t="s">
        <v>8033</v>
      </c>
      <c r="B555" s="2" t="s">
        <v>1379</v>
      </c>
      <c r="C555" s="4">
        <v>1</v>
      </c>
      <c r="D555" s="5">
        <v>2.25</v>
      </c>
      <c r="E555" s="5">
        <v>5.99</v>
      </c>
      <c r="F555" s="4" t="s">
        <v>1380</v>
      </c>
      <c r="G555" s="2" t="s">
        <v>41</v>
      </c>
      <c r="H555" s="7" t="s">
        <v>91</v>
      </c>
      <c r="I555" s="2" t="s">
        <v>483</v>
      </c>
      <c r="J555" s="2" t="s">
        <v>536</v>
      </c>
      <c r="K555" s="2" t="s">
        <v>304</v>
      </c>
      <c r="L555" s="2" t="s">
        <v>206</v>
      </c>
      <c r="M555" s="8" t="str">
        <f>HYPERLINK("http://slimages.macys.com/is/image/MCY/13386152 ")</f>
        <v xml:space="preserve">http://slimages.macys.com/is/image/MCY/13386152 </v>
      </c>
    </row>
    <row r="556" spans="1:13" ht="60" x14ac:dyDescent="0.25">
      <c r="A556" s="7" t="s">
        <v>3551</v>
      </c>
      <c r="B556" s="2" t="s">
        <v>2377</v>
      </c>
      <c r="C556" s="4">
        <v>1</v>
      </c>
      <c r="D556" s="5">
        <v>2.2400000000000002</v>
      </c>
      <c r="E556" s="5">
        <v>5.99</v>
      </c>
      <c r="F556" s="4" t="s">
        <v>2378</v>
      </c>
      <c r="G556" s="2" t="s">
        <v>643</v>
      </c>
      <c r="H556" s="7" t="s">
        <v>149</v>
      </c>
      <c r="I556" s="2" t="s">
        <v>483</v>
      </c>
      <c r="J556" s="2" t="s">
        <v>536</v>
      </c>
      <c r="K556" s="2" t="s">
        <v>304</v>
      </c>
      <c r="L556" s="2" t="s">
        <v>206</v>
      </c>
      <c r="M556" s="8" t="str">
        <f>HYPERLINK("http://slimages.macys.com/is/image/MCY/13386674 ")</f>
        <v xml:space="preserve">http://slimages.macys.com/is/image/MCY/13386674 </v>
      </c>
    </row>
    <row r="557" spans="1:13" ht="60" x14ac:dyDescent="0.25">
      <c r="A557" s="7" t="s">
        <v>7258</v>
      </c>
      <c r="B557" s="2" t="s">
        <v>7259</v>
      </c>
      <c r="C557" s="4">
        <v>2</v>
      </c>
      <c r="D557" s="5">
        <v>2.2400000000000002</v>
      </c>
      <c r="E557" s="5">
        <v>5.99</v>
      </c>
      <c r="F557" s="4" t="s">
        <v>7260</v>
      </c>
      <c r="G557" s="2" t="s">
        <v>353</v>
      </c>
      <c r="H557" s="7" t="s">
        <v>442</v>
      </c>
      <c r="I557" s="2" t="s">
        <v>483</v>
      </c>
      <c r="J557" s="2" t="s">
        <v>536</v>
      </c>
      <c r="K557" s="2" t="s">
        <v>304</v>
      </c>
      <c r="L557" s="2" t="s">
        <v>206</v>
      </c>
      <c r="M557" s="8" t="str">
        <f>HYPERLINK("http://slimages.macys.com/is/image/MCY/12644528 ")</f>
        <v xml:space="preserve">http://slimages.macys.com/is/image/MCY/12644528 </v>
      </c>
    </row>
    <row r="558" spans="1:13" ht="60" x14ac:dyDescent="0.25">
      <c r="A558" s="7" t="s">
        <v>8034</v>
      </c>
      <c r="B558" s="2" t="s">
        <v>7259</v>
      </c>
      <c r="C558" s="4">
        <v>4</v>
      </c>
      <c r="D558" s="5">
        <v>2.2400000000000002</v>
      </c>
      <c r="E558" s="5">
        <v>5.99</v>
      </c>
      <c r="F558" s="4" t="s">
        <v>7260</v>
      </c>
      <c r="G558" s="2" t="s">
        <v>353</v>
      </c>
      <c r="H558" s="7" t="s">
        <v>91</v>
      </c>
      <c r="I558" s="2" t="s">
        <v>483</v>
      </c>
      <c r="J558" s="2" t="s">
        <v>536</v>
      </c>
      <c r="K558" s="2" t="s">
        <v>304</v>
      </c>
      <c r="L558" s="2" t="s">
        <v>206</v>
      </c>
      <c r="M558" s="8" t="str">
        <f>HYPERLINK("http://slimages.macys.com/is/image/MCY/12644528 ")</f>
        <v xml:space="preserve">http://slimages.macys.com/is/image/MCY/12644528 </v>
      </c>
    </row>
    <row r="559" spans="1:13" ht="60" x14ac:dyDescent="0.25">
      <c r="A559" s="7" t="s">
        <v>8035</v>
      </c>
      <c r="B559" s="2" t="s">
        <v>8036</v>
      </c>
      <c r="C559" s="4">
        <v>1</v>
      </c>
      <c r="D559" s="5">
        <v>2.2400000000000002</v>
      </c>
      <c r="E559" s="5">
        <v>5.99</v>
      </c>
      <c r="F559" s="4" t="s">
        <v>8037</v>
      </c>
      <c r="G559" s="2" t="s">
        <v>1360</v>
      </c>
      <c r="H559" s="7" t="s">
        <v>91</v>
      </c>
      <c r="I559" s="2" t="s">
        <v>483</v>
      </c>
      <c r="J559" s="2" t="s">
        <v>536</v>
      </c>
      <c r="K559" s="2" t="s">
        <v>304</v>
      </c>
      <c r="L559" s="2" t="s">
        <v>119</v>
      </c>
      <c r="M559" s="8" t="str">
        <f>HYPERLINK("http://slimages.macys.com/is/image/MCY/11525807 ")</f>
        <v xml:space="preserve">http://slimages.macys.com/is/image/MCY/11525807 </v>
      </c>
    </row>
    <row r="560" spans="1:13" ht="60" x14ac:dyDescent="0.25">
      <c r="A560" s="7" t="s">
        <v>8038</v>
      </c>
      <c r="B560" s="2" t="s">
        <v>5097</v>
      </c>
      <c r="C560" s="4">
        <v>1</v>
      </c>
      <c r="D560" s="5">
        <v>2.2400000000000002</v>
      </c>
      <c r="E560" s="5">
        <v>5.99</v>
      </c>
      <c r="F560" s="4" t="s">
        <v>5098</v>
      </c>
      <c r="G560" s="2" t="s">
        <v>1302</v>
      </c>
      <c r="H560" s="7" t="s">
        <v>149</v>
      </c>
      <c r="I560" s="2" t="s">
        <v>483</v>
      </c>
      <c r="J560" s="2" t="s">
        <v>536</v>
      </c>
      <c r="K560" s="2" t="s">
        <v>304</v>
      </c>
      <c r="L560" s="2" t="s">
        <v>119</v>
      </c>
      <c r="M560" s="8" t="str">
        <f>HYPERLINK("http://slimages.macys.com/is/image/MCY/11855964 ")</f>
        <v xml:space="preserve">http://slimages.macys.com/is/image/MCY/11855964 </v>
      </c>
    </row>
    <row r="561" spans="1:13" ht="72" x14ac:dyDescent="0.25">
      <c r="A561" s="7" t="s">
        <v>8039</v>
      </c>
      <c r="B561" s="2" t="s">
        <v>8040</v>
      </c>
      <c r="C561" s="4">
        <v>1</v>
      </c>
      <c r="D561" s="5">
        <v>2.2400000000000002</v>
      </c>
      <c r="E561" s="5">
        <v>5.99</v>
      </c>
      <c r="F561" s="4" t="s">
        <v>8041</v>
      </c>
      <c r="G561" s="2" t="s">
        <v>2107</v>
      </c>
      <c r="H561" s="7" t="s">
        <v>149</v>
      </c>
      <c r="I561" s="2" t="s">
        <v>483</v>
      </c>
      <c r="J561" s="2" t="s">
        <v>536</v>
      </c>
      <c r="K561" s="2" t="s">
        <v>304</v>
      </c>
      <c r="L561" s="2" t="s">
        <v>5781</v>
      </c>
      <c r="M561" s="8" t="str">
        <f>HYPERLINK("http://slimages.macys.com/is/image/MCY/11436720 ")</f>
        <v xml:space="preserve">http://slimages.macys.com/is/image/MCY/11436720 </v>
      </c>
    </row>
    <row r="562" spans="1:13" ht="60" x14ac:dyDescent="0.25">
      <c r="A562" s="7" t="s">
        <v>8042</v>
      </c>
      <c r="B562" s="2" t="s">
        <v>7268</v>
      </c>
      <c r="C562" s="4">
        <v>1</v>
      </c>
      <c r="D562" s="5">
        <v>2.2200000000000002</v>
      </c>
      <c r="E562" s="5">
        <v>5.99</v>
      </c>
      <c r="F562" s="4" t="s">
        <v>7269</v>
      </c>
      <c r="G562" s="2" t="s">
        <v>129</v>
      </c>
      <c r="H562" s="7" t="s">
        <v>91</v>
      </c>
      <c r="I562" s="2" t="s">
        <v>483</v>
      </c>
      <c r="J562" s="2" t="s">
        <v>536</v>
      </c>
      <c r="K562" s="2" t="s">
        <v>304</v>
      </c>
      <c r="L562" s="2" t="s">
        <v>100</v>
      </c>
      <c r="M562" s="8" t="str">
        <f>HYPERLINK("http://slimages.macys.com/is/image/MCY/11523857 ")</f>
        <v xml:space="preserve">http://slimages.macys.com/is/image/MCY/11523857 </v>
      </c>
    </row>
    <row r="563" spans="1:13" ht="60" x14ac:dyDescent="0.25">
      <c r="A563" s="7" t="s">
        <v>8043</v>
      </c>
      <c r="B563" s="2" t="s">
        <v>6083</v>
      </c>
      <c r="C563" s="4">
        <v>1</v>
      </c>
      <c r="D563" s="5">
        <v>2.2200000000000002</v>
      </c>
      <c r="E563" s="5">
        <v>5.99</v>
      </c>
      <c r="F563" s="4" t="s">
        <v>6084</v>
      </c>
      <c r="G563" s="2" t="s">
        <v>171</v>
      </c>
      <c r="H563" s="7" t="s">
        <v>590</v>
      </c>
      <c r="I563" s="2" t="s">
        <v>483</v>
      </c>
      <c r="J563" s="2" t="s">
        <v>536</v>
      </c>
      <c r="K563" s="2" t="s">
        <v>304</v>
      </c>
      <c r="L563" s="2" t="s">
        <v>100</v>
      </c>
      <c r="M563" s="8" t="str">
        <f>HYPERLINK("http://slimages.macys.com/is/image/MCY/11794232 ")</f>
        <v xml:space="preserve">http://slimages.macys.com/is/image/MCY/11794232 </v>
      </c>
    </row>
    <row r="564" spans="1:13" ht="60" x14ac:dyDescent="0.25">
      <c r="A564" s="7" t="s">
        <v>8044</v>
      </c>
      <c r="B564" s="2" t="s">
        <v>6080</v>
      </c>
      <c r="C564" s="4">
        <v>1</v>
      </c>
      <c r="D564" s="5">
        <v>2.2200000000000002</v>
      </c>
      <c r="E564" s="5">
        <v>5.99</v>
      </c>
      <c r="F564" s="4" t="s">
        <v>6081</v>
      </c>
      <c r="G564" s="2" t="s">
        <v>28</v>
      </c>
      <c r="H564" s="7" t="s">
        <v>149</v>
      </c>
      <c r="I564" s="2" t="s">
        <v>483</v>
      </c>
      <c r="J564" s="2" t="s">
        <v>536</v>
      </c>
      <c r="K564" s="2" t="s">
        <v>304</v>
      </c>
      <c r="L564" s="2" t="s">
        <v>206</v>
      </c>
      <c r="M564" s="8" t="str">
        <f>HYPERLINK("http://slimages.macys.com/is/image/MCY/12644529 ")</f>
        <v xml:space="preserve">http://slimages.macys.com/is/image/MCY/12644529 </v>
      </c>
    </row>
    <row r="565" spans="1:13" ht="60" x14ac:dyDescent="0.25">
      <c r="A565" s="7" t="s">
        <v>2387</v>
      </c>
      <c r="B565" s="2" t="s">
        <v>2388</v>
      </c>
      <c r="C565" s="4">
        <v>1</v>
      </c>
      <c r="D565" s="5">
        <v>2.2200000000000002</v>
      </c>
      <c r="E565" s="5">
        <v>5.99</v>
      </c>
      <c r="F565" s="4" t="s">
        <v>2389</v>
      </c>
      <c r="G565" s="2" t="s">
        <v>41</v>
      </c>
      <c r="H565" s="7" t="s">
        <v>442</v>
      </c>
      <c r="I565" s="2" t="s">
        <v>483</v>
      </c>
      <c r="J565" s="2" t="s">
        <v>536</v>
      </c>
      <c r="K565" s="2" t="s">
        <v>304</v>
      </c>
      <c r="L565" s="2" t="s">
        <v>206</v>
      </c>
      <c r="M565" s="8" t="str">
        <f>HYPERLINK("http://slimages.macys.com/is/image/MCY/13987622 ")</f>
        <v xml:space="preserve">http://slimages.macys.com/is/image/MCY/13987622 </v>
      </c>
    </row>
    <row r="566" spans="1:13" ht="60" x14ac:dyDescent="0.25">
      <c r="A566" s="7" t="s">
        <v>8045</v>
      </c>
      <c r="B566" s="2" t="s">
        <v>6640</v>
      </c>
      <c r="C566" s="4">
        <v>2</v>
      </c>
      <c r="D566" s="5">
        <v>2.2200000000000002</v>
      </c>
      <c r="E566" s="5">
        <v>5.99</v>
      </c>
      <c r="F566" s="4" t="s">
        <v>6641</v>
      </c>
      <c r="G566" s="2" t="s">
        <v>200</v>
      </c>
      <c r="H566" s="7" t="s">
        <v>91</v>
      </c>
      <c r="I566" s="2" t="s">
        <v>483</v>
      </c>
      <c r="J566" s="2" t="s">
        <v>536</v>
      </c>
      <c r="K566" s="2" t="s">
        <v>304</v>
      </c>
      <c r="L566" s="2" t="s">
        <v>596</v>
      </c>
      <c r="M566" s="8" t="str">
        <f>HYPERLINK("http://slimages.macys.com/is/image/MCY/11709298 ")</f>
        <v xml:space="preserve">http://slimages.macys.com/is/image/MCY/11709298 </v>
      </c>
    </row>
    <row r="567" spans="1:13" ht="60" x14ac:dyDescent="0.25">
      <c r="A567" s="7" t="s">
        <v>6639</v>
      </c>
      <c r="B567" s="2" t="s">
        <v>6640</v>
      </c>
      <c r="C567" s="4">
        <v>2</v>
      </c>
      <c r="D567" s="5">
        <v>2.2200000000000002</v>
      </c>
      <c r="E567" s="5">
        <v>5.99</v>
      </c>
      <c r="F567" s="4" t="s">
        <v>6641</v>
      </c>
      <c r="G567" s="2" t="s">
        <v>200</v>
      </c>
      <c r="H567" s="7" t="s">
        <v>590</v>
      </c>
      <c r="I567" s="2" t="s">
        <v>483</v>
      </c>
      <c r="J567" s="2" t="s">
        <v>536</v>
      </c>
      <c r="K567" s="2" t="s">
        <v>304</v>
      </c>
      <c r="L567" s="2" t="s">
        <v>596</v>
      </c>
      <c r="M567" s="8" t="str">
        <f>HYPERLINK("http://slimages.macys.com/is/image/MCY/11709298 ")</f>
        <v xml:space="preserve">http://slimages.macys.com/is/image/MCY/11709298 </v>
      </c>
    </row>
    <row r="568" spans="1:13" ht="60" x14ac:dyDescent="0.25">
      <c r="A568" s="7" t="s">
        <v>7274</v>
      </c>
      <c r="B568" s="2" t="s">
        <v>634</v>
      </c>
      <c r="C568" s="4">
        <v>1</v>
      </c>
      <c r="D568" s="5">
        <v>2.2200000000000002</v>
      </c>
      <c r="E568" s="5">
        <v>5.99</v>
      </c>
      <c r="F568" s="4" t="s">
        <v>635</v>
      </c>
      <c r="G568" s="2" t="s">
        <v>28</v>
      </c>
      <c r="H568" s="7" t="s">
        <v>91</v>
      </c>
      <c r="I568" s="2" t="s">
        <v>483</v>
      </c>
      <c r="J568" s="2" t="s">
        <v>536</v>
      </c>
      <c r="K568" s="2" t="s">
        <v>304</v>
      </c>
      <c r="L568" s="2" t="s">
        <v>100</v>
      </c>
      <c r="M568" s="8" t="str">
        <f>HYPERLINK("http://slimages.macys.com/is/image/MCY/11856941 ")</f>
        <v xml:space="preserve">http://slimages.macys.com/is/image/MCY/11856941 </v>
      </c>
    </row>
    <row r="569" spans="1:13" ht="60" x14ac:dyDescent="0.25">
      <c r="A569" s="7" t="s">
        <v>8046</v>
      </c>
      <c r="B569" s="2" t="s">
        <v>6083</v>
      </c>
      <c r="C569" s="4">
        <v>3</v>
      </c>
      <c r="D569" s="5">
        <v>2.2200000000000002</v>
      </c>
      <c r="E569" s="5">
        <v>5.99</v>
      </c>
      <c r="F569" s="4" t="s">
        <v>6084</v>
      </c>
      <c r="G569" s="2" t="s">
        <v>171</v>
      </c>
      <c r="H569" s="7" t="s">
        <v>42</v>
      </c>
      <c r="I569" s="2" t="s">
        <v>483</v>
      </c>
      <c r="J569" s="2" t="s">
        <v>536</v>
      </c>
      <c r="K569" s="2" t="s">
        <v>304</v>
      </c>
      <c r="L569" s="2" t="s">
        <v>100</v>
      </c>
      <c r="M569" s="8" t="str">
        <f>HYPERLINK("http://slimages.macys.com/is/image/MCY/11794232 ")</f>
        <v xml:space="preserve">http://slimages.macys.com/is/image/MCY/11794232 </v>
      </c>
    </row>
    <row r="570" spans="1:13" ht="60" x14ac:dyDescent="0.25">
      <c r="A570" s="7" t="s">
        <v>8047</v>
      </c>
      <c r="B570" s="2" t="s">
        <v>6083</v>
      </c>
      <c r="C570" s="4">
        <v>3</v>
      </c>
      <c r="D570" s="5">
        <v>2.2200000000000002</v>
      </c>
      <c r="E570" s="5">
        <v>5.99</v>
      </c>
      <c r="F570" s="4" t="s">
        <v>6084</v>
      </c>
      <c r="G570" s="2" t="s">
        <v>171</v>
      </c>
      <c r="H570" s="7" t="s">
        <v>442</v>
      </c>
      <c r="I570" s="2" t="s">
        <v>483</v>
      </c>
      <c r="J570" s="2" t="s">
        <v>536</v>
      </c>
      <c r="K570" s="2" t="s">
        <v>304</v>
      </c>
      <c r="L570" s="2" t="s">
        <v>100</v>
      </c>
      <c r="M570" s="8" t="str">
        <f>HYPERLINK("http://slimages.macys.com/is/image/MCY/11794232 ")</f>
        <v xml:space="preserve">http://slimages.macys.com/is/image/MCY/11794232 </v>
      </c>
    </row>
    <row r="571" spans="1:13" ht="60" x14ac:dyDescent="0.25">
      <c r="A571" s="7" t="s">
        <v>6082</v>
      </c>
      <c r="B571" s="2" t="s">
        <v>6083</v>
      </c>
      <c r="C571" s="4">
        <v>1</v>
      </c>
      <c r="D571" s="5">
        <v>2.2200000000000002</v>
      </c>
      <c r="E571" s="5">
        <v>5.99</v>
      </c>
      <c r="F571" s="4" t="s">
        <v>6084</v>
      </c>
      <c r="G571" s="2" t="s">
        <v>171</v>
      </c>
      <c r="H571" s="7" t="s">
        <v>149</v>
      </c>
      <c r="I571" s="2" t="s">
        <v>483</v>
      </c>
      <c r="J571" s="2" t="s">
        <v>536</v>
      </c>
      <c r="K571" s="2" t="s">
        <v>304</v>
      </c>
      <c r="L571" s="2" t="s">
        <v>100</v>
      </c>
      <c r="M571" s="8" t="str">
        <f>HYPERLINK("http://slimages.macys.com/is/image/MCY/11794232 ")</f>
        <v xml:space="preserve">http://slimages.macys.com/is/image/MCY/11794232 </v>
      </c>
    </row>
    <row r="572" spans="1:13" ht="60" x14ac:dyDescent="0.25">
      <c r="A572" s="7" t="s">
        <v>8048</v>
      </c>
      <c r="B572" s="2" t="s">
        <v>6083</v>
      </c>
      <c r="C572" s="4">
        <v>2</v>
      </c>
      <c r="D572" s="5">
        <v>2.2200000000000002</v>
      </c>
      <c r="E572" s="5">
        <v>5.99</v>
      </c>
      <c r="F572" s="4" t="s">
        <v>6084</v>
      </c>
      <c r="G572" s="2" t="s">
        <v>171</v>
      </c>
      <c r="H572" s="7" t="s">
        <v>91</v>
      </c>
      <c r="I572" s="2" t="s">
        <v>483</v>
      </c>
      <c r="J572" s="2" t="s">
        <v>536</v>
      </c>
      <c r="K572" s="2" t="s">
        <v>304</v>
      </c>
      <c r="L572" s="2" t="s">
        <v>100</v>
      </c>
      <c r="M572" s="8" t="str">
        <f>HYPERLINK("http://slimages.macys.com/is/image/MCY/11794232 ")</f>
        <v xml:space="preserve">http://slimages.macys.com/is/image/MCY/11794232 </v>
      </c>
    </row>
    <row r="573" spans="1:13" ht="60" x14ac:dyDescent="0.25">
      <c r="A573" s="7" t="s">
        <v>7267</v>
      </c>
      <c r="B573" s="2" t="s">
        <v>7268</v>
      </c>
      <c r="C573" s="4">
        <v>1</v>
      </c>
      <c r="D573" s="5">
        <v>2.2200000000000002</v>
      </c>
      <c r="E573" s="5">
        <v>5.99</v>
      </c>
      <c r="F573" s="4" t="s">
        <v>7269</v>
      </c>
      <c r="G573" s="2" t="s">
        <v>129</v>
      </c>
      <c r="H573" s="7" t="s">
        <v>149</v>
      </c>
      <c r="I573" s="2" t="s">
        <v>483</v>
      </c>
      <c r="J573" s="2" t="s">
        <v>536</v>
      </c>
      <c r="K573" s="2" t="s">
        <v>304</v>
      </c>
      <c r="L573" s="2" t="s">
        <v>100</v>
      </c>
      <c r="M573" s="8" t="str">
        <f>HYPERLINK("http://slimages.macys.com/is/image/MCY/11523857 ")</f>
        <v xml:space="preserve">http://slimages.macys.com/is/image/MCY/11523857 </v>
      </c>
    </row>
    <row r="574" spans="1:13" ht="60" x14ac:dyDescent="0.25">
      <c r="A574" s="7" t="s">
        <v>8049</v>
      </c>
      <c r="B574" s="2" t="s">
        <v>8050</v>
      </c>
      <c r="C574" s="4">
        <v>1</v>
      </c>
      <c r="D574" s="5">
        <v>2.2200000000000002</v>
      </c>
      <c r="E574" s="5">
        <v>5.99</v>
      </c>
      <c r="F574" s="4" t="s">
        <v>8051</v>
      </c>
      <c r="G574" s="2" t="s">
        <v>28</v>
      </c>
      <c r="H574" s="7" t="s">
        <v>442</v>
      </c>
      <c r="I574" s="2" t="s">
        <v>483</v>
      </c>
      <c r="J574" s="2" t="s">
        <v>536</v>
      </c>
      <c r="K574" s="2" t="s">
        <v>304</v>
      </c>
      <c r="L574" s="2" t="s">
        <v>119</v>
      </c>
      <c r="M574" s="8" t="str">
        <f>HYPERLINK("http://slimages.macys.com/is/image/MCY/11523883 ")</f>
        <v xml:space="preserve">http://slimages.macys.com/is/image/MCY/11523883 </v>
      </c>
    </row>
    <row r="575" spans="1:13" ht="60" x14ac:dyDescent="0.25">
      <c r="A575" s="7" t="s">
        <v>7271</v>
      </c>
      <c r="B575" s="2" t="s">
        <v>2380</v>
      </c>
      <c r="C575" s="4">
        <v>2</v>
      </c>
      <c r="D575" s="5">
        <v>2.2200000000000002</v>
      </c>
      <c r="E575" s="5">
        <v>5.99</v>
      </c>
      <c r="F575" s="4" t="s">
        <v>2381</v>
      </c>
      <c r="G575" s="2" t="s">
        <v>28</v>
      </c>
      <c r="H575" s="7" t="s">
        <v>590</v>
      </c>
      <c r="I575" s="2" t="s">
        <v>483</v>
      </c>
      <c r="J575" s="2" t="s">
        <v>536</v>
      </c>
      <c r="K575" s="2" t="s">
        <v>304</v>
      </c>
      <c r="L575" s="2" t="s">
        <v>119</v>
      </c>
      <c r="M575" s="8" t="str">
        <f>HYPERLINK("http://slimages.macys.com/is/image/MCY/12462743 ")</f>
        <v xml:space="preserve">http://slimages.macys.com/is/image/MCY/12462743 </v>
      </c>
    </row>
    <row r="576" spans="1:13" ht="60" x14ac:dyDescent="0.25">
      <c r="A576" s="7" t="s">
        <v>7270</v>
      </c>
      <c r="B576" s="2" t="s">
        <v>2380</v>
      </c>
      <c r="C576" s="4">
        <v>1</v>
      </c>
      <c r="D576" s="5">
        <v>2.2200000000000002</v>
      </c>
      <c r="E576" s="5">
        <v>5.99</v>
      </c>
      <c r="F576" s="4" t="s">
        <v>2381</v>
      </c>
      <c r="G576" s="2" t="s">
        <v>28</v>
      </c>
      <c r="H576" s="7" t="s">
        <v>442</v>
      </c>
      <c r="I576" s="2" t="s">
        <v>483</v>
      </c>
      <c r="J576" s="2" t="s">
        <v>536</v>
      </c>
      <c r="K576" s="2" t="s">
        <v>304</v>
      </c>
      <c r="L576" s="2" t="s">
        <v>119</v>
      </c>
      <c r="M576" s="8" t="str">
        <f>HYPERLINK("http://slimages.macys.com/is/image/MCY/12462743 ")</f>
        <v xml:space="preserve">http://slimages.macys.com/is/image/MCY/12462743 </v>
      </c>
    </row>
    <row r="577" spans="1:13" ht="60" x14ac:dyDescent="0.25">
      <c r="A577" s="7" t="s">
        <v>7275</v>
      </c>
      <c r="B577" s="2" t="s">
        <v>1388</v>
      </c>
      <c r="C577" s="4">
        <v>1</v>
      </c>
      <c r="D577" s="5">
        <v>2.21</v>
      </c>
      <c r="E577" s="5">
        <v>5.99</v>
      </c>
      <c r="F577" s="4" t="s">
        <v>1389</v>
      </c>
      <c r="G577" s="2" t="s">
        <v>129</v>
      </c>
      <c r="H577" s="7" t="s">
        <v>149</v>
      </c>
      <c r="I577" s="2" t="s">
        <v>483</v>
      </c>
      <c r="J577" s="2" t="s">
        <v>536</v>
      </c>
      <c r="K577" s="2" t="s">
        <v>304</v>
      </c>
      <c r="L577" s="2" t="s">
        <v>38</v>
      </c>
      <c r="M577" s="8" t="str">
        <f>HYPERLINK("http://slimages.macys.com/is/image/MCY/13987618 ")</f>
        <v xml:space="preserve">http://slimages.macys.com/is/image/MCY/13987618 </v>
      </c>
    </row>
    <row r="578" spans="1:13" ht="60" x14ac:dyDescent="0.25">
      <c r="A578" s="7" t="s">
        <v>7276</v>
      </c>
      <c r="B578" s="2" t="s">
        <v>1388</v>
      </c>
      <c r="C578" s="4">
        <v>1</v>
      </c>
      <c r="D578" s="5">
        <v>2.21</v>
      </c>
      <c r="E578" s="5">
        <v>5.99</v>
      </c>
      <c r="F578" s="4" t="s">
        <v>1389</v>
      </c>
      <c r="G578" s="2" t="s">
        <v>129</v>
      </c>
      <c r="H578" s="7" t="s">
        <v>442</v>
      </c>
      <c r="I578" s="2" t="s">
        <v>483</v>
      </c>
      <c r="J578" s="2" t="s">
        <v>536</v>
      </c>
      <c r="K578" s="2" t="s">
        <v>304</v>
      </c>
      <c r="L578" s="2" t="s">
        <v>38</v>
      </c>
      <c r="M578" s="8" t="str">
        <f>HYPERLINK("http://slimages.macys.com/is/image/MCY/13987618 ")</f>
        <v xml:space="preserve">http://slimages.macys.com/is/image/MCY/13987618 </v>
      </c>
    </row>
    <row r="579" spans="1:13" ht="84" x14ac:dyDescent="0.25">
      <c r="A579" s="7" t="s">
        <v>2733</v>
      </c>
      <c r="B579" s="2" t="s">
        <v>637</v>
      </c>
      <c r="C579" s="4">
        <v>4</v>
      </c>
      <c r="D579" s="5">
        <v>2.21</v>
      </c>
      <c r="E579" s="5">
        <v>6.99</v>
      </c>
      <c r="F579" s="4" t="s">
        <v>638</v>
      </c>
      <c r="G579" s="2" t="s">
        <v>171</v>
      </c>
      <c r="H579" s="7" t="s">
        <v>586</v>
      </c>
      <c r="I579" s="2" t="s">
        <v>483</v>
      </c>
      <c r="J579" s="2" t="s">
        <v>536</v>
      </c>
      <c r="K579" s="2" t="s">
        <v>304</v>
      </c>
      <c r="L579" s="2" t="s">
        <v>639</v>
      </c>
      <c r="M579" s="8" t="str">
        <f>HYPERLINK("http://slimages.macys.com/is/image/MCY/13987507 ")</f>
        <v xml:space="preserve">http://slimages.macys.com/is/image/MCY/13987507 </v>
      </c>
    </row>
    <row r="580" spans="1:13" ht="84" x14ac:dyDescent="0.25">
      <c r="A580" s="7" t="s">
        <v>636</v>
      </c>
      <c r="B580" s="2" t="s">
        <v>637</v>
      </c>
      <c r="C580" s="4">
        <v>2</v>
      </c>
      <c r="D580" s="5">
        <v>2.21</v>
      </c>
      <c r="E580" s="5">
        <v>6.99</v>
      </c>
      <c r="F580" s="4" t="s">
        <v>638</v>
      </c>
      <c r="G580" s="2" t="s">
        <v>171</v>
      </c>
      <c r="H580" s="7" t="s">
        <v>604</v>
      </c>
      <c r="I580" s="2" t="s">
        <v>483</v>
      </c>
      <c r="J580" s="2" t="s">
        <v>536</v>
      </c>
      <c r="K580" s="2" t="s">
        <v>304</v>
      </c>
      <c r="L580" s="2" t="s">
        <v>639</v>
      </c>
      <c r="M580" s="8" t="str">
        <f>HYPERLINK("http://slimages.macys.com/is/image/MCY/13987507 ")</f>
        <v xml:space="preserve">http://slimages.macys.com/is/image/MCY/13987507 </v>
      </c>
    </row>
    <row r="581" spans="1:13" ht="60" x14ac:dyDescent="0.25">
      <c r="A581" s="7" t="s">
        <v>2390</v>
      </c>
      <c r="B581" s="2" t="s">
        <v>641</v>
      </c>
      <c r="C581" s="4">
        <v>1</v>
      </c>
      <c r="D581" s="5">
        <v>2.21</v>
      </c>
      <c r="E581" s="5">
        <v>5.99</v>
      </c>
      <c r="F581" s="4" t="s">
        <v>642</v>
      </c>
      <c r="G581" s="2" t="s">
        <v>643</v>
      </c>
      <c r="H581" s="7" t="s">
        <v>442</v>
      </c>
      <c r="I581" s="2" t="s">
        <v>483</v>
      </c>
      <c r="J581" s="2" t="s">
        <v>536</v>
      </c>
      <c r="K581" s="2" t="s">
        <v>304</v>
      </c>
      <c r="L581" s="2" t="s">
        <v>38</v>
      </c>
      <c r="M581" s="8" t="str">
        <f>HYPERLINK("http://slimages.macys.com/is/image/MCY/13987601 ")</f>
        <v xml:space="preserve">http://slimages.macys.com/is/image/MCY/13987601 </v>
      </c>
    </row>
    <row r="582" spans="1:13" ht="60" x14ac:dyDescent="0.25">
      <c r="A582" s="7" t="s">
        <v>6643</v>
      </c>
      <c r="B582" s="2" t="s">
        <v>2392</v>
      </c>
      <c r="C582" s="4">
        <v>1</v>
      </c>
      <c r="D582" s="5">
        <v>2.21</v>
      </c>
      <c r="E582" s="5">
        <v>5.99</v>
      </c>
      <c r="F582" s="4" t="s">
        <v>2393</v>
      </c>
      <c r="G582" s="2" t="s">
        <v>858</v>
      </c>
      <c r="H582" s="7" t="s">
        <v>590</v>
      </c>
      <c r="I582" s="2" t="s">
        <v>483</v>
      </c>
      <c r="J582" s="2" t="s">
        <v>536</v>
      </c>
      <c r="K582" s="2" t="s">
        <v>304</v>
      </c>
      <c r="L582" s="2" t="s">
        <v>119</v>
      </c>
      <c r="M582" s="8" t="str">
        <f>HYPERLINK("http://slimages.macys.com/is/image/MCY/12644556 ")</f>
        <v xml:space="preserve">http://slimages.macys.com/is/image/MCY/12644556 </v>
      </c>
    </row>
    <row r="583" spans="1:13" ht="60" x14ac:dyDescent="0.25">
      <c r="A583" s="7" t="s">
        <v>8052</v>
      </c>
      <c r="B583" s="2" t="s">
        <v>8053</v>
      </c>
      <c r="C583" s="4">
        <v>1</v>
      </c>
      <c r="D583" s="5">
        <v>2.21</v>
      </c>
      <c r="E583" s="5">
        <v>5.99</v>
      </c>
      <c r="F583" s="4" t="s">
        <v>8054</v>
      </c>
      <c r="G583" s="2" t="s">
        <v>36</v>
      </c>
      <c r="H583" s="7" t="s">
        <v>91</v>
      </c>
      <c r="I583" s="2" t="s">
        <v>483</v>
      </c>
      <c r="J583" s="2" t="s">
        <v>536</v>
      </c>
      <c r="K583" s="2" t="s">
        <v>304</v>
      </c>
      <c r="L583" s="2" t="s">
        <v>206</v>
      </c>
      <c r="M583" s="8" t="str">
        <f>HYPERLINK("http://slimages.macys.com/is/image/MCY/12466289 ")</f>
        <v xml:space="preserve">http://slimages.macys.com/is/image/MCY/12466289 </v>
      </c>
    </row>
    <row r="584" spans="1:13" ht="60" x14ac:dyDescent="0.25">
      <c r="A584" s="7" t="s">
        <v>7284</v>
      </c>
      <c r="B584" s="2" t="s">
        <v>5776</v>
      </c>
      <c r="C584" s="4">
        <v>1</v>
      </c>
      <c r="D584" s="5">
        <v>2.19</v>
      </c>
      <c r="E584" s="5">
        <v>5.99</v>
      </c>
      <c r="F584" s="4" t="s">
        <v>5777</v>
      </c>
      <c r="G584" s="2" t="s">
        <v>28</v>
      </c>
      <c r="H584" s="7" t="s">
        <v>590</v>
      </c>
      <c r="I584" s="2" t="s">
        <v>483</v>
      </c>
      <c r="J584" s="2" t="s">
        <v>536</v>
      </c>
      <c r="K584" s="2" t="s">
        <v>304</v>
      </c>
      <c r="L584" s="2" t="s">
        <v>38</v>
      </c>
      <c r="M584" s="8" t="str">
        <f>HYPERLINK("http://slimages.macys.com/is/image/MCY/13987609 ")</f>
        <v xml:space="preserve">http://slimages.macys.com/is/image/MCY/13987609 </v>
      </c>
    </row>
    <row r="585" spans="1:13" ht="60" x14ac:dyDescent="0.25">
      <c r="A585" s="7" t="s">
        <v>7285</v>
      </c>
      <c r="B585" s="2" t="s">
        <v>7286</v>
      </c>
      <c r="C585" s="4">
        <v>2</v>
      </c>
      <c r="D585" s="5">
        <v>2.19</v>
      </c>
      <c r="E585" s="5">
        <v>5.99</v>
      </c>
      <c r="F585" s="4" t="s">
        <v>7287</v>
      </c>
      <c r="G585" s="2" t="s">
        <v>476</v>
      </c>
      <c r="H585" s="7" t="s">
        <v>42</v>
      </c>
      <c r="I585" s="2" t="s">
        <v>483</v>
      </c>
      <c r="J585" s="2" t="s">
        <v>536</v>
      </c>
      <c r="K585" s="2" t="s">
        <v>304</v>
      </c>
      <c r="L585" s="2" t="s">
        <v>206</v>
      </c>
      <c r="M585" s="8" t="str">
        <f>HYPERLINK("http://slimages.macys.com/is/image/MCY/12464674 ")</f>
        <v xml:space="preserve">http://slimages.macys.com/is/image/MCY/12464674 </v>
      </c>
    </row>
    <row r="586" spans="1:13" ht="60" x14ac:dyDescent="0.25">
      <c r="A586" s="7" t="s">
        <v>7283</v>
      </c>
      <c r="B586" s="2" t="s">
        <v>3556</v>
      </c>
      <c r="C586" s="4">
        <v>1</v>
      </c>
      <c r="D586" s="5">
        <v>2.19</v>
      </c>
      <c r="E586" s="5">
        <v>5.99</v>
      </c>
      <c r="F586" s="4" t="s">
        <v>3557</v>
      </c>
      <c r="G586" s="2" t="s">
        <v>41</v>
      </c>
      <c r="H586" s="7" t="s">
        <v>91</v>
      </c>
      <c r="I586" s="2" t="s">
        <v>483</v>
      </c>
      <c r="J586" s="2" t="s">
        <v>536</v>
      </c>
      <c r="K586" s="2" t="s">
        <v>304</v>
      </c>
      <c r="L586" s="2" t="s">
        <v>100</v>
      </c>
      <c r="M586" s="8" t="str">
        <f>HYPERLINK("http://slimages.macys.com/is/image/MCY/11855683 ")</f>
        <v xml:space="preserve">http://slimages.macys.com/is/image/MCY/11855683 </v>
      </c>
    </row>
    <row r="587" spans="1:13" ht="60" x14ac:dyDescent="0.25">
      <c r="A587" s="7" t="s">
        <v>8055</v>
      </c>
      <c r="B587" s="2" t="s">
        <v>7286</v>
      </c>
      <c r="C587" s="4">
        <v>2</v>
      </c>
      <c r="D587" s="5">
        <v>2.19</v>
      </c>
      <c r="E587" s="5">
        <v>5.99</v>
      </c>
      <c r="F587" s="4" t="s">
        <v>7287</v>
      </c>
      <c r="G587" s="2" t="s">
        <v>476</v>
      </c>
      <c r="H587" s="7" t="s">
        <v>149</v>
      </c>
      <c r="I587" s="2" t="s">
        <v>483</v>
      </c>
      <c r="J587" s="2" t="s">
        <v>536</v>
      </c>
      <c r="K587" s="2" t="s">
        <v>304</v>
      </c>
      <c r="L587" s="2" t="s">
        <v>206</v>
      </c>
      <c r="M587" s="8" t="str">
        <f>HYPERLINK("http://slimages.macys.com/is/image/MCY/12464674 ")</f>
        <v xml:space="preserve">http://slimages.macys.com/is/image/MCY/12464674 </v>
      </c>
    </row>
    <row r="588" spans="1:13" ht="60" x14ac:dyDescent="0.25">
      <c r="A588" s="7" t="s">
        <v>7279</v>
      </c>
      <c r="B588" s="2" t="s">
        <v>3556</v>
      </c>
      <c r="C588" s="4">
        <v>1</v>
      </c>
      <c r="D588" s="5">
        <v>2.19</v>
      </c>
      <c r="E588" s="5">
        <v>5.99</v>
      </c>
      <c r="F588" s="4" t="s">
        <v>3557</v>
      </c>
      <c r="G588" s="2" t="s">
        <v>41</v>
      </c>
      <c r="H588" s="7" t="s">
        <v>442</v>
      </c>
      <c r="I588" s="2" t="s">
        <v>483</v>
      </c>
      <c r="J588" s="2" t="s">
        <v>536</v>
      </c>
      <c r="K588" s="2" t="s">
        <v>304</v>
      </c>
      <c r="L588" s="2" t="s">
        <v>100</v>
      </c>
      <c r="M588" s="8" t="str">
        <f>HYPERLINK("http://slimages.macys.com/is/image/MCY/11855683 ")</f>
        <v xml:space="preserve">http://slimages.macys.com/is/image/MCY/11855683 </v>
      </c>
    </row>
    <row r="589" spans="1:13" ht="72" x14ac:dyDescent="0.25">
      <c r="A589" s="7" t="s">
        <v>8056</v>
      </c>
      <c r="B589" s="2" t="s">
        <v>8057</v>
      </c>
      <c r="C589" s="4">
        <v>1</v>
      </c>
      <c r="D589" s="5">
        <v>2.1800000000000002</v>
      </c>
      <c r="E589" s="5">
        <v>5.99</v>
      </c>
      <c r="F589" s="4" t="s">
        <v>8058</v>
      </c>
      <c r="G589" s="2" t="s">
        <v>28</v>
      </c>
      <c r="H589" s="7" t="s">
        <v>149</v>
      </c>
      <c r="I589" s="2" t="s">
        <v>483</v>
      </c>
      <c r="J589" s="2" t="s">
        <v>536</v>
      </c>
      <c r="K589" s="2" t="s">
        <v>304</v>
      </c>
      <c r="L589" s="2" t="s">
        <v>5781</v>
      </c>
      <c r="M589" s="8" t="str">
        <f>HYPERLINK("http://slimages.macys.com/is/image/MCY/11436628 ")</f>
        <v xml:space="preserve">http://slimages.macys.com/is/image/MCY/11436628 </v>
      </c>
    </row>
    <row r="590" spans="1:13" ht="60" x14ac:dyDescent="0.25">
      <c r="A590" s="7" t="s">
        <v>8059</v>
      </c>
      <c r="B590" s="2" t="s">
        <v>2398</v>
      </c>
      <c r="C590" s="4">
        <v>1</v>
      </c>
      <c r="D590" s="5">
        <v>2.17</v>
      </c>
      <c r="E590" s="5">
        <v>5.99</v>
      </c>
      <c r="F590" s="4" t="s">
        <v>2399</v>
      </c>
      <c r="G590" s="2" t="s">
        <v>41</v>
      </c>
      <c r="H590" s="7" t="s">
        <v>442</v>
      </c>
      <c r="I590" s="2" t="s">
        <v>483</v>
      </c>
      <c r="J590" s="2" t="s">
        <v>536</v>
      </c>
      <c r="K590" s="2" t="s">
        <v>304</v>
      </c>
      <c r="L590" s="2" t="s">
        <v>87</v>
      </c>
      <c r="M590" s="8" t="str">
        <f>HYPERLINK("http://slimages.macys.com/is/image/MCY/12644613 ")</f>
        <v xml:space="preserve">http://slimages.macys.com/is/image/MCY/12644613 </v>
      </c>
    </row>
    <row r="591" spans="1:13" ht="60" x14ac:dyDescent="0.25">
      <c r="A591" s="7" t="s">
        <v>8060</v>
      </c>
      <c r="B591" s="2" t="s">
        <v>2395</v>
      </c>
      <c r="C591" s="4">
        <v>1</v>
      </c>
      <c r="D591" s="5">
        <v>2.17</v>
      </c>
      <c r="E591" s="5">
        <v>5.99</v>
      </c>
      <c r="F591" s="4" t="s">
        <v>2396</v>
      </c>
      <c r="G591" s="2" t="s">
        <v>41</v>
      </c>
      <c r="H591" s="7" t="s">
        <v>590</v>
      </c>
      <c r="I591" s="2" t="s">
        <v>483</v>
      </c>
      <c r="J591" s="2" t="s">
        <v>536</v>
      </c>
      <c r="K591" s="2" t="s">
        <v>304</v>
      </c>
      <c r="L591" s="2" t="s">
        <v>38</v>
      </c>
      <c r="M591" s="8" t="str">
        <f>HYPERLINK("http://slimages.macys.com/is/image/MCY/13987582 ")</f>
        <v xml:space="preserve">http://slimages.macys.com/is/image/MCY/13987582 </v>
      </c>
    </row>
    <row r="592" spans="1:13" ht="60" x14ac:dyDescent="0.25">
      <c r="A592" s="7" t="s">
        <v>8061</v>
      </c>
      <c r="B592" s="2" t="s">
        <v>5789</v>
      </c>
      <c r="C592" s="4">
        <v>1</v>
      </c>
      <c r="D592" s="5">
        <v>2.16</v>
      </c>
      <c r="E592" s="5">
        <v>5.99</v>
      </c>
      <c r="F592" s="4" t="s">
        <v>8062</v>
      </c>
      <c r="G592" s="2" t="s">
        <v>1360</v>
      </c>
      <c r="H592" s="7" t="s">
        <v>590</v>
      </c>
      <c r="I592" s="2" t="s">
        <v>483</v>
      </c>
      <c r="J592" s="2" t="s">
        <v>536</v>
      </c>
      <c r="K592" s="2" t="s">
        <v>304</v>
      </c>
      <c r="L592" s="2" t="s">
        <v>206</v>
      </c>
      <c r="M592" s="8" t="str">
        <f>HYPERLINK("http://slimages.macys.com/is/image/MCY/11525797 ")</f>
        <v xml:space="preserve">http://slimages.macys.com/is/image/MCY/11525797 </v>
      </c>
    </row>
    <row r="593" spans="1:13" ht="60" x14ac:dyDescent="0.25">
      <c r="A593" s="7" t="s">
        <v>8063</v>
      </c>
      <c r="B593" s="2" t="s">
        <v>2401</v>
      </c>
      <c r="C593" s="4">
        <v>1</v>
      </c>
      <c r="D593" s="5">
        <v>2.16</v>
      </c>
      <c r="E593" s="5">
        <v>5.99</v>
      </c>
      <c r="F593" s="4" t="s">
        <v>2402</v>
      </c>
      <c r="G593" s="2" t="s">
        <v>874</v>
      </c>
      <c r="H593" s="7" t="s">
        <v>91</v>
      </c>
      <c r="I593" s="2" t="s">
        <v>483</v>
      </c>
      <c r="J593" s="2" t="s">
        <v>536</v>
      </c>
      <c r="K593" s="2" t="s">
        <v>304</v>
      </c>
      <c r="L593" s="2" t="s">
        <v>100</v>
      </c>
      <c r="M593" s="8" t="str">
        <f>HYPERLINK("http://slimages.macys.com/is/image/MCY/11855542 ")</f>
        <v xml:space="preserve">http://slimages.macys.com/is/image/MCY/11855542 </v>
      </c>
    </row>
    <row r="594" spans="1:13" ht="60" x14ac:dyDescent="0.25">
      <c r="A594" s="7" t="s">
        <v>5785</v>
      </c>
      <c r="B594" s="2" t="s">
        <v>5786</v>
      </c>
      <c r="C594" s="4">
        <v>1</v>
      </c>
      <c r="D594" s="5">
        <v>2.16</v>
      </c>
      <c r="E594" s="5">
        <v>5.99</v>
      </c>
      <c r="F594" s="4" t="s">
        <v>5787</v>
      </c>
      <c r="G594" s="2" t="s">
        <v>41</v>
      </c>
      <c r="H594" s="7" t="s">
        <v>91</v>
      </c>
      <c r="I594" s="2" t="s">
        <v>483</v>
      </c>
      <c r="J594" s="2" t="s">
        <v>536</v>
      </c>
      <c r="K594" s="2" t="s">
        <v>304</v>
      </c>
      <c r="L594" s="2" t="s">
        <v>100</v>
      </c>
      <c r="M594" s="8" t="str">
        <f>HYPERLINK("http://slimages.macys.com/is/image/MCY/11856992 ")</f>
        <v xml:space="preserve">http://slimages.macys.com/is/image/MCY/11856992 </v>
      </c>
    </row>
    <row r="595" spans="1:13" ht="60" x14ac:dyDescent="0.25">
      <c r="A595" s="7" t="s">
        <v>8064</v>
      </c>
      <c r="B595" s="2" t="s">
        <v>7292</v>
      </c>
      <c r="C595" s="4">
        <v>4</v>
      </c>
      <c r="D595" s="5">
        <v>2.14</v>
      </c>
      <c r="E595" s="5">
        <v>5.99</v>
      </c>
      <c r="F595" s="4" t="s">
        <v>7293</v>
      </c>
      <c r="G595" s="2" t="s">
        <v>28</v>
      </c>
      <c r="H595" s="7" t="s">
        <v>91</v>
      </c>
      <c r="I595" s="2" t="s">
        <v>483</v>
      </c>
      <c r="J595" s="2" t="s">
        <v>536</v>
      </c>
      <c r="K595" s="2" t="s">
        <v>304</v>
      </c>
      <c r="L595" s="2" t="s">
        <v>87</v>
      </c>
      <c r="M595" s="8" t="str">
        <f>HYPERLINK("http://slimages.macys.com/is/image/MCY/11855913 ")</f>
        <v xml:space="preserve">http://slimages.macys.com/is/image/MCY/11855913 </v>
      </c>
    </row>
    <row r="596" spans="1:13" ht="60" x14ac:dyDescent="0.25">
      <c r="A596" s="7" t="s">
        <v>8065</v>
      </c>
      <c r="B596" s="2" t="s">
        <v>6088</v>
      </c>
      <c r="C596" s="4">
        <v>1</v>
      </c>
      <c r="D596" s="5">
        <v>2.13</v>
      </c>
      <c r="E596" s="5">
        <v>5.99</v>
      </c>
      <c r="F596" s="4" t="s">
        <v>6089</v>
      </c>
      <c r="G596" s="2" t="s">
        <v>657</v>
      </c>
      <c r="H596" s="7" t="s">
        <v>442</v>
      </c>
      <c r="I596" s="2" t="s">
        <v>483</v>
      </c>
      <c r="J596" s="2" t="s">
        <v>536</v>
      </c>
      <c r="K596" s="2" t="s">
        <v>304</v>
      </c>
      <c r="L596" s="2" t="s">
        <v>119</v>
      </c>
      <c r="M596" s="8" t="str">
        <f>HYPERLINK("http://slimages.macys.com/is/image/MCY/13987613 ")</f>
        <v xml:space="preserve">http://slimages.macys.com/is/image/MCY/13987613 </v>
      </c>
    </row>
    <row r="597" spans="1:13" ht="60" x14ac:dyDescent="0.25">
      <c r="A597" s="7" t="s">
        <v>8066</v>
      </c>
      <c r="B597" s="2" t="s">
        <v>5106</v>
      </c>
      <c r="C597" s="4">
        <v>2</v>
      </c>
      <c r="D597" s="5">
        <v>2.12</v>
      </c>
      <c r="E597" s="5">
        <v>5.99</v>
      </c>
      <c r="F597" s="4" t="s">
        <v>5107</v>
      </c>
      <c r="G597" s="2" t="s">
        <v>41</v>
      </c>
      <c r="H597" s="7" t="s">
        <v>442</v>
      </c>
      <c r="I597" s="2" t="s">
        <v>483</v>
      </c>
      <c r="J597" s="2" t="s">
        <v>536</v>
      </c>
      <c r="K597" s="2" t="s">
        <v>304</v>
      </c>
      <c r="L597" s="2" t="s">
        <v>206</v>
      </c>
      <c r="M597" s="8" t="str">
        <f>HYPERLINK("http://slimages.macys.com/is/image/MCY/11856981 ")</f>
        <v xml:space="preserve">http://slimages.macys.com/is/image/MCY/11856981 </v>
      </c>
    </row>
    <row r="598" spans="1:13" ht="60" x14ac:dyDescent="0.25">
      <c r="A598" s="7" t="s">
        <v>8067</v>
      </c>
      <c r="B598" s="2" t="s">
        <v>5106</v>
      </c>
      <c r="C598" s="4">
        <v>1</v>
      </c>
      <c r="D598" s="5">
        <v>2.12</v>
      </c>
      <c r="E598" s="5">
        <v>5.99</v>
      </c>
      <c r="F598" s="4" t="s">
        <v>5107</v>
      </c>
      <c r="G598" s="2" t="s">
        <v>41</v>
      </c>
      <c r="H598" s="7" t="s">
        <v>91</v>
      </c>
      <c r="I598" s="2" t="s">
        <v>483</v>
      </c>
      <c r="J598" s="2" t="s">
        <v>536</v>
      </c>
      <c r="K598" s="2" t="s">
        <v>304</v>
      </c>
      <c r="L598" s="2" t="s">
        <v>206</v>
      </c>
      <c r="M598" s="8" t="str">
        <f>HYPERLINK("http://slimages.macys.com/is/image/MCY/11856981 ")</f>
        <v xml:space="preserve">http://slimages.macys.com/is/image/MCY/11856981 </v>
      </c>
    </row>
    <row r="599" spans="1:13" ht="60" x14ac:dyDescent="0.25">
      <c r="A599" s="7" t="s">
        <v>8068</v>
      </c>
      <c r="B599" s="2" t="s">
        <v>5106</v>
      </c>
      <c r="C599" s="4">
        <v>2</v>
      </c>
      <c r="D599" s="5">
        <v>2.12</v>
      </c>
      <c r="E599" s="5">
        <v>5.99</v>
      </c>
      <c r="F599" s="4" t="s">
        <v>5107</v>
      </c>
      <c r="G599" s="2" t="s">
        <v>41</v>
      </c>
      <c r="H599" s="7" t="s">
        <v>590</v>
      </c>
      <c r="I599" s="2" t="s">
        <v>483</v>
      </c>
      <c r="J599" s="2" t="s">
        <v>536</v>
      </c>
      <c r="K599" s="2" t="s">
        <v>304</v>
      </c>
      <c r="L599" s="2" t="s">
        <v>206</v>
      </c>
      <c r="M599" s="8" t="str">
        <f>HYPERLINK("http://slimages.macys.com/is/image/MCY/11856981 ")</f>
        <v xml:space="preserve">http://slimages.macys.com/is/image/MCY/11856981 </v>
      </c>
    </row>
    <row r="600" spans="1:13" ht="60" x14ac:dyDescent="0.25">
      <c r="A600" s="7" t="s">
        <v>5108</v>
      </c>
      <c r="B600" s="2" t="s">
        <v>5109</v>
      </c>
      <c r="C600" s="4">
        <v>1</v>
      </c>
      <c r="D600" s="5">
        <v>2.11</v>
      </c>
      <c r="E600" s="5">
        <v>5.99</v>
      </c>
      <c r="F600" s="4" t="s">
        <v>5110</v>
      </c>
      <c r="G600" s="2" t="s">
        <v>793</v>
      </c>
      <c r="H600" s="7" t="s">
        <v>91</v>
      </c>
      <c r="I600" s="2" t="s">
        <v>483</v>
      </c>
      <c r="J600" s="2" t="s">
        <v>536</v>
      </c>
      <c r="K600" s="2" t="s">
        <v>304</v>
      </c>
      <c r="L600" s="2" t="s">
        <v>119</v>
      </c>
      <c r="M600" s="8" t="str">
        <f>HYPERLINK("http://slimages.macys.com/is/image/MCY/13987430 ")</f>
        <v xml:space="preserve">http://slimages.macys.com/is/image/MCY/13987430 </v>
      </c>
    </row>
    <row r="601" spans="1:13" ht="60" x14ac:dyDescent="0.25">
      <c r="A601" s="7" t="s">
        <v>8069</v>
      </c>
      <c r="B601" s="2" t="s">
        <v>2404</v>
      </c>
      <c r="C601" s="4">
        <v>1</v>
      </c>
      <c r="D601" s="5">
        <v>2.1</v>
      </c>
      <c r="E601" s="5">
        <v>5.99</v>
      </c>
      <c r="F601" s="4" t="s">
        <v>2405</v>
      </c>
      <c r="G601" s="2" t="s">
        <v>41</v>
      </c>
      <c r="H601" s="7" t="s">
        <v>42</v>
      </c>
      <c r="I601" s="2" t="s">
        <v>483</v>
      </c>
      <c r="J601" s="2" t="s">
        <v>536</v>
      </c>
      <c r="K601" s="2" t="s">
        <v>304</v>
      </c>
      <c r="L601" s="2" t="s">
        <v>119</v>
      </c>
      <c r="M601" s="8" t="str">
        <f>HYPERLINK("http://slimages.macys.com/is/image/MCY/11525810 ")</f>
        <v xml:space="preserve">http://slimages.macys.com/is/image/MCY/11525810 </v>
      </c>
    </row>
    <row r="602" spans="1:13" ht="60" x14ac:dyDescent="0.25">
      <c r="A602" s="7" t="s">
        <v>8070</v>
      </c>
      <c r="B602" s="2" t="s">
        <v>2404</v>
      </c>
      <c r="C602" s="4">
        <v>1</v>
      </c>
      <c r="D602" s="5">
        <v>2.1</v>
      </c>
      <c r="E602" s="5">
        <v>5.99</v>
      </c>
      <c r="F602" s="4" t="s">
        <v>2405</v>
      </c>
      <c r="G602" s="2" t="s">
        <v>41</v>
      </c>
      <c r="H602" s="7" t="s">
        <v>590</v>
      </c>
      <c r="I602" s="2" t="s">
        <v>483</v>
      </c>
      <c r="J602" s="2" t="s">
        <v>536</v>
      </c>
      <c r="K602" s="2" t="s">
        <v>304</v>
      </c>
      <c r="L602" s="2" t="s">
        <v>119</v>
      </c>
      <c r="M602" s="8" t="str">
        <f>HYPERLINK("http://slimages.macys.com/is/image/MCY/11525810 ")</f>
        <v xml:space="preserve">http://slimages.macys.com/is/image/MCY/11525810 </v>
      </c>
    </row>
    <row r="603" spans="1:13" ht="84" x14ac:dyDescent="0.25">
      <c r="A603" s="7" t="s">
        <v>8071</v>
      </c>
      <c r="B603" s="2" t="s">
        <v>1324</v>
      </c>
      <c r="C603" s="4">
        <v>1</v>
      </c>
      <c r="D603" s="5">
        <v>2.09</v>
      </c>
      <c r="E603" s="5">
        <v>4.99</v>
      </c>
      <c r="F603" s="4" t="s">
        <v>1325</v>
      </c>
      <c r="G603" s="2" t="s">
        <v>86</v>
      </c>
      <c r="H603" s="7" t="s">
        <v>159</v>
      </c>
      <c r="I603" s="2" t="s">
        <v>523</v>
      </c>
      <c r="J603" s="2" t="s">
        <v>921</v>
      </c>
      <c r="K603" s="2" t="s">
        <v>304</v>
      </c>
      <c r="L603" s="2" t="s">
        <v>8072</v>
      </c>
      <c r="M603" s="8" t="str">
        <f>HYPERLINK("http://slimages.macys.com/is/image/MCY/9378256 ")</f>
        <v xml:space="preserve">http://slimages.macys.com/is/image/MCY/9378256 </v>
      </c>
    </row>
    <row r="604" spans="1:13" ht="84" x14ac:dyDescent="0.25">
      <c r="A604" s="7" t="s">
        <v>8073</v>
      </c>
      <c r="B604" s="2" t="s">
        <v>1324</v>
      </c>
      <c r="C604" s="4">
        <v>1</v>
      </c>
      <c r="D604" s="5">
        <v>2.09</v>
      </c>
      <c r="E604" s="5">
        <v>4.99</v>
      </c>
      <c r="F604" s="4" t="s">
        <v>1325</v>
      </c>
      <c r="G604" s="2" t="s">
        <v>86</v>
      </c>
      <c r="H604" s="7" t="s">
        <v>228</v>
      </c>
      <c r="I604" s="2" t="s">
        <v>523</v>
      </c>
      <c r="J604" s="2" t="s">
        <v>921</v>
      </c>
      <c r="K604" s="2" t="s">
        <v>304</v>
      </c>
      <c r="L604" s="2" t="s">
        <v>8072</v>
      </c>
      <c r="M604" s="8" t="str">
        <f>HYPERLINK("http://slimages.macys.com/is/image/MCY/9378256 ")</f>
        <v xml:space="preserve">http://slimages.macys.com/is/image/MCY/9378256 </v>
      </c>
    </row>
    <row r="605" spans="1:13" ht="60" x14ac:dyDescent="0.25">
      <c r="A605" s="7" t="s">
        <v>5794</v>
      </c>
      <c r="B605" s="2" t="s">
        <v>5795</v>
      </c>
      <c r="C605" s="4">
        <v>1</v>
      </c>
      <c r="D605" s="5">
        <v>2.08</v>
      </c>
      <c r="E605" s="5">
        <v>5.99</v>
      </c>
      <c r="F605" s="4" t="s">
        <v>5796</v>
      </c>
      <c r="G605" s="2" t="s">
        <v>28</v>
      </c>
      <c r="H605" s="7" t="s">
        <v>42</v>
      </c>
      <c r="I605" s="2" t="s">
        <v>483</v>
      </c>
      <c r="J605" s="2" t="s">
        <v>536</v>
      </c>
      <c r="K605" s="2" t="s">
        <v>304</v>
      </c>
      <c r="L605" s="2" t="s">
        <v>206</v>
      </c>
      <c r="M605" s="8" t="str">
        <f>HYPERLINK("http://slimages.macys.com/is/image/MCY/11856654 ")</f>
        <v xml:space="preserve">http://slimages.macys.com/is/image/MCY/11856654 </v>
      </c>
    </row>
    <row r="606" spans="1:13" ht="60" x14ac:dyDescent="0.25">
      <c r="A606" s="7" t="s">
        <v>8074</v>
      </c>
      <c r="B606" s="2" t="s">
        <v>8075</v>
      </c>
      <c r="C606" s="4">
        <v>1</v>
      </c>
      <c r="D606" s="5">
        <v>2.04</v>
      </c>
      <c r="E606" s="5">
        <v>4.99</v>
      </c>
      <c r="F606" s="4">
        <v>100016694</v>
      </c>
      <c r="G606" s="2" t="s">
        <v>1147</v>
      </c>
      <c r="H606" s="7" t="s">
        <v>590</v>
      </c>
      <c r="I606" s="2" t="s">
        <v>483</v>
      </c>
      <c r="J606" s="2" t="s">
        <v>536</v>
      </c>
      <c r="K606" s="2" t="s">
        <v>304</v>
      </c>
      <c r="L606" s="2" t="s">
        <v>206</v>
      </c>
      <c r="M606" s="8" t="str">
        <f>HYPERLINK("http://slimages.macys.com/is/image/MCY/9382759 ")</f>
        <v xml:space="preserve">http://slimages.macys.com/is/image/MCY/9382759 </v>
      </c>
    </row>
    <row r="607" spans="1:13" ht="60" x14ac:dyDescent="0.25">
      <c r="A607" s="7" t="s">
        <v>8076</v>
      </c>
      <c r="B607" s="2" t="s">
        <v>2410</v>
      </c>
      <c r="C607" s="4">
        <v>2</v>
      </c>
      <c r="D607" s="5">
        <v>1.97</v>
      </c>
      <c r="E607" s="5">
        <v>5.99</v>
      </c>
      <c r="F607" s="4" t="s">
        <v>2411</v>
      </c>
      <c r="G607" s="2" t="s">
        <v>41</v>
      </c>
      <c r="H607" s="7" t="s">
        <v>442</v>
      </c>
      <c r="I607" s="2" t="s">
        <v>483</v>
      </c>
      <c r="J607" s="2" t="s">
        <v>536</v>
      </c>
      <c r="K607" s="2" t="s">
        <v>304</v>
      </c>
      <c r="L607" s="2" t="s">
        <v>206</v>
      </c>
      <c r="M607" s="8" t="str">
        <f>HYPERLINK("http://slimages.macys.com/is/image/MCY/12644612 ")</f>
        <v xml:space="preserve">http://slimages.macys.com/is/image/MCY/12644612 </v>
      </c>
    </row>
    <row r="608" spans="1:13" ht="60" x14ac:dyDescent="0.25">
      <c r="A608" s="7" t="s">
        <v>6656</v>
      </c>
      <c r="B608" s="2" t="s">
        <v>1399</v>
      </c>
      <c r="C608" s="4">
        <v>2</v>
      </c>
      <c r="D608" s="5">
        <v>1.97</v>
      </c>
      <c r="E608" s="5">
        <v>5.99</v>
      </c>
      <c r="F608" s="4" t="s">
        <v>1400</v>
      </c>
      <c r="G608" s="2" t="s">
        <v>657</v>
      </c>
      <c r="H608" s="7" t="s">
        <v>149</v>
      </c>
      <c r="I608" s="2" t="s">
        <v>483</v>
      </c>
      <c r="J608" s="2" t="s">
        <v>536</v>
      </c>
      <c r="K608" s="2" t="s">
        <v>304</v>
      </c>
      <c r="L608" s="2" t="s">
        <v>119</v>
      </c>
      <c r="M608" s="8" t="str">
        <f>HYPERLINK("http://slimages.macys.com/is/image/MCY/13987628 ")</f>
        <v xml:space="preserve">http://slimages.macys.com/is/image/MCY/13987628 </v>
      </c>
    </row>
    <row r="609" spans="1:13" ht="60" x14ac:dyDescent="0.25">
      <c r="A609" s="7" t="s">
        <v>1398</v>
      </c>
      <c r="B609" s="2" t="s">
        <v>1399</v>
      </c>
      <c r="C609" s="4">
        <v>3</v>
      </c>
      <c r="D609" s="5">
        <v>1.97</v>
      </c>
      <c r="E609" s="5">
        <v>5.99</v>
      </c>
      <c r="F609" s="4" t="s">
        <v>1400</v>
      </c>
      <c r="G609" s="2" t="s">
        <v>657</v>
      </c>
      <c r="H609" s="7" t="s">
        <v>590</v>
      </c>
      <c r="I609" s="2" t="s">
        <v>483</v>
      </c>
      <c r="J609" s="2" t="s">
        <v>536</v>
      </c>
      <c r="K609" s="2" t="s">
        <v>304</v>
      </c>
      <c r="L609" s="2" t="s">
        <v>119</v>
      </c>
      <c r="M609" s="8" t="str">
        <f>HYPERLINK("http://slimages.macys.com/is/image/MCY/13987628 ")</f>
        <v xml:space="preserve">http://slimages.macys.com/is/image/MCY/13987628 </v>
      </c>
    </row>
    <row r="610" spans="1:13" ht="60" x14ac:dyDescent="0.25">
      <c r="A610" s="7" t="s">
        <v>7300</v>
      </c>
      <c r="B610" s="2" t="s">
        <v>1399</v>
      </c>
      <c r="C610" s="4">
        <v>3</v>
      </c>
      <c r="D610" s="5">
        <v>1.97</v>
      </c>
      <c r="E610" s="5">
        <v>5.99</v>
      </c>
      <c r="F610" s="4" t="s">
        <v>1400</v>
      </c>
      <c r="G610" s="2" t="s">
        <v>657</v>
      </c>
      <c r="H610" s="7" t="s">
        <v>91</v>
      </c>
      <c r="I610" s="2" t="s">
        <v>483</v>
      </c>
      <c r="J610" s="2" t="s">
        <v>536</v>
      </c>
      <c r="K610" s="2" t="s">
        <v>304</v>
      </c>
      <c r="L610" s="2" t="s">
        <v>119</v>
      </c>
      <c r="M610" s="8" t="str">
        <f>HYPERLINK("http://slimages.macys.com/is/image/MCY/13987628 ")</f>
        <v xml:space="preserve">http://slimages.macys.com/is/image/MCY/13987628 </v>
      </c>
    </row>
    <row r="611" spans="1:13" ht="60" x14ac:dyDescent="0.25">
      <c r="A611" s="7" t="s">
        <v>2412</v>
      </c>
      <c r="B611" s="2" t="s">
        <v>2413</v>
      </c>
      <c r="C611" s="4">
        <v>1</v>
      </c>
      <c r="D611" s="5">
        <v>1.95</v>
      </c>
      <c r="E611" s="5">
        <v>5.99</v>
      </c>
      <c r="F611" s="4" t="s">
        <v>2414</v>
      </c>
      <c r="G611" s="2" t="s">
        <v>28</v>
      </c>
      <c r="H611" s="7" t="s">
        <v>42</v>
      </c>
      <c r="I611" s="2" t="s">
        <v>483</v>
      </c>
      <c r="J611" s="2" t="s">
        <v>536</v>
      </c>
      <c r="K611" s="2" t="s">
        <v>304</v>
      </c>
      <c r="L611" s="2" t="s">
        <v>206</v>
      </c>
      <c r="M611" s="8" t="str">
        <f>HYPERLINK("http://slimages.macys.com/is/image/MCY/11856946 ")</f>
        <v xml:space="preserve">http://slimages.macys.com/is/image/MCY/11856946 </v>
      </c>
    </row>
    <row r="612" spans="1:13" ht="60" x14ac:dyDescent="0.25">
      <c r="A612" s="7" t="s">
        <v>8077</v>
      </c>
      <c r="B612" s="2" t="s">
        <v>5802</v>
      </c>
      <c r="C612" s="4">
        <v>1</v>
      </c>
      <c r="D612" s="5">
        <v>1.95</v>
      </c>
      <c r="E612" s="5">
        <v>5.99</v>
      </c>
      <c r="F612" s="4" t="s">
        <v>5803</v>
      </c>
      <c r="G612" s="2" t="s">
        <v>657</v>
      </c>
      <c r="H612" s="7" t="s">
        <v>442</v>
      </c>
      <c r="I612" s="2" t="s">
        <v>483</v>
      </c>
      <c r="J612" s="2" t="s">
        <v>536</v>
      </c>
      <c r="K612" s="2" t="s">
        <v>304</v>
      </c>
      <c r="L612" s="2" t="s">
        <v>119</v>
      </c>
      <c r="M612" s="8" t="str">
        <f>HYPERLINK("http://slimages.macys.com/is/image/MCY/11856984 ")</f>
        <v xml:space="preserve">http://slimages.macys.com/is/image/MCY/11856984 </v>
      </c>
    </row>
    <row r="613" spans="1:13" ht="60" x14ac:dyDescent="0.25">
      <c r="A613" s="7" t="s">
        <v>6657</v>
      </c>
      <c r="B613" s="2" t="s">
        <v>5802</v>
      </c>
      <c r="C613" s="4">
        <v>1</v>
      </c>
      <c r="D613" s="5">
        <v>1.95</v>
      </c>
      <c r="E613" s="5">
        <v>5.99</v>
      </c>
      <c r="F613" s="4" t="s">
        <v>5803</v>
      </c>
      <c r="G613" s="2" t="s">
        <v>657</v>
      </c>
      <c r="H613" s="7" t="s">
        <v>149</v>
      </c>
      <c r="I613" s="2" t="s">
        <v>483</v>
      </c>
      <c r="J613" s="2" t="s">
        <v>536</v>
      </c>
      <c r="K613" s="2" t="s">
        <v>304</v>
      </c>
      <c r="L613" s="2" t="s">
        <v>119</v>
      </c>
      <c r="M613" s="8" t="str">
        <f>HYPERLINK("http://slimages.macys.com/is/image/MCY/11856984 ")</f>
        <v xml:space="preserve">http://slimages.macys.com/is/image/MCY/11856984 </v>
      </c>
    </row>
    <row r="614" spans="1:13" ht="60" x14ac:dyDescent="0.25">
      <c r="A614" s="7" t="s">
        <v>8078</v>
      </c>
      <c r="B614" s="2" t="s">
        <v>8079</v>
      </c>
      <c r="C614" s="4">
        <v>1</v>
      </c>
      <c r="D614" s="5">
        <v>1.93</v>
      </c>
      <c r="E614" s="5">
        <v>5.99</v>
      </c>
      <c r="F614" s="4" t="s">
        <v>8080</v>
      </c>
      <c r="G614" s="2" t="s">
        <v>476</v>
      </c>
      <c r="H614" s="7" t="s">
        <v>149</v>
      </c>
      <c r="I614" s="2" t="s">
        <v>483</v>
      </c>
      <c r="J614" s="2" t="s">
        <v>536</v>
      </c>
      <c r="K614" s="2" t="s">
        <v>304</v>
      </c>
      <c r="L614" s="2" t="s">
        <v>206</v>
      </c>
      <c r="M614" s="8" t="str">
        <f>HYPERLINK("http://slimages.macys.com/is/image/MCY/12462607 ")</f>
        <v xml:space="preserve">http://slimages.macys.com/is/image/MCY/12462607 </v>
      </c>
    </row>
    <row r="615" spans="1:13" ht="60" x14ac:dyDescent="0.25">
      <c r="A615" s="7" t="s">
        <v>8081</v>
      </c>
      <c r="B615" s="2" t="s">
        <v>8079</v>
      </c>
      <c r="C615" s="4">
        <v>1</v>
      </c>
      <c r="D615" s="5">
        <v>1.93</v>
      </c>
      <c r="E615" s="5">
        <v>5.99</v>
      </c>
      <c r="F615" s="4" t="s">
        <v>8080</v>
      </c>
      <c r="G615" s="2" t="s">
        <v>476</v>
      </c>
      <c r="H615" s="7" t="s">
        <v>91</v>
      </c>
      <c r="I615" s="2" t="s">
        <v>483</v>
      </c>
      <c r="J615" s="2" t="s">
        <v>536</v>
      </c>
      <c r="K615" s="2" t="s">
        <v>304</v>
      </c>
      <c r="L615" s="2" t="s">
        <v>206</v>
      </c>
      <c r="M615" s="8" t="str">
        <f>HYPERLINK("http://slimages.macys.com/is/image/MCY/12462607 ")</f>
        <v xml:space="preserve">http://slimages.macys.com/is/image/MCY/12462607 </v>
      </c>
    </row>
    <row r="616" spans="1:13" ht="60" x14ac:dyDescent="0.25">
      <c r="A616" s="7" t="s">
        <v>8082</v>
      </c>
      <c r="B616" s="2" t="s">
        <v>8079</v>
      </c>
      <c r="C616" s="4">
        <v>1</v>
      </c>
      <c r="D616" s="5">
        <v>1.93</v>
      </c>
      <c r="E616" s="5">
        <v>5.99</v>
      </c>
      <c r="F616" s="4" t="s">
        <v>8080</v>
      </c>
      <c r="G616" s="2" t="s">
        <v>476</v>
      </c>
      <c r="H616" s="7" t="s">
        <v>42</v>
      </c>
      <c r="I616" s="2" t="s">
        <v>483</v>
      </c>
      <c r="J616" s="2" t="s">
        <v>536</v>
      </c>
      <c r="K616" s="2" t="s">
        <v>304</v>
      </c>
      <c r="L616" s="2" t="s">
        <v>206</v>
      </c>
      <c r="M616" s="8" t="str">
        <f>HYPERLINK("http://slimages.macys.com/is/image/MCY/12462607 ")</f>
        <v xml:space="preserve">http://slimages.macys.com/is/image/MCY/12462607 </v>
      </c>
    </row>
    <row r="617" spans="1:13" ht="60" x14ac:dyDescent="0.25">
      <c r="A617" s="7" t="s">
        <v>8083</v>
      </c>
      <c r="B617" s="2" t="s">
        <v>8079</v>
      </c>
      <c r="C617" s="4">
        <v>1</v>
      </c>
      <c r="D617" s="5">
        <v>1.93</v>
      </c>
      <c r="E617" s="5">
        <v>5.99</v>
      </c>
      <c r="F617" s="4" t="s">
        <v>8080</v>
      </c>
      <c r="G617" s="2" t="s">
        <v>476</v>
      </c>
      <c r="H617" s="7" t="s">
        <v>590</v>
      </c>
      <c r="I617" s="2" t="s">
        <v>483</v>
      </c>
      <c r="J617" s="2" t="s">
        <v>536</v>
      </c>
      <c r="K617" s="2" t="s">
        <v>304</v>
      </c>
      <c r="L617" s="2" t="s">
        <v>206</v>
      </c>
      <c r="M617" s="8" t="str">
        <f>HYPERLINK("http://slimages.macys.com/is/image/MCY/12462607 ")</f>
        <v xml:space="preserve">http://slimages.macys.com/is/image/MCY/12462607 </v>
      </c>
    </row>
    <row r="618" spans="1:13" ht="60" x14ac:dyDescent="0.25">
      <c r="A618" s="7" t="s">
        <v>2415</v>
      </c>
      <c r="B618" s="2" t="s">
        <v>2416</v>
      </c>
      <c r="C618" s="4">
        <v>1</v>
      </c>
      <c r="D618" s="5">
        <v>1.47</v>
      </c>
      <c r="E618" s="5">
        <v>3.99</v>
      </c>
      <c r="F618" s="4" t="s">
        <v>2417</v>
      </c>
      <c r="G618" s="2" t="s">
        <v>297</v>
      </c>
      <c r="H618" s="7" t="s">
        <v>531</v>
      </c>
      <c r="I618" s="2" t="s">
        <v>483</v>
      </c>
      <c r="J618" s="2" t="s">
        <v>536</v>
      </c>
      <c r="K618" s="2" t="s">
        <v>304</v>
      </c>
      <c r="L618" s="2" t="s">
        <v>206</v>
      </c>
      <c r="M618" s="8" t="str">
        <f>HYPERLINK("http://slimages.macys.com/is/image/MCY/13987503 ")</f>
        <v xml:space="preserve">http://slimages.macys.com/is/image/MCY/13987503 </v>
      </c>
    </row>
    <row r="619" spans="1:13" ht="60" x14ac:dyDescent="0.25">
      <c r="A619" s="7" t="s">
        <v>8084</v>
      </c>
      <c r="B619" s="2" t="s">
        <v>3579</v>
      </c>
      <c r="C619" s="4">
        <v>1</v>
      </c>
      <c r="D619" s="5">
        <v>10.3</v>
      </c>
      <c r="E619" s="5">
        <v>25.05</v>
      </c>
      <c r="F619" s="4">
        <v>17872211</v>
      </c>
      <c r="G619" s="2"/>
      <c r="H619" s="7" t="s">
        <v>442</v>
      </c>
      <c r="I619" s="2" t="s">
        <v>153</v>
      </c>
      <c r="J619" s="2" t="s">
        <v>3580</v>
      </c>
      <c r="K619" s="2"/>
      <c r="L619" s="2"/>
      <c r="M619" s="8"/>
    </row>
  </sheetData>
  <pageMargins left="0.5" right="0.5" top="0.25" bottom="0.25" header="0.3" footer="0.3"/>
  <pageSetup scale="65" orientation="landscape" horizontalDpi="0" verticalDpi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21"/>
  <sheetViews>
    <sheetView workbookViewId="0">
      <selection activeCell="M6" sqref="M6"/>
    </sheetView>
  </sheetViews>
  <sheetFormatPr defaultRowHeight="15" x14ac:dyDescent="0.25"/>
  <cols>
    <col min="1" max="1" width="14.28515625" customWidth="1"/>
    <col min="2" max="2" width="40" customWidth="1"/>
    <col min="3" max="3" width="15" customWidth="1"/>
    <col min="4" max="4" width="10.85546875" customWidth="1"/>
    <col min="5" max="6" width="15" customWidth="1"/>
    <col min="7" max="7" width="10.28515625" customWidth="1"/>
    <col min="8" max="8" width="13.140625" customWidth="1"/>
    <col min="9" max="11" width="11.42578125" customWidth="1"/>
    <col min="12" max="12" width="7.42578125" customWidth="1"/>
    <col min="13" max="13" width="10.85546875" customWidth="1"/>
    <col min="14" max="14" width="12.140625" customWidth="1"/>
    <col min="15" max="15" width="36.5703125" bestFit="1" customWidth="1"/>
    <col min="16" max="17" width="20.7109375" customWidth="1"/>
    <col min="18" max="18" width="64.28515625" customWidth="1"/>
  </cols>
  <sheetData>
    <row r="1" spans="1:13" ht="36" x14ac:dyDescent="0.25">
      <c r="A1" s="19" t="s">
        <v>0</v>
      </c>
      <c r="B1" s="19" t="s">
        <v>1</v>
      </c>
      <c r="C1" s="19" t="s">
        <v>2</v>
      </c>
      <c r="D1" s="19" t="s">
        <v>3</v>
      </c>
      <c r="E1" s="19" t="s">
        <v>4</v>
      </c>
      <c r="F1" s="19" t="s">
        <v>5</v>
      </c>
      <c r="G1" s="19" t="s">
        <v>6</v>
      </c>
      <c r="H1" s="19" t="s">
        <v>7</v>
      </c>
      <c r="I1" s="19" t="s">
        <v>8</v>
      </c>
      <c r="J1" s="19" t="s">
        <v>9</v>
      </c>
    </row>
    <row r="2" spans="1:13" ht="36" x14ac:dyDescent="0.25">
      <c r="A2" s="2" t="s">
        <v>654</v>
      </c>
      <c r="B2" s="3">
        <v>12447001</v>
      </c>
      <c r="C2" s="2" t="s">
        <v>11</v>
      </c>
      <c r="D2" s="2" t="s">
        <v>12</v>
      </c>
      <c r="E2" s="4">
        <v>1</v>
      </c>
      <c r="F2" s="4">
        <v>20</v>
      </c>
      <c r="G2" s="2">
        <v>207</v>
      </c>
      <c r="H2" s="5">
        <v>4429.12</v>
      </c>
      <c r="I2" s="5">
        <v>11052.06</v>
      </c>
      <c r="J2" s="2">
        <v>959</v>
      </c>
    </row>
    <row r="4" spans="1:13" s="6" customFormat="1" x14ac:dyDescent="0.25"/>
    <row r="8" spans="1:13" s="6" customFormat="1" x14ac:dyDescent="0.25"/>
    <row r="9" spans="1:13" ht="36" x14ac:dyDescent="0.25">
      <c r="A9" s="19" t="s">
        <v>13</v>
      </c>
      <c r="B9" s="19" t="s">
        <v>14</v>
      </c>
      <c r="C9" s="19" t="s">
        <v>15</v>
      </c>
      <c r="D9" s="19" t="s">
        <v>16</v>
      </c>
      <c r="E9" s="19" t="s">
        <v>17</v>
      </c>
      <c r="F9" s="19" t="s">
        <v>18</v>
      </c>
      <c r="G9" s="19" t="s">
        <v>19</v>
      </c>
      <c r="H9" s="19" t="s">
        <v>20</v>
      </c>
      <c r="I9" s="19" t="s">
        <v>21</v>
      </c>
      <c r="J9" s="19" t="s">
        <v>22</v>
      </c>
      <c r="K9" s="19" t="s">
        <v>2737</v>
      </c>
      <c r="L9" s="19" t="s">
        <v>23</v>
      </c>
      <c r="M9" s="19" t="s">
        <v>24</v>
      </c>
    </row>
    <row r="10" spans="1:13" ht="60" x14ac:dyDescent="0.25">
      <c r="A10" s="7" t="s">
        <v>6670</v>
      </c>
      <c r="B10" s="2" t="s">
        <v>6671</v>
      </c>
      <c r="C10" s="4">
        <v>1</v>
      </c>
      <c r="D10" s="5">
        <v>31.8</v>
      </c>
      <c r="E10" s="5">
        <v>79.5</v>
      </c>
      <c r="F10" s="4" t="s">
        <v>6672</v>
      </c>
      <c r="G10" s="2" t="s">
        <v>800</v>
      </c>
      <c r="H10" s="7"/>
      <c r="I10" s="2" t="s">
        <v>57</v>
      </c>
      <c r="J10" s="2" t="s">
        <v>58</v>
      </c>
      <c r="K10" s="2" t="s">
        <v>304</v>
      </c>
      <c r="L10" s="2" t="s">
        <v>125</v>
      </c>
      <c r="M10" s="8" t="str">
        <f>HYPERLINK("http://slimages.macys.com/is/image/MCY/10544099 ")</f>
        <v xml:space="preserve">http://slimages.macys.com/is/image/MCY/10544099 </v>
      </c>
    </row>
    <row r="11" spans="1:13" ht="60" x14ac:dyDescent="0.25">
      <c r="A11" s="7" t="s">
        <v>6673</v>
      </c>
      <c r="B11" s="2" t="s">
        <v>4643</v>
      </c>
      <c r="C11" s="4">
        <v>2</v>
      </c>
      <c r="D11" s="5">
        <v>27.5</v>
      </c>
      <c r="E11" s="5">
        <v>55</v>
      </c>
      <c r="F11" s="4" t="s">
        <v>4644</v>
      </c>
      <c r="G11" s="2" t="s">
        <v>4645</v>
      </c>
      <c r="H11" s="7" t="s">
        <v>618</v>
      </c>
      <c r="I11" s="2" t="s">
        <v>50</v>
      </c>
      <c r="J11" s="2" t="s">
        <v>51</v>
      </c>
      <c r="K11" s="2" t="s">
        <v>304</v>
      </c>
      <c r="L11" s="2" t="s">
        <v>4646</v>
      </c>
      <c r="M11" s="8" t="str">
        <f>HYPERLINK("http://slimages.macys.com/is/image/MCY/3532501 ")</f>
        <v xml:space="preserve">http://slimages.macys.com/is/image/MCY/3532501 </v>
      </c>
    </row>
    <row r="12" spans="1:13" ht="60" x14ac:dyDescent="0.25">
      <c r="A12" s="7" t="s">
        <v>6674</v>
      </c>
      <c r="B12" s="2" t="s">
        <v>6675</v>
      </c>
      <c r="C12" s="4">
        <v>1</v>
      </c>
      <c r="D12" s="5">
        <v>26.77</v>
      </c>
      <c r="E12" s="5">
        <v>59.5</v>
      </c>
      <c r="F12" s="4">
        <v>311735846001</v>
      </c>
      <c r="G12" s="2" t="s">
        <v>476</v>
      </c>
      <c r="H12" s="7" t="s">
        <v>209</v>
      </c>
      <c r="I12" s="2" t="s">
        <v>3028</v>
      </c>
      <c r="J12" s="2" t="s">
        <v>205</v>
      </c>
      <c r="K12" s="2" t="s">
        <v>304</v>
      </c>
      <c r="L12" s="2" t="s">
        <v>263</v>
      </c>
      <c r="M12" s="8" t="str">
        <f>HYPERLINK("http://slimages.macys.com/is/image/MCY/11637239 ")</f>
        <v xml:space="preserve">http://slimages.macys.com/is/image/MCY/11637239 </v>
      </c>
    </row>
    <row r="13" spans="1:13" ht="60" x14ac:dyDescent="0.25">
      <c r="A13" s="7" t="s">
        <v>6676</v>
      </c>
      <c r="B13" s="2" t="s">
        <v>6677</v>
      </c>
      <c r="C13" s="4">
        <v>1</v>
      </c>
      <c r="D13" s="5">
        <v>25</v>
      </c>
      <c r="E13" s="5">
        <v>25</v>
      </c>
      <c r="F13" s="4" t="s">
        <v>6678</v>
      </c>
      <c r="G13" s="2" t="s">
        <v>858</v>
      </c>
      <c r="H13" s="7" t="s">
        <v>786</v>
      </c>
      <c r="I13" s="2" t="s">
        <v>50</v>
      </c>
      <c r="J13" s="2" t="s">
        <v>51</v>
      </c>
      <c r="K13" s="2" t="s">
        <v>304</v>
      </c>
      <c r="L13" s="2" t="s">
        <v>4646</v>
      </c>
      <c r="M13" s="8" t="str">
        <f>HYPERLINK("http://slimages.macys.com/is/image/MCY/3532554 ")</f>
        <v xml:space="preserve">http://slimages.macys.com/is/image/MCY/3532554 </v>
      </c>
    </row>
    <row r="14" spans="1:13" ht="72" x14ac:dyDescent="0.25">
      <c r="A14" s="7" t="s">
        <v>6679</v>
      </c>
      <c r="B14" s="2" t="s">
        <v>40</v>
      </c>
      <c r="C14" s="4">
        <v>1</v>
      </c>
      <c r="D14" s="5">
        <v>24.75</v>
      </c>
      <c r="E14" s="5">
        <v>65</v>
      </c>
      <c r="F14" s="4">
        <v>2394</v>
      </c>
      <c r="G14" s="2" t="s">
        <v>41</v>
      </c>
      <c r="H14" s="7" t="s">
        <v>590</v>
      </c>
      <c r="I14" s="2" t="s">
        <v>43</v>
      </c>
      <c r="J14" s="2" t="s">
        <v>44</v>
      </c>
      <c r="K14" s="2" t="s">
        <v>304</v>
      </c>
      <c r="L14" s="2" t="s">
        <v>45</v>
      </c>
      <c r="M14" s="8" t="str">
        <f>HYPERLINK("http://slimages.macys.com/is/image/MCY/694350 ")</f>
        <v xml:space="preserve">http://slimages.macys.com/is/image/MCY/694350 </v>
      </c>
    </row>
    <row r="15" spans="1:13" ht="72" x14ac:dyDescent="0.25">
      <c r="A15" s="7" t="s">
        <v>6680</v>
      </c>
      <c r="B15" s="2" t="s">
        <v>6681</v>
      </c>
      <c r="C15" s="4">
        <v>1</v>
      </c>
      <c r="D15" s="5">
        <v>24</v>
      </c>
      <c r="E15" s="5">
        <v>52</v>
      </c>
      <c r="F15" s="4" t="s">
        <v>6682</v>
      </c>
      <c r="G15" s="2" t="s">
        <v>41</v>
      </c>
      <c r="H15" s="7"/>
      <c r="I15" s="2" t="s">
        <v>173</v>
      </c>
      <c r="J15" s="2" t="s">
        <v>6683</v>
      </c>
      <c r="K15" s="2" t="s">
        <v>2746</v>
      </c>
      <c r="L15" s="2" t="s">
        <v>6684</v>
      </c>
      <c r="M15" s="8" t="str">
        <f>HYPERLINK("http://images.bloomingdales.com/is/image/BLM/10056612 ")</f>
        <v xml:space="preserve">http://images.bloomingdales.com/is/image/BLM/10056612 </v>
      </c>
    </row>
    <row r="16" spans="1:13" ht="72" x14ac:dyDescent="0.25">
      <c r="A16" s="7" t="s">
        <v>6685</v>
      </c>
      <c r="B16" s="2" t="s">
        <v>6681</v>
      </c>
      <c r="C16" s="4">
        <v>1</v>
      </c>
      <c r="D16" s="5">
        <v>24</v>
      </c>
      <c r="E16" s="5">
        <v>52</v>
      </c>
      <c r="F16" s="4" t="s">
        <v>6682</v>
      </c>
      <c r="G16" s="2" t="s">
        <v>41</v>
      </c>
      <c r="H16" s="7"/>
      <c r="I16" s="2" t="s">
        <v>173</v>
      </c>
      <c r="J16" s="2" t="s">
        <v>6683</v>
      </c>
      <c r="K16" s="2" t="s">
        <v>2746</v>
      </c>
      <c r="L16" s="2" t="s">
        <v>6684</v>
      </c>
      <c r="M16" s="8" t="str">
        <f>HYPERLINK("http://images.bloomingdales.com/is/image/BLM/10056612 ")</f>
        <v xml:space="preserve">http://images.bloomingdales.com/is/image/BLM/10056612 </v>
      </c>
    </row>
    <row r="17" spans="1:13" ht="72" x14ac:dyDescent="0.25">
      <c r="A17" s="7" t="s">
        <v>6686</v>
      </c>
      <c r="B17" s="2" t="s">
        <v>6681</v>
      </c>
      <c r="C17" s="4">
        <v>1</v>
      </c>
      <c r="D17" s="5">
        <v>24</v>
      </c>
      <c r="E17" s="5">
        <v>52</v>
      </c>
      <c r="F17" s="4" t="s">
        <v>6682</v>
      </c>
      <c r="G17" s="2" t="s">
        <v>41</v>
      </c>
      <c r="H17" s="7"/>
      <c r="I17" s="2" t="s">
        <v>173</v>
      </c>
      <c r="J17" s="2" t="s">
        <v>6683</v>
      </c>
      <c r="K17" s="2" t="s">
        <v>2746</v>
      </c>
      <c r="L17" s="2" t="s">
        <v>6684</v>
      </c>
      <c r="M17" s="8" t="str">
        <f>HYPERLINK("http://images.bloomingdales.com/is/image/BLM/10056612 ")</f>
        <v xml:space="preserve">http://images.bloomingdales.com/is/image/BLM/10056612 </v>
      </c>
    </row>
    <row r="18" spans="1:13" ht="132" x14ac:dyDescent="0.25">
      <c r="A18" s="7" t="s">
        <v>6687</v>
      </c>
      <c r="B18" s="2" t="s">
        <v>4665</v>
      </c>
      <c r="C18" s="4">
        <v>1</v>
      </c>
      <c r="D18" s="5">
        <v>23</v>
      </c>
      <c r="E18" s="5">
        <v>51.99</v>
      </c>
      <c r="F18" s="4" t="s">
        <v>4666</v>
      </c>
      <c r="G18" s="2" t="s">
        <v>657</v>
      </c>
      <c r="H18" s="7" t="s">
        <v>248</v>
      </c>
      <c r="I18" s="2" t="s">
        <v>3129</v>
      </c>
      <c r="J18" s="2" t="s">
        <v>4667</v>
      </c>
      <c r="K18" s="2" t="s">
        <v>304</v>
      </c>
      <c r="L18" s="2" t="s">
        <v>4668</v>
      </c>
      <c r="M18" s="8" t="str">
        <f>HYPERLINK("http://slimages.macys.com/is/image/MCY/8687592 ")</f>
        <v xml:space="preserve">http://slimages.macys.com/is/image/MCY/8687592 </v>
      </c>
    </row>
    <row r="19" spans="1:13" ht="60" x14ac:dyDescent="0.25">
      <c r="A19" s="7" t="s">
        <v>6688</v>
      </c>
      <c r="B19" s="2" t="s">
        <v>2448</v>
      </c>
      <c r="C19" s="4">
        <v>1</v>
      </c>
      <c r="D19" s="5">
        <v>20.25</v>
      </c>
      <c r="E19" s="5">
        <v>45</v>
      </c>
      <c r="F19" s="4">
        <v>321767529002</v>
      </c>
      <c r="G19" s="2" t="s">
        <v>28</v>
      </c>
      <c r="H19" s="7" t="s">
        <v>209</v>
      </c>
      <c r="I19" s="2" t="s">
        <v>204</v>
      </c>
      <c r="J19" s="2" t="s">
        <v>205</v>
      </c>
      <c r="K19" s="2" t="s">
        <v>304</v>
      </c>
      <c r="L19" s="2" t="s">
        <v>119</v>
      </c>
      <c r="M19" s="8" t="str">
        <f>HYPERLINK("http://slimages.macys.com/is/image/MCY/13745323 ")</f>
        <v xml:space="preserve">http://slimages.macys.com/is/image/MCY/13745323 </v>
      </c>
    </row>
    <row r="20" spans="1:13" ht="60" x14ac:dyDescent="0.25">
      <c r="A20" s="7" t="s">
        <v>6689</v>
      </c>
      <c r="B20" s="2" t="s">
        <v>6690</v>
      </c>
      <c r="C20" s="4">
        <v>1</v>
      </c>
      <c r="D20" s="5">
        <v>19.43</v>
      </c>
      <c r="E20" s="5">
        <v>52.5</v>
      </c>
      <c r="F20" s="4" t="s">
        <v>6691</v>
      </c>
      <c r="G20" s="2" t="s">
        <v>28</v>
      </c>
      <c r="H20" s="7" t="s">
        <v>266</v>
      </c>
      <c r="I20" s="2" t="s">
        <v>880</v>
      </c>
      <c r="J20" s="2" t="s">
        <v>881</v>
      </c>
      <c r="K20" s="2" t="s">
        <v>304</v>
      </c>
      <c r="L20" s="2" t="s">
        <v>119</v>
      </c>
      <c r="M20" s="8" t="str">
        <f>HYPERLINK("http://slimages.macys.com/is/image/MCY/13076675 ")</f>
        <v xml:space="preserve">http://slimages.macys.com/is/image/MCY/13076675 </v>
      </c>
    </row>
    <row r="21" spans="1:13" ht="60" x14ac:dyDescent="0.25">
      <c r="A21" s="7" t="s">
        <v>6692</v>
      </c>
      <c r="B21" s="2" t="s">
        <v>6693</v>
      </c>
      <c r="C21" s="4">
        <v>1</v>
      </c>
      <c r="D21" s="5">
        <v>19</v>
      </c>
      <c r="E21" s="5">
        <v>31</v>
      </c>
      <c r="F21" s="4" t="s">
        <v>6694</v>
      </c>
      <c r="G21" s="2" t="s">
        <v>1302</v>
      </c>
      <c r="H21" s="7" t="s">
        <v>6695</v>
      </c>
      <c r="I21" s="2" t="s">
        <v>700</v>
      </c>
      <c r="J21" s="2" t="s">
        <v>1475</v>
      </c>
      <c r="K21" s="2" t="s">
        <v>2752</v>
      </c>
      <c r="L21" s="2" t="s">
        <v>119</v>
      </c>
      <c r="M21" s="8" t="str">
        <f>HYPERLINK("http://slimages.macys.com/is/image/MCY/11501714 ")</f>
        <v xml:space="preserve">http://slimages.macys.com/is/image/MCY/11501714 </v>
      </c>
    </row>
    <row r="22" spans="1:13" ht="60" x14ac:dyDescent="0.25">
      <c r="A22" s="7" t="s">
        <v>6696</v>
      </c>
      <c r="B22" s="2" t="s">
        <v>688</v>
      </c>
      <c r="C22" s="4">
        <v>2</v>
      </c>
      <c r="D22" s="5">
        <v>18.53</v>
      </c>
      <c r="E22" s="5">
        <v>54.5</v>
      </c>
      <c r="F22" s="4" t="s">
        <v>689</v>
      </c>
      <c r="G22" s="2" t="s">
        <v>129</v>
      </c>
      <c r="H22" s="7" t="s">
        <v>317</v>
      </c>
      <c r="I22" s="2" t="s">
        <v>690</v>
      </c>
      <c r="J22" s="2" t="s">
        <v>58</v>
      </c>
      <c r="K22" s="2" t="s">
        <v>304</v>
      </c>
      <c r="L22" s="2" t="s">
        <v>119</v>
      </c>
      <c r="M22" s="8" t="str">
        <f>HYPERLINK("http://slimages.macys.com/is/image/MCY/15216869 ")</f>
        <v xml:space="preserve">http://slimages.macys.com/is/image/MCY/15216869 </v>
      </c>
    </row>
    <row r="23" spans="1:13" ht="60" x14ac:dyDescent="0.25">
      <c r="A23" s="7" t="s">
        <v>6697</v>
      </c>
      <c r="B23" s="2" t="s">
        <v>6698</v>
      </c>
      <c r="C23" s="4">
        <v>1</v>
      </c>
      <c r="D23" s="5">
        <v>17.8</v>
      </c>
      <c r="E23" s="5">
        <v>44.5</v>
      </c>
      <c r="F23" s="4" t="s">
        <v>6699</v>
      </c>
      <c r="G23" s="2" t="s">
        <v>79</v>
      </c>
      <c r="H23" s="7" t="s">
        <v>68</v>
      </c>
      <c r="I23" s="2" t="s">
        <v>690</v>
      </c>
      <c r="J23" s="2" t="s">
        <v>58</v>
      </c>
      <c r="K23" s="2" t="s">
        <v>304</v>
      </c>
      <c r="L23" s="2" t="s">
        <v>38</v>
      </c>
      <c r="M23" s="8" t="str">
        <f>HYPERLINK("http://slimages.macys.com/is/image/MCY/13049212 ")</f>
        <v xml:space="preserve">http://slimages.macys.com/is/image/MCY/13049212 </v>
      </c>
    </row>
    <row r="24" spans="1:13" ht="60" x14ac:dyDescent="0.25">
      <c r="A24" s="7" t="s">
        <v>6700</v>
      </c>
      <c r="B24" s="2" t="s">
        <v>6126</v>
      </c>
      <c r="C24" s="4">
        <v>1</v>
      </c>
      <c r="D24" s="5">
        <v>16.5</v>
      </c>
      <c r="E24" s="5">
        <v>44.99</v>
      </c>
      <c r="F24" s="4" t="s">
        <v>6127</v>
      </c>
      <c r="G24" s="2" t="s">
        <v>171</v>
      </c>
      <c r="H24" s="7" t="s">
        <v>172</v>
      </c>
      <c r="I24" s="2" t="s">
        <v>668</v>
      </c>
      <c r="J24" s="2" t="s">
        <v>239</v>
      </c>
      <c r="K24" s="2" t="s">
        <v>304</v>
      </c>
      <c r="L24" s="2" t="s">
        <v>125</v>
      </c>
      <c r="M24" s="8" t="str">
        <f>HYPERLINK("http://slimages.macys.com/is/image/MCY/11975996 ")</f>
        <v xml:space="preserve">http://slimages.macys.com/is/image/MCY/11975996 </v>
      </c>
    </row>
    <row r="25" spans="1:13" ht="60" x14ac:dyDescent="0.25">
      <c r="A25" s="7" t="s">
        <v>6701</v>
      </c>
      <c r="B25" s="2" t="s">
        <v>6702</v>
      </c>
      <c r="C25" s="4">
        <v>1</v>
      </c>
      <c r="D25" s="5">
        <v>16</v>
      </c>
      <c r="E25" s="5">
        <v>40</v>
      </c>
      <c r="F25" s="4" t="s">
        <v>6703</v>
      </c>
      <c r="G25" s="2" t="s">
        <v>28</v>
      </c>
      <c r="H25" s="7"/>
      <c r="I25" s="2" t="s">
        <v>700</v>
      </c>
      <c r="J25" s="2" t="s">
        <v>701</v>
      </c>
      <c r="K25" s="2" t="s">
        <v>304</v>
      </c>
      <c r="L25" s="2" t="s">
        <v>125</v>
      </c>
      <c r="M25" s="8" t="str">
        <f>HYPERLINK("http://slimages.macys.com/is/image/MCY/12228600 ")</f>
        <v xml:space="preserve">http://slimages.macys.com/is/image/MCY/12228600 </v>
      </c>
    </row>
    <row r="26" spans="1:13" ht="60" x14ac:dyDescent="0.25">
      <c r="A26" s="7" t="s">
        <v>1466</v>
      </c>
      <c r="B26" s="2" t="s">
        <v>1467</v>
      </c>
      <c r="C26" s="4">
        <v>1</v>
      </c>
      <c r="D26" s="5">
        <v>15.8</v>
      </c>
      <c r="E26" s="5">
        <v>39.5</v>
      </c>
      <c r="F26" s="4" t="s">
        <v>1468</v>
      </c>
      <c r="G26" s="2" t="s">
        <v>437</v>
      </c>
      <c r="H26" s="7"/>
      <c r="I26" s="2" t="s">
        <v>57</v>
      </c>
      <c r="J26" s="2" t="s">
        <v>58</v>
      </c>
      <c r="K26" s="2" t="s">
        <v>304</v>
      </c>
      <c r="L26" s="2" t="s">
        <v>100</v>
      </c>
      <c r="M26" s="8" t="str">
        <f>HYPERLINK("http://slimages.macys.com/is/image/MCY/13043447 ")</f>
        <v xml:space="preserve">http://slimages.macys.com/is/image/MCY/13043447 </v>
      </c>
    </row>
    <row r="27" spans="1:13" ht="60" x14ac:dyDescent="0.25">
      <c r="A27" s="7" t="s">
        <v>6704</v>
      </c>
      <c r="B27" s="2" t="s">
        <v>6705</v>
      </c>
      <c r="C27" s="4">
        <v>1</v>
      </c>
      <c r="D27" s="5">
        <v>15.75</v>
      </c>
      <c r="E27" s="5">
        <v>35</v>
      </c>
      <c r="F27" s="4">
        <v>321736959008</v>
      </c>
      <c r="G27" s="2" t="s">
        <v>28</v>
      </c>
      <c r="H27" s="7" t="s">
        <v>144</v>
      </c>
      <c r="I27" s="2" t="s">
        <v>204</v>
      </c>
      <c r="J27" s="2" t="s">
        <v>205</v>
      </c>
      <c r="K27" s="2" t="s">
        <v>304</v>
      </c>
      <c r="L27" s="2" t="s">
        <v>38</v>
      </c>
      <c r="M27" s="8" t="str">
        <f>HYPERLINK("http://slimages.macys.com/is/image/MCY/13895755 ")</f>
        <v xml:space="preserve">http://slimages.macys.com/is/image/MCY/13895755 </v>
      </c>
    </row>
    <row r="28" spans="1:13" ht="60" x14ac:dyDescent="0.25">
      <c r="A28" s="7" t="s">
        <v>6706</v>
      </c>
      <c r="B28" s="2" t="s">
        <v>6707</v>
      </c>
      <c r="C28" s="4">
        <v>1</v>
      </c>
      <c r="D28" s="5">
        <v>15.75</v>
      </c>
      <c r="E28" s="5">
        <v>34.99</v>
      </c>
      <c r="F28" s="4" t="s">
        <v>6708</v>
      </c>
      <c r="G28" s="2" t="s">
        <v>62</v>
      </c>
      <c r="H28" s="7" t="s">
        <v>228</v>
      </c>
      <c r="I28" s="2" t="s">
        <v>173</v>
      </c>
      <c r="J28" s="2" t="s">
        <v>6709</v>
      </c>
      <c r="K28" s="2" t="s">
        <v>304</v>
      </c>
      <c r="L28" s="2" t="s">
        <v>119</v>
      </c>
      <c r="M28" s="8" t="str">
        <f>HYPERLINK("http://slimages.macys.com/is/image/MCY/12899511 ")</f>
        <v xml:space="preserve">http://slimages.macys.com/is/image/MCY/12899511 </v>
      </c>
    </row>
    <row r="29" spans="1:13" ht="60" x14ac:dyDescent="0.25">
      <c r="A29" s="7" t="s">
        <v>6128</v>
      </c>
      <c r="B29" s="2" t="s">
        <v>2965</v>
      </c>
      <c r="C29" s="4">
        <v>2</v>
      </c>
      <c r="D29" s="5">
        <v>15.75</v>
      </c>
      <c r="E29" s="5">
        <v>36.99</v>
      </c>
      <c r="F29" s="4" t="s">
        <v>2966</v>
      </c>
      <c r="G29" s="2" t="s">
        <v>698</v>
      </c>
      <c r="H29" s="7" t="s">
        <v>159</v>
      </c>
      <c r="I29" s="2" t="s">
        <v>80</v>
      </c>
      <c r="J29" s="2" t="s">
        <v>2967</v>
      </c>
      <c r="K29" s="2" t="s">
        <v>304</v>
      </c>
      <c r="L29" s="2" t="s">
        <v>125</v>
      </c>
      <c r="M29" s="8" t="str">
        <f>HYPERLINK("http://slimages.macys.com/is/image/MCY/13759711 ")</f>
        <v xml:space="preserve">http://slimages.macys.com/is/image/MCY/13759711 </v>
      </c>
    </row>
    <row r="30" spans="1:13" ht="96" x14ac:dyDescent="0.25">
      <c r="A30" s="7" t="s">
        <v>6710</v>
      </c>
      <c r="B30" s="2" t="s">
        <v>6711</v>
      </c>
      <c r="C30" s="4">
        <v>1</v>
      </c>
      <c r="D30" s="5">
        <v>15.75</v>
      </c>
      <c r="E30" s="5">
        <v>42</v>
      </c>
      <c r="F30" s="4" t="s">
        <v>6712</v>
      </c>
      <c r="G30" s="2" t="s">
        <v>129</v>
      </c>
      <c r="H30" s="7" t="s">
        <v>123</v>
      </c>
      <c r="I30" s="2" t="s">
        <v>815</v>
      </c>
      <c r="J30" s="2" t="s">
        <v>6713</v>
      </c>
      <c r="K30" s="2" t="s">
        <v>304</v>
      </c>
      <c r="L30" s="2" t="s">
        <v>6714</v>
      </c>
      <c r="M30" s="8" t="str">
        <f>HYPERLINK("http://slimages.macys.com/is/image/MCY/2532817 ")</f>
        <v xml:space="preserve">http://slimages.macys.com/is/image/MCY/2532817 </v>
      </c>
    </row>
    <row r="31" spans="1:13" ht="60" x14ac:dyDescent="0.25">
      <c r="A31" s="7" t="s">
        <v>6715</v>
      </c>
      <c r="B31" s="2" t="s">
        <v>5176</v>
      </c>
      <c r="C31" s="4">
        <v>1</v>
      </c>
      <c r="D31" s="5">
        <v>15</v>
      </c>
      <c r="E31" s="5">
        <v>37.5</v>
      </c>
      <c r="F31" s="4" t="s">
        <v>5177</v>
      </c>
      <c r="G31" s="2" t="s">
        <v>41</v>
      </c>
      <c r="H31" s="7" t="s">
        <v>166</v>
      </c>
      <c r="I31" s="2" t="s">
        <v>690</v>
      </c>
      <c r="J31" s="2" t="s">
        <v>58</v>
      </c>
      <c r="K31" s="2" t="s">
        <v>304</v>
      </c>
      <c r="L31" s="2" t="s">
        <v>100</v>
      </c>
      <c r="M31" s="8" t="str">
        <f>HYPERLINK("http://slimages.macys.com/is/image/MCY/13049148 ")</f>
        <v xml:space="preserve">http://slimages.macys.com/is/image/MCY/13049148 </v>
      </c>
    </row>
    <row r="32" spans="1:13" ht="60" x14ac:dyDescent="0.25">
      <c r="A32" s="7" t="s">
        <v>6716</v>
      </c>
      <c r="B32" s="2" t="s">
        <v>6717</v>
      </c>
      <c r="C32" s="4">
        <v>1</v>
      </c>
      <c r="D32" s="5">
        <v>15</v>
      </c>
      <c r="E32" s="5">
        <v>37.5</v>
      </c>
      <c r="F32" s="4" t="s">
        <v>6718</v>
      </c>
      <c r="G32" s="2" t="s">
        <v>129</v>
      </c>
      <c r="H32" s="7"/>
      <c r="I32" s="2" t="s">
        <v>57</v>
      </c>
      <c r="J32" s="2" t="s">
        <v>58</v>
      </c>
      <c r="K32" s="2" t="s">
        <v>304</v>
      </c>
      <c r="L32" s="2" t="s">
        <v>119</v>
      </c>
      <c r="M32" s="8" t="str">
        <f>HYPERLINK("http://slimages.macys.com/is/image/MCY/12355293 ")</f>
        <v xml:space="preserve">http://slimages.macys.com/is/image/MCY/12355293 </v>
      </c>
    </row>
    <row r="33" spans="1:13" ht="60" x14ac:dyDescent="0.25">
      <c r="A33" s="7" t="s">
        <v>6719</v>
      </c>
      <c r="B33" s="2" t="s">
        <v>6720</v>
      </c>
      <c r="C33" s="4">
        <v>1</v>
      </c>
      <c r="D33" s="5">
        <v>14.88</v>
      </c>
      <c r="E33" s="5">
        <v>42.5</v>
      </c>
      <c r="F33" s="4" t="s">
        <v>6721</v>
      </c>
      <c r="G33" s="2" t="s">
        <v>48</v>
      </c>
      <c r="H33" s="7" t="s">
        <v>166</v>
      </c>
      <c r="I33" s="2" t="s">
        <v>298</v>
      </c>
      <c r="J33" s="2" t="s">
        <v>99</v>
      </c>
      <c r="K33" s="2" t="s">
        <v>304</v>
      </c>
      <c r="L33" s="2" t="s">
        <v>119</v>
      </c>
      <c r="M33" s="8" t="str">
        <f>HYPERLINK("http://slimages.macys.com/is/image/MCY/13801792 ")</f>
        <v xml:space="preserve">http://slimages.macys.com/is/image/MCY/13801792 </v>
      </c>
    </row>
    <row r="34" spans="1:13" ht="60" x14ac:dyDescent="0.25">
      <c r="A34" s="7" t="s">
        <v>1487</v>
      </c>
      <c r="B34" s="2" t="s">
        <v>1488</v>
      </c>
      <c r="C34" s="4">
        <v>1</v>
      </c>
      <c r="D34" s="5">
        <v>14.62</v>
      </c>
      <c r="E34" s="5">
        <v>39.5</v>
      </c>
      <c r="F34" s="4" t="s">
        <v>1489</v>
      </c>
      <c r="G34" s="2" t="s">
        <v>28</v>
      </c>
      <c r="H34" s="7" t="s">
        <v>172</v>
      </c>
      <c r="I34" s="2" t="s">
        <v>880</v>
      </c>
      <c r="J34" s="2" t="s">
        <v>881</v>
      </c>
      <c r="K34" s="2" t="s">
        <v>304</v>
      </c>
      <c r="L34" s="2" t="s">
        <v>119</v>
      </c>
      <c r="M34" s="8" t="str">
        <f>HYPERLINK("http://slimages.macys.com/is/image/MCY/12051814 ")</f>
        <v xml:space="preserve">http://slimages.macys.com/is/image/MCY/12051814 </v>
      </c>
    </row>
    <row r="35" spans="1:13" ht="60" x14ac:dyDescent="0.25">
      <c r="A35" s="7" t="s">
        <v>6722</v>
      </c>
      <c r="B35" s="2" t="s">
        <v>1504</v>
      </c>
      <c r="C35" s="4">
        <v>1</v>
      </c>
      <c r="D35" s="5">
        <v>14</v>
      </c>
      <c r="E35" s="5">
        <v>39.99</v>
      </c>
      <c r="F35" s="4" t="s">
        <v>1505</v>
      </c>
      <c r="G35" s="2" t="s">
        <v>129</v>
      </c>
      <c r="H35" s="7" t="s">
        <v>179</v>
      </c>
      <c r="I35" s="2" t="s">
        <v>668</v>
      </c>
      <c r="J35" s="2" t="s">
        <v>1506</v>
      </c>
      <c r="K35" s="2" t="s">
        <v>304</v>
      </c>
      <c r="L35" s="2" t="s">
        <v>125</v>
      </c>
      <c r="M35" s="8" t="str">
        <f>HYPERLINK("http://slimages.macys.com/is/image/MCY/12830956 ")</f>
        <v xml:space="preserve">http://slimages.macys.com/is/image/MCY/12830956 </v>
      </c>
    </row>
    <row r="36" spans="1:13" ht="60" x14ac:dyDescent="0.25">
      <c r="A36" s="7" t="s">
        <v>6723</v>
      </c>
      <c r="B36" s="2" t="s">
        <v>2485</v>
      </c>
      <c r="C36" s="4">
        <v>1</v>
      </c>
      <c r="D36" s="5">
        <v>14</v>
      </c>
      <c r="E36" s="5">
        <v>39.99</v>
      </c>
      <c r="F36" s="4" t="s">
        <v>2486</v>
      </c>
      <c r="G36" s="2"/>
      <c r="H36" s="7" t="s">
        <v>172</v>
      </c>
      <c r="I36" s="2" t="s">
        <v>668</v>
      </c>
      <c r="J36" s="2" t="s">
        <v>1437</v>
      </c>
      <c r="K36" s="2" t="s">
        <v>304</v>
      </c>
      <c r="L36" s="2" t="s">
        <v>1614</v>
      </c>
      <c r="M36" s="8" t="str">
        <f>HYPERLINK("http://slimages.macys.com/is/image/MCY/11976595 ")</f>
        <v xml:space="preserve">http://slimages.macys.com/is/image/MCY/11976595 </v>
      </c>
    </row>
    <row r="37" spans="1:13" ht="60" x14ac:dyDescent="0.25">
      <c r="A37" s="7" t="s">
        <v>6724</v>
      </c>
      <c r="B37" s="2" t="s">
        <v>6725</v>
      </c>
      <c r="C37" s="4">
        <v>1</v>
      </c>
      <c r="D37" s="5">
        <v>14</v>
      </c>
      <c r="E37" s="5">
        <v>29.99</v>
      </c>
      <c r="F37" s="4" t="s">
        <v>6726</v>
      </c>
      <c r="G37" s="2" t="s">
        <v>62</v>
      </c>
      <c r="H37" s="7" t="s">
        <v>159</v>
      </c>
      <c r="I37" s="2" t="s">
        <v>173</v>
      </c>
      <c r="J37" s="2" t="s">
        <v>6709</v>
      </c>
      <c r="K37" s="2" t="s">
        <v>304</v>
      </c>
      <c r="L37" s="2" t="s">
        <v>119</v>
      </c>
      <c r="M37" s="8" t="str">
        <f>HYPERLINK("http://slimages.macys.com/is/image/MCY/12899504 ")</f>
        <v xml:space="preserve">http://slimages.macys.com/is/image/MCY/12899504 </v>
      </c>
    </row>
    <row r="38" spans="1:13" ht="72" x14ac:dyDescent="0.25">
      <c r="A38" s="7" t="s">
        <v>6727</v>
      </c>
      <c r="B38" s="2" t="s">
        <v>6728</v>
      </c>
      <c r="C38" s="4">
        <v>1</v>
      </c>
      <c r="D38" s="5">
        <v>13.8</v>
      </c>
      <c r="E38" s="5">
        <v>33.99</v>
      </c>
      <c r="F38" s="4" t="s">
        <v>6729</v>
      </c>
      <c r="G38" s="2" t="s">
        <v>62</v>
      </c>
      <c r="H38" s="7" t="s">
        <v>196</v>
      </c>
      <c r="I38" s="2" t="s">
        <v>321</v>
      </c>
      <c r="J38" s="2" t="s">
        <v>1512</v>
      </c>
      <c r="K38" s="2" t="s">
        <v>304</v>
      </c>
      <c r="L38" s="2" t="s">
        <v>1520</v>
      </c>
      <c r="M38" s="8" t="str">
        <f>HYPERLINK("http://slimages.macys.com/is/image/MCY/10750422 ")</f>
        <v xml:space="preserve">http://slimages.macys.com/is/image/MCY/10750422 </v>
      </c>
    </row>
    <row r="39" spans="1:13" ht="60" x14ac:dyDescent="0.25">
      <c r="A39" s="7" t="s">
        <v>6730</v>
      </c>
      <c r="B39" s="2" t="s">
        <v>203</v>
      </c>
      <c r="C39" s="4">
        <v>1</v>
      </c>
      <c r="D39" s="5">
        <v>13.28</v>
      </c>
      <c r="E39" s="5">
        <v>29.5</v>
      </c>
      <c r="F39" s="4">
        <v>321767531002</v>
      </c>
      <c r="G39" s="2" t="s">
        <v>129</v>
      </c>
      <c r="H39" s="7" t="s">
        <v>68</v>
      </c>
      <c r="I39" s="2" t="s">
        <v>204</v>
      </c>
      <c r="J39" s="2" t="s">
        <v>205</v>
      </c>
      <c r="K39" s="2" t="s">
        <v>304</v>
      </c>
      <c r="L39" s="2" t="s">
        <v>38</v>
      </c>
      <c r="M39" s="8" t="str">
        <f>HYPERLINK("http://slimages.macys.com/is/image/MCY/14401110 ")</f>
        <v xml:space="preserve">http://slimages.macys.com/is/image/MCY/14401110 </v>
      </c>
    </row>
    <row r="40" spans="1:13" ht="60" x14ac:dyDescent="0.25">
      <c r="A40" s="7" t="s">
        <v>6731</v>
      </c>
      <c r="B40" s="2" t="s">
        <v>6732</v>
      </c>
      <c r="C40" s="4">
        <v>1</v>
      </c>
      <c r="D40" s="5">
        <v>13</v>
      </c>
      <c r="E40" s="5">
        <v>24.99</v>
      </c>
      <c r="F40" s="4" t="s">
        <v>3035</v>
      </c>
      <c r="G40" s="2" t="s">
        <v>28</v>
      </c>
      <c r="H40" s="7" t="s">
        <v>5242</v>
      </c>
      <c r="I40" s="2" t="s">
        <v>257</v>
      </c>
      <c r="J40" s="2" t="s">
        <v>258</v>
      </c>
      <c r="K40" s="2" t="s">
        <v>304</v>
      </c>
      <c r="L40" s="2" t="s">
        <v>87</v>
      </c>
      <c r="M40" s="8" t="str">
        <f>HYPERLINK("http://slimages.macys.com/is/image/MCY/2964863 ")</f>
        <v xml:space="preserve">http://slimages.macys.com/is/image/MCY/2964863 </v>
      </c>
    </row>
    <row r="41" spans="1:13" ht="60" x14ac:dyDescent="0.25">
      <c r="A41" s="7" t="s">
        <v>3759</v>
      </c>
      <c r="B41" s="2" t="s">
        <v>3760</v>
      </c>
      <c r="C41" s="4">
        <v>1</v>
      </c>
      <c r="D41" s="5">
        <v>12.92</v>
      </c>
      <c r="E41" s="5">
        <v>34.99</v>
      </c>
      <c r="F41" s="4" t="s">
        <v>3761</v>
      </c>
      <c r="G41" s="2" t="s">
        <v>62</v>
      </c>
      <c r="H41" s="7" t="s">
        <v>228</v>
      </c>
      <c r="I41" s="2" t="s">
        <v>218</v>
      </c>
      <c r="J41" s="2" t="s">
        <v>1740</v>
      </c>
      <c r="K41" s="2" t="s">
        <v>304</v>
      </c>
      <c r="L41" s="2" t="s">
        <v>3452</v>
      </c>
      <c r="M41" s="8" t="str">
        <f>HYPERLINK("http://slimages.macys.com/is/image/MCY/11946901 ")</f>
        <v xml:space="preserve">http://slimages.macys.com/is/image/MCY/11946901 </v>
      </c>
    </row>
    <row r="42" spans="1:13" ht="60" x14ac:dyDescent="0.25">
      <c r="A42" s="7" t="s">
        <v>6733</v>
      </c>
      <c r="B42" s="2" t="s">
        <v>3766</v>
      </c>
      <c r="C42" s="4">
        <v>1</v>
      </c>
      <c r="D42" s="5">
        <v>12.76</v>
      </c>
      <c r="E42" s="5">
        <v>34.99</v>
      </c>
      <c r="F42" s="4" t="s">
        <v>3767</v>
      </c>
      <c r="G42" s="2" t="s">
        <v>62</v>
      </c>
      <c r="H42" s="7" t="s">
        <v>228</v>
      </c>
      <c r="I42" s="2" t="s">
        <v>218</v>
      </c>
      <c r="J42" s="2" t="s">
        <v>1740</v>
      </c>
      <c r="K42" s="2" t="s">
        <v>304</v>
      </c>
      <c r="L42" s="2" t="s">
        <v>125</v>
      </c>
      <c r="M42" s="8" t="str">
        <f>HYPERLINK("http://slimages.macys.com/is/image/MCY/11946585 ")</f>
        <v xml:space="preserve">http://slimages.macys.com/is/image/MCY/11946585 </v>
      </c>
    </row>
    <row r="43" spans="1:13" ht="72" x14ac:dyDescent="0.25">
      <c r="A43" s="7" t="s">
        <v>6734</v>
      </c>
      <c r="B43" s="2" t="s">
        <v>6735</v>
      </c>
      <c r="C43" s="4">
        <v>1</v>
      </c>
      <c r="D43" s="5">
        <v>12.5</v>
      </c>
      <c r="E43" s="5">
        <v>25</v>
      </c>
      <c r="F43" s="4" t="s">
        <v>6736</v>
      </c>
      <c r="G43" s="2" t="s">
        <v>41</v>
      </c>
      <c r="H43" s="7" t="s">
        <v>586</v>
      </c>
      <c r="I43" s="2" t="s">
        <v>50</v>
      </c>
      <c r="J43" s="2" t="s">
        <v>6737</v>
      </c>
      <c r="K43" s="2" t="s">
        <v>304</v>
      </c>
      <c r="L43" s="2" t="s">
        <v>6738</v>
      </c>
      <c r="M43" s="8" t="str">
        <f>HYPERLINK("http://slimages.macys.com/is/image/MCY/2295782 ")</f>
        <v xml:space="preserve">http://slimages.macys.com/is/image/MCY/2295782 </v>
      </c>
    </row>
    <row r="44" spans="1:13" ht="60" x14ac:dyDescent="0.25">
      <c r="A44" s="7" t="s">
        <v>6739</v>
      </c>
      <c r="B44" s="2" t="s">
        <v>203</v>
      </c>
      <c r="C44" s="4">
        <v>1</v>
      </c>
      <c r="D44" s="5">
        <v>12.38</v>
      </c>
      <c r="E44" s="5">
        <v>27.5</v>
      </c>
      <c r="F44" s="4">
        <v>321750963001</v>
      </c>
      <c r="G44" s="2" t="s">
        <v>28</v>
      </c>
      <c r="H44" s="7" t="s">
        <v>68</v>
      </c>
      <c r="I44" s="2" t="s">
        <v>204</v>
      </c>
      <c r="J44" s="2" t="s">
        <v>205</v>
      </c>
      <c r="K44" s="2" t="s">
        <v>304</v>
      </c>
      <c r="L44" s="2" t="s">
        <v>206</v>
      </c>
      <c r="M44" s="8" t="str">
        <f>HYPERLINK("http://slimages.macys.com/is/image/MCY/14633997 ")</f>
        <v xml:space="preserve">http://slimages.macys.com/is/image/MCY/14633997 </v>
      </c>
    </row>
    <row r="45" spans="1:13" ht="60" x14ac:dyDescent="0.25">
      <c r="A45" s="7" t="s">
        <v>6740</v>
      </c>
      <c r="B45" s="2" t="s">
        <v>3784</v>
      </c>
      <c r="C45" s="4">
        <v>1</v>
      </c>
      <c r="D45" s="5">
        <v>12.25</v>
      </c>
      <c r="E45" s="5">
        <v>27.22</v>
      </c>
      <c r="F45" s="4" t="s">
        <v>3785</v>
      </c>
      <c r="G45" s="2" t="s">
        <v>62</v>
      </c>
      <c r="H45" s="7" t="s">
        <v>217</v>
      </c>
      <c r="I45" s="2" t="s">
        <v>700</v>
      </c>
      <c r="J45" s="2" t="s">
        <v>2123</v>
      </c>
      <c r="K45" s="2" t="s">
        <v>304</v>
      </c>
      <c r="L45" s="2" t="s">
        <v>75</v>
      </c>
      <c r="M45" s="8" t="str">
        <f>HYPERLINK("http://slimages.macys.com/is/image/MCY/12465343 ")</f>
        <v xml:space="preserve">http://slimages.macys.com/is/image/MCY/12465343 </v>
      </c>
    </row>
    <row r="46" spans="1:13" ht="60" x14ac:dyDescent="0.25">
      <c r="A46" s="7" t="s">
        <v>6741</v>
      </c>
      <c r="B46" s="2" t="s">
        <v>6742</v>
      </c>
      <c r="C46" s="4">
        <v>1</v>
      </c>
      <c r="D46" s="5">
        <v>12.05</v>
      </c>
      <c r="E46" s="5">
        <v>24.1</v>
      </c>
      <c r="F46" s="4">
        <v>36417910</v>
      </c>
      <c r="G46" s="2"/>
      <c r="H46" s="7" t="s">
        <v>179</v>
      </c>
      <c r="I46" s="2" t="s">
        <v>487</v>
      </c>
      <c r="J46" s="2" t="s">
        <v>2424</v>
      </c>
      <c r="K46" s="2" t="s">
        <v>304</v>
      </c>
      <c r="L46" s="2" t="s">
        <v>206</v>
      </c>
      <c r="M46" s="8" t="str">
        <f>HYPERLINK("http://slimages.macys.com/is/image/MCY/12457875 ")</f>
        <v xml:space="preserve">http://slimages.macys.com/is/image/MCY/12457875 </v>
      </c>
    </row>
    <row r="47" spans="1:13" ht="60" x14ac:dyDescent="0.25">
      <c r="A47" s="7" t="s">
        <v>6743</v>
      </c>
      <c r="B47" s="2" t="s">
        <v>5240</v>
      </c>
      <c r="C47" s="4">
        <v>1</v>
      </c>
      <c r="D47" s="5">
        <v>12</v>
      </c>
      <c r="E47" s="5">
        <v>26.99</v>
      </c>
      <c r="F47" s="4" t="s">
        <v>5241</v>
      </c>
      <c r="G47" s="2" t="s">
        <v>86</v>
      </c>
      <c r="H47" s="7" t="s">
        <v>3036</v>
      </c>
      <c r="I47" s="2" t="s">
        <v>257</v>
      </c>
      <c r="J47" s="2" t="s">
        <v>258</v>
      </c>
      <c r="K47" s="2" t="s">
        <v>304</v>
      </c>
      <c r="L47" s="2" t="s">
        <v>87</v>
      </c>
      <c r="M47" s="8" t="str">
        <f>HYPERLINK("http://slimages.macys.com/is/image/MCY/2267386 ")</f>
        <v xml:space="preserve">http://slimages.macys.com/is/image/MCY/2267386 </v>
      </c>
    </row>
    <row r="48" spans="1:13" ht="72" x14ac:dyDescent="0.25">
      <c r="A48" s="7" t="s">
        <v>6744</v>
      </c>
      <c r="B48" s="2" t="s">
        <v>6745</v>
      </c>
      <c r="C48" s="4">
        <v>1</v>
      </c>
      <c r="D48" s="5">
        <v>12</v>
      </c>
      <c r="E48" s="5">
        <v>27.5</v>
      </c>
      <c r="F48" s="4" t="s">
        <v>6746</v>
      </c>
      <c r="G48" s="2" t="s">
        <v>310</v>
      </c>
      <c r="H48" s="7" t="s">
        <v>166</v>
      </c>
      <c r="I48" s="2" t="s">
        <v>380</v>
      </c>
      <c r="J48" s="2" t="s">
        <v>99</v>
      </c>
      <c r="K48" s="2" t="s">
        <v>304</v>
      </c>
      <c r="L48" s="2" t="s">
        <v>6747</v>
      </c>
      <c r="M48" s="8" t="str">
        <f>HYPERLINK("http://slimages.macys.com/is/image/MCY/11950052 ")</f>
        <v xml:space="preserve">http://slimages.macys.com/is/image/MCY/11950052 </v>
      </c>
    </row>
    <row r="49" spans="1:13" ht="72" x14ac:dyDescent="0.25">
      <c r="A49" s="7" t="s">
        <v>6748</v>
      </c>
      <c r="B49" s="2" t="s">
        <v>6745</v>
      </c>
      <c r="C49" s="4">
        <v>1</v>
      </c>
      <c r="D49" s="5">
        <v>12</v>
      </c>
      <c r="E49" s="5">
        <v>27.5</v>
      </c>
      <c r="F49" s="4" t="s">
        <v>6746</v>
      </c>
      <c r="G49" s="2" t="s">
        <v>310</v>
      </c>
      <c r="H49" s="7" t="s">
        <v>123</v>
      </c>
      <c r="I49" s="2" t="s">
        <v>380</v>
      </c>
      <c r="J49" s="2" t="s">
        <v>99</v>
      </c>
      <c r="K49" s="2" t="s">
        <v>304</v>
      </c>
      <c r="L49" s="2" t="s">
        <v>6747</v>
      </c>
      <c r="M49" s="8" t="str">
        <f>HYPERLINK("http://slimages.macys.com/is/image/MCY/11950052 ")</f>
        <v xml:space="preserve">http://slimages.macys.com/is/image/MCY/11950052 </v>
      </c>
    </row>
    <row r="50" spans="1:13" ht="60" x14ac:dyDescent="0.25">
      <c r="A50" s="7" t="s">
        <v>6749</v>
      </c>
      <c r="B50" s="2" t="s">
        <v>6161</v>
      </c>
      <c r="C50" s="4">
        <v>1</v>
      </c>
      <c r="D50" s="5">
        <v>12</v>
      </c>
      <c r="E50" s="5">
        <v>27.99</v>
      </c>
      <c r="F50" s="4" t="s">
        <v>6162</v>
      </c>
      <c r="G50" s="2" t="s">
        <v>62</v>
      </c>
      <c r="H50" s="7" t="s">
        <v>196</v>
      </c>
      <c r="I50" s="2" t="s">
        <v>73</v>
      </c>
      <c r="J50" s="2" t="s">
        <v>223</v>
      </c>
      <c r="K50" s="2" t="s">
        <v>304</v>
      </c>
      <c r="L50" s="2" t="s">
        <v>125</v>
      </c>
      <c r="M50" s="8" t="str">
        <f>HYPERLINK("http://slimages.macys.com/is/image/MCY/13285779 ")</f>
        <v xml:space="preserve">http://slimages.macys.com/is/image/MCY/13285779 </v>
      </c>
    </row>
    <row r="51" spans="1:13" ht="60" x14ac:dyDescent="0.25">
      <c r="A51" s="7" t="s">
        <v>5239</v>
      </c>
      <c r="B51" s="2" t="s">
        <v>5240</v>
      </c>
      <c r="C51" s="4">
        <v>1</v>
      </c>
      <c r="D51" s="5">
        <v>12</v>
      </c>
      <c r="E51" s="5">
        <v>26.99</v>
      </c>
      <c r="F51" s="4" t="s">
        <v>5241</v>
      </c>
      <c r="G51" s="2" t="s">
        <v>86</v>
      </c>
      <c r="H51" s="7" t="s">
        <v>5242</v>
      </c>
      <c r="I51" s="2" t="s">
        <v>257</v>
      </c>
      <c r="J51" s="2" t="s">
        <v>258</v>
      </c>
      <c r="K51" s="2" t="s">
        <v>304</v>
      </c>
      <c r="L51" s="2" t="s">
        <v>87</v>
      </c>
      <c r="M51" s="8" t="str">
        <f>HYPERLINK("http://slimages.macys.com/is/image/MCY/2267386 ")</f>
        <v xml:space="preserve">http://slimages.macys.com/is/image/MCY/2267386 </v>
      </c>
    </row>
    <row r="52" spans="1:13" ht="72" x14ac:dyDescent="0.25">
      <c r="A52" s="7" t="s">
        <v>6750</v>
      </c>
      <c r="B52" s="2" t="s">
        <v>6164</v>
      </c>
      <c r="C52" s="4">
        <v>1</v>
      </c>
      <c r="D52" s="5">
        <v>11.88</v>
      </c>
      <c r="E52" s="5">
        <v>30.99</v>
      </c>
      <c r="F52" s="4" t="s">
        <v>6165</v>
      </c>
      <c r="G52" s="2" t="s">
        <v>755</v>
      </c>
      <c r="H52" s="7" t="s">
        <v>284</v>
      </c>
      <c r="I52" s="2" t="s">
        <v>389</v>
      </c>
      <c r="J52" s="2" t="s">
        <v>354</v>
      </c>
      <c r="K52" s="2" t="s">
        <v>304</v>
      </c>
      <c r="L52" s="2" t="s">
        <v>6118</v>
      </c>
      <c r="M52" s="8" t="str">
        <f>HYPERLINK("http://slimages.macys.com/is/image/MCY/12938532 ")</f>
        <v xml:space="preserve">http://slimages.macys.com/is/image/MCY/12938532 </v>
      </c>
    </row>
    <row r="53" spans="1:13" ht="60" x14ac:dyDescent="0.25">
      <c r="A53" s="7" t="s">
        <v>6751</v>
      </c>
      <c r="B53" s="2" t="s">
        <v>6752</v>
      </c>
      <c r="C53" s="4">
        <v>1</v>
      </c>
      <c r="D53" s="5">
        <v>11.72</v>
      </c>
      <c r="E53" s="5">
        <v>29.99</v>
      </c>
      <c r="F53" s="4" t="s">
        <v>6753</v>
      </c>
      <c r="G53" s="2" t="s">
        <v>41</v>
      </c>
      <c r="H53" s="7" t="s">
        <v>159</v>
      </c>
      <c r="I53" s="2" t="s">
        <v>389</v>
      </c>
      <c r="J53" s="2" t="s">
        <v>354</v>
      </c>
      <c r="K53" s="2" t="s">
        <v>304</v>
      </c>
      <c r="L53" s="2" t="s">
        <v>206</v>
      </c>
      <c r="M53" s="8" t="str">
        <f>HYPERLINK("http://slimages.macys.com/is/image/MCY/11374761 ")</f>
        <v xml:space="preserve">http://slimages.macys.com/is/image/MCY/11374761 </v>
      </c>
    </row>
    <row r="54" spans="1:13" ht="60" x14ac:dyDescent="0.25">
      <c r="A54" s="7" t="s">
        <v>6754</v>
      </c>
      <c r="B54" s="2" t="s">
        <v>6755</v>
      </c>
      <c r="C54" s="4">
        <v>1</v>
      </c>
      <c r="D54" s="5">
        <v>11.5</v>
      </c>
      <c r="E54" s="5">
        <v>32.99</v>
      </c>
      <c r="F54" s="4" t="s">
        <v>6756</v>
      </c>
      <c r="G54" s="2" t="s">
        <v>62</v>
      </c>
      <c r="H54" s="7" t="s">
        <v>159</v>
      </c>
      <c r="I54" s="2" t="s">
        <v>218</v>
      </c>
      <c r="J54" s="2" t="s">
        <v>1740</v>
      </c>
      <c r="K54" s="2" t="s">
        <v>304</v>
      </c>
      <c r="L54" s="2" t="s">
        <v>2469</v>
      </c>
      <c r="M54" s="8" t="str">
        <f>HYPERLINK("http://slimages.macys.com/is/image/MCY/11946903 ")</f>
        <v xml:space="preserve">http://slimages.macys.com/is/image/MCY/11946903 </v>
      </c>
    </row>
    <row r="55" spans="1:13" ht="60" x14ac:dyDescent="0.25">
      <c r="A55" s="7" t="s">
        <v>6757</v>
      </c>
      <c r="B55" s="2" t="s">
        <v>6755</v>
      </c>
      <c r="C55" s="4">
        <v>3</v>
      </c>
      <c r="D55" s="5">
        <v>11.5</v>
      </c>
      <c r="E55" s="5">
        <v>32.99</v>
      </c>
      <c r="F55" s="4" t="s">
        <v>6756</v>
      </c>
      <c r="G55" s="2" t="s">
        <v>62</v>
      </c>
      <c r="H55" s="7" t="s">
        <v>217</v>
      </c>
      <c r="I55" s="2" t="s">
        <v>218</v>
      </c>
      <c r="J55" s="2" t="s">
        <v>1740</v>
      </c>
      <c r="K55" s="2" t="s">
        <v>304</v>
      </c>
      <c r="L55" s="2" t="s">
        <v>2469</v>
      </c>
      <c r="M55" s="8" t="str">
        <f>HYPERLINK("http://slimages.macys.com/is/image/MCY/11946903 ")</f>
        <v xml:space="preserve">http://slimages.macys.com/is/image/MCY/11946903 </v>
      </c>
    </row>
    <row r="56" spans="1:13" ht="60" x14ac:dyDescent="0.25">
      <c r="A56" s="7" t="s">
        <v>6758</v>
      </c>
      <c r="B56" s="2" t="s">
        <v>6173</v>
      </c>
      <c r="C56" s="4">
        <v>1</v>
      </c>
      <c r="D56" s="5">
        <v>11.2</v>
      </c>
      <c r="E56" s="5">
        <v>32.99</v>
      </c>
      <c r="F56" s="4" t="s">
        <v>6174</v>
      </c>
      <c r="G56" s="2" t="s">
        <v>698</v>
      </c>
      <c r="H56" s="7" t="s">
        <v>166</v>
      </c>
      <c r="I56" s="2" t="s">
        <v>80</v>
      </c>
      <c r="J56" s="2" t="s">
        <v>145</v>
      </c>
      <c r="K56" s="2" t="s">
        <v>304</v>
      </c>
      <c r="L56" s="2" t="s">
        <v>125</v>
      </c>
      <c r="M56" s="8" t="str">
        <f>HYPERLINK("http://slimages.macys.com/is/image/MCY/13726721 ")</f>
        <v xml:space="preserve">http://slimages.macys.com/is/image/MCY/13726721 </v>
      </c>
    </row>
    <row r="57" spans="1:13" ht="60" x14ac:dyDescent="0.25">
      <c r="A57" s="7" t="s">
        <v>6759</v>
      </c>
      <c r="B57" s="2" t="s">
        <v>6760</v>
      </c>
      <c r="C57" s="4">
        <v>1</v>
      </c>
      <c r="D57" s="5">
        <v>11</v>
      </c>
      <c r="E57" s="5">
        <v>21.99</v>
      </c>
      <c r="F57" s="4" t="s">
        <v>6761</v>
      </c>
      <c r="G57" s="2" t="s">
        <v>165</v>
      </c>
      <c r="H57" s="7" t="s">
        <v>317</v>
      </c>
      <c r="I57" s="2" t="s">
        <v>173</v>
      </c>
      <c r="J57" s="2" t="s">
        <v>1967</v>
      </c>
      <c r="K57" s="2" t="s">
        <v>304</v>
      </c>
      <c r="L57" s="2" t="s">
        <v>263</v>
      </c>
      <c r="M57" s="8" t="str">
        <f>HYPERLINK("http://slimages.macys.com/is/image/MCY/10479918 ")</f>
        <v xml:space="preserve">http://slimages.macys.com/is/image/MCY/10479918 </v>
      </c>
    </row>
    <row r="58" spans="1:13" ht="60" x14ac:dyDescent="0.25">
      <c r="A58" s="7" t="s">
        <v>6762</v>
      </c>
      <c r="B58" s="2" t="s">
        <v>6763</v>
      </c>
      <c r="C58" s="4">
        <v>1</v>
      </c>
      <c r="D58" s="5">
        <v>11</v>
      </c>
      <c r="E58" s="5">
        <v>28.99</v>
      </c>
      <c r="F58" s="4" t="s">
        <v>6764</v>
      </c>
      <c r="G58" s="2" t="s">
        <v>310</v>
      </c>
      <c r="H58" s="7" t="s">
        <v>68</v>
      </c>
      <c r="I58" s="2" t="s">
        <v>966</v>
      </c>
      <c r="J58" s="2" t="s">
        <v>5315</v>
      </c>
      <c r="K58" s="2" t="s">
        <v>304</v>
      </c>
      <c r="L58" s="2" t="s">
        <v>6765</v>
      </c>
      <c r="M58" s="8" t="str">
        <f>HYPERLINK("http://slimages.macys.com/is/image/MCY/11692522 ")</f>
        <v xml:space="preserve">http://slimages.macys.com/is/image/MCY/11692522 </v>
      </c>
    </row>
    <row r="59" spans="1:13" ht="60" x14ac:dyDescent="0.25">
      <c r="A59" s="7" t="s">
        <v>6766</v>
      </c>
      <c r="B59" s="2" t="s">
        <v>6767</v>
      </c>
      <c r="C59" s="4">
        <v>1</v>
      </c>
      <c r="D59" s="5">
        <v>10.91</v>
      </c>
      <c r="E59" s="5">
        <v>27.99</v>
      </c>
      <c r="F59" s="4" t="s">
        <v>6768</v>
      </c>
      <c r="G59" s="2" t="s">
        <v>62</v>
      </c>
      <c r="H59" s="7" t="s">
        <v>228</v>
      </c>
      <c r="I59" s="2" t="s">
        <v>515</v>
      </c>
      <c r="J59" s="2" t="s">
        <v>827</v>
      </c>
      <c r="K59" s="2" t="s">
        <v>304</v>
      </c>
      <c r="L59" s="2" t="s">
        <v>6769</v>
      </c>
      <c r="M59" s="8" t="str">
        <f>HYPERLINK("http://slimages.macys.com/is/image/MCY/10169721 ")</f>
        <v xml:space="preserve">http://slimages.macys.com/is/image/MCY/10169721 </v>
      </c>
    </row>
    <row r="60" spans="1:13" ht="60" x14ac:dyDescent="0.25">
      <c r="A60" s="7" t="s">
        <v>6770</v>
      </c>
      <c r="B60" s="2" t="s">
        <v>6183</v>
      </c>
      <c r="C60" s="4">
        <v>1</v>
      </c>
      <c r="D60" s="5">
        <v>10.68</v>
      </c>
      <c r="E60" s="5">
        <v>29.99</v>
      </c>
      <c r="F60" s="4" t="s">
        <v>6184</v>
      </c>
      <c r="G60" s="2" t="s">
        <v>36</v>
      </c>
      <c r="H60" s="7" t="s">
        <v>228</v>
      </c>
      <c r="I60" s="2" t="s">
        <v>389</v>
      </c>
      <c r="J60" s="2" t="s">
        <v>354</v>
      </c>
      <c r="K60" s="2" t="s">
        <v>304</v>
      </c>
      <c r="L60" s="2" t="s">
        <v>596</v>
      </c>
      <c r="M60" s="8" t="str">
        <f>HYPERLINK("http://slimages.macys.com/is/image/MCY/12938556 ")</f>
        <v xml:space="preserve">http://slimages.macys.com/is/image/MCY/12938556 </v>
      </c>
    </row>
    <row r="61" spans="1:13" ht="60" x14ac:dyDescent="0.25">
      <c r="A61" s="7" t="s">
        <v>6771</v>
      </c>
      <c r="B61" s="2" t="s">
        <v>6772</v>
      </c>
      <c r="C61" s="4">
        <v>1</v>
      </c>
      <c r="D61" s="5">
        <v>10.62</v>
      </c>
      <c r="E61" s="5">
        <v>30.99</v>
      </c>
      <c r="F61" s="4" t="s">
        <v>6773</v>
      </c>
      <c r="G61" s="2" t="s">
        <v>582</v>
      </c>
      <c r="H61" s="7" t="s">
        <v>228</v>
      </c>
      <c r="I61" s="2" t="s">
        <v>389</v>
      </c>
      <c r="J61" s="2" t="s">
        <v>354</v>
      </c>
      <c r="K61" s="2" t="s">
        <v>304</v>
      </c>
      <c r="L61" s="2" t="s">
        <v>1614</v>
      </c>
      <c r="M61" s="8" t="str">
        <f>HYPERLINK("http://slimages.macys.com/is/image/MCY/12101646 ")</f>
        <v xml:space="preserve">http://slimages.macys.com/is/image/MCY/12101646 </v>
      </c>
    </row>
    <row r="62" spans="1:13" ht="96" x14ac:dyDescent="0.25">
      <c r="A62" s="7" t="s">
        <v>6774</v>
      </c>
      <c r="B62" s="2" t="s">
        <v>3825</v>
      </c>
      <c r="C62" s="4">
        <v>1</v>
      </c>
      <c r="D62" s="5">
        <v>10.5</v>
      </c>
      <c r="E62" s="5">
        <v>26.5</v>
      </c>
      <c r="F62" s="4" t="s">
        <v>3833</v>
      </c>
      <c r="G62" s="2" t="s">
        <v>310</v>
      </c>
      <c r="H62" s="7" t="s">
        <v>166</v>
      </c>
      <c r="I62" s="2" t="s">
        <v>380</v>
      </c>
      <c r="J62" s="2" t="s">
        <v>99</v>
      </c>
      <c r="K62" s="2" t="s">
        <v>304</v>
      </c>
      <c r="L62" s="2" t="s">
        <v>3834</v>
      </c>
      <c r="M62" s="8" t="str">
        <f>HYPERLINK("http://slimages.macys.com/is/image/MCY/11446394 ")</f>
        <v xml:space="preserve">http://slimages.macys.com/is/image/MCY/11446394 </v>
      </c>
    </row>
    <row r="63" spans="1:13" ht="60" x14ac:dyDescent="0.25">
      <c r="A63" s="7" t="s">
        <v>6775</v>
      </c>
      <c r="B63" s="2" t="s">
        <v>255</v>
      </c>
      <c r="C63" s="4">
        <v>1</v>
      </c>
      <c r="D63" s="5">
        <v>10.5</v>
      </c>
      <c r="E63" s="5">
        <v>24.99</v>
      </c>
      <c r="F63" s="4" t="s">
        <v>256</v>
      </c>
      <c r="G63" s="2" t="s">
        <v>262</v>
      </c>
      <c r="H63" s="7" t="s">
        <v>1411</v>
      </c>
      <c r="I63" s="2" t="s">
        <v>257</v>
      </c>
      <c r="J63" s="2" t="s">
        <v>258</v>
      </c>
      <c r="K63" s="2" t="s">
        <v>304</v>
      </c>
      <c r="L63" s="2" t="s">
        <v>206</v>
      </c>
      <c r="M63" s="8" t="str">
        <f>HYPERLINK("http://slimages.macys.com/is/image/MCY/11722982 ")</f>
        <v xml:space="preserve">http://slimages.macys.com/is/image/MCY/11722982 </v>
      </c>
    </row>
    <row r="64" spans="1:13" ht="60" x14ac:dyDescent="0.25">
      <c r="A64" s="7" t="s">
        <v>6776</v>
      </c>
      <c r="B64" s="2" t="s">
        <v>255</v>
      </c>
      <c r="C64" s="4">
        <v>1</v>
      </c>
      <c r="D64" s="5">
        <v>10.5</v>
      </c>
      <c r="E64" s="5">
        <v>24.99</v>
      </c>
      <c r="F64" s="4" t="s">
        <v>256</v>
      </c>
      <c r="G64" s="2" t="s">
        <v>262</v>
      </c>
      <c r="H64" s="7" t="s">
        <v>97</v>
      </c>
      <c r="I64" s="2" t="s">
        <v>257</v>
      </c>
      <c r="J64" s="2" t="s">
        <v>258</v>
      </c>
      <c r="K64" s="2" t="s">
        <v>304</v>
      </c>
      <c r="L64" s="2" t="s">
        <v>206</v>
      </c>
      <c r="M64" s="8" t="str">
        <f>HYPERLINK("http://slimages.macys.com/is/image/MCY/11722983 ")</f>
        <v xml:space="preserve">http://slimages.macys.com/is/image/MCY/11722983 </v>
      </c>
    </row>
    <row r="65" spans="1:13" ht="60" x14ac:dyDescent="0.25">
      <c r="A65" s="7" t="s">
        <v>820</v>
      </c>
      <c r="B65" s="2" t="s">
        <v>255</v>
      </c>
      <c r="C65" s="4">
        <v>1</v>
      </c>
      <c r="D65" s="5">
        <v>10.5</v>
      </c>
      <c r="E65" s="5">
        <v>24.99</v>
      </c>
      <c r="F65" s="4" t="s">
        <v>256</v>
      </c>
      <c r="G65" s="2" t="s">
        <v>262</v>
      </c>
      <c r="H65" s="7" t="s">
        <v>97</v>
      </c>
      <c r="I65" s="2" t="s">
        <v>257</v>
      </c>
      <c r="J65" s="2" t="s">
        <v>258</v>
      </c>
      <c r="K65" s="2" t="s">
        <v>304</v>
      </c>
      <c r="L65" s="2" t="s">
        <v>206</v>
      </c>
      <c r="M65" s="8" t="str">
        <f>HYPERLINK("http://slimages.macys.com/is/image/MCY/11722982 ")</f>
        <v xml:space="preserve">http://slimages.macys.com/is/image/MCY/11722982 </v>
      </c>
    </row>
    <row r="66" spans="1:13" ht="60" x14ac:dyDescent="0.25">
      <c r="A66" s="7" t="s">
        <v>819</v>
      </c>
      <c r="B66" s="2" t="s">
        <v>255</v>
      </c>
      <c r="C66" s="4">
        <v>1</v>
      </c>
      <c r="D66" s="5">
        <v>10.5</v>
      </c>
      <c r="E66" s="5">
        <v>24.99</v>
      </c>
      <c r="F66" s="4" t="s">
        <v>256</v>
      </c>
      <c r="G66" s="2" t="s">
        <v>262</v>
      </c>
      <c r="H66" s="7" t="s">
        <v>172</v>
      </c>
      <c r="I66" s="2" t="s">
        <v>257</v>
      </c>
      <c r="J66" s="2" t="s">
        <v>258</v>
      </c>
      <c r="K66" s="2" t="s">
        <v>304</v>
      </c>
      <c r="L66" s="2" t="s">
        <v>206</v>
      </c>
      <c r="M66" s="8" t="str">
        <f>HYPERLINK("http://slimages.macys.com/is/image/MCY/11722982 ")</f>
        <v xml:space="preserve">http://slimages.macys.com/is/image/MCY/11722982 </v>
      </c>
    </row>
    <row r="67" spans="1:13" ht="60" x14ac:dyDescent="0.25">
      <c r="A67" s="7" t="s">
        <v>6777</v>
      </c>
      <c r="B67" s="2" t="s">
        <v>4844</v>
      </c>
      <c r="C67" s="4">
        <v>1</v>
      </c>
      <c r="D67" s="5">
        <v>10.45</v>
      </c>
      <c r="E67" s="5">
        <v>25.99</v>
      </c>
      <c r="F67" s="4" t="s">
        <v>4845</v>
      </c>
      <c r="G67" s="2" t="s">
        <v>62</v>
      </c>
      <c r="H67" s="7" t="s">
        <v>2740</v>
      </c>
      <c r="I67" s="2" t="s">
        <v>292</v>
      </c>
      <c r="J67" s="2" t="s">
        <v>293</v>
      </c>
      <c r="K67" s="2" t="s">
        <v>304</v>
      </c>
      <c r="L67" s="2" t="s">
        <v>596</v>
      </c>
      <c r="M67" s="8" t="str">
        <f>HYPERLINK("http://slimages.macys.com/is/image/MCY/15197668 ")</f>
        <v xml:space="preserve">http://slimages.macys.com/is/image/MCY/15197668 </v>
      </c>
    </row>
    <row r="68" spans="1:13" ht="60" x14ac:dyDescent="0.25">
      <c r="A68" s="7" t="s">
        <v>6778</v>
      </c>
      <c r="B68" s="2" t="s">
        <v>6779</v>
      </c>
      <c r="C68" s="4">
        <v>1</v>
      </c>
      <c r="D68" s="5">
        <v>10.45</v>
      </c>
      <c r="E68" s="5">
        <v>28.99</v>
      </c>
      <c r="F68" s="4" t="s">
        <v>6780</v>
      </c>
      <c r="G68" s="2" t="s">
        <v>310</v>
      </c>
      <c r="H68" s="7" t="s">
        <v>317</v>
      </c>
      <c r="I68" s="2" t="s">
        <v>312</v>
      </c>
      <c r="J68" s="2" t="s">
        <v>1618</v>
      </c>
      <c r="K68" s="2" t="s">
        <v>304</v>
      </c>
      <c r="L68" s="2" t="s">
        <v>38</v>
      </c>
      <c r="M68" s="8" t="str">
        <f>HYPERLINK("http://slimages.macys.com/is/image/MCY/12291161 ")</f>
        <v xml:space="preserve">http://slimages.macys.com/is/image/MCY/12291161 </v>
      </c>
    </row>
    <row r="69" spans="1:13" ht="60" x14ac:dyDescent="0.25">
      <c r="A69" s="7" t="s">
        <v>6781</v>
      </c>
      <c r="B69" s="2" t="s">
        <v>825</v>
      </c>
      <c r="C69" s="4">
        <v>1</v>
      </c>
      <c r="D69" s="5">
        <v>10.18</v>
      </c>
      <c r="E69" s="5">
        <v>23.99</v>
      </c>
      <c r="F69" s="4" t="s">
        <v>826</v>
      </c>
      <c r="G69" s="2" t="s">
        <v>62</v>
      </c>
      <c r="H69" s="7" t="s">
        <v>228</v>
      </c>
      <c r="I69" s="2" t="s">
        <v>515</v>
      </c>
      <c r="J69" s="2" t="s">
        <v>827</v>
      </c>
      <c r="K69" s="2" t="s">
        <v>304</v>
      </c>
      <c r="L69" s="2" t="s">
        <v>358</v>
      </c>
      <c r="M69" s="8" t="str">
        <f>HYPERLINK("http://slimages.macys.com/is/image/MCY/13121087 ")</f>
        <v xml:space="preserve">http://slimages.macys.com/is/image/MCY/13121087 </v>
      </c>
    </row>
    <row r="70" spans="1:13" ht="60" x14ac:dyDescent="0.25">
      <c r="A70" s="7" t="s">
        <v>6782</v>
      </c>
      <c r="B70" s="2" t="s">
        <v>4847</v>
      </c>
      <c r="C70" s="4">
        <v>1</v>
      </c>
      <c r="D70" s="5">
        <v>10.09</v>
      </c>
      <c r="E70" s="5">
        <v>24.99</v>
      </c>
      <c r="F70" s="4" t="s">
        <v>4848</v>
      </c>
      <c r="G70" s="2" t="s">
        <v>62</v>
      </c>
      <c r="H70" s="7" t="s">
        <v>159</v>
      </c>
      <c r="I70" s="2" t="s">
        <v>218</v>
      </c>
      <c r="J70" s="2" t="s">
        <v>219</v>
      </c>
      <c r="K70" s="2" t="s">
        <v>304</v>
      </c>
      <c r="L70" s="2" t="s">
        <v>119</v>
      </c>
      <c r="M70" s="8" t="str">
        <f>HYPERLINK("http://slimages.macys.com/is/image/MCY/9275149 ")</f>
        <v xml:space="preserve">http://slimages.macys.com/is/image/MCY/9275149 </v>
      </c>
    </row>
    <row r="71" spans="1:13" ht="60" x14ac:dyDescent="0.25">
      <c r="A71" s="7" t="s">
        <v>6783</v>
      </c>
      <c r="B71" s="2" t="s">
        <v>4847</v>
      </c>
      <c r="C71" s="4">
        <v>1</v>
      </c>
      <c r="D71" s="5">
        <v>10.09</v>
      </c>
      <c r="E71" s="5">
        <v>24.99</v>
      </c>
      <c r="F71" s="4" t="s">
        <v>4848</v>
      </c>
      <c r="G71" s="2" t="s">
        <v>62</v>
      </c>
      <c r="H71" s="7" t="s">
        <v>284</v>
      </c>
      <c r="I71" s="2" t="s">
        <v>218</v>
      </c>
      <c r="J71" s="2" t="s">
        <v>219</v>
      </c>
      <c r="K71" s="2" t="s">
        <v>304</v>
      </c>
      <c r="L71" s="2" t="s">
        <v>119</v>
      </c>
      <c r="M71" s="8" t="str">
        <f>HYPERLINK("http://slimages.macys.com/is/image/MCY/9275149 ")</f>
        <v xml:space="preserve">http://slimages.macys.com/is/image/MCY/9275149 </v>
      </c>
    </row>
    <row r="72" spans="1:13" ht="60" x14ac:dyDescent="0.25">
      <c r="A72" s="7" t="s">
        <v>6784</v>
      </c>
      <c r="B72" s="2" t="s">
        <v>282</v>
      </c>
      <c r="C72" s="4">
        <v>1</v>
      </c>
      <c r="D72" s="5">
        <v>10</v>
      </c>
      <c r="E72" s="5">
        <v>25</v>
      </c>
      <c r="F72" s="4">
        <v>1329007</v>
      </c>
      <c r="G72" s="2" t="s">
        <v>698</v>
      </c>
      <c r="H72" s="7" t="s">
        <v>284</v>
      </c>
      <c r="I72" s="2" t="s">
        <v>80</v>
      </c>
      <c r="J72" s="2" t="s">
        <v>280</v>
      </c>
      <c r="K72" s="2" t="s">
        <v>304</v>
      </c>
      <c r="L72" s="2" t="s">
        <v>125</v>
      </c>
      <c r="M72" s="8" t="str">
        <f>HYPERLINK("http://slimages.macys.com/is/image/MCY/14888348 ")</f>
        <v xml:space="preserve">http://slimages.macys.com/is/image/MCY/14888348 </v>
      </c>
    </row>
    <row r="73" spans="1:13" ht="60" x14ac:dyDescent="0.25">
      <c r="A73" s="7" t="s">
        <v>6785</v>
      </c>
      <c r="B73" s="2" t="s">
        <v>282</v>
      </c>
      <c r="C73" s="4">
        <v>1</v>
      </c>
      <c r="D73" s="5">
        <v>10</v>
      </c>
      <c r="E73" s="5">
        <v>25</v>
      </c>
      <c r="F73" s="4">
        <v>1329007</v>
      </c>
      <c r="G73" s="2" t="s">
        <v>165</v>
      </c>
      <c r="H73" s="7" t="s">
        <v>159</v>
      </c>
      <c r="I73" s="2" t="s">
        <v>80</v>
      </c>
      <c r="J73" s="2" t="s">
        <v>280</v>
      </c>
      <c r="K73" s="2" t="s">
        <v>304</v>
      </c>
      <c r="L73" s="2" t="s">
        <v>125</v>
      </c>
      <c r="M73" s="8" t="str">
        <f>HYPERLINK("http://slimages.macys.com/is/image/MCY/14888348 ")</f>
        <v xml:space="preserve">http://slimages.macys.com/is/image/MCY/14888348 </v>
      </c>
    </row>
    <row r="74" spans="1:13" ht="60" x14ac:dyDescent="0.25">
      <c r="A74" s="7" t="s">
        <v>6786</v>
      </c>
      <c r="B74" s="2" t="s">
        <v>308</v>
      </c>
      <c r="C74" s="4">
        <v>1</v>
      </c>
      <c r="D74" s="5">
        <v>9.75</v>
      </c>
      <c r="E74" s="5">
        <v>24.99</v>
      </c>
      <c r="F74" s="4" t="s">
        <v>309</v>
      </c>
      <c r="G74" s="2" t="s">
        <v>310</v>
      </c>
      <c r="H74" s="7" t="s">
        <v>179</v>
      </c>
      <c r="I74" s="2" t="s">
        <v>312</v>
      </c>
      <c r="J74" s="2" t="s">
        <v>313</v>
      </c>
      <c r="K74" s="2" t="s">
        <v>304</v>
      </c>
      <c r="L74" s="2" t="s">
        <v>38</v>
      </c>
      <c r="M74" s="8" t="str">
        <f>HYPERLINK("http://slimages.macys.com/is/image/MCY/11488744 ")</f>
        <v xml:space="preserve">http://slimages.macys.com/is/image/MCY/11488744 </v>
      </c>
    </row>
    <row r="75" spans="1:13" ht="60" x14ac:dyDescent="0.25">
      <c r="A75" s="7" t="s">
        <v>6787</v>
      </c>
      <c r="B75" s="2" t="s">
        <v>6788</v>
      </c>
      <c r="C75" s="4">
        <v>1</v>
      </c>
      <c r="D75" s="5">
        <v>9.75</v>
      </c>
      <c r="E75" s="5">
        <v>26.99</v>
      </c>
      <c r="F75" s="4" t="s">
        <v>6789</v>
      </c>
      <c r="G75" s="2" t="s">
        <v>62</v>
      </c>
      <c r="H75" s="7" t="s">
        <v>228</v>
      </c>
      <c r="I75" s="2" t="s">
        <v>342</v>
      </c>
      <c r="J75" s="2" t="s">
        <v>1789</v>
      </c>
      <c r="K75" s="2" t="s">
        <v>304</v>
      </c>
      <c r="L75" s="2" t="s">
        <v>358</v>
      </c>
      <c r="M75" s="8" t="str">
        <f>HYPERLINK("http://slimages.macys.com/is/image/MCY/11724492 ")</f>
        <v xml:space="preserve">http://slimages.macys.com/is/image/MCY/11724492 </v>
      </c>
    </row>
    <row r="76" spans="1:13" ht="72" x14ac:dyDescent="0.25">
      <c r="A76" s="7" t="s">
        <v>6790</v>
      </c>
      <c r="B76" s="2" t="s">
        <v>3912</v>
      </c>
      <c r="C76" s="4">
        <v>1</v>
      </c>
      <c r="D76" s="5">
        <v>9.6</v>
      </c>
      <c r="E76" s="5">
        <v>23.99</v>
      </c>
      <c r="F76" s="4" t="s">
        <v>6791</v>
      </c>
      <c r="G76" s="2" t="s">
        <v>165</v>
      </c>
      <c r="H76" s="7" t="s">
        <v>179</v>
      </c>
      <c r="I76" s="2" t="s">
        <v>173</v>
      </c>
      <c r="J76" s="2" t="s">
        <v>174</v>
      </c>
      <c r="K76" s="2" t="s">
        <v>304</v>
      </c>
      <c r="L76" s="2" t="s">
        <v>2540</v>
      </c>
      <c r="M76" s="8" t="str">
        <f>HYPERLINK("http://slimages.macys.com/is/image/MCY/12726003 ")</f>
        <v xml:space="preserve">http://slimages.macys.com/is/image/MCY/12726003 </v>
      </c>
    </row>
    <row r="77" spans="1:13" ht="60" x14ac:dyDescent="0.25">
      <c r="A77" s="7" t="s">
        <v>6792</v>
      </c>
      <c r="B77" s="2" t="s">
        <v>4866</v>
      </c>
      <c r="C77" s="4">
        <v>1</v>
      </c>
      <c r="D77" s="5">
        <v>9.6</v>
      </c>
      <c r="E77" s="5">
        <v>23.99</v>
      </c>
      <c r="F77" s="4" t="s">
        <v>4867</v>
      </c>
      <c r="G77" s="2" t="s">
        <v>171</v>
      </c>
      <c r="H77" s="7" t="s">
        <v>166</v>
      </c>
      <c r="I77" s="2" t="s">
        <v>173</v>
      </c>
      <c r="J77" s="2" t="s">
        <v>174</v>
      </c>
      <c r="K77" s="2" t="s">
        <v>304</v>
      </c>
      <c r="L77" s="2" t="s">
        <v>75</v>
      </c>
      <c r="M77" s="8" t="str">
        <f>HYPERLINK("http://slimages.macys.com/is/image/MCY/13314630 ")</f>
        <v xml:space="preserve">http://slimages.macys.com/is/image/MCY/13314630 </v>
      </c>
    </row>
    <row r="78" spans="1:13" ht="60" x14ac:dyDescent="0.25">
      <c r="A78" s="7" t="s">
        <v>6793</v>
      </c>
      <c r="B78" s="2" t="s">
        <v>1633</v>
      </c>
      <c r="C78" s="4">
        <v>1</v>
      </c>
      <c r="D78" s="5">
        <v>9.5299999999999994</v>
      </c>
      <c r="E78" s="5">
        <v>22.99</v>
      </c>
      <c r="F78" s="4" t="s">
        <v>1634</v>
      </c>
      <c r="G78" s="2" t="s">
        <v>28</v>
      </c>
      <c r="H78" s="7" t="s">
        <v>228</v>
      </c>
      <c r="I78" s="2" t="s">
        <v>292</v>
      </c>
      <c r="J78" s="2" t="s">
        <v>293</v>
      </c>
      <c r="K78" s="2" t="s">
        <v>304</v>
      </c>
      <c r="L78" s="2" t="s">
        <v>206</v>
      </c>
      <c r="M78" s="8" t="str">
        <f>HYPERLINK("http://slimages.macys.com/is/image/MCY/11776336 ")</f>
        <v xml:space="preserve">http://slimages.macys.com/is/image/MCY/11776336 </v>
      </c>
    </row>
    <row r="79" spans="1:13" ht="96" x14ac:dyDescent="0.25">
      <c r="A79" s="7" t="s">
        <v>6794</v>
      </c>
      <c r="B79" s="2" t="s">
        <v>6795</v>
      </c>
      <c r="C79" s="4">
        <v>1</v>
      </c>
      <c r="D79" s="5">
        <v>9.5</v>
      </c>
      <c r="E79" s="5">
        <v>23.99</v>
      </c>
      <c r="F79" s="4" t="s">
        <v>6796</v>
      </c>
      <c r="G79" s="2" t="s">
        <v>310</v>
      </c>
      <c r="H79" s="7" t="s">
        <v>311</v>
      </c>
      <c r="I79" s="2" t="s">
        <v>380</v>
      </c>
      <c r="J79" s="2" t="s">
        <v>99</v>
      </c>
      <c r="K79" s="2" t="s">
        <v>304</v>
      </c>
      <c r="L79" s="2" t="s">
        <v>6797</v>
      </c>
      <c r="M79" s="8" t="str">
        <f>HYPERLINK("http://slimages.macys.com/is/image/MCY/12227885 ")</f>
        <v xml:space="preserve">http://slimages.macys.com/is/image/MCY/12227885 </v>
      </c>
    </row>
    <row r="80" spans="1:13" ht="60" x14ac:dyDescent="0.25">
      <c r="A80" s="7" t="s">
        <v>6798</v>
      </c>
      <c r="B80" s="2" t="s">
        <v>6799</v>
      </c>
      <c r="C80" s="4">
        <v>1</v>
      </c>
      <c r="D80" s="5">
        <v>9.5</v>
      </c>
      <c r="E80" s="5">
        <v>22.99</v>
      </c>
      <c r="F80" s="4" t="s">
        <v>3190</v>
      </c>
      <c r="G80" s="2" t="s">
        <v>62</v>
      </c>
      <c r="H80" s="7" t="s">
        <v>311</v>
      </c>
      <c r="I80" s="2" t="s">
        <v>80</v>
      </c>
      <c r="J80" s="2" t="s">
        <v>124</v>
      </c>
      <c r="K80" s="2" t="s">
        <v>304</v>
      </c>
      <c r="L80" s="2" t="s">
        <v>125</v>
      </c>
      <c r="M80" s="8" t="str">
        <f>HYPERLINK("http://slimages.macys.com/is/image/MCY/8271019 ")</f>
        <v xml:space="preserve">http://slimages.macys.com/is/image/MCY/8271019 </v>
      </c>
    </row>
    <row r="81" spans="1:13" ht="60" x14ac:dyDescent="0.25">
      <c r="A81" s="7" t="s">
        <v>6800</v>
      </c>
      <c r="B81" s="2" t="s">
        <v>843</v>
      </c>
      <c r="C81" s="4">
        <v>1</v>
      </c>
      <c r="D81" s="5">
        <v>9.09</v>
      </c>
      <c r="E81" s="5">
        <v>24.99</v>
      </c>
      <c r="F81" s="4" t="s">
        <v>844</v>
      </c>
      <c r="G81" s="2" t="s">
        <v>62</v>
      </c>
      <c r="H81" s="7" t="s">
        <v>123</v>
      </c>
      <c r="I81" s="2" t="s">
        <v>515</v>
      </c>
      <c r="J81" s="2" t="s">
        <v>516</v>
      </c>
      <c r="K81" s="2" t="s">
        <v>304</v>
      </c>
      <c r="L81" s="2" t="s">
        <v>358</v>
      </c>
      <c r="M81" s="8" t="str">
        <f>HYPERLINK("http://slimages.macys.com/is/image/MCY/12387525 ")</f>
        <v xml:space="preserve">http://slimages.macys.com/is/image/MCY/12387525 </v>
      </c>
    </row>
    <row r="82" spans="1:13" ht="72" x14ac:dyDescent="0.25">
      <c r="A82" s="7" t="s">
        <v>6801</v>
      </c>
      <c r="B82" s="2" t="s">
        <v>3219</v>
      </c>
      <c r="C82" s="4">
        <v>1</v>
      </c>
      <c r="D82" s="5">
        <v>9</v>
      </c>
      <c r="E82" s="5">
        <v>20.99</v>
      </c>
      <c r="F82" s="4" t="s">
        <v>3220</v>
      </c>
      <c r="G82" s="2" t="s">
        <v>171</v>
      </c>
      <c r="H82" s="7" t="s">
        <v>144</v>
      </c>
      <c r="I82" s="2" t="s">
        <v>173</v>
      </c>
      <c r="J82" s="2" t="s">
        <v>1967</v>
      </c>
      <c r="K82" s="2" t="s">
        <v>304</v>
      </c>
      <c r="L82" s="2" t="s">
        <v>2540</v>
      </c>
      <c r="M82" s="8" t="str">
        <f>HYPERLINK("http://slimages.macys.com/is/image/MCY/12726096 ")</f>
        <v xml:space="preserve">http://slimages.macys.com/is/image/MCY/12726096 </v>
      </c>
    </row>
    <row r="83" spans="1:13" ht="60" x14ac:dyDescent="0.25">
      <c r="A83" s="7" t="s">
        <v>5333</v>
      </c>
      <c r="B83" s="2" t="s">
        <v>5334</v>
      </c>
      <c r="C83" s="4">
        <v>1</v>
      </c>
      <c r="D83" s="5">
        <v>9</v>
      </c>
      <c r="E83" s="5">
        <v>17.989999999999998</v>
      </c>
      <c r="F83" s="4" t="s">
        <v>5335</v>
      </c>
      <c r="G83" s="2" t="s">
        <v>892</v>
      </c>
      <c r="H83" s="7"/>
      <c r="I83" s="2" t="s">
        <v>30</v>
      </c>
      <c r="J83" s="2" t="s">
        <v>658</v>
      </c>
      <c r="K83" s="2" t="s">
        <v>304</v>
      </c>
      <c r="L83" s="2" t="s">
        <v>1648</v>
      </c>
      <c r="M83" s="8" t="str">
        <f>HYPERLINK("http://slimages.macys.com/is/image/MCY/11686699 ")</f>
        <v xml:space="preserve">http://slimages.macys.com/is/image/MCY/11686699 </v>
      </c>
    </row>
    <row r="84" spans="1:13" ht="84" x14ac:dyDescent="0.25">
      <c r="A84" s="7" t="s">
        <v>6802</v>
      </c>
      <c r="B84" s="2" t="s">
        <v>6803</v>
      </c>
      <c r="C84" s="4">
        <v>1</v>
      </c>
      <c r="D84" s="5">
        <v>9</v>
      </c>
      <c r="E84" s="5">
        <v>21.99</v>
      </c>
      <c r="F84" s="4" t="s">
        <v>6804</v>
      </c>
      <c r="G84" s="2" t="s">
        <v>1160</v>
      </c>
      <c r="H84" s="7" t="s">
        <v>144</v>
      </c>
      <c r="I84" s="2" t="s">
        <v>342</v>
      </c>
      <c r="J84" s="2" t="s">
        <v>1613</v>
      </c>
      <c r="K84" s="2" t="s">
        <v>304</v>
      </c>
      <c r="L84" s="2" t="s">
        <v>6805</v>
      </c>
      <c r="M84" s="8" t="str">
        <f>HYPERLINK("http://slimages.macys.com/is/image/MCY/12289666 ")</f>
        <v xml:space="preserve">http://slimages.macys.com/is/image/MCY/12289666 </v>
      </c>
    </row>
    <row r="85" spans="1:13" ht="60" x14ac:dyDescent="0.25">
      <c r="A85" s="7" t="s">
        <v>6806</v>
      </c>
      <c r="B85" s="2" t="s">
        <v>6807</v>
      </c>
      <c r="C85" s="4">
        <v>1</v>
      </c>
      <c r="D85" s="5">
        <v>8.92</v>
      </c>
      <c r="E85" s="5">
        <v>22.99</v>
      </c>
      <c r="F85" s="4" t="s">
        <v>6808</v>
      </c>
      <c r="G85" s="2" t="s">
        <v>62</v>
      </c>
      <c r="H85" s="7" t="s">
        <v>97</v>
      </c>
      <c r="I85" s="2" t="s">
        <v>389</v>
      </c>
      <c r="J85" s="2" t="s">
        <v>354</v>
      </c>
      <c r="K85" s="2" t="s">
        <v>304</v>
      </c>
      <c r="L85" s="2" t="s">
        <v>38</v>
      </c>
      <c r="M85" s="8" t="str">
        <f>HYPERLINK("http://slimages.macys.com/is/image/MCY/11855480 ")</f>
        <v xml:space="preserve">http://slimages.macys.com/is/image/MCY/11855480 </v>
      </c>
    </row>
    <row r="86" spans="1:13" ht="60" x14ac:dyDescent="0.25">
      <c r="A86" s="7" t="s">
        <v>6809</v>
      </c>
      <c r="B86" s="2" t="s">
        <v>6810</v>
      </c>
      <c r="C86" s="4">
        <v>1</v>
      </c>
      <c r="D86" s="5">
        <v>8.9</v>
      </c>
      <c r="E86" s="5">
        <v>17.989999999999998</v>
      </c>
      <c r="F86" s="4" t="s">
        <v>6811</v>
      </c>
      <c r="G86" s="2" t="s">
        <v>814</v>
      </c>
      <c r="H86" s="7" t="s">
        <v>217</v>
      </c>
      <c r="I86" s="2" t="s">
        <v>80</v>
      </c>
      <c r="J86" s="2" t="s">
        <v>160</v>
      </c>
      <c r="K86" s="2" t="s">
        <v>304</v>
      </c>
      <c r="L86" s="2" t="s">
        <v>206</v>
      </c>
      <c r="M86" s="8" t="str">
        <f>HYPERLINK("http://slimages.macys.com/is/image/MCY/12225585 ")</f>
        <v xml:space="preserve">http://slimages.macys.com/is/image/MCY/12225585 </v>
      </c>
    </row>
    <row r="87" spans="1:13" ht="60" x14ac:dyDescent="0.25">
      <c r="A87" s="7" t="s">
        <v>6812</v>
      </c>
      <c r="B87" s="2" t="s">
        <v>6813</v>
      </c>
      <c r="C87" s="4">
        <v>1</v>
      </c>
      <c r="D87" s="5">
        <v>8.75</v>
      </c>
      <c r="E87" s="5">
        <v>20.99</v>
      </c>
      <c r="F87" s="4" t="s">
        <v>6814</v>
      </c>
      <c r="G87" s="2" t="s">
        <v>310</v>
      </c>
      <c r="H87" s="7" t="s">
        <v>311</v>
      </c>
      <c r="I87" s="2" t="s">
        <v>380</v>
      </c>
      <c r="J87" s="2" t="s">
        <v>896</v>
      </c>
      <c r="K87" s="2" t="s">
        <v>304</v>
      </c>
      <c r="L87" s="2" t="s">
        <v>6815</v>
      </c>
      <c r="M87" s="8" t="str">
        <f>HYPERLINK("http://slimages.macys.com/is/image/MCY/11446385 ")</f>
        <v xml:space="preserve">http://slimages.macys.com/is/image/MCY/11446385 </v>
      </c>
    </row>
    <row r="88" spans="1:13" ht="84" x14ac:dyDescent="0.25">
      <c r="A88" s="7" t="s">
        <v>3235</v>
      </c>
      <c r="B88" s="2" t="s">
        <v>3236</v>
      </c>
      <c r="C88" s="4">
        <v>1</v>
      </c>
      <c r="D88" s="5">
        <v>8.75</v>
      </c>
      <c r="E88" s="5">
        <v>20.99</v>
      </c>
      <c r="F88" s="4" t="s">
        <v>3237</v>
      </c>
      <c r="G88" s="2" t="s">
        <v>310</v>
      </c>
      <c r="H88" s="7" t="s">
        <v>311</v>
      </c>
      <c r="I88" s="2" t="s">
        <v>380</v>
      </c>
      <c r="J88" s="2" t="s">
        <v>896</v>
      </c>
      <c r="K88" s="2" t="s">
        <v>304</v>
      </c>
      <c r="L88" s="2" t="s">
        <v>3238</v>
      </c>
      <c r="M88" s="8" t="str">
        <f>HYPERLINK("http://slimages.macys.com/is/image/MCY/11446391 ")</f>
        <v xml:space="preserve">http://slimages.macys.com/is/image/MCY/11446391 </v>
      </c>
    </row>
    <row r="89" spans="1:13" ht="96" x14ac:dyDescent="0.25">
      <c r="A89" s="7" t="s">
        <v>6816</v>
      </c>
      <c r="B89" s="2" t="s">
        <v>3254</v>
      </c>
      <c r="C89" s="4">
        <v>1</v>
      </c>
      <c r="D89" s="5">
        <v>8.5399999999999991</v>
      </c>
      <c r="E89" s="5">
        <v>21.99</v>
      </c>
      <c r="F89" s="4" t="s">
        <v>3255</v>
      </c>
      <c r="G89" s="2" t="s">
        <v>62</v>
      </c>
      <c r="H89" s="7" t="s">
        <v>311</v>
      </c>
      <c r="I89" s="2" t="s">
        <v>218</v>
      </c>
      <c r="J89" s="2" t="s">
        <v>2008</v>
      </c>
      <c r="K89" s="2" t="s">
        <v>304</v>
      </c>
      <c r="L89" s="2" t="s">
        <v>3256</v>
      </c>
      <c r="M89" s="8" t="str">
        <f>HYPERLINK("http://slimages.macys.com/is/image/MCY/12742405 ")</f>
        <v xml:space="preserve">http://slimages.macys.com/is/image/MCY/12742405 </v>
      </c>
    </row>
    <row r="90" spans="1:13" ht="96" x14ac:dyDescent="0.25">
      <c r="A90" s="7" t="s">
        <v>6817</v>
      </c>
      <c r="B90" s="2" t="s">
        <v>6818</v>
      </c>
      <c r="C90" s="4">
        <v>1</v>
      </c>
      <c r="D90" s="5">
        <v>8.5</v>
      </c>
      <c r="E90" s="5">
        <v>20.99</v>
      </c>
      <c r="F90" s="4">
        <v>6511955932</v>
      </c>
      <c r="G90" s="2" t="s">
        <v>41</v>
      </c>
      <c r="H90" s="7" t="s">
        <v>311</v>
      </c>
      <c r="I90" s="2" t="s">
        <v>73</v>
      </c>
      <c r="J90" s="2" t="s">
        <v>6819</v>
      </c>
      <c r="K90" s="2" t="s">
        <v>304</v>
      </c>
      <c r="L90" s="2" t="s">
        <v>6820</v>
      </c>
      <c r="M90" s="8" t="str">
        <f>HYPERLINK("http://slimages.macys.com/is/image/MCY/12742436 ")</f>
        <v xml:space="preserve">http://slimages.macys.com/is/image/MCY/12742436 </v>
      </c>
    </row>
    <row r="91" spans="1:13" ht="60" x14ac:dyDescent="0.25">
      <c r="A91" s="7" t="s">
        <v>1672</v>
      </c>
      <c r="B91" s="2" t="s">
        <v>1673</v>
      </c>
      <c r="C91" s="4">
        <v>1</v>
      </c>
      <c r="D91" s="5">
        <v>8.4499999999999993</v>
      </c>
      <c r="E91" s="5">
        <v>16.989999999999998</v>
      </c>
      <c r="F91" s="4" t="s">
        <v>1674</v>
      </c>
      <c r="G91" s="2" t="s">
        <v>62</v>
      </c>
      <c r="H91" s="7" t="s">
        <v>196</v>
      </c>
      <c r="I91" s="2" t="s">
        <v>515</v>
      </c>
      <c r="J91" s="2" t="s">
        <v>827</v>
      </c>
      <c r="K91" s="2" t="s">
        <v>304</v>
      </c>
      <c r="L91" s="2" t="s">
        <v>358</v>
      </c>
      <c r="M91" s="8" t="str">
        <f>HYPERLINK("http://slimages.macys.com/is/image/MCY/12688126 ")</f>
        <v xml:space="preserve">http://slimages.macys.com/is/image/MCY/12688126 </v>
      </c>
    </row>
    <row r="92" spans="1:13" ht="60" x14ac:dyDescent="0.25">
      <c r="A92" s="7" t="s">
        <v>5902</v>
      </c>
      <c r="B92" s="2" t="s">
        <v>386</v>
      </c>
      <c r="C92" s="4">
        <v>1</v>
      </c>
      <c r="D92" s="5">
        <v>8.43</v>
      </c>
      <c r="E92" s="5">
        <v>26.99</v>
      </c>
      <c r="F92" s="4" t="s">
        <v>387</v>
      </c>
      <c r="G92" s="2" t="s">
        <v>388</v>
      </c>
      <c r="H92" s="7" t="s">
        <v>228</v>
      </c>
      <c r="I92" s="2" t="s">
        <v>389</v>
      </c>
      <c r="J92" s="2" t="s">
        <v>354</v>
      </c>
      <c r="K92" s="2" t="s">
        <v>304</v>
      </c>
      <c r="L92" s="2" t="s">
        <v>390</v>
      </c>
      <c r="M92" s="8" t="str">
        <f>HYPERLINK("http://slimages.macys.com/is/image/MCY/12938536 ")</f>
        <v xml:space="preserve">http://slimages.macys.com/is/image/MCY/12938536 </v>
      </c>
    </row>
    <row r="93" spans="1:13" ht="60" x14ac:dyDescent="0.25">
      <c r="A93" s="7" t="s">
        <v>3931</v>
      </c>
      <c r="B93" s="2" t="s">
        <v>1687</v>
      </c>
      <c r="C93" s="4">
        <v>1</v>
      </c>
      <c r="D93" s="5">
        <v>8.3800000000000008</v>
      </c>
      <c r="E93" s="5">
        <v>24.99</v>
      </c>
      <c r="F93" s="4" t="s">
        <v>1688</v>
      </c>
      <c r="G93" s="2" t="s">
        <v>28</v>
      </c>
      <c r="H93" s="7" t="s">
        <v>311</v>
      </c>
      <c r="I93" s="2" t="s">
        <v>1689</v>
      </c>
      <c r="J93" s="2" t="s">
        <v>354</v>
      </c>
      <c r="K93" s="2" t="s">
        <v>304</v>
      </c>
      <c r="L93" s="2" t="s">
        <v>390</v>
      </c>
      <c r="M93" s="8" t="str">
        <f>HYPERLINK("http://slimages.macys.com/is/image/MCY/13076988 ")</f>
        <v xml:space="preserve">http://slimages.macys.com/is/image/MCY/13076988 </v>
      </c>
    </row>
    <row r="94" spans="1:13" ht="60" x14ac:dyDescent="0.25">
      <c r="A94" s="7" t="s">
        <v>6821</v>
      </c>
      <c r="B94" s="2" t="s">
        <v>3954</v>
      </c>
      <c r="C94" s="4">
        <v>1</v>
      </c>
      <c r="D94" s="5">
        <v>8.1</v>
      </c>
      <c r="E94" s="5">
        <v>18</v>
      </c>
      <c r="F94" s="4">
        <v>321703638039</v>
      </c>
      <c r="G94" s="2" t="s">
        <v>28</v>
      </c>
      <c r="H94" s="7" t="s">
        <v>209</v>
      </c>
      <c r="I94" s="2" t="s">
        <v>204</v>
      </c>
      <c r="J94" s="2" t="s">
        <v>205</v>
      </c>
      <c r="K94" s="2" t="s">
        <v>304</v>
      </c>
      <c r="L94" s="2" t="s">
        <v>38</v>
      </c>
      <c r="M94" s="8" t="str">
        <f>HYPERLINK("http://slimages.macys.com/is/image/MCY/13746054 ")</f>
        <v xml:space="preserve">http://slimages.macys.com/is/image/MCY/13746054 </v>
      </c>
    </row>
    <row r="95" spans="1:13" ht="108" x14ac:dyDescent="0.25">
      <c r="A95" s="7" t="s">
        <v>6822</v>
      </c>
      <c r="B95" s="2" t="s">
        <v>6823</v>
      </c>
      <c r="C95" s="4">
        <v>1</v>
      </c>
      <c r="D95" s="5">
        <v>8.1</v>
      </c>
      <c r="E95" s="5">
        <v>16.2</v>
      </c>
      <c r="F95" s="4" t="s">
        <v>6824</v>
      </c>
      <c r="G95" s="2" t="s">
        <v>892</v>
      </c>
      <c r="H95" s="7" t="s">
        <v>68</v>
      </c>
      <c r="I95" s="2" t="s">
        <v>487</v>
      </c>
      <c r="J95" s="2" t="s">
        <v>488</v>
      </c>
      <c r="K95" s="2" t="s">
        <v>304</v>
      </c>
      <c r="L95" s="2" t="s">
        <v>6825</v>
      </c>
      <c r="M95" s="8" t="str">
        <f>HYPERLINK("http://slimages.macys.com/is/image/MCY/12236275 ")</f>
        <v xml:space="preserve">http://slimages.macys.com/is/image/MCY/12236275 </v>
      </c>
    </row>
    <row r="96" spans="1:13" ht="60" x14ac:dyDescent="0.25">
      <c r="A96" s="7" t="s">
        <v>6826</v>
      </c>
      <c r="B96" s="2" t="s">
        <v>2567</v>
      </c>
      <c r="C96" s="4">
        <v>1</v>
      </c>
      <c r="D96" s="5">
        <v>8.1</v>
      </c>
      <c r="E96" s="5">
        <v>16.2</v>
      </c>
      <c r="F96" s="4">
        <v>27879610</v>
      </c>
      <c r="G96" s="2"/>
      <c r="H96" s="7" t="s">
        <v>209</v>
      </c>
      <c r="I96" s="2" t="s">
        <v>487</v>
      </c>
      <c r="J96" s="2" t="s">
        <v>488</v>
      </c>
      <c r="K96" s="2" t="s">
        <v>304</v>
      </c>
      <c r="L96" s="2" t="s">
        <v>38</v>
      </c>
      <c r="M96" s="8" t="str">
        <f>HYPERLINK("http://slimages.macys.com/is/image/MCY/13791570 ")</f>
        <v xml:space="preserve">http://slimages.macys.com/is/image/MCY/13791570 </v>
      </c>
    </row>
    <row r="97" spans="1:13" ht="84" x14ac:dyDescent="0.25">
      <c r="A97" s="7" t="s">
        <v>6827</v>
      </c>
      <c r="B97" s="2" t="s">
        <v>4895</v>
      </c>
      <c r="C97" s="4">
        <v>1</v>
      </c>
      <c r="D97" s="5">
        <v>8</v>
      </c>
      <c r="E97" s="5">
        <v>20</v>
      </c>
      <c r="F97" s="4" t="s">
        <v>6828</v>
      </c>
      <c r="G97" s="2" t="s">
        <v>310</v>
      </c>
      <c r="H97" s="7" t="s">
        <v>166</v>
      </c>
      <c r="I97" s="2" t="s">
        <v>380</v>
      </c>
      <c r="J97" s="2" t="s">
        <v>896</v>
      </c>
      <c r="K97" s="2" t="s">
        <v>304</v>
      </c>
      <c r="L97" s="2" t="s">
        <v>6829</v>
      </c>
      <c r="M97" s="8" t="str">
        <f>HYPERLINK("http://slimages.macys.com/is/image/MCY/11860758 ")</f>
        <v xml:space="preserve">http://slimages.macys.com/is/image/MCY/11860758 </v>
      </c>
    </row>
    <row r="98" spans="1:13" ht="60" x14ac:dyDescent="0.25">
      <c r="A98" s="7" t="s">
        <v>889</v>
      </c>
      <c r="B98" s="2" t="s">
        <v>890</v>
      </c>
      <c r="C98" s="4">
        <v>1</v>
      </c>
      <c r="D98" s="5">
        <v>8</v>
      </c>
      <c r="E98" s="5">
        <v>14.99</v>
      </c>
      <c r="F98" s="4" t="s">
        <v>891</v>
      </c>
      <c r="G98" s="2" t="s">
        <v>892</v>
      </c>
      <c r="H98" s="7"/>
      <c r="I98" s="2" t="s">
        <v>30</v>
      </c>
      <c r="J98" s="2" t="s">
        <v>31</v>
      </c>
      <c r="K98" s="2" t="s">
        <v>304</v>
      </c>
      <c r="L98" s="2" t="s">
        <v>416</v>
      </c>
      <c r="M98" s="8" t="str">
        <f>HYPERLINK("http://slimages.macys.com/is/image/MCY/11937971 ")</f>
        <v xml:space="preserve">http://slimages.macys.com/is/image/MCY/11937971 </v>
      </c>
    </row>
    <row r="99" spans="1:13" ht="60" x14ac:dyDescent="0.25">
      <c r="A99" s="7" t="s">
        <v>6830</v>
      </c>
      <c r="B99" s="2" t="s">
        <v>6831</v>
      </c>
      <c r="C99" s="4">
        <v>1</v>
      </c>
      <c r="D99" s="5">
        <v>8</v>
      </c>
      <c r="E99" s="5">
        <v>19.989999999999998</v>
      </c>
      <c r="F99" s="4">
        <v>91193370</v>
      </c>
      <c r="G99" s="2" t="s">
        <v>62</v>
      </c>
      <c r="H99" s="7" t="s">
        <v>217</v>
      </c>
      <c r="I99" s="2" t="s">
        <v>80</v>
      </c>
      <c r="J99" s="2" t="s">
        <v>519</v>
      </c>
      <c r="K99" s="2" t="s">
        <v>304</v>
      </c>
      <c r="L99" s="2" t="s">
        <v>125</v>
      </c>
      <c r="M99" s="8" t="str">
        <f>HYPERLINK("http://slimages.macys.com/is/image/MCY/11790914 ")</f>
        <v xml:space="preserve">http://slimages.macys.com/is/image/MCY/11790914 </v>
      </c>
    </row>
    <row r="100" spans="1:13" ht="60" x14ac:dyDescent="0.25">
      <c r="A100" s="7" t="s">
        <v>6832</v>
      </c>
      <c r="B100" s="2" t="s">
        <v>6833</v>
      </c>
      <c r="C100" s="4">
        <v>1</v>
      </c>
      <c r="D100" s="5">
        <v>8</v>
      </c>
      <c r="E100" s="5">
        <v>19.989999999999998</v>
      </c>
      <c r="F100" s="4" t="s">
        <v>6834</v>
      </c>
      <c r="G100" s="2" t="s">
        <v>310</v>
      </c>
      <c r="H100" s="7" t="s">
        <v>179</v>
      </c>
      <c r="I100" s="2" t="s">
        <v>312</v>
      </c>
      <c r="J100" s="2" t="s">
        <v>313</v>
      </c>
      <c r="K100" s="2" t="s">
        <v>304</v>
      </c>
      <c r="L100" s="2" t="s">
        <v>125</v>
      </c>
      <c r="M100" s="8" t="str">
        <f>HYPERLINK("http://slimages.macys.com/is/image/MCY/12291173 ")</f>
        <v xml:space="preserve">http://slimages.macys.com/is/image/MCY/12291173 </v>
      </c>
    </row>
    <row r="101" spans="1:13" ht="60" x14ac:dyDescent="0.25">
      <c r="A101" s="7" t="s">
        <v>6835</v>
      </c>
      <c r="B101" s="2" t="s">
        <v>6836</v>
      </c>
      <c r="C101" s="4">
        <v>1</v>
      </c>
      <c r="D101" s="5">
        <v>7.75</v>
      </c>
      <c r="E101" s="5">
        <v>22.99</v>
      </c>
      <c r="F101" s="4" t="s">
        <v>6837</v>
      </c>
      <c r="G101" s="2" t="s">
        <v>310</v>
      </c>
      <c r="H101" s="7" t="s">
        <v>42</v>
      </c>
      <c r="I101" s="2" t="s">
        <v>135</v>
      </c>
      <c r="J101" s="2" t="s">
        <v>6838</v>
      </c>
      <c r="K101" s="2" t="s">
        <v>304</v>
      </c>
      <c r="L101" s="2" t="s">
        <v>206</v>
      </c>
      <c r="M101" s="8" t="str">
        <f>HYPERLINK("http://slimages.macys.com/is/image/MCY/12827911 ")</f>
        <v xml:space="preserve">http://slimages.macys.com/is/image/MCY/12827911 </v>
      </c>
    </row>
    <row r="102" spans="1:13" ht="60" x14ac:dyDescent="0.25">
      <c r="A102" s="7" t="s">
        <v>6839</v>
      </c>
      <c r="B102" s="2" t="s">
        <v>3986</v>
      </c>
      <c r="C102" s="4">
        <v>1</v>
      </c>
      <c r="D102" s="5">
        <v>7.6</v>
      </c>
      <c r="E102" s="5">
        <v>17.28</v>
      </c>
      <c r="F102" s="4">
        <v>18389710</v>
      </c>
      <c r="G102" s="2" t="s">
        <v>48</v>
      </c>
      <c r="H102" s="7" t="s">
        <v>42</v>
      </c>
      <c r="I102" s="2" t="s">
        <v>153</v>
      </c>
      <c r="J102" s="2" t="s">
        <v>154</v>
      </c>
      <c r="K102" s="2" t="s">
        <v>304</v>
      </c>
      <c r="L102" s="2" t="s">
        <v>38</v>
      </c>
      <c r="M102" s="8" t="str">
        <f>HYPERLINK("http://slimages.macys.com/is/image/MCY/14608342 ")</f>
        <v xml:space="preserve">http://slimages.macys.com/is/image/MCY/14608342 </v>
      </c>
    </row>
    <row r="103" spans="1:13" ht="96" x14ac:dyDescent="0.25">
      <c r="A103" s="7" t="s">
        <v>435</v>
      </c>
      <c r="B103" s="2" t="s">
        <v>436</v>
      </c>
      <c r="C103" s="4">
        <v>1</v>
      </c>
      <c r="D103" s="5">
        <v>7.6</v>
      </c>
      <c r="E103" s="5">
        <v>17.28</v>
      </c>
      <c r="F103" s="4">
        <v>18372810</v>
      </c>
      <c r="G103" s="2" t="s">
        <v>437</v>
      </c>
      <c r="H103" s="7" t="s">
        <v>438</v>
      </c>
      <c r="I103" s="2" t="s">
        <v>153</v>
      </c>
      <c r="J103" s="2" t="s">
        <v>154</v>
      </c>
      <c r="K103" s="2" t="s">
        <v>304</v>
      </c>
      <c r="L103" s="2" t="s">
        <v>439</v>
      </c>
      <c r="M103" s="8" t="str">
        <f>HYPERLINK("http://slimages.macys.com/is/image/MCY/14608281 ")</f>
        <v xml:space="preserve">http://slimages.macys.com/is/image/MCY/14608281 </v>
      </c>
    </row>
    <row r="104" spans="1:13" ht="168" x14ac:dyDescent="0.25">
      <c r="A104" s="7" t="s">
        <v>6840</v>
      </c>
      <c r="B104" s="2" t="s">
        <v>3997</v>
      </c>
      <c r="C104" s="4">
        <v>1</v>
      </c>
      <c r="D104" s="5">
        <v>7.6</v>
      </c>
      <c r="E104" s="5">
        <v>17.28</v>
      </c>
      <c r="F104" s="4">
        <v>18374410</v>
      </c>
      <c r="G104" s="2" t="s">
        <v>62</v>
      </c>
      <c r="H104" s="7" t="s">
        <v>42</v>
      </c>
      <c r="I104" s="2" t="s">
        <v>153</v>
      </c>
      <c r="J104" s="2" t="s">
        <v>154</v>
      </c>
      <c r="K104" s="2" t="s">
        <v>304</v>
      </c>
      <c r="L104" s="2" t="s">
        <v>3998</v>
      </c>
      <c r="M104" s="8" t="str">
        <f>HYPERLINK("http://slimages.macys.com/is/image/MCY/14662110 ")</f>
        <v xml:space="preserve">http://slimages.macys.com/is/image/MCY/14662110 </v>
      </c>
    </row>
    <row r="105" spans="1:13" ht="72" x14ac:dyDescent="0.25">
      <c r="A105" s="7" t="s">
        <v>1735</v>
      </c>
      <c r="B105" s="2" t="s">
        <v>1731</v>
      </c>
      <c r="C105" s="4">
        <v>2</v>
      </c>
      <c r="D105" s="5">
        <v>7.5</v>
      </c>
      <c r="E105" s="5">
        <v>16.989999999999998</v>
      </c>
      <c r="F105" s="4" t="s">
        <v>1732</v>
      </c>
      <c r="G105" s="2" t="s">
        <v>347</v>
      </c>
      <c r="H105" s="7" t="s">
        <v>284</v>
      </c>
      <c r="I105" s="2" t="s">
        <v>30</v>
      </c>
      <c r="J105" s="2" t="s">
        <v>446</v>
      </c>
      <c r="K105" s="2" t="s">
        <v>304</v>
      </c>
      <c r="L105" s="2" t="s">
        <v>1733</v>
      </c>
      <c r="M105" s="8" t="str">
        <f>HYPERLINK("http://slimages.macys.com/is/image/MCY/12071765 ")</f>
        <v xml:space="preserve">http://slimages.macys.com/is/image/MCY/12071765 </v>
      </c>
    </row>
    <row r="106" spans="1:13" ht="60" x14ac:dyDescent="0.25">
      <c r="A106" s="7" t="s">
        <v>1734</v>
      </c>
      <c r="B106" s="2" t="s">
        <v>458</v>
      </c>
      <c r="C106" s="4">
        <v>3</v>
      </c>
      <c r="D106" s="5">
        <v>7.5</v>
      </c>
      <c r="E106" s="5">
        <v>16.989999999999998</v>
      </c>
      <c r="F106" s="4" t="s">
        <v>459</v>
      </c>
      <c r="G106" s="2" t="s">
        <v>347</v>
      </c>
      <c r="H106" s="7" t="s">
        <v>228</v>
      </c>
      <c r="I106" s="2" t="s">
        <v>30</v>
      </c>
      <c r="J106" s="2" t="s">
        <v>446</v>
      </c>
      <c r="K106" s="2" t="s">
        <v>304</v>
      </c>
      <c r="L106" s="2" t="s">
        <v>460</v>
      </c>
      <c r="M106" s="8" t="str">
        <f>HYPERLINK("http://slimages.macys.com/is/image/MCY/12071760 ")</f>
        <v xml:space="preserve">http://slimages.macys.com/is/image/MCY/12071760 </v>
      </c>
    </row>
    <row r="107" spans="1:13" ht="72" x14ac:dyDescent="0.25">
      <c r="A107" s="7" t="s">
        <v>1736</v>
      </c>
      <c r="B107" s="2" t="s">
        <v>1731</v>
      </c>
      <c r="C107" s="4">
        <v>5</v>
      </c>
      <c r="D107" s="5">
        <v>7.5</v>
      </c>
      <c r="E107" s="5">
        <v>16.989999999999998</v>
      </c>
      <c r="F107" s="4" t="s">
        <v>1732</v>
      </c>
      <c r="G107" s="2" t="s">
        <v>347</v>
      </c>
      <c r="H107" s="7" t="s">
        <v>159</v>
      </c>
      <c r="I107" s="2" t="s">
        <v>30</v>
      </c>
      <c r="J107" s="2" t="s">
        <v>446</v>
      </c>
      <c r="K107" s="2" t="s">
        <v>304</v>
      </c>
      <c r="L107" s="2" t="s">
        <v>1733</v>
      </c>
      <c r="M107" s="8" t="str">
        <f>HYPERLINK("http://slimages.macys.com/is/image/MCY/12071765 ")</f>
        <v xml:space="preserve">http://slimages.macys.com/is/image/MCY/12071765 </v>
      </c>
    </row>
    <row r="108" spans="1:13" ht="84" x14ac:dyDescent="0.25">
      <c r="A108" s="7" t="s">
        <v>3313</v>
      </c>
      <c r="B108" s="2" t="s">
        <v>3314</v>
      </c>
      <c r="C108" s="4">
        <v>3</v>
      </c>
      <c r="D108" s="5">
        <v>7.5</v>
      </c>
      <c r="E108" s="5">
        <v>16.989999999999998</v>
      </c>
      <c r="F108" s="4" t="s">
        <v>3315</v>
      </c>
      <c r="G108" s="2" t="s">
        <v>455</v>
      </c>
      <c r="H108" s="7" t="s">
        <v>159</v>
      </c>
      <c r="I108" s="2" t="s">
        <v>30</v>
      </c>
      <c r="J108" s="2" t="s">
        <v>446</v>
      </c>
      <c r="K108" s="2" t="s">
        <v>304</v>
      </c>
      <c r="L108" s="2" t="s">
        <v>3316</v>
      </c>
      <c r="M108" s="8" t="str">
        <f>HYPERLINK("http://slimages.macys.com/is/image/MCY/10031506 ")</f>
        <v xml:space="preserve">http://slimages.macys.com/is/image/MCY/10031506 </v>
      </c>
    </row>
    <row r="109" spans="1:13" ht="72" x14ac:dyDescent="0.25">
      <c r="A109" s="7" t="s">
        <v>6841</v>
      </c>
      <c r="B109" s="2" t="s">
        <v>6842</v>
      </c>
      <c r="C109" s="4">
        <v>3</v>
      </c>
      <c r="D109" s="5">
        <v>7.5</v>
      </c>
      <c r="E109" s="5">
        <v>16.989999999999998</v>
      </c>
      <c r="F109" s="4" t="s">
        <v>6843</v>
      </c>
      <c r="G109" s="2" t="s">
        <v>657</v>
      </c>
      <c r="H109" s="7" t="s">
        <v>284</v>
      </c>
      <c r="I109" s="2" t="s">
        <v>30</v>
      </c>
      <c r="J109" s="2" t="s">
        <v>446</v>
      </c>
      <c r="K109" s="2" t="s">
        <v>304</v>
      </c>
      <c r="L109" s="2" t="s">
        <v>4095</v>
      </c>
      <c r="M109" s="8" t="str">
        <f>HYPERLINK("http://slimages.macys.com/is/image/MCY/12071766 ")</f>
        <v xml:space="preserve">http://slimages.macys.com/is/image/MCY/12071766 </v>
      </c>
    </row>
    <row r="110" spans="1:13" ht="84" x14ac:dyDescent="0.25">
      <c r="A110" s="7" t="s">
        <v>6844</v>
      </c>
      <c r="B110" s="2" t="s">
        <v>6845</v>
      </c>
      <c r="C110" s="4">
        <v>1</v>
      </c>
      <c r="D110" s="5">
        <v>7.5</v>
      </c>
      <c r="E110" s="5">
        <v>14.99</v>
      </c>
      <c r="F110" s="4" t="s">
        <v>3315</v>
      </c>
      <c r="G110" s="2" t="s">
        <v>62</v>
      </c>
      <c r="H110" s="7" t="s">
        <v>284</v>
      </c>
      <c r="I110" s="2" t="s">
        <v>30</v>
      </c>
      <c r="J110" s="2" t="s">
        <v>446</v>
      </c>
      <c r="K110" s="2" t="s">
        <v>304</v>
      </c>
      <c r="L110" s="2" t="s">
        <v>3316</v>
      </c>
      <c r="M110" s="8" t="str">
        <f>HYPERLINK("http://slimages.macys.com/is/image/MCY/10031506 ")</f>
        <v xml:space="preserve">http://slimages.macys.com/is/image/MCY/10031506 </v>
      </c>
    </row>
    <row r="111" spans="1:13" ht="72" x14ac:dyDescent="0.25">
      <c r="A111" s="7" t="s">
        <v>6846</v>
      </c>
      <c r="B111" s="2" t="s">
        <v>6842</v>
      </c>
      <c r="C111" s="4">
        <v>2</v>
      </c>
      <c r="D111" s="5">
        <v>7.5</v>
      </c>
      <c r="E111" s="5">
        <v>16.989999999999998</v>
      </c>
      <c r="F111" s="4" t="s">
        <v>6843</v>
      </c>
      <c r="G111" s="2" t="s">
        <v>657</v>
      </c>
      <c r="H111" s="7" t="s">
        <v>159</v>
      </c>
      <c r="I111" s="2" t="s">
        <v>30</v>
      </c>
      <c r="J111" s="2" t="s">
        <v>446</v>
      </c>
      <c r="K111" s="2" t="s">
        <v>304</v>
      </c>
      <c r="L111" s="2" t="s">
        <v>4095</v>
      </c>
      <c r="M111" s="8" t="str">
        <f>HYPERLINK("http://slimages.macys.com/is/image/MCY/12071766 ")</f>
        <v xml:space="preserve">http://slimages.macys.com/is/image/MCY/12071766 </v>
      </c>
    </row>
    <row r="112" spans="1:13" ht="84" x14ac:dyDescent="0.25">
      <c r="A112" s="7" t="s">
        <v>6847</v>
      </c>
      <c r="B112" s="2" t="s">
        <v>3314</v>
      </c>
      <c r="C112" s="4">
        <v>1</v>
      </c>
      <c r="D112" s="5">
        <v>7.5</v>
      </c>
      <c r="E112" s="5">
        <v>16.989999999999998</v>
      </c>
      <c r="F112" s="4" t="s">
        <v>3315</v>
      </c>
      <c r="G112" s="2" t="s">
        <v>455</v>
      </c>
      <c r="H112" s="7" t="s">
        <v>284</v>
      </c>
      <c r="I112" s="2" t="s">
        <v>30</v>
      </c>
      <c r="J112" s="2" t="s">
        <v>446</v>
      </c>
      <c r="K112" s="2" t="s">
        <v>304</v>
      </c>
      <c r="L112" s="2" t="s">
        <v>3316</v>
      </c>
      <c r="M112" s="8" t="str">
        <f>HYPERLINK("http://slimages.macys.com/is/image/MCY/10031506 ")</f>
        <v xml:space="preserve">http://slimages.macys.com/is/image/MCY/10031506 </v>
      </c>
    </row>
    <row r="113" spans="1:13" ht="72" x14ac:dyDescent="0.25">
      <c r="A113" s="7" t="s">
        <v>6848</v>
      </c>
      <c r="B113" s="2" t="s">
        <v>453</v>
      </c>
      <c r="C113" s="4">
        <v>1</v>
      </c>
      <c r="D113" s="5">
        <v>7.5</v>
      </c>
      <c r="E113" s="5">
        <v>16.989999999999998</v>
      </c>
      <c r="F113" s="4" t="s">
        <v>454</v>
      </c>
      <c r="G113" s="2" t="s">
        <v>455</v>
      </c>
      <c r="H113" s="7" t="s">
        <v>228</v>
      </c>
      <c r="I113" s="2" t="s">
        <v>30</v>
      </c>
      <c r="J113" s="2" t="s">
        <v>446</v>
      </c>
      <c r="K113" s="2" t="s">
        <v>304</v>
      </c>
      <c r="L113" s="2" t="s">
        <v>456</v>
      </c>
      <c r="M113" s="8" t="str">
        <f>HYPERLINK("http://slimages.macys.com/is/image/MCY/9439568 ")</f>
        <v xml:space="preserve">http://slimages.macys.com/is/image/MCY/9439568 </v>
      </c>
    </row>
    <row r="114" spans="1:13" ht="60" x14ac:dyDescent="0.25">
      <c r="A114" s="7" t="s">
        <v>457</v>
      </c>
      <c r="B114" s="2" t="s">
        <v>458</v>
      </c>
      <c r="C114" s="4">
        <v>1</v>
      </c>
      <c r="D114" s="5">
        <v>7.5</v>
      </c>
      <c r="E114" s="5">
        <v>16.989999999999998</v>
      </c>
      <c r="F114" s="4" t="s">
        <v>459</v>
      </c>
      <c r="G114" s="2" t="s">
        <v>347</v>
      </c>
      <c r="H114" s="7" t="s">
        <v>159</v>
      </c>
      <c r="I114" s="2" t="s">
        <v>30</v>
      </c>
      <c r="J114" s="2" t="s">
        <v>446</v>
      </c>
      <c r="K114" s="2" t="s">
        <v>304</v>
      </c>
      <c r="L114" s="2" t="s">
        <v>460</v>
      </c>
      <c r="M114" s="8" t="str">
        <f>HYPERLINK("http://slimages.macys.com/is/image/MCY/12071760 ")</f>
        <v xml:space="preserve">http://slimages.macys.com/is/image/MCY/12071760 </v>
      </c>
    </row>
    <row r="115" spans="1:13" ht="72" x14ac:dyDescent="0.25">
      <c r="A115" s="7" t="s">
        <v>1730</v>
      </c>
      <c r="B115" s="2" t="s">
        <v>1731</v>
      </c>
      <c r="C115" s="4">
        <v>1</v>
      </c>
      <c r="D115" s="5">
        <v>7.5</v>
      </c>
      <c r="E115" s="5">
        <v>16.989999999999998</v>
      </c>
      <c r="F115" s="4" t="s">
        <v>1732</v>
      </c>
      <c r="G115" s="2" t="s">
        <v>347</v>
      </c>
      <c r="H115" s="7" t="s">
        <v>228</v>
      </c>
      <c r="I115" s="2" t="s">
        <v>30</v>
      </c>
      <c r="J115" s="2" t="s">
        <v>446</v>
      </c>
      <c r="K115" s="2" t="s">
        <v>304</v>
      </c>
      <c r="L115" s="2" t="s">
        <v>1733</v>
      </c>
      <c r="M115" s="8" t="str">
        <f>HYPERLINK("http://slimages.macys.com/is/image/MCY/12071765 ")</f>
        <v xml:space="preserve">http://slimages.macys.com/is/image/MCY/12071765 </v>
      </c>
    </row>
    <row r="116" spans="1:13" ht="72" x14ac:dyDescent="0.25">
      <c r="A116" s="7" t="s">
        <v>6849</v>
      </c>
      <c r="B116" s="2" t="s">
        <v>6842</v>
      </c>
      <c r="C116" s="4">
        <v>1</v>
      </c>
      <c r="D116" s="5">
        <v>7.5</v>
      </c>
      <c r="E116" s="5">
        <v>16.989999999999998</v>
      </c>
      <c r="F116" s="4" t="s">
        <v>6843</v>
      </c>
      <c r="G116" s="2" t="s">
        <v>657</v>
      </c>
      <c r="H116" s="7" t="s">
        <v>228</v>
      </c>
      <c r="I116" s="2" t="s">
        <v>30</v>
      </c>
      <c r="J116" s="2" t="s">
        <v>446</v>
      </c>
      <c r="K116" s="2" t="s">
        <v>304</v>
      </c>
      <c r="L116" s="2" t="s">
        <v>4095</v>
      </c>
      <c r="M116" s="8" t="str">
        <f>HYPERLINK("http://slimages.macys.com/is/image/MCY/12071766 ")</f>
        <v xml:space="preserve">http://slimages.macys.com/is/image/MCY/12071766 </v>
      </c>
    </row>
    <row r="117" spans="1:13" ht="72" x14ac:dyDescent="0.25">
      <c r="A117" s="7" t="s">
        <v>6850</v>
      </c>
      <c r="B117" s="2" t="s">
        <v>453</v>
      </c>
      <c r="C117" s="4">
        <v>1</v>
      </c>
      <c r="D117" s="5">
        <v>7.5</v>
      </c>
      <c r="E117" s="5">
        <v>16.989999999999998</v>
      </c>
      <c r="F117" s="4" t="s">
        <v>454</v>
      </c>
      <c r="G117" s="2" t="s">
        <v>455</v>
      </c>
      <c r="H117" s="7" t="s">
        <v>159</v>
      </c>
      <c r="I117" s="2" t="s">
        <v>30</v>
      </c>
      <c r="J117" s="2" t="s">
        <v>446</v>
      </c>
      <c r="K117" s="2" t="s">
        <v>304</v>
      </c>
      <c r="L117" s="2" t="s">
        <v>456</v>
      </c>
      <c r="M117" s="8" t="str">
        <f>HYPERLINK("http://slimages.macys.com/is/image/MCY/9439568 ")</f>
        <v xml:space="preserve">http://slimages.macys.com/is/image/MCY/9439568 </v>
      </c>
    </row>
    <row r="118" spans="1:13" ht="72" x14ac:dyDescent="0.25">
      <c r="A118" s="7" t="s">
        <v>6851</v>
      </c>
      <c r="B118" s="2" t="s">
        <v>1731</v>
      </c>
      <c r="C118" s="4">
        <v>2</v>
      </c>
      <c r="D118" s="5">
        <v>7.5</v>
      </c>
      <c r="E118" s="5">
        <v>16.989999999999998</v>
      </c>
      <c r="F118" s="4" t="s">
        <v>1732</v>
      </c>
      <c r="G118" s="2" t="s">
        <v>347</v>
      </c>
      <c r="H118" s="7" t="s">
        <v>217</v>
      </c>
      <c r="I118" s="2" t="s">
        <v>30</v>
      </c>
      <c r="J118" s="2" t="s">
        <v>446</v>
      </c>
      <c r="K118" s="2" t="s">
        <v>304</v>
      </c>
      <c r="L118" s="2" t="s">
        <v>1733</v>
      </c>
      <c r="M118" s="8" t="str">
        <f>HYPERLINK("http://slimages.macys.com/is/image/MCY/12071765 ")</f>
        <v xml:space="preserve">http://slimages.macys.com/is/image/MCY/12071765 </v>
      </c>
    </row>
    <row r="119" spans="1:13" ht="84" x14ac:dyDescent="0.25">
      <c r="A119" s="7" t="s">
        <v>6852</v>
      </c>
      <c r="B119" s="2" t="s">
        <v>3314</v>
      </c>
      <c r="C119" s="4">
        <v>3</v>
      </c>
      <c r="D119" s="5">
        <v>7.5</v>
      </c>
      <c r="E119" s="5">
        <v>16.989999999999998</v>
      </c>
      <c r="F119" s="4" t="s">
        <v>3315</v>
      </c>
      <c r="G119" s="2" t="s">
        <v>455</v>
      </c>
      <c r="H119" s="7" t="s">
        <v>228</v>
      </c>
      <c r="I119" s="2" t="s">
        <v>30</v>
      </c>
      <c r="J119" s="2" t="s">
        <v>446</v>
      </c>
      <c r="K119" s="2" t="s">
        <v>304</v>
      </c>
      <c r="L119" s="2" t="s">
        <v>3316</v>
      </c>
      <c r="M119" s="8" t="str">
        <f>HYPERLINK("http://slimages.macys.com/is/image/MCY/10031506 ")</f>
        <v xml:space="preserve">http://slimages.macys.com/is/image/MCY/10031506 </v>
      </c>
    </row>
    <row r="120" spans="1:13" ht="60" x14ac:dyDescent="0.25">
      <c r="A120" s="7" t="s">
        <v>6853</v>
      </c>
      <c r="B120" s="2" t="s">
        <v>4012</v>
      </c>
      <c r="C120" s="4">
        <v>1</v>
      </c>
      <c r="D120" s="5">
        <v>7.4</v>
      </c>
      <c r="E120" s="5">
        <v>18.5</v>
      </c>
      <c r="F120" s="4" t="s">
        <v>4013</v>
      </c>
      <c r="G120" s="2"/>
      <c r="H120" s="7" t="s">
        <v>311</v>
      </c>
      <c r="I120" s="2" t="s">
        <v>690</v>
      </c>
      <c r="J120" s="2" t="s">
        <v>58</v>
      </c>
      <c r="K120" s="2" t="s">
        <v>304</v>
      </c>
      <c r="L120" s="2" t="s">
        <v>119</v>
      </c>
      <c r="M120" s="8" t="str">
        <f>HYPERLINK("http://slimages.macys.com/is/image/MCY/13049158 ")</f>
        <v xml:space="preserve">http://slimages.macys.com/is/image/MCY/13049158 </v>
      </c>
    </row>
    <row r="121" spans="1:13" ht="72" x14ac:dyDescent="0.25">
      <c r="A121" s="7" t="s">
        <v>4016</v>
      </c>
      <c r="B121" s="2" t="s">
        <v>4017</v>
      </c>
      <c r="C121" s="4">
        <v>1</v>
      </c>
      <c r="D121" s="5">
        <v>7.29</v>
      </c>
      <c r="E121" s="5">
        <v>18</v>
      </c>
      <c r="F121" s="4" t="s">
        <v>4018</v>
      </c>
      <c r="G121" s="2" t="s">
        <v>4019</v>
      </c>
      <c r="H121" s="7" t="s">
        <v>789</v>
      </c>
      <c r="I121" s="2" t="s">
        <v>523</v>
      </c>
      <c r="J121" s="2" t="s">
        <v>1042</v>
      </c>
      <c r="K121" s="2" t="s">
        <v>304</v>
      </c>
      <c r="L121" s="2" t="s">
        <v>4020</v>
      </c>
      <c r="M121" s="8" t="str">
        <f>HYPERLINK("http://slimages.macys.com/is/image/MCY/10428877 ")</f>
        <v xml:space="preserve">http://slimages.macys.com/is/image/MCY/10428877 </v>
      </c>
    </row>
    <row r="122" spans="1:13" ht="60" x14ac:dyDescent="0.25">
      <c r="A122" s="7" t="s">
        <v>6854</v>
      </c>
      <c r="B122" s="2" t="s">
        <v>6855</v>
      </c>
      <c r="C122" s="4">
        <v>1</v>
      </c>
      <c r="D122" s="5">
        <v>7.25</v>
      </c>
      <c r="E122" s="5">
        <v>16.989999999999998</v>
      </c>
      <c r="F122" s="4" t="s">
        <v>6856</v>
      </c>
      <c r="G122" s="2" t="s">
        <v>28</v>
      </c>
      <c r="H122" s="7" t="s">
        <v>196</v>
      </c>
      <c r="I122" s="2" t="s">
        <v>173</v>
      </c>
      <c r="J122" s="2" t="s">
        <v>174</v>
      </c>
      <c r="K122" s="2" t="s">
        <v>304</v>
      </c>
      <c r="L122" s="2" t="s">
        <v>206</v>
      </c>
      <c r="M122" s="8" t="str">
        <f>HYPERLINK("http://slimages.macys.com/is/image/MCY/9944385 ")</f>
        <v xml:space="preserve">http://slimages.macys.com/is/image/MCY/9944385 </v>
      </c>
    </row>
    <row r="123" spans="1:13" ht="60" x14ac:dyDescent="0.25">
      <c r="A123" s="7" t="s">
        <v>945</v>
      </c>
      <c r="B123" s="2" t="s">
        <v>935</v>
      </c>
      <c r="C123" s="4">
        <v>1</v>
      </c>
      <c r="D123" s="5">
        <v>7.2</v>
      </c>
      <c r="E123" s="5">
        <v>18</v>
      </c>
      <c r="F123" s="4" t="s">
        <v>940</v>
      </c>
      <c r="G123" s="2" t="s">
        <v>62</v>
      </c>
      <c r="H123" s="7"/>
      <c r="I123" s="2" t="s">
        <v>523</v>
      </c>
      <c r="J123" s="2" t="s">
        <v>937</v>
      </c>
      <c r="K123" s="2" t="s">
        <v>304</v>
      </c>
      <c r="L123" s="2" t="s">
        <v>263</v>
      </c>
      <c r="M123" s="8" t="str">
        <f>HYPERLINK("http://slimages.macys.com/is/image/MCY/9628127 ")</f>
        <v xml:space="preserve">http://slimages.macys.com/is/image/MCY/9628127 </v>
      </c>
    </row>
    <row r="124" spans="1:13" ht="72" x14ac:dyDescent="0.25">
      <c r="A124" s="7" t="s">
        <v>946</v>
      </c>
      <c r="B124" s="2" t="s">
        <v>935</v>
      </c>
      <c r="C124" s="4">
        <v>1</v>
      </c>
      <c r="D124" s="5">
        <v>7.2</v>
      </c>
      <c r="E124" s="5">
        <v>18</v>
      </c>
      <c r="F124" s="4" t="s">
        <v>936</v>
      </c>
      <c r="G124" s="2" t="s">
        <v>62</v>
      </c>
      <c r="H124" s="7"/>
      <c r="I124" s="2" t="s">
        <v>523</v>
      </c>
      <c r="J124" s="2" t="s">
        <v>937</v>
      </c>
      <c r="K124" s="2" t="s">
        <v>304</v>
      </c>
      <c r="L124" s="2" t="s">
        <v>938</v>
      </c>
      <c r="M124" s="8" t="str">
        <f>HYPERLINK("http://slimages.macys.com/is/image/MCY/9628134 ")</f>
        <v xml:space="preserve">http://slimages.macys.com/is/image/MCY/9628134 </v>
      </c>
    </row>
    <row r="125" spans="1:13" ht="108" x14ac:dyDescent="0.25">
      <c r="A125" s="7" t="s">
        <v>6857</v>
      </c>
      <c r="B125" s="2" t="s">
        <v>6858</v>
      </c>
      <c r="C125" s="4">
        <v>1</v>
      </c>
      <c r="D125" s="5">
        <v>7.17</v>
      </c>
      <c r="E125" s="5">
        <v>16.989999999999998</v>
      </c>
      <c r="F125" s="4" t="s">
        <v>6859</v>
      </c>
      <c r="G125" s="2" t="s">
        <v>437</v>
      </c>
      <c r="H125" s="7" t="s">
        <v>442</v>
      </c>
      <c r="I125" s="2" t="s">
        <v>483</v>
      </c>
      <c r="J125" s="2" t="s">
        <v>536</v>
      </c>
      <c r="K125" s="2" t="s">
        <v>304</v>
      </c>
      <c r="L125" s="2" t="s">
        <v>6860</v>
      </c>
      <c r="M125" s="8" t="str">
        <f>HYPERLINK("http://slimages.macys.com/is/image/MCY/11709605 ")</f>
        <v xml:space="preserve">http://slimages.macys.com/is/image/MCY/11709605 </v>
      </c>
    </row>
    <row r="126" spans="1:13" ht="60" x14ac:dyDescent="0.25">
      <c r="A126" s="7" t="s">
        <v>6861</v>
      </c>
      <c r="B126" s="2" t="s">
        <v>6862</v>
      </c>
      <c r="C126" s="4">
        <v>1</v>
      </c>
      <c r="D126" s="5">
        <v>7.05</v>
      </c>
      <c r="E126" s="5">
        <v>16.04</v>
      </c>
      <c r="F126" s="4">
        <v>17879810</v>
      </c>
      <c r="G126" s="2"/>
      <c r="H126" s="7" t="s">
        <v>233</v>
      </c>
      <c r="I126" s="2" t="s">
        <v>153</v>
      </c>
      <c r="J126" s="2" t="s">
        <v>154</v>
      </c>
      <c r="K126" s="2" t="s">
        <v>304</v>
      </c>
      <c r="L126" s="2" t="s">
        <v>38</v>
      </c>
      <c r="M126" s="8" t="str">
        <f>HYPERLINK("http://slimages.macys.com/is/image/MCY/13727650 ")</f>
        <v xml:space="preserve">http://slimages.macys.com/is/image/MCY/13727650 </v>
      </c>
    </row>
    <row r="127" spans="1:13" ht="60" x14ac:dyDescent="0.25">
      <c r="A127" s="7" t="s">
        <v>4060</v>
      </c>
      <c r="B127" s="2" t="s">
        <v>4061</v>
      </c>
      <c r="C127" s="4">
        <v>1</v>
      </c>
      <c r="D127" s="5">
        <v>6.93</v>
      </c>
      <c r="E127" s="5">
        <v>19.5</v>
      </c>
      <c r="F127" s="4" t="s">
        <v>2583</v>
      </c>
      <c r="G127" s="2" t="s">
        <v>814</v>
      </c>
      <c r="H127" s="7"/>
      <c r="I127" s="2" t="s">
        <v>57</v>
      </c>
      <c r="J127" s="2" t="s">
        <v>58</v>
      </c>
      <c r="K127" s="2" t="s">
        <v>304</v>
      </c>
      <c r="L127" s="2" t="s">
        <v>87</v>
      </c>
      <c r="M127" s="8" t="str">
        <f>HYPERLINK("http://slimages.macys.com/is/image/MCY/8619272 ")</f>
        <v xml:space="preserve">http://slimages.macys.com/is/image/MCY/8619272 </v>
      </c>
    </row>
    <row r="128" spans="1:13" ht="60" x14ac:dyDescent="0.25">
      <c r="A128" s="7" t="s">
        <v>6863</v>
      </c>
      <c r="B128" s="2" t="s">
        <v>3325</v>
      </c>
      <c r="C128" s="4">
        <v>1</v>
      </c>
      <c r="D128" s="5">
        <v>6.9</v>
      </c>
      <c r="E128" s="5">
        <v>16.989999999999998</v>
      </c>
      <c r="F128" s="4" t="s">
        <v>3326</v>
      </c>
      <c r="G128" s="2" t="s">
        <v>86</v>
      </c>
      <c r="H128" s="7" t="s">
        <v>166</v>
      </c>
      <c r="I128" s="2" t="s">
        <v>292</v>
      </c>
      <c r="J128" s="2" t="s">
        <v>354</v>
      </c>
      <c r="K128" s="2" t="s">
        <v>304</v>
      </c>
      <c r="L128" s="2" t="s">
        <v>596</v>
      </c>
      <c r="M128" s="8" t="str">
        <f>HYPERLINK("http://slimages.macys.com/is/image/MCY/13893132 ")</f>
        <v xml:space="preserve">http://slimages.macys.com/is/image/MCY/13893132 </v>
      </c>
    </row>
    <row r="129" spans="1:13" ht="60" x14ac:dyDescent="0.25">
      <c r="A129" s="7" t="s">
        <v>1770</v>
      </c>
      <c r="B129" s="2" t="s">
        <v>1768</v>
      </c>
      <c r="C129" s="4">
        <v>2</v>
      </c>
      <c r="D129" s="5">
        <v>6.85</v>
      </c>
      <c r="E129" s="5">
        <v>18</v>
      </c>
      <c r="F129" s="4" t="s">
        <v>1769</v>
      </c>
      <c r="G129" s="2" t="s">
        <v>48</v>
      </c>
      <c r="H129" s="7" t="s">
        <v>228</v>
      </c>
      <c r="I129" s="2" t="s">
        <v>468</v>
      </c>
      <c r="J129" s="2" t="s">
        <v>469</v>
      </c>
      <c r="K129" s="2" t="s">
        <v>304</v>
      </c>
      <c r="L129" s="2" t="s">
        <v>100</v>
      </c>
      <c r="M129" s="8" t="str">
        <f>HYPERLINK("http://slimages.macys.com/is/image/MCY/12809150 ")</f>
        <v xml:space="preserve">http://slimages.macys.com/is/image/MCY/12809150 </v>
      </c>
    </row>
    <row r="130" spans="1:13" ht="60" x14ac:dyDescent="0.25">
      <c r="A130" s="7" t="s">
        <v>5927</v>
      </c>
      <c r="B130" s="2" t="s">
        <v>1768</v>
      </c>
      <c r="C130" s="4">
        <v>1</v>
      </c>
      <c r="D130" s="5">
        <v>6.85</v>
      </c>
      <c r="E130" s="5">
        <v>18</v>
      </c>
      <c r="F130" s="4" t="s">
        <v>1769</v>
      </c>
      <c r="G130" s="2" t="s">
        <v>48</v>
      </c>
      <c r="H130" s="7" t="s">
        <v>284</v>
      </c>
      <c r="I130" s="2" t="s">
        <v>468</v>
      </c>
      <c r="J130" s="2" t="s">
        <v>469</v>
      </c>
      <c r="K130" s="2" t="s">
        <v>304</v>
      </c>
      <c r="L130" s="2" t="s">
        <v>100</v>
      </c>
      <c r="M130" s="8" t="str">
        <f>HYPERLINK("http://slimages.macys.com/is/image/MCY/12809150 ")</f>
        <v xml:space="preserve">http://slimages.macys.com/is/image/MCY/12809150 </v>
      </c>
    </row>
    <row r="131" spans="1:13" ht="60" x14ac:dyDescent="0.25">
      <c r="A131" s="7" t="s">
        <v>5407</v>
      </c>
      <c r="B131" s="2" t="s">
        <v>1768</v>
      </c>
      <c r="C131" s="4">
        <v>1</v>
      </c>
      <c r="D131" s="5">
        <v>6.85</v>
      </c>
      <c r="E131" s="5">
        <v>18</v>
      </c>
      <c r="F131" s="4" t="s">
        <v>1769</v>
      </c>
      <c r="G131" s="2" t="s">
        <v>48</v>
      </c>
      <c r="H131" s="7" t="s">
        <v>159</v>
      </c>
      <c r="I131" s="2" t="s">
        <v>468</v>
      </c>
      <c r="J131" s="2" t="s">
        <v>469</v>
      </c>
      <c r="K131" s="2" t="s">
        <v>304</v>
      </c>
      <c r="L131" s="2" t="s">
        <v>100</v>
      </c>
      <c r="M131" s="8" t="str">
        <f>HYPERLINK("http://slimages.macys.com/is/image/MCY/12809150 ")</f>
        <v xml:space="preserve">http://slimages.macys.com/is/image/MCY/12809150 </v>
      </c>
    </row>
    <row r="132" spans="1:13" ht="60" x14ac:dyDescent="0.25">
      <c r="A132" s="7" t="s">
        <v>6864</v>
      </c>
      <c r="B132" s="2" t="s">
        <v>1768</v>
      </c>
      <c r="C132" s="4">
        <v>1</v>
      </c>
      <c r="D132" s="5">
        <v>6.85</v>
      </c>
      <c r="E132" s="5">
        <v>18</v>
      </c>
      <c r="F132" s="4" t="s">
        <v>1769</v>
      </c>
      <c r="G132" s="2" t="s">
        <v>62</v>
      </c>
      <c r="H132" s="7" t="s">
        <v>228</v>
      </c>
      <c r="I132" s="2" t="s">
        <v>468</v>
      </c>
      <c r="J132" s="2" t="s">
        <v>469</v>
      </c>
      <c r="K132" s="2" t="s">
        <v>304</v>
      </c>
      <c r="L132" s="2" t="s">
        <v>100</v>
      </c>
      <c r="M132" s="8" t="str">
        <f>HYPERLINK("http://slimages.macys.com/is/image/MCY/12809150 ")</f>
        <v xml:space="preserve">http://slimages.macys.com/is/image/MCY/12809150 </v>
      </c>
    </row>
    <row r="133" spans="1:13" ht="60" x14ac:dyDescent="0.25">
      <c r="A133" s="7" t="s">
        <v>6865</v>
      </c>
      <c r="B133" s="2" t="s">
        <v>1765</v>
      </c>
      <c r="C133" s="4">
        <v>1</v>
      </c>
      <c r="D133" s="5">
        <v>6.85</v>
      </c>
      <c r="E133" s="5">
        <v>18</v>
      </c>
      <c r="F133" s="4" t="s">
        <v>1766</v>
      </c>
      <c r="G133" s="2" t="s">
        <v>62</v>
      </c>
      <c r="H133" s="7" t="s">
        <v>217</v>
      </c>
      <c r="I133" s="2" t="s">
        <v>468</v>
      </c>
      <c r="J133" s="2" t="s">
        <v>469</v>
      </c>
      <c r="K133" s="2" t="s">
        <v>304</v>
      </c>
      <c r="L133" s="2" t="s">
        <v>119</v>
      </c>
      <c r="M133" s="8" t="str">
        <f>HYPERLINK("http://slimages.macys.com/is/image/MCY/11958538 ")</f>
        <v xml:space="preserve">http://slimages.macys.com/is/image/MCY/11958538 </v>
      </c>
    </row>
    <row r="134" spans="1:13" ht="60" x14ac:dyDescent="0.25">
      <c r="A134" s="7" t="s">
        <v>1767</v>
      </c>
      <c r="B134" s="2" t="s">
        <v>1768</v>
      </c>
      <c r="C134" s="4">
        <v>2</v>
      </c>
      <c r="D134" s="5">
        <v>6.85</v>
      </c>
      <c r="E134" s="5">
        <v>18</v>
      </c>
      <c r="F134" s="4" t="s">
        <v>1769</v>
      </c>
      <c r="G134" s="2" t="s">
        <v>48</v>
      </c>
      <c r="H134" s="7" t="s">
        <v>217</v>
      </c>
      <c r="I134" s="2" t="s">
        <v>468</v>
      </c>
      <c r="J134" s="2" t="s">
        <v>469</v>
      </c>
      <c r="K134" s="2" t="s">
        <v>304</v>
      </c>
      <c r="L134" s="2" t="s">
        <v>100</v>
      </c>
      <c r="M134" s="8" t="str">
        <f>HYPERLINK("http://slimages.macys.com/is/image/MCY/12809150 ")</f>
        <v xml:space="preserve">http://slimages.macys.com/is/image/MCY/12809150 </v>
      </c>
    </row>
    <row r="135" spans="1:13" ht="60" x14ac:dyDescent="0.25">
      <c r="A135" s="7" t="s">
        <v>1779</v>
      </c>
      <c r="B135" s="2" t="s">
        <v>1776</v>
      </c>
      <c r="C135" s="4">
        <v>1</v>
      </c>
      <c r="D135" s="5">
        <v>6.84</v>
      </c>
      <c r="E135" s="5">
        <v>19.989999999999998</v>
      </c>
      <c r="F135" s="4" t="s">
        <v>1777</v>
      </c>
      <c r="G135" s="2" t="s">
        <v>388</v>
      </c>
      <c r="H135" s="7" t="s">
        <v>311</v>
      </c>
      <c r="I135" s="2" t="s">
        <v>1689</v>
      </c>
      <c r="J135" s="2" t="s">
        <v>354</v>
      </c>
      <c r="K135" s="2" t="s">
        <v>304</v>
      </c>
      <c r="L135" s="2" t="s">
        <v>390</v>
      </c>
      <c r="M135" s="8" t="str">
        <f>HYPERLINK("http://slimages.macys.com/is/image/MCY/12890114 ")</f>
        <v xml:space="preserve">http://slimages.macys.com/is/image/MCY/12890114 </v>
      </c>
    </row>
    <row r="136" spans="1:13" ht="60" x14ac:dyDescent="0.25">
      <c r="A136" s="7" t="s">
        <v>6287</v>
      </c>
      <c r="B136" s="2" t="s">
        <v>1776</v>
      </c>
      <c r="C136" s="4">
        <v>1</v>
      </c>
      <c r="D136" s="5">
        <v>6.84</v>
      </c>
      <c r="E136" s="5">
        <v>19.989999999999998</v>
      </c>
      <c r="F136" s="4" t="s">
        <v>1777</v>
      </c>
      <c r="G136" s="2" t="s">
        <v>388</v>
      </c>
      <c r="H136" s="7" t="s">
        <v>578</v>
      </c>
      <c r="I136" s="2" t="s">
        <v>1689</v>
      </c>
      <c r="J136" s="2" t="s">
        <v>354</v>
      </c>
      <c r="K136" s="2" t="s">
        <v>304</v>
      </c>
      <c r="L136" s="2" t="s">
        <v>390</v>
      </c>
      <c r="M136" s="8" t="str">
        <f>HYPERLINK("http://slimages.macys.com/is/image/MCY/12890114 ")</f>
        <v xml:space="preserve">http://slimages.macys.com/is/image/MCY/12890114 </v>
      </c>
    </row>
    <row r="137" spans="1:13" ht="60" x14ac:dyDescent="0.25">
      <c r="A137" s="7" t="s">
        <v>1780</v>
      </c>
      <c r="B137" s="2" t="s">
        <v>1776</v>
      </c>
      <c r="C137" s="4">
        <v>2</v>
      </c>
      <c r="D137" s="5">
        <v>6.84</v>
      </c>
      <c r="E137" s="5">
        <v>19.989999999999998</v>
      </c>
      <c r="F137" s="4" t="s">
        <v>1777</v>
      </c>
      <c r="G137" s="2" t="s">
        <v>388</v>
      </c>
      <c r="H137" s="7" t="s">
        <v>123</v>
      </c>
      <c r="I137" s="2" t="s">
        <v>1689</v>
      </c>
      <c r="J137" s="2" t="s">
        <v>354</v>
      </c>
      <c r="K137" s="2" t="s">
        <v>304</v>
      </c>
      <c r="L137" s="2" t="s">
        <v>390</v>
      </c>
      <c r="M137" s="8" t="str">
        <f>HYPERLINK("http://slimages.macys.com/is/image/MCY/12890114 ")</f>
        <v xml:space="preserve">http://slimages.macys.com/is/image/MCY/12890114 </v>
      </c>
    </row>
    <row r="138" spans="1:13" ht="60" x14ac:dyDescent="0.25">
      <c r="A138" s="7" t="s">
        <v>6290</v>
      </c>
      <c r="B138" s="2" t="s">
        <v>2589</v>
      </c>
      <c r="C138" s="4">
        <v>1</v>
      </c>
      <c r="D138" s="5">
        <v>6.81</v>
      </c>
      <c r="E138" s="5">
        <v>16.989999999999998</v>
      </c>
      <c r="F138" s="4" t="s">
        <v>2590</v>
      </c>
      <c r="G138" s="2" t="s">
        <v>353</v>
      </c>
      <c r="H138" s="7" t="s">
        <v>228</v>
      </c>
      <c r="I138" s="2" t="s">
        <v>515</v>
      </c>
      <c r="J138" s="2" t="s">
        <v>827</v>
      </c>
      <c r="K138" s="2" t="s">
        <v>304</v>
      </c>
      <c r="L138" s="2" t="s">
        <v>358</v>
      </c>
      <c r="M138" s="8" t="str">
        <f>HYPERLINK("http://slimages.macys.com/is/image/MCY/12507563 ")</f>
        <v xml:space="preserve">http://slimages.macys.com/is/image/MCY/12507563 </v>
      </c>
    </row>
    <row r="139" spans="1:13" ht="132" x14ac:dyDescent="0.25">
      <c r="A139" s="7" t="s">
        <v>1939</v>
      </c>
      <c r="B139" s="2" t="s">
        <v>1782</v>
      </c>
      <c r="C139" s="4">
        <v>1</v>
      </c>
      <c r="D139" s="5">
        <v>6.8</v>
      </c>
      <c r="E139" s="5">
        <v>14.99</v>
      </c>
      <c r="F139" s="4" t="s">
        <v>1783</v>
      </c>
      <c r="G139" s="2" t="s">
        <v>353</v>
      </c>
      <c r="H139" s="7" t="s">
        <v>196</v>
      </c>
      <c r="I139" s="2" t="s">
        <v>515</v>
      </c>
      <c r="J139" s="2" t="s">
        <v>827</v>
      </c>
      <c r="K139" s="2" t="s">
        <v>304</v>
      </c>
      <c r="L139" s="2" t="s">
        <v>1784</v>
      </c>
      <c r="M139" s="8" t="str">
        <f>HYPERLINK("http://slimages.macys.com/is/image/MCY/13119046 ")</f>
        <v xml:space="preserve">http://slimages.macys.com/is/image/MCY/13119046 </v>
      </c>
    </row>
    <row r="140" spans="1:13" ht="60" x14ac:dyDescent="0.25">
      <c r="A140" s="7" t="s">
        <v>995</v>
      </c>
      <c r="B140" s="2" t="s">
        <v>996</v>
      </c>
      <c r="C140" s="4">
        <v>1</v>
      </c>
      <c r="D140" s="5">
        <v>6.78</v>
      </c>
      <c r="E140" s="5">
        <v>14.99</v>
      </c>
      <c r="F140" s="4" t="s">
        <v>997</v>
      </c>
      <c r="G140" s="2" t="s">
        <v>48</v>
      </c>
      <c r="H140" s="7" t="s">
        <v>311</v>
      </c>
      <c r="I140" s="2" t="s">
        <v>515</v>
      </c>
      <c r="J140" s="2" t="s">
        <v>516</v>
      </c>
      <c r="K140" s="2" t="s">
        <v>304</v>
      </c>
      <c r="L140" s="2" t="s">
        <v>358</v>
      </c>
      <c r="M140" s="8" t="str">
        <f>HYPERLINK("http://slimages.macys.com/is/image/MCY/12953242 ")</f>
        <v xml:space="preserve">http://slimages.macys.com/is/image/MCY/12953242 </v>
      </c>
    </row>
    <row r="141" spans="1:13" ht="72" x14ac:dyDescent="0.25">
      <c r="A141" s="7" t="s">
        <v>4091</v>
      </c>
      <c r="B141" s="2" t="s">
        <v>4092</v>
      </c>
      <c r="C141" s="4">
        <v>1</v>
      </c>
      <c r="D141" s="5">
        <v>6.75</v>
      </c>
      <c r="E141" s="5">
        <v>14.99</v>
      </c>
      <c r="F141" s="4" t="s">
        <v>4093</v>
      </c>
      <c r="G141" s="2" t="s">
        <v>657</v>
      </c>
      <c r="H141" s="7" t="s">
        <v>217</v>
      </c>
      <c r="I141" s="2" t="s">
        <v>257</v>
      </c>
      <c r="J141" s="2" t="s">
        <v>4094</v>
      </c>
      <c r="K141" s="2" t="s">
        <v>304</v>
      </c>
      <c r="L141" s="2" t="s">
        <v>4095</v>
      </c>
      <c r="M141" s="8" t="str">
        <f>HYPERLINK("http://slimages.macys.com/is/image/MCY/12080168 ")</f>
        <v xml:space="preserve">http://slimages.macys.com/is/image/MCY/12080168 </v>
      </c>
    </row>
    <row r="142" spans="1:13" ht="84" x14ac:dyDescent="0.25">
      <c r="A142" s="7" t="s">
        <v>473</v>
      </c>
      <c r="B142" s="2" t="s">
        <v>474</v>
      </c>
      <c r="C142" s="4">
        <v>6</v>
      </c>
      <c r="D142" s="5">
        <v>6.75</v>
      </c>
      <c r="E142" s="5">
        <v>16.989999999999998</v>
      </c>
      <c r="F142" s="4" t="s">
        <v>475</v>
      </c>
      <c r="G142" s="2" t="s">
        <v>476</v>
      </c>
      <c r="H142" s="7" t="s">
        <v>209</v>
      </c>
      <c r="I142" s="2" t="s">
        <v>321</v>
      </c>
      <c r="J142" s="2" t="s">
        <v>477</v>
      </c>
      <c r="K142" s="2" t="s">
        <v>304</v>
      </c>
      <c r="L142" s="2" t="s">
        <v>478</v>
      </c>
      <c r="M142" s="8" t="str">
        <f>HYPERLINK("http://slimages.macys.com/is/image/MCY/13860353 ")</f>
        <v xml:space="preserve">http://slimages.macys.com/is/image/MCY/13860353 </v>
      </c>
    </row>
    <row r="143" spans="1:13" ht="72" x14ac:dyDescent="0.25">
      <c r="A143" s="7" t="s">
        <v>6866</v>
      </c>
      <c r="B143" s="2" t="s">
        <v>4092</v>
      </c>
      <c r="C143" s="4">
        <v>1</v>
      </c>
      <c r="D143" s="5">
        <v>6.75</v>
      </c>
      <c r="E143" s="5">
        <v>14.99</v>
      </c>
      <c r="F143" s="4" t="s">
        <v>4093</v>
      </c>
      <c r="G143" s="2" t="s">
        <v>657</v>
      </c>
      <c r="H143" s="7" t="s">
        <v>228</v>
      </c>
      <c r="I143" s="2" t="s">
        <v>257</v>
      </c>
      <c r="J143" s="2" t="s">
        <v>4094</v>
      </c>
      <c r="K143" s="2" t="s">
        <v>304</v>
      </c>
      <c r="L143" s="2" t="s">
        <v>4095</v>
      </c>
      <c r="M143" s="8" t="str">
        <f>HYPERLINK("http://slimages.macys.com/is/image/MCY/12080168 ")</f>
        <v xml:space="preserve">http://slimages.macys.com/is/image/MCY/12080168 </v>
      </c>
    </row>
    <row r="144" spans="1:13" ht="60" x14ac:dyDescent="0.25">
      <c r="A144" s="7" t="s">
        <v>6867</v>
      </c>
      <c r="B144" s="2" t="s">
        <v>6868</v>
      </c>
      <c r="C144" s="4">
        <v>4</v>
      </c>
      <c r="D144" s="5">
        <v>6.75</v>
      </c>
      <c r="E144" s="5">
        <v>14.99</v>
      </c>
      <c r="F144" s="4" t="s">
        <v>6869</v>
      </c>
      <c r="G144" s="2" t="s">
        <v>657</v>
      </c>
      <c r="H144" s="7" t="s">
        <v>228</v>
      </c>
      <c r="I144" s="2" t="s">
        <v>257</v>
      </c>
      <c r="J144" s="2" t="s">
        <v>4094</v>
      </c>
      <c r="K144" s="2" t="s">
        <v>304</v>
      </c>
      <c r="L144" s="2" t="s">
        <v>460</v>
      </c>
      <c r="M144" s="8" t="str">
        <f>HYPERLINK("http://slimages.macys.com/is/image/MCY/11959839 ")</f>
        <v xml:space="preserve">http://slimages.macys.com/is/image/MCY/11959839 </v>
      </c>
    </row>
    <row r="145" spans="1:13" ht="60" x14ac:dyDescent="0.25">
      <c r="A145" s="7" t="s">
        <v>6870</v>
      </c>
      <c r="B145" s="2" t="s">
        <v>6868</v>
      </c>
      <c r="C145" s="4">
        <v>3</v>
      </c>
      <c r="D145" s="5">
        <v>6.75</v>
      </c>
      <c r="E145" s="5">
        <v>14.99</v>
      </c>
      <c r="F145" s="4" t="s">
        <v>6869</v>
      </c>
      <c r="G145" s="2" t="s">
        <v>657</v>
      </c>
      <c r="H145" s="7" t="s">
        <v>217</v>
      </c>
      <c r="I145" s="2" t="s">
        <v>257</v>
      </c>
      <c r="J145" s="2" t="s">
        <v>4094</v>
      </c>
      <c r="K145" s="2" t="s">
        <v>304</v>
      </c>
      <c r="L145" s="2" t="s">
        <v>460</v>
      </c>
      <c r="M145" s="8" t="str">
        <f>HYPERLINK("http://slimages.macys.com/is/image/MCY/11959839 ")</f>
        <v xml:space="preserve">http://slimages.macys.com/is/image/MCY/11959839 </v>
      </c>
    </row>
    <row r="146" spans="1:13" ht="60" x14ac:dyDescent="0.25">
      <c r="A146" s="7" t="s">
        <v>6871</v>
      </c>
      <c r="B146" s="2" t="s">
        <v>6872</v>
      </c>
      <c r="C146" s="4">
        <v>1</v>
      </c>
      <c r="D146" s="5">
        <v>6.75</v>
      </c>
      <c r="E146" s="5">
        <v>21.99</v>
      </c>
      <c r="F146" s="4" t="s">
        <v>6873</v>
      </c>
      <c r="G146" s="2" t="s">
        <v>310</v>
      </c>
      <c r="H146" s="7" t="s">
        <v>144</v>
      </c>
      <c r="I146" s="2" t="s">
        <v>342</v>
      </c>
      <c r="J146" s="2" t="s">
        <v>362</v>
      </c>
      <c r="K146" s="2" t="s">
        <v>304</v>
      </c>
      <c r="L146" s="2" t="s">
        <v>3935</v>
      </c>
      <c r="M146" s="8" t="str">
        <f>HYPERLINK("http://slimages.macys.com/is/image/MCY/12227644 ")</f>
        <v xml:space="preserve">http://slimages.macys.com/is/image/MCY/12227644 </v>
      </c>
    </row>
    <row r="147" spans="1:13" ht="72" x14ac:dyDescent="0.25">
      <c r="A147" s="7" t="s">
        <v>6874</v>
      </c>
      <c r="B147" s="2" t="s">
        <v>4092</v>
      </c>
      <c r="C147" s="4">
        <v>1</v>
      </c>
      <c r="D147" s="5">
        <v>6.75</v>
      </c>
      <c r="E147" s="5">
        <v>14.99</v>
      </c>
      <c r="F147" s="4" t="s">
        <v>4093</v>
      </c>
      <c r="G147" s="2" t="s">
        <v>657</v>
      </c>
      <c r="H147" s="7" t="s">
        <v>159</v>
      </c>
      <c r="I147" s="2" t="s">
        <v>257</v>
      </c>
      <c r="J147" s="2" t="s">
        <v>4094</v>
      </c>
      <c r="K147" s="2" t="s">
        <v>304</v>
      </c>
      <c r="L147" s="2" t="s">
        <v>4095</v>
      </c>
      <c r="M147" s="8" t="str">
        <f>HYPERLINK("http://slimages.macys.com/is/image/MCY/12080168 ")</f>
        <v xml:space="preserve">http://slimages.macys.com/is/image/MCY/12080168 </v>
      </c>
    </row>
    <row r="148" spans="1:13" ht="84" x14ac:dyDescent="0.25">
      <c r="A148" s="7" t="s">
        <v>6875</v>
      </c>
      <c r="B148" s="2" t="s">
        <v>474</v>
      </c>
      <c r="C148" s="4">
        <v>1</v>
      </c>
      <c r="D148" s="5">
        <v>6.75</v>
      </c>
      <c r="E148" s="5">
        <v>16.989999999999998</v>
      </c>
      <c r="F148" s="4" t="s">
        <v>1798</v>
      </c>
      <c r="G148" s="2" t="s">
        <v>476</v>
      </c>
      <c r="H148" s="7"/>
      <c r="I148" s="2" t="s">
        <v>321</v>
      </c>
      <c r="J148" s="2" t="s">
        <v>477</v>
      </c>
      <c r="K148" s="2" t="s">
        <v>304</v>
      </c>
      <c r="L148" s="2" t="s">
        <v>1117</v>
      </c>
      <c r="M148" s="8" t="str">
        <f>HYPERLINK("http://slimages.macys.com/is/image/MCY/13860353 ")</f>
        <v xml:space="preserve">http://slimages.macys.com/is/image/MCY/13860353 </v>
      </c>
    </row>
    <row r="149" spans="1:13" ht="84" x14ac:dyDescent="0.25">
      <c r="A149" s="7" t="s">
        <v>1797</v>
      </c>
      <c r="B149" s="2" t="s">
        <v>474</v>
      </c>
      <c r="C149" s="4">
        <v>4</v>
      </c>
      <c r="D149" s="5">
        <v>6.75</v>
      </c>
      <c r="E149" s="5">
        <v>16.989999999999998</v>
      </c>
      <c r="F149" s="4" t="s">
        <v>1798</v>
      </c>
      <c r="G149" s="2" t="s">
        <v>476</v>
      </c>
      <c r="H149" s="7"/>
      <c r="I149" s="2" t="s">
        <v>321</v>
      </c>
      <c r="J149" s="2" t="s">
        <v>477</v>
      </c>
      <c r="K149" s="2" t="s">
        <v>304</v>
      </c>
      <c r="L149" s="2" t="s">
        <v>1117</v>
      </c>
      <c r="M149" s="8" t="str">
        <f>HYPERLINK("http://slimages.macys.com/is/image/MCY/13860353 ")</f>
        <v xml:space="preserve">http://slimages.macys.com/is/image/MCY/13860353 </v>
      </c>
    </row>
    <row r="150" spans="1:13" ht="84" x14ac:dyDescent="0.25">
      <c r="A150" s="7" t="s">
        <v>6876</v>
      </c>
      <c r="B150" s="2" t="s">
        <v>474</v>
      </c>
      <c r="C150" s="4">
        <v>1</v>
      </c>
      <c r="D150" s="5">
        <v>6.75</v>
      </c>
      <c r="E150" s="5">
        <v>16.989999999999998</v>
      </c>
      <c r="F150" s="4" t="s">
        <v>1798</v>
      </c>
      <c r="G150" s="2" t="s">
        <v>476</v>
      </c>
      <c r="H150" s="7"/>
      <c r="I150" s="2" t="s">
        <v>321</v>
      </c>
      <c r="J150" s="2" t="s">
        <v>477</v>
      </c>
      <c r="K150" s="2" t="s">
        <v>304</v>
      </c>
      <c r="L150" s="2" t="s">
        <v>1117</v>
      </c>
      <c r="M150" s="8" t="str">
        <f>HYPERLINK("http://slimages.macys.com/is/image/MCY/13860353 ")</f>
        <v xml:space="preserve">http://slimages.macys.com/is/image/MCY/13860353 </v>
      </c>
    </row>
    <row r="151" spans="1:13" ht="96" x14ac:dyDescent="0.25">
      <c r="A151" s="7" t="s">
        <v>6877</v>
      </c>
      <c r="B151" s="2" t="s">
        <v>5428</v>
      </c>
      <c r="C151" s="4">
        <v>7</v>
      </c>
      <c r="D151" s="5">
        <v>6.75</v>
      </c>
      <c r="E151" s="5">
        <v>16.989999999999998</v>
      </c>
      <c r="F151" s="4" t="s">
        <v>5429</v>
      </c>
      <c r="G151" s="2" t="s">
        <v>476</v>
      </c>
      <c r="H151" s="7" t="s">
        <v>144</v>
      </c>
      <c r="I151" s="2" t="s">
        <v>321</v>
      </c>
      <c r="J151" s="2" t="s">
        <v>477</v>
      </c>
      <c r="K151" s="2" t="s">
        <v>304</v>
      </c>
      <c r="L151" s="2" t="s">
        <v>1516</v>
      </c>
      <c r="M151" s="8" t="str">
        <f t="shared" ref="M151:M156" si="0">HYPERLINK("http://slimages.macys.com/is/image/MCY/13860359 ")</f>
        <v xml:space="preserve">http://slimages.macys.com/is/image/MCY/13860359 </v>
      </c>
    </row>
    <row r="152" spans="1:13" ht="96" x14ac:dyDescent="0.25">
      <c r="A152" s="7" t="s">
        <v>6878</v>
      </c>
      <c r="B152" s="2" t="s">
        <v>5428</v>
      </c>
      <c r="C152" s="4">
        <v>5</v>
      </c>
      <c r="D152" s="5">
        <v>6.75</v>
      </c>
      <c r="E152" s="5">
        <v>16.989999999999998</v>
      </c>
      <c r="F152" s="4" t="s">
        <v>5429</v>
      </c>
      <c r="G152" s="2" t="s">
        <v>476</v>
      </c>
      <c r="H152" s="7" t="s">
        <v>209</v>
      </c>
      <c r="I152" s="2" t="s">
        <v>321</v>
      </c>
      <c r="J152" s="2" t="s">
        <v>477</v>
      </c>
      <c r="K152" s="2" t="s">
        <v>304</v>
      </c>
      <c r="L152" s="2" t="s">
        <v>1516</v>
      </c>
      <c r="M152" s="8" t="str">
        <f t="shared" si="0"/>
        <v xml:space="preserve">http://slimages.macys.com/is/image/MCY/13860359 </v>
      </c>
    </row>
    <row r="153" spans="1:13" ht="96" x14ac:dyDescent="0.25">
      <c r="A153" s="7" t="s">
        <v>5427</v>
      </c>
      <c r="B153" s="2" t="s">
        <v>5428</v>
      </c>
      <c r="C153" s="4">
        <v>6</v>
      </c>
      <c r="D153" s="5">
        <v>6.75</v>
      </c>
      <c r="E153" s="5">
        <v>16.989999999999998</v>
      </c>
      <c r="F153" s="4" t="s">
        <v>5429</v>
      </c>
      <c r="G153" s="2" t="s">
        <v>476</v>
      </c>
      <c r="H153" s="7" t="s">
        <v>68</v>
      </c>
      <c r="I153" s="2" t="s">
        <v>321</v>
      </c>
      <c r="J153" s="2" t="s">
        <v>477</v>
      </c>
      <c r="K153" s="2" t="s">
        <v>304</v>
      </c>
      <c r="L153" s="2" t="s">
        <v>1516</v>
      </c>
      <c r="M153" s="8" t="str">
        <f t="shared" si="0"/>
        <v xml:space="preserve">http://slimages.macys.com/is/image/MCY/13860359 </v>
      </c>
    </row>
    <row r="154" spans="1:13" ht="60" x14ac:dyDescent="0.25">
      <c r="A154" s="7" t="s">
        <v>6879</v>
      </c>
      <c r="B154" s="2" t="s">
        <v>5428</v>
      </c>
      <c r="C154" s="4">
        <v>3</v>
      </c>
      <c r="D154" s="5">
        <v>6.75</v>
      </c>
      <c r="E154" s="5">
        <v>16.989999999999998</v>
      </c>
      <c r="F154" s="4" t="s">
        <v>5434</v>
      </c>
      <c r="G154" s="2" t="s">
        <v>476</v>
      </c>
      <c r="H154" s="7"/>
      <c r="I154" s="2" t="s">
        <v>321</v>
      </c>
      <c r="J154" s="2" t="s">
        <v>477</v>
      </c>
      <c r="K154" s="2" t="s">
        <v>304</v>
      </c>
      <c r="L154" s="2" t="s">
        <v>358</v>
      </c>
      <c r="M154" s="8" t="str">
        <f t="shared" si="0"/>
        <v xml:space="preserve">http://slimages.macys.com/is/image/MCY/13860359 </v>
      </c>
    </row>
    <row r="155" spans="1:13" ht="60" x14ac:dyDescent="0.25">
      <c r="A155" s="7" t="s">
        <v>5433</v>
      </c>
      <c r="B155" s="2" t="s">
        <v>5428</v>
      </c>
      <c r="C155" s="4">
        <v>2</v>
      </c>
      <c r="D155" s="5">
        <v>6.75</v>
      </c>
      <c r="E155" s="5">
        <v>16.989999999999998</v>
      </c>
      <c r="F155" s="4" t="s">
        <v>5434</v>
      </c>
      <c r="G155" s="2" t="s">
        <v>476</v>
      </c>
      <c r="H155" s="7"/>
      <c r="I155" s="2" t="s">
        <v>321</v>
      </c>
      <c r="J155" s="2" t="s">
        <v>477</v>
      </c>
      <c r="K155" s="2" t="s">
        <v>304</v>
      </c>
      <c r="L155" s="2" t="s">
        <v>358</v>
      </c>
      <c r="M155" s="8" t="str">
        <f t="shared" si="0"/>
        <v xml:space="preserve">http://slimages.macys.com/is/image/MCY/13860359 </v>
      </c>
    </row>
    <row r="156" spans="1:13" ht="60" x14ac:dyDescent="0.25">
      <c r="A156" s="7" t="s">
        <v>6880</v>
      </c>
      <c r="B156" s="2" t="s">
        <v>5428</v>
      </c>
      <c r="C156" s="4">
        <v>3</v>
      </c>
      <c r="D156" s="5">
        <v>6.75</v>
      </c>
      <c r="E156" s="5">
        <v>16.989999999999998</v>
      </c>
      <c r="F156" s="4" t="s">
        <v>5434</v>
      </c>
      <c r="G156" s="2" t="s">
        <v>476</v>
      </c>
      <c r="H156" s="7"/>
      <c r="I156" s="2" t="s">
        <v>321</v>
      </c>
      <c r="J156" s="2" t="s">
        <v>477</v>
      </c>
      <c r="K156" s="2" t="s">
        <v>304</v>
      </c>
      <c r="L156" s="2" t="s">
        <v>358</v>
      </c>
      <c r="M156" s="8" t="str">
        <f t="shared" si="0"/>
        <v xml:space="preserve">http://slimages.macys.com/is/image/MCY/13860359 </v>
      </c>
    </row>
    <row r="157" spans="1:13" ht="84" x14ac:dyDescent="0.25">
      <c r="A157" s="7" t="s">
        <v>6881</v>
      </c>
      <c r="B157" s="2" t="s">
        <v>474</v>
      </c>
      <c r="C157" s="4">
        <v>2</v>
      </c>
      <c r="D157" s="5">
        <v>6.75</v>
      </c>
      <c r="E157" s="5">
        <v>16.989999999999998</v>
      </c>
      <c r="F157" s="4" t="s">
        <v>475</v>
      </c>
      <c r="G157" s="2" t="s">
        <v>476</v>
      </c>
      <c r="H157" s="7" t="s">
        <v>144</v>
      </c>
      <c r="I157" s="2" t="s">
        <v>321</v>
      </c>
      <c r="J157" s="2" t="s">
        <v>477</v>
      </c>
      <c r="K157" s="2" t="s">
        <v>304</v>
      </c>
      <c r="L157" s="2" t="s">
        <v>478</v>
      </c>
      <c r="M157" s="8" t="str">
        <f>HYPERLINK("http://slimages.macys.com/is/image/MCY/13860353 ")</f>
        <v xml:space="preserve">http://slimages.macys.com/is/image/MCY/13860353 </v>
      </c>
    </row>
    <row r="158" spans="1:13" ht="60" x14ac:dyDescent="0.25">
      <c r="A158" s="7" t="s">
        <v>5934</v>
      </c>
      <c r="B158" s="2" t="s">
        <v>3347</v>
      </c>
      <c r="C158" s="4">
        <v>1</v>
      </c>
      <c r="D158" s="5">
        <v>6.7</v>
      </c>
      <c r="E158" s="5">
        <v>11.99</v>
      </c>
      <c r="F158" s="4" t="s">
        <v>3348</v>
      </c>
      <c r="G158" s="2" t="s">
        <v>48</v>
      </c>
      <c r="H158" s="7" t="s">
        <v>317</v>
      </c>
      <c r="I158" s="2" t="s">
        <v>73</v>
      </c>
      <c r="J158" s="2" t="s">
        <v>1963</v>
      </c>
      <c r="K158" s="2" t="s">
        <v>304</v>
      </c>
      <c r="L158" s="2" t="s">
        <v>100</v>
      </c>
      <c r="M158" s="8" t="str">
        <f>HYPERLINK("http://slimages.macys.com/is/image/MCY/11229110 ")</f>
        <v xml:space="preserve">http://slimages.macys.com/is/image/MCY/11229110 </v>
      </c>
    </row>
    <row r="159" spans="1:13" ht="156" x14ac:dyDescent="0.25">
      <c r="A159" s="7" t="s">
        <v>6882</v>
      </c>
      <c r="B159" s="2" t="s">
        <v>6883</v>
      </c>
      <c r="C159" s="4">
        <v>1</v>
      </c>
      <c r="D159" s="5">
        <v>6.7</v>
      </c>
      <c r="E159" s="5">
        <v>24.99</v>
      </c>
      <c r="F159" s="4" t="s">
        <v>6884</v>
      </c>
      <c r="G159" s="2" t="s">
        <v>310</v>
      </c>
      <c r="H159" s="7" t="s">
        <v>91</v>
      </c>
      <c r="I159" s="2" t="s">
        <v>135</v>
      </c>
      <c r="J159" s="2" t="s">
        <v>99</v>
      </c>
      <c r="K159" s="2" t="s">
        <v>304</v>
      </c>
      <c r="L159" s="2" t="s">
        <v>6885</v>
      </c>
      <c r="M159" s="8" t="str">
        <f>HYPERLINK("http://slimages.macys.com/is/image/MCY/12738557 ")</f>
        <v xml:space="preserve">http://slimages.macys.com/is/image/MCY/12738557 </v>
      </c>
    </row>
    <row r="160" spans="1:13" ht="60" x14ac:dyDescent="0.25">
      <c r="A160" s="7" t="s">
        <v>6886</v>
      </c>
      <c r="B160" s="2" t="s">
        <v>6887</v>
      </c>
      <c r="C160" s="4">
        <v>1</v>
      </c>
      <c r="D160" s="5">
        <v>6.68</v>
      </c>
      <c r="E160" s="5">
        <v>12.99</v>
      </c>
      <c r="F160" s="4" t="s">
        <v>6888</v>
      </c>
      <c r="G160" s="2" t="s">
        <v>62</v>
      </c>
      <c r="H160" s="7" t="s">
        <v>311</v>
      </c>
      <c r="I160" s="2" t="s">
        <v>218</v>
      </c>
      <c r="J160" s="2" t="s">
        <v>2008</v>
      </c>
      <c r="K160" s="2" t="s">
        <v>304</v>
      </c>
      <c r="L160" s="2" t="s">
        <v>119</v>
      </c>
      <c r="M160" s="8" t="str">
        <f>HYPERLINK("http://slimages.macys.com/is/image/MCY/12953514 ")</f>
        <v xml:space="preserve">http://slimages.macys.com/is/image/MCY/12953514 </v>
      </c>
    </row>
    <row r="161" spans="1:13" ht="60" x14ac:dyDescent="0.25">
      <c r="A161" s="7" t="s">
        <v>6889</v>
      </c>
      <c r="B161" s="2" t="s">
        <v>3360</v>
      </c>
      <c r="C161" s="4">
        <v>1</v>
      </c>
      <c r="D161" s="5">
        <v>6.52</v>
      </c>
      <c r="E161" s="5">
        <v>16.989999999999998</v>
      </c>
      <c r="F161" s="4" t="s">
        <v>3361</v>
      </c>
      <c r="G161" s="2" t="s">
        <v>28</v>
      </c>
      <c r="H161" s="7" t="s">
        <v>217</v>
      </c>
      <c r="I161" s="2" t="s">
        <v>218</v>
      </c>
      <c r="J161" s="2" t="s">
        <v>1740</v>
      </c>
      <c r="K161" s="2" t="s">
        <v>304</v>
      </c>
      <c r="L161" s="2" t="s">
        <v>125</v>
      </c>
      <c r="M161" s="8" t="str">
        <f>HYPERLINK("http://slimages.macys.com/is/image/MCY/12688507 ")</f>
        <v xml:space="preserve">http://slimages.macys.com/is/image/MCY/12688507 </v>
      </c>
    </row>
    <row r="162" spans="1:13" ht="72" x14ac:dyDescent="0.25">
      <c r="A162" s="7" t="s">
        <v>6890</v>
      </c>
      <c r="B162" s="2" t="s">
        <v>2426</v>
      </c>
      <c r="C162" s="4">
        <v>2</v>
      </c>
      <c r="D162" s="5">
        <v>6.4</v>
      </c>
      <c r="E162" s="5">
        <v>14.55</v>
      </c>
      <c r="F162" s="4">
        <v>17960110</v>
      </c>
      <c r="G162" s="2" t="s">
        <v>36</v>
      </c>
      <c r="H162" s="7" t="s">
        <v>233</v>
      </c>
      <c r="I162" s="2" t="s">
        <v>153</v>
      </c>
      <c r="J162" s="2" t="s">
        <v>154</v>
      </c>
      <c r="K162" s="2" t="s">
        <v>304</v>
      </c>
      <c r="L162" s="2" t="s">
        <v>3368</v>
      </c>
      <c r="M162" s="8" t="str">
        <f>HYPERLINK("http://slimages.macys.com/is/image/MCY/13341499 ")</f>
        <v xml:space="preserve">http://slimages.macys.com/is/image/MCY/13341499 </v>
      </c>
    </row>
    <row r="163" spans="1:13" ht="72" x14ac:dyDescent="0.25">
      <c r="A163" s="7" t="s">
        <v>6891</v>
      </c>
      <c r="B163" s="2" t="s">
        <v>2426</v>
      </c>
      <c r="C163" s="4">
        <v>1</v>
      </c>
      <c r="D163" s="5">
        <v>6.4</v>
      </c>
      <c r="E163" s="5">
        <v>14.55</v>
      </c>
      <c r="F163" s="4">
        <v>17960110</v>
      </c>
      <c r="G163" s="2" t="s">
        <v>36</v>
      </c>
      <c r="H163" s="7" t="s">
        <v>438</v>
      </c>
      <c r="I163" s="2" t="s">
        <v>153</v>
      </c>
      <c r="J163" s="2" t="s">
        <v>154</v>
      </c>
      <c r="K163" s="2" t="s">
        <v>304</v>
      </c>
      <c r="L163" s="2" t="s">
        <v>3368</v>
      </c>
      <c r="M163" s="8" t="str">
        <f>HYPERLINK("http://slimages.macys.com/is/image/MCY/13341499 ")</f>
        <v xml:space="preserve">http://slimages.macys.com/is/image/MCY/13341499 </v>
      </c>
    </row>
    <row r="164" spans="1:13" ht="60" x14ac:dyDescent="0.25">
      <c r="A164" s="7" t="s">
        <v>6892</v>
      </c>
      <c r="B164" s="2" t="s">
        <v>4952</v>
      </c>
      <c r="C164" s="4">
        <v>1</v>
      </c>
      <c r="D164" s="5">
        <v>6.35</v>
      </c>
      <c r="E164" s="5">
        <v>14.44</v>
      </c>
      <c r="F164" s="4">
        <v>18637210</v>
      </c>
      <c r="G164" s="2"/>
      <c r="H164" s="7" t="s">
        <v>675</v>
      </c>
      <c r="I164" s="2" t="s">
        <v>153</v>
      </c>
      <c r="J164" s="2" t="s">
        <v>154</v>
      </c>
      <c r="K164" s="2" t="s">
        <v>304</v>
      </c>
      <c r="L164" s="2" t="s">
        <v>125</v>
      </c>
      <c r="M164" s="8" t="str">
        <f>HYPERLINK("http://slimages.macys.com/is/image/MCY/14661938 ")</f>
        <v xml:space="preserve">http://slimages.macys.com/is/image/MCY/14661938 </v>
      </c>
    </row>
    <row r="165" spans="1:13" ht="60" x14ac:dyDescent="0.25">
      <c r="A165" s="7" t="s">
        <v>6893</v>
      </c>
      <c r="B165" s="2" t="s">
        <v>3370</v>
      </c>
      <c r="C165" s="4">
        <v>1</v>
      </c>
      <c r="D165" s="5">
        <v>6.35</v>
      </c>
      <c r="E165" s="5">
        <v>16.989999999999998</v>
      </c>
      <c r="F165" s="4" t="s">
        <v>3371</v>
      </c>
      <c r="G165" s="2" t="s">
        <v>62</v>
      </c>
      <c r="H165" s="7" t="s">
        <v>159</v>
      </c>
      <c r="I165" s="2" t="s">
        <v>218</v>
      </c>
      <c r="J165" s="2" t="s">
        <v>1740</v>
      </c>
      <c r="K165" s="2" t="s">
        <v>304</v>
      </c>
      <c r="L165" s="2" t="s">
        <v>125</v>
      </c>
      <c r="M165" s="8" t="str">
        <f>HYPERLINK("http://slimages.macys.com/is/image/MCY/12688060 ")</f>
        <v xml:space="preserve">http://slimages.macys.com/is/image/MCY/12688060 </v>
      </c>
    </row>
    <row r="166" spans="1:13" ht="72" x14ac:dyDescent="0.25">
      <c r="A166" s="7" t="s">
        <v>6894</v>
      </c>
      <c r="B166" s="2" t="s">
        <v>6895</v>
      </c>
      <c r="C166" s="4">
        <v>1</v>
      </c>
      <c r="D166" s="5">
        <v>6.35</v>
      </c>
      <c r="E166" s="5">
        <v>16.989999999999998</v>
      </c>
      <c r="F166" s="4" t="s">
        <v>6896</v>
      </c>
      <c r="G166" s="2" t="s">
        <v>86</v>
      </c>
      <c r="H166" s="7" t="s">
        <v>63</v>
      </c>
      <c r="I166" s="2" t="s">
        <v>1689</v>
      </c>
      <c r="J166" s="2" t="s">
        <v>354</v>
      </c>
      <c r="K166" s="2" t="s">
        <v>304</v>
      </c>
      <c r="L166" s="2" t="s">
        <v>3142</v>
      </c>
      <c r="M166" s="8" t="str">
        <f>HYPERLINK("http://slimages.macys.com/is/image/MCY/12938484 ")</f>
        <v xml:space="preserve">http://slimages.macys.com/is/image/MCY/12938484 </v>
      </c>
    </row>
    <row r="167" spans="1:13" ht="60" x14ac:dyDescent="0.25">
      <c r="A167" s="7" t="s">
        <v>6897</v>
      </c>
      <c r="B167" s="2" t="s">
        <v>1028</v>
      </c>
      <c r="C167" s="4">
        <v>1</v>
      </c>
      <c r="D167" s="5">
        <v>6.19</v>
      </c>
      <c r="E167" s="5">
        <v>16.989999999999998</v>
      </c>
      <c r="F167" s="4" t="s">
        <v>1029</v>
      </c>
      <c r="G167" s="2" t="s">
        <v>62</v>
      </c>
      <c r="H167" s="7" t="s">
        <v>228</v>
      </c>
      <c r="I167" s="2" t="s">
        <v>515</v>
      </c>
      <c r="J167" s="2" t="s">
        <v>827</v>
      </c>
      <c r="K167" s="2" t="s">
        <v>304</v>
      </c>
      <c r="L167" s="2" t="s">
        <v>358</v>
      </c>
      <c r="M167" s="8" t="str">
        <f>HYPERLINK("http://slimages.macys.com/is/image/MCY/11530992 ")</f>
        <v xml:space="preserve">http://slimages.macys.com/is/image/MCY/11530992 </v>
      </c>
    </row>
    <row r="168" spans="1:13" ht="60" x14ac:dyDescent="0.25">
      <c r="A168" s="7" t="s">
        <v>6898</v>
      </c>
      <c r="B168" s="2" t="s">
        <v>1837</v>
      </c>
      <c r="C168" s="4">
        <v>1</v>
      </c>
      <c r="D168" s="5">
        <v>6.18</v>
      </c>
      <c r="E168" s="5">
        <v>16.989999999999998</v>
      </c>
      <c r="F168" s="4" t="s">
        <v>1838</v>
      </c>
      <c r="G168" s="2" t="s">
        <v>171</v>
      </c>
      <c r="H168" s="7" t="s">
        <v>196</v>
      </c>
      <c r="I168" s="2" t="s">
        <v>515</v>
      </c>
      <c r="J168" s="2" t="s">
        <v>827</v>
      </c>
      <c r="K168" s="2" t="s">
        <v>304</v>
      </c>
      <c r="L168" s="2" t="s">
        <v>358</v>
      </c>
      <c r="M168" s="8" t="str">
        <f>HYPERLINK("http://slimages.macys.com/is/image/MCY/11605899 ")</f>
        <v xml:space="preserve">http://slimages.macys.com/is/image/MCY/11605899 </v>
      </c>
    </row>
    <row r="169" spans="1:13" ht="60" x14ac:dyDescent="0.25">
      <c r="A169" s="7" t="s">
        <v>6899</v>
      </c>
      <c r="B169" s="2" t="s">
        <v>5465</v>
      </c>
      <c r="C169" s="4">
        <v>1</v>
      </c>
      <c r="D169" s="5">
        <v>6.15</v>
      </c>
      <c r="E169" s="5">
        <v>10.99</v>
      </c>
      <c r="F169" s="4" t="s">
        <v>5466</v>
      </c>
      <c r="G169" s="2" t="s">
        <v>36</v>
      </c>
      <c r="H169" s="7" t="s">
        <v>317</v>
      </c>
      <c r="I169" s="2" t="s">
        <v>73</v>
      </c>
      <c r="J169" s="2" t="s">
        <v>1963</v>
      </c>
      <c r="K169" s="2" t="s">
        <v>304</v>
      </c>
      <c r="L169" s="2" t="s">
        <v>125</v>
      </c>
      <c r="M169" s="8" t="str">
        <f>HYPERLINK("http://slimages.macys.com/is/image/MCY/12688490 ")</f>
        <v xml:space="preserve">http://slimages.macys.com/is/image/MCY/12688490 </v>
      </c>
    </row>
    <row r="170" spans="1:13" ht="60" x14ac:dyDescent="0.25">
      <c r="A170" s="7" t="s">
        <v>6900</v>
      </c>
      <c r="B170" s="2" t="s">
        <v>5465</v>
      </c>
      <c r="C170" s="4">
        <v>1</v>
      </c>
      <c r="D170" s="5">
        <v>6.15</v>
      </c>
      <c r="E170" s="5">
        <v>10.99</v>
      </c>
      <c r="F170" s="4" t="s">
        <v>5466</v>
      </c>
      <c r="G170" s="2" t="s">
        <v>36</v>
      </c>
      <c r="H170" s="7" t="s">
        <v>123</v>
      </c>
      <c r="I170" s="2" t="s">
        <v>73</v>
      </c>
      <c r="J170" s="2" t="s">
        <v>1963</v>
      </c>
      <c r="K170" s="2" t="s">
        <v>304</v>
      </c>
      <c r="L170" s="2" t="s">
        <v>125</v>
      </c>
      <c r="M170" s="8" t="str">
        <f>HYPERLINK("http://slimages.macys.com/is/image/MCY/12688490 ")</f>
        <v xml:space="preserve">http://slimages.macys.com/is/image/MCY/12688490 </v>
      </c>
    </row>
    <row r="171" spans="1:13" ht="60" x14ac:dyDescent="0.25">
      <c r="A171" s="7" t="s">
        <v>6901</v>
      </c>
      <c r="B171" s="2" t="s">
        <v>5465</v>
      </c>
      <c r="C171" s="4">
        <v>1</v>
      </c>
      <c r="D171" s="5">
        <v>6.15</v>
      </c>
      <c r="E171" s="5">
        <v>10.99</v>
      </c>
      <c r="F171" s="4" t="s">
        <v>5466</v>
      </c>
      <c r="G171" s="2" t="s">
        <v>36</v>
      </c>
      <c r="H171" s="7" t="s">
        <v>68</v>
      </c>
      <c r="I171" s="2" t="s">
        <v>73</v>
      </c>
      <c r="J171" s="2" t="s">
        <v>1963</v>
      </c>
      <c r="K171" s="2" t="s">
        <v>304</v>
      </c>
      <c r="L171" s="2" t="s">
        <v>125</v>
      </c>
      <c r="M171" s="8" t="str">
        <f>HYPERLINK("http://slimages.macys.com/is/image/MCY/12688490 ")</f>
        <v xml:space="preserve">http://slimages.macys.com/is/image/MCY/12688490 </v>
      </c>
    </row>
    <row r="172" spans="1:13" ht="60" x14ac:dyDescent="0.25">
      <c r="A172" s="7" t="s">
        <v>6902</v>
      </c>
      <c r="B172" s="2" t="s">
        <v>6903</v>
      </c>
      <c r="C172" s="4">
        <v>1</v>
      </c>
      <c r="D172" s="5">
        <v>6.13</v>
      </c>
      <c r="E172" s="5">
        <v>16.989999999999998</v>
      </c>
      <c r="F172" s="4" t="s">
        <v>6904</v>
      </c>
      <c r="G172" s="2" t="s">
        <v>582</v>
      </c>
      <c r="H172" s="7" t="s">
        <v>228</v>
      </c>
      <c r="I172" s="2" t="s">
        <v>389</v>
      </c>
      <c r="J172" s="2" t="s">
        <v>354</v>
      </c>
      <c r="K172" s="2" t="s">
        <v>304</v>
      </c>
      <c r="L172" s="2" t="s">
        <v>119</v>
      </c>
      <c r="M172" s="8" t="str">
        <f>HYPERLINK("http://slimages.macys.com/is/image/MCY/12121554 ")</f>
        <v xml:space="preserve">http://slimages.macys.com/is/image/MCY/12121554 </v>
      </c>
    </row>
    <row r="173" spans="1:13" ht="96" x14ac:dyDescent="0.25">
      <c r="A173" s="7" t="s">
        <v>6905</v>
      </c>
      <c r="B173" s="2" t="s">
        <v>5468</v>
      </c>
      <c r="C173" s="4">
        <v>1</v>
      </c>
      <c r="D173" s="5">
        <v>6.13</v>
      </c>
      <c r="E173" s="5">
        <v>16.989999999999998</v>
      </c>
      <c r="F173" s="4" t="s">
        <v>5469</v>
      </c>
      <c r="G173" s="2" t="s">
        <v>62</v>
      </c>
      <c r="H173" s="7" t="s">
        <v>317</v>
      </c>
      <c r="I173" s="2" t="s">
        <v>483</v>
      </c>
      <c r="J173" s="2" t="s">
        <v>4858</v>
      </c>
      <c r="K173" s="2" t="s">
        <v>304</v>
      </c>
      <c r="L173" s="2" t="s">
        <v>5470</v>
      </c>
      <c r="M173" s="8" t="str">
        <f>HYPERLINK("http://slimages.macys.com/is/image/MCY/8256950 ")</f>
        <v xml:space="preserve">http://slimages.macys.com/is/image/MCY/8256950 </v>
      </c>
    </row>
    <row r="174" spans="1:13" ht="60" x14ac:dyDescent="0.25">
      <c r="A174" s="7" t="s">
        <v>6906</v>
      </c>
      <c r="B174" s="2" t="s">
        <v>6907</v>
      </c>
      <c r="C174" s="4">
        <v>1</v>
      </c>
      <c r="D174" s="5">
        <v>6.13</v>
      </c>
      <c r="E174" s="5">
        <v>16.989999999999998</v>
      </c>
      <c r="F174" s="4" t="s">
        <v>6908</v>
      </c>
      <c r="G174" s="2" t="s">
        <v>793</v>
      </c>
      <c r="H174" s="7" t="s">
        <v>196</v>
      </c>
      <c r="I174" s="2" t="s">
        <v>389</v>
      </c>
      <c r="J174" s="2" t="s">
        <v>354</v>
      </c>
      <c r="K174" s="2" t="s">
        <v>304</v>
      </c>
      <c r="L174" s="2" t="s">
        <v>119</v>
      </c>
      <c r="M174" s="8" t="str">
        <f>HYPERLINK("http://slimages.macys.com/is/image/MCY/12121666 ")</f>
        <v xml:space="preserve">http://slimages.macys.com/is/image/MCY/12121666 </v>
      </c>
    </row>
    <row r="175" spans="1:13" ht="60" x14ac:dyDescent="0.25">
      <c r="A175" s="7" t="s">
        <v>6909</v>
      </c>
      <c r="B175" s="2" t="s">
        <v>5942</v>
      </c>
      <c r="C175" s="4">
        <v>1</v>
      </c>
      <c r="D175" s="5">
        <v>6.07</v>
      </c>
      <c r="E175" s="5">
        <v>11.99</v>
      </c>
      <c r="F175" s="4" t="s">
        <v>5943</v>
      </c>
      <c r="G175" s="2" t="s">
        <v>785</v>
      </c>
      <c r="H175" s="7" t="s">
        <v>149</v>
      </c>
      <c r="I175" s="2" t="s">
        <v>483</v>
      </c>
      <c r="J175" s="2" t="s">
        <v>484</v>
      </c>
      <c r="K175" s="2" t="s">
        <v>304</v>
      </c>
      <c r="L175" s="2" t="s">
        <v>87</v>
      </c>
      <c r="M175" s="8" t="str">
        <f>HYPERLINK("http://slimages.macys.com/is/image/MCY/8018021 ")</f>
        <v xml:space="preserve">http://slimages.macys.com/is/image/MCY/8018021 </v>
      </c>
    </row>
    <row r="176" spans="1:13" ht="60" x14ac:dyDescent="0.25">
      <c r="A176" s="7" t="s">
        <v>6910</v>
      </c>
      <c r="B176" s="2" t="s">
        <v>6911</v>
      </c>
      <c r="C176" s="4">
        <v>1</v>
      </c>
      <c r="D176" s="5">
        <v>6</v>
      </c>
      <c r="E176" s="5">
        <v>12.99</v>
      </c>
      <c r="F176" s="4" t="s">
        <v>6912</v>
      </c>
      <c r="G176" s="2" t="s">
        <v>28</v>
      </c>
      <c r="H176" s="7" t="s">
        <v>228</v>
      </c>
      <c r="I176" s="2" t="s">
        <v>523</v>
      </c>
      <c r="J176" s="2" t="s">
        <v>969</v>
      </c>
      <c r="K176" s="2" t="s">
        <v>304</v>
      </c>
      <c r="L176" s="2" t="s">
        <v>5405</v>
      </c>
      <c r="M176" s="8" t="str">
        <f>HYPERLINK("http://slimages.macys.com/is/image/MCY/9336788 ")</f>
        <v xml:space="preserve">http://slimages.macys.com/is/image/MCY/9336788 </v>
      </c>
    </row>
    <row r="177" spans="1:13" ht="60" x14ac:dyDescent="0.25">
      <c r="A177" s="7" t="s">
        <v>6913</v>
      </c>
      <c r="B177" s="2" t="s">
        <v>3385</v>
      </c>
      <c r="C177" s="4">
        <v>1</v>
      </c>
      <c r="D177" s="5">
        <v>6</v>
      </c>
      <c r="E177" s="5">
        <v>11.98</v>
      </c>
      <c r="F177" s="4" t="s">
        <v>3386</v>
      </c>
      <c r="G177" s="2" t="s">
        <v>28</v>
      </c>
      <c r="H177" s="7" t="s">
        <v>482</v>
      </c>
      <c r="I177" s="2" t="s">
        <v>43</v>
      </c>
      <c r="J177" s="2" t="s">
        <v>497</v>
      </c>
      <c r="K177" s="2" t="s">
        <v>304</v>
      </c>
      <c r="L177" s="2" t="s">
        <v>87</v>
      </c>
      <c r="M177" s="8" t="str">
        <f>HYPERLINK("http://slimages.macys.com/is/image/MCY/2666350 ")</f>
        <v xml:space="preserve">http://slimages.macys.com/is/image/MCY/2666350 </v>
      </c>
    </row>
    <row r="178" spans="1:13" ht="60" x14ac:dyDescent="0.25">
      <c r="A178" s="7" t="s">
        <v>6914</v>
      </c>
      <c r="B178" s="2" t="s">
        <v>6915</v>
      </c>
      <c r="C178" s="4">
        <v>1</v>
      </c>
      <c r="D178" s="5">
        <v>6</v>
      </c>
      <c r="E178" s="5">
        <v>11.98</v>
      </c>
      <c r="F178" s="4" t="s">
        <v>6916</v>
      </c>
      <c r="G178" s="2" t="s">
        <v>41</v>
      </c>
      <c r="H178" s="7" t="s">
        <v>531</v>
      </c>
      <c r="I178" s="2" t="s">
        <v>43</v>
      </c>
      <c r="J178" s="2" t="s">
        <v>497</v>
      </c>
      <c r="K178" s="2" t="s">
        <v>304</v>
      </c>
      <c r="L178" s="2" t="s">
        <v>87</v>
      </c>
      <c r="M178" s="8" t="str">
        <f>HYPERLINK("http://slimages.macys.com/is/image/MCY/3048167 ")</f>
        <v xml:space="preserve">http://slimages.macys.com/is/image/MCY/3048167 </v>
      </c>
    </row>
    <row r="179" spans="1:13" ht="156" x14ac:dyDescent="0.25">
      <c r="A179" s="7" t="s">
        <v>5951</v>
      </c>
      <c r="B179" s="2" t="s">
        <v>5950</v>
      </c>
      <c r="C179" s="4">
        <v>2</v>
      </c>
      <c r="D179" s="5">
        <v>6</v>
      </c>
      <c r="E179" s="5">
        <v>14</v>
      </c>
      <c r="F179" s="4" t="s">
        <v>5946</v>
      </c>
      <c r="G179" s="2" t="s">
        <v>785</v>
      </c>
      <c r="H179" s="7" t="s">
        <v>159</v>
      </c>
      <c r="I179" s="2" t="s">
        <v>468</v>
      </c>
      <c r="J179" s="2" t="s">
        <v>5947</v>
      </c>
      <c r="K179" s="2" t="s">
        <v>304</v>
      </c>
      <c r="L179" s="2" t="s">
        <v>5948</v>
      </c>
      <c r="M179" s="8" t="str">
        <f>HYPERLINK("http://slimages.macys.com/is/image/MCY/13936125 ")</f>
        <v xml:space="preserve">http://slimages.macys.com/is/image/MCY/13936125 </v>
      </c>
    </row>
    <row r="180" spans="1:13" ht="60" x14ac:dyDescent="0.25">
      <c r="A180" s="7" t="s">
        <v>6917</v>
      </c>
      <c r="B180" s="2" t="s">
        <v>6918</v>
      </c>
      <c r="C180" s="4">
        <v>2</v>
      </c>
      <c r="D180" s="5">
        <v>6</v>
      </c>
      <c r="E180" s="5">
        <v>10.99</v>
      </c>
      <c r="F180" s="4" t="s">
        <v>6919</v>
      </c>
      <c r="G180" s="2" t="s">
        <v>41</v>
      </c>
      <c r="H180" s="7" t="s">
        <v>228</v>
      </c>
      <c r="I180" s="2" t="s">
        <v>73</v>
      </c>
      <c r="J180" s="2" t="s">
        <v>1917</v>
      </c>
      <c r="K180" s="2" t="s">
        <v>304</v>
      </c>
      <c r="L180" s="2" t="s">
        <v>119</v>
      </c>
      <c r="M180" s="8" t="str">
        <f>HYPERLINK("http://slimages.macys.com/is/image/MCY/11282298 ")</f>
        <v xml:space="preserve">http://slimages.macys.com/is/image/MCY/11282298 </v>
      </c>
    </row>
    <row r="181" spans="1:13" ht="156" x14ac:dyDescent="0.25">
      <c r="A181" s="7" t="s">
        <v>5952</v>
      </c>
      <c r="B181" s="2" t="s">
        <v>5945</v>
      </c>
      <c r="C181" s="4">
        <v>2</v>
      </c>
      <c r="D181" s="5">
        <v>6</v>
      </c>
      <c r="E181" s="5">
        <v>14</v>
      </c>
      <c r="F181" s="4" t="s">
        <v>5946</v>
      </c>
      <c r="G181" s="2" t="s">
        <v>62</v>
      </c>
      <c r="H181" s="7" t="s">
        <v>159</v>
      </c>
      <c r="I181" s="2" t="s">
        <v>468</v>
      </c>
      <c r="J181" s="2" t="s">
        <v>5947</v>
      </c>
      <c r="K181" s="2" t="s">
        <v>304</v>
      </c>
      <c r="L181" s="2" t="s">
        <v>5948</v>
      </c>
      <c r="M181" s="8" t="str">
        <f>HYPERLINK("http://slimages.macys.com/is/image/MCY/13936126 ")</f>
        <v xml:space="preserve">http://slimages.macys.com/is/image/MCY/13936126 </v>
      </c>
    </row>
    <row r="182" spans="1:13" ht="60" x14ac:dyDescent="0.25">
      <c r="A182" s="7" t="s">
        <v>6920</v>
      </c>
      <c r="B182" s="2" t="s">
        <v>6921</v>
      </c>
      <c r="C182" s="4">
        <v>1</v>
      </c>
      <c r="D182" s="5">
        <v>6</v>
      </c>
      <c r="E182" s="5">
        <v>17.989999999999998</v>
      </c>
      <c r="F182" s="4" t="s">
        <v>6922</v>
      </c>
      <c r="G182" s="2" t="s">
        <v>36</v>
      </c>
      <c r="H182" s="7" t="s">
        <v>590</v>
      </c>
      <c r="I182" s="2" t="s">
        <v>92</v>
      </c>
      <c r="J182" s="2" t="s">
        <v>187</v>
      </c>
      <c r="K182" s="2" t="s">
        <v>304</v>
      </c>
      <c r="L182" s="2" t="s">
        <v>6923</v>
      </c>
      <c r="M182" s="8" t="str">
        <f>HYPERLINK("http://slimages.macys.com/is/image/MCY/12342593 ")</f>
        <v xml:space="preserve">http://slimages.macys.com/is/image/MCY/12342593 </v>
      </c>
    </row>
    <row r="183" spans="1:13" ht="156" x14ac:dyDescent="0.25">
      <c r="A183" s="7" t="s">
        <v>5944</v>
      </c>
      <c r="B183" s="2" t="s">
        <v>5945</v>
      </c>
      <c r="C183" s="4">
        <v>1</v>
      </c>
      <c r="D183" s="5">
        <v>6</v>
      </c>
      <c r="E183" s="5">
        <v>14</v>
      </c>
      <c r="F183" s="4" t="s">
        <v>5946</v>
      </c>
      <c r="G183" s="2" t="s">
        <v>62</v>
      </c>
      <c r="H183" s="7" t="s">
        <v>284</v>
      </c>
      <c r="I183" s="2" t="s">
        <v>468</v>
      </c>
      <c r="J183" s="2" t="s">
        <v>5947</v>
      </c>
      <c r="K183" s="2" t="s">
        <v>304</v>
      </c>
      <c r="L183" s="2" t="s">
        <v>5948</v>
      </c>
      <c r="M183" s="8" t="str">
        <f>HYPERLINK("http://slimages.macys.com/is/image/MCY/13936126 ")</f>
        <v xml:space="preserve">http://slimages.macys.com/is/image/MCY/13936126 </v>
      </c>
    </row>
    <row r="184" spans="1:13" ht="60" x14ac:dyDescent="0.25">
      <c r="A184" s="7" t="s">
        <v>1038</v>
      </c>
      <c r="B184" s="2" t="s">
        <v>1039</v>
      </c>
      <c r="C184" s="4">
        <v>3</v>
      </c>
      <c r="D184" s="5">
        <v>5.87</v>
      </c>
      <c r="E184" s="5">
        <v>16</v>
      </c>
      <c r="F184" s="4" t="s">
        <v>1040</v>
      </c>
      <c r="G184" s="2" t="s">
        <v>1041</v>
      </c>
      <c r="H184" s="7" t="s">
        <v>72</v>
      </c>
      <c r="I184" s="2" t="s">
        <v>523</v>
      </c>
      <c r="J184" s="2" t="s">
        <v>1042</v>
      </c>
      <c r="K184" s="2" t="s">
        <v>304</v>
      </c>
      <c r="L184" s="2" t="s">
        <v>1043</v>
      </c>
      <c r="M184" s="8" t="str">
        <f>HYPERLINK("http://slimages.macys.com/is/image/MCY/11647558 ")</f>
        <v xml:space="preserve">http://slimages.macys.com/is/image/MCY/11647558 </v>
      </c>
    </row>
    <row r="185" spans="1:13" ht="60" x14ac:dyDescent="0.25">
      <c r="A185" s="7" t="s">
        <v>1048</v>
      </c>
      <c r="B185" s="2" t="s">
        <v>1039</v>
      </c>
      <c r="C185" s="4">
        <v>1</v>
      </c>
      <c r="D185" s="5">
        <v>5.87</v>
      </c>
      <c r="E185" s="5">
        <v>16</v>
      </c>
      <c r="F185" s="4" t="s">
        <v>1040</v>
      </c>
      <c r="G185" s="2" t="s">
        <v>1041</v>
      </c>
      <c r="H185" s="7" t="s">
        <v>789</v>
      </c>
      <c r="I185" s="2" t="s">
        <v>523</v>
      </c>
      <c r="J185" s="2" t="s">
        <v>1042</v>
      </c>
      <c r="K185" s="2" t="s">
        <v>304</v>
      </c>
      <c r="L185" s="2" t="s">
        <v>1043</v>
      </c>
      <c r="M185" s="8" t="str">
        <f>HYPERLINK("http://slimages.macys.com/is/image/MCY/11647558 ")</f>
        <v xml:space="preserve">http://slimages.macys.com/is/image/MCY/11647558 </v>
      </c>
    </row>
    <row r="186" spans="1:13" ht="60" x14ac:dyDescent="0.25">
      <c r="A186" s="7" t="s">
        <v>6924</v>
      </c>
      <c r="B186" s="2" t="s">
        <v>6925</v>
      </c>
      <c r="C186" s="4">
        <v>1</v>
      </c>
      <c r="D186" s="5">
        <v>5.85</v>
      </c>
      <c r="E186" s="5">
        <v>12.99</v>
      </c>
      <c r="F186" s="4" t="s">
        <v>6926</v>
      </c>
      <c r="G186" s="2" t="s">
        <v>657</v>
      </c>
      <c r="H186" s="7" t="s">
        <v>317</v>
      </c>
      <c r="I186" s="2" t="s">
        <v>73</v>
      </c>
      <c r="J186" s="2" t="s">
        <v>778</v>
      </c>
      <c r="K186" s="2" t="s">
        <v>304</v>
      </c>
      <c r="L186" s="2" t="s">
        <v>119</v>
      </c>
      <c r="M186" s="8" t="str">
        <f>HYPERLINK("http://slimages.macys.com/is/image/MCY/11646181 ")</f>
        <v xml:space="preserve">http://slimages.macys.com/is/image/MCY/11646181 </v>
      </c>
    </row>
    <row r="187" spans="1:13" ht="60" x14ac:dyDescent="0.25">
      <c r="A187" s="7" t="s">
        <v>6927</v>
      </c>
      <c r="B187" s="2" t="s">
        <v>1874</v>
      </c>
      <c r="C187" s="4">
        <v>1</v>
      </c>
      <c r="D187" s="5">
        <v>5.85</v>
      </c>
      <c r="E187" s="5">
        <v>12.99</v>
      </c>
      <c r="F187" s="4" t="s">
        <v>1875</v>
      </c>
      <c r="G187" s="2" t="s">
        <v>41</v>
      </c>
      <c r="H187" s="7" t="s">
        <v>172</v>
      </c>
      <c r="I187" s="2" t="s">
        <v>966</v>
      </c>
      <c r="J187" s="2" t="s">
        <v>348</v>
      </c>
      <c r="K187" s="2" t="s">
        <v>304</v>
      </c>
      <c r="L187" s="2" t="s">
        <v>125</v>
      </c>
      <c r="M187" s="8" t="str">
        <f>HYPERLINK("http://slimages.macys.com/is/image/MCY/13984183 ")</f>
        <v xml:space="preserve">http://slimages.macys.com/is/image/MCY/13984183 </v>
      </c>
    </row>
    <row r="188" spans="1:13" ht="60" x14ac:dyDescent="0.25">
      <c r="A188" s="7" t="s">
        <v>6928</v>
      </c>
      <c r="B188" s="2" t="s">
        <v>4137</v>
      </c>
      <c r="C188" s="4">
        <v>1</v>
      </c>
      <c r="D188" s="5">
        <v>5.77</v>
      </c>
      <c r="E188" s="5">
        <v>12.99</v>
      </c>
      <c r="F188" s="4" t="s">
        <v>4138</v>
      </c>
      <c r="G188" s="2" t="s">
        <v>86</v>
      </c>
      <c r="H188" s="7" t="s">
        <v>618</v>
      </c>
      <c r="I188" s="2" t="s">
        <v>218</v>
      </c>
      <c r="J188" s="2" t="s">
        <v>835</v>
      </c>
      <c r="K188" s="2" t="s">
        <v>304</v>
      </c>
      <c r="L188" s="2" t="s">
        <v>358</v>
      </c>
      <c r="M188" s="8" t="str">
        <f>HYPERLINK("http://slimages.macys.com/is/image/MCY/11603698 ")</f>
        <v xml:space="preserve">http://slimages.macys.com/is/image/MCY/11603698 </v>
      </c>
    </row>
    <row r="189" spans="1:13" ht="60" x14ac:dyDescent="0.25">
      <c r="A189" s="7" t="s">
        <v>6929</v>
      </c>
      <c r="B189" s="2" t="s">
        <v>6930</v>
      </c>
      <c r="C189" s="4">
        <v>1</v>
      </c>
      <c r="D189" s="5">
        <v>5.75</v>
      </c>
      <c r="E189" s="5">
        <v>14.99</v>
      </c>
      <c r="F189" s="4" t="s">
        <v>6931</v>
      </c>
      <c r="G189" s="2" t="s">
        <v>41</v>
      </c>
      <c r="H189" s="7"/>
      <c r="I189" s="2" t="s">
        <v>30</v>
      </c>
      <c r="J189" s="2" t="s">
        <v>1890</v>
      </c>
      <c r="K189" s="2" t="s">
        <v>304</v>
      </c>
      <c r="L189" s="2" t="s">
        <v>125</v>
      </c>
      <c r="M189" s="8" t="str">
        <f>HYPERLINK("http://slimages.macys.com/is/image/MCY/10894034 ")</f>
        <v xml:space="preserve">http://slimages.macys.com/is/image/MCY/10894034 </v>
      </c>
    </row>
    <row r="190" spans="1:13" ht="60" x14ac:dyDescent="0.25">
      <c r="A190" s="7" t="s">
        <v>6932</v>
      </c>
      <c r="B190" s="2" t="s">
        <v>1888</v>
      </c>
      <c r="C190" s="4">
        <v>1</v>
      </c>
      <c r="D190" s="5">
        <v>5.75</v>
      </c>
      <c r="E190" s="5">
        <v>14.99</v>
      </c>
      <c r="F190" s="4" t="s">
        <v>6933</v>
      </c>
      <c r="G190" s="2" t="s">
        <v>892</v>
      </c>
      <c r="H190" s="7"/>
      <c r="I190" s="2" t="s">
        <v>30</v>
      </c>
      <c r="J190" s="2" t="s">
        <v>1890</v>
      </c>
      <c r="K190" s="2" t="s">
        <v>304</v>
      </c>
      <c r="L190" s="2" t="s">
        <v>416</v>
      </c>
      <c r="M190" s="8" t="str">
        <f>HYPERLINK("http://slimages.macys.com/is/image/MCY/12224310 ")</f>
        <v xml:space="preserve">http://slimages.macys.com/is/image/MCY/12224310 </v>
      </c>
    </row>
    <row r="191" spans="1:13" ht="60" x14ac:dyDescent="0.25">
      <c r="A191" s="7" t="s">
        <v>1887</v>
      </c>
      <c r="B191" s="2" t="s">
        <v>1888</v>
      </c>
      <c r="C191" s="4">
        <v>3</v>
      </c>
      <c r="D191" s="5">
        <v>5.75</v>
      </c>
      <c r="E191" s="5">
        <v>14.99</v>
      </c>
      <c r="F191" s="4" t="s">
        <v>1889</v>
      </c>
      <c r="G191" s="2" t="s">
        <v>892</v>
      </c>
      <c r="H191" s="7"/>
      <c r="I191" s="2" t="s">
        <v>30</v>
      </c>
      <c r="J191" s="2" t="s">
        <v>1890</v>
      </c>
      <c r="K191" s="2" t="s">
        <v>304</v>
      </c>
      <c r="L191" s="2" t="s">
        <v>416</v>
      </c>
      <c r="M191" s="8" t="str">
        <f>HYPERLINK("http://slimages.macys.com/is/image/MCY/12224320 ")</f>
        <v xml:space="preserve">http://slimages.macys.com/is/image/MCY/12224320 </v>
      </c>
    </row>
    <row r="192" spans="1:13" ht="96" x14ac:dyDescent="0.25">
      <c r="A192" s="7" t="s">
        <v>6934</v>
      </c>
      <c r="B192" s="2" t="s">
        <v>6935</v>
      </c>
      <c r="C192" s="4">
        <v>1</v>
      </c>
      <c r="D192" s="5">
        <v>5.75</v>
      </c>
      <c r="E192" s="5">
        <v>17.989999999999998</v>
      </c>
      <c r="F192" s="4" t="s">
        <v>6936</v>
      </c>
      <c r="G192" s="2" t="s">
        <v>41</v>
      </c>
      <c r="H192" s="7" t="s">
        <v>63</v>
      </c>
      <c r="I192" s="2" t="s">
        <v>342</v>
      </c>
      <c r="J192" s="2" t="s">
        <v>1613</v>
      </c>
      <c r="K192" s="2" t="s">
        <v>304</v>
      </c>
      <c r="L192" s="2" t="s">
        <v>6937</v>
      </c>
      <c r="M192" s="8" t="str">
        <f>HYPERLINK("http://slimages.macys.com/is/image/MCY/12833355 ")</f>
        <v xml:space="preserve">http://slimages.macys.com/is/image/MCY/12833355 </v>
      </c>
    </row>
    <row r="193" spans="1:13" ht="60" x14ac:dyDescent="0.25">
      <c r="A193" s="7" t="s">
        <v>1891</v>
      </c>
      <c r="B193" s="2" t="s">
        <v>1888</v>
      </c>
      <c r="C193" s="4">
        <v>4</v>
      </c>
      <c r="D193" s="5">
        <v>5.75</v>
      </c>
      <c r="E193" s="5">
        <v>14.99</v>
      </c>
      <c r="F193" s="4" t="s">
        <v>1889</v>
      </c>
      <c r="G193" s="2" t="s">
        <v>36</v>
      </c>
      <c r="H193" s="7"/>
      <c r="I193" s="2" t="s">
        <v>30</v>
      </c>
      <c r="J193" s="2" t="s">
        <v>1890</v>
      </c>
      <c r="K193" s="2" t="s">
        <v>304</v>
      </c>
      <c r="L193" s="2" t="s">
        <v>416</v>
      </c>
      <c r="M193" s="8" t="str">
        <f>HYPERLINK("http://slimages.macys.com/is/image/MCY/12224320 ")</f>
        <v xml:space="preserve">http://slimages.macys.com/is/image/MCY/12224320 </v>
      </c>
    </row>
    <row r="194" spans="1:13" ht="60" x14ac:dyDescent="0.25">
      <c r="A194" s="7" t="s">
        <v>6938</v>
      </c>
      <c r="B194" s="2" t="s">
        <v>6939</v>
      </c>
      <c r="C194" s="4">
        <v>2</v>
      </c>
      <c r="D194" s="5">
        <v>5.75</v>
      </c>
      <c r="E194" s="5">
        <v>14.99</v>
      </c>
      <c r="F194" s="4" t="s">
        <v>6940</v>
      </c>
      <c r="G194" s="2" t="s">
        <v>36</v>
      </c>
      <c r="H194" s="7"/>
      <c r="I194" s="2" t="s">
        <v>30</v>
      </c>
      <c r="J194" s="2" t="s">
        <v>1890</v>
      </c>
      <c r="K194" s="2" t="s">
        <v>304</v>
      </c>
      <c r="L194" s="2" t="s">
        <v>416</v>
      </c>
      <c r="M194" s="8" t="str">
        <f>HYPERLINK("http://slimages.macys.com/is/image/MCY/12224280 ")</f>
        <v xml:space="preserve">http://slimages.macys.com/is/image/MCY/12224280 </v>
      </c>
    </row>
    <row r="195" spans="1:13" ht="60" x14ac:dyDescent="0.25">
      <c r="A195" s="7" t="s">
        <v>1884</v>
      </c>
      <c r="B195" s="2" t="s">
        <v>1885</v>
      </c>
      <c r="C195" s="4">
        <v>1</v>
      </c>
      <c r="D195" s="5">
        <v>5.75</v>
      </c>
      <c r="E195" s="5">
        <v>12.99</v>
      </c>
      <c r="F195" s="4" t="s">
        <v>1886</v>
      </c>
      <c r="G195" s="2" t="s">
        <v>437</v>
      </c>
      <c r="H195" s="7" t="s">
        <v>590</v>
      </c>
      <c r="I195" s="2" t="s">
        <v>483</v>
      </c>
      <c r="J195" s="2" t="s">
        <v>536</v>
      </c>
      <c r="K195" s="2" t="s">
        <v>304</v>
      </c>
      <c r="L195" s="2" t="s">
        <v>596</v>
      </c>
      <c r="M195" s="8" t="str">
        <f>HYPERLINK("http://slimages.macys.com/is/image/MCY/12644485 ")</f>
        <v xml:space="preserve">http://slimages.macys.com/is/image/MCY/12644485 </v>
      </c>
    </row>
    <row r="196" spans="1:13" ht="60" x14ac:dyDescent="0.25">
      <c r="A196" s="7" t="s">
        <v>6941</v>
      </c>
      <c r="B196" s="2" t="s">
        <v>6942</v>
      </c>
      <c r="C196" s="4">
        <v>1</v>
      </c>
      <c r="D196" s="5">
        <v>5.7</v>
      </c>
      <c r="E196" s="5">
        <v>9.99</v>
      </c>
      <c r="F196" s="4" t="s">
        <v>6943</v>
      </c>
      <c r="G196" s="2" t="s">
        <v>36</v>
      </c>
      <c r="H196" s="7" t="s">
        <v>311</v>
      </c>
      <c r="I196" s="2" t="s">
        <v>73</v>
      </c>
      <c r="J196" s="2" t="s">
        <v>1963</v>
      </c>
      <c r="K196" s="2" t="s">
        <v>304</v>
      </c>
      <c r="L196" s="2" t="s">
        <v>119</v>
      </c>
      <c r="M196" s="8" t="str">
        <f>HYPERLINK("http://slimages.macys.com/is/image/MCY/12387375 ")</f>
        <v xml:space="preserve">http://slimages.macys.com/is/image/MCY/12387375 </v>
      </c>
    </row>
    <row r="197" spans="1:13" ht="108" x14ac:dyDescent="0.25">
      <c r="A197" s="7" t="s">
        <v>6944</v>
      </c>
      <c r="B197" s="2" t="s">
        <v>6945</v>
      </c>
      <c r="C197" s="4">
        <v>2</v>
      </c>
      <c r="D197" s="5">
        <v>5.7</v>
      </c>
      <c r="E197" s="5">
        <v>9.99</v>
      </c>
      <c r="F197" s="4" t="s">
        <v>6946</v>
      </c>
      <c r="G197" s="2" t="s">
        <v>41</v>
      </c>
      <c r="H197" s="7" t="s">
        <v>311</v>
      </c>
      <c r="I197" s="2" t="s">
        <v>73</v>
      </c>
      <c r="J197" s="2" t="s">
        <v>1963</v>
      </c>
      <c r="K197" s="2" t="s">
        <v>304</v>
      </c>
      <c r="L197" s="2" t="s">
        <v>6947</v>
      </c>
      <c r="M197" s="8" t="str">
        <f>HYPERLINK("http://slimages.macys.com/is/image/MCY/12684293 ")</f>
        <v xml:space="preserve">http://slimages.macys.com/is/image/MCY/12684293 </v>
      </c>
    </row>
    <row r="198" spans="1:13" ht="60" x14ac:dyDescent="0.25">
      <c r="A198" s="7" t="s">
        <v>6948</v>
      </c>
      <c r="B198" s="2" t="s">
        <v>6949</v>
      </c>
      <c r="C198" s="4">
        <v>1</v>
      </c>
      <c r="D198" s="5">
        <v>5.6</v>
      </c>
      <c r="E198" s="5">
        <v>16</v>
      </c>
      <c r="F198" s="4" t="s">
        <v>6950</v>
      </c>
      <c r="G198" s="2" t="s">
        <v>41</v>
      </c>
      <c r="H198" s="7" t="s">
        <v>228</v>
      </c>
      <c r="I198" s="2" t="s">
        <v>700</v>
      </c>
      <c r="J198" s="2" t="s">
        <v>2123</v>
      </c>
      <c r="K198" s="2" t="s">
        <v>304</v>
      </c>
      <c r="L198" s="2" t="s">
        <v>87</v>
      </c>
      <c r="M198" s="8" t="str">
        <f>HYPERLINK("http://slimages.macys.com/is/image/MCY/2495450 ")</f>
        <v xml:space="preserve">http://slimages.macys.com/is/image/MCY/2495450 </v>
      </c>
    </row>
    <row r="199" spans="1:13" ht="60" x14ac:dyDescent="0.25">
      <c r="A199" s="7" t="s">
        <v>6951</v>
      </c>
      <c r="B199" s="2" t="s">
        <v>6952</v>
      </c>
      <c r="C199" s="4">
        <v>1</v>
      </c>
      <c r="D199" s="5">
        <v>5.54</v>
      </c>
      <c r="E199" s="5">
        <v>16.989999999999998</v>
      </c>
      <c r="F199" s="4" t="s">
        <v>6953</v>
      </c>
      <c r="G199" s="2" t="s">
        <v>28</v>
      </c>
      <c r="H199" s="7" t="s">
        <v>159</v>
      </c>
      <c r="I199" s="2" t="s">
        <v>515</v>
      </c>
      <c r="J199" s="2" t="s">
        <v>827</v>
      </c>
      <c r="K199" s="2" t="s">
        <v>304</v>
      </c>
      <c r="L199" s="2" t="s">
        <v>358</v>
      </c>
      <c r="M199" s="8" t="str">
        <f>HYPERLINK("http://slimages.macys.com/is/image/MCY/3336452 ")</f>
        <v xml:space="preserve">http://slimages.macys.com/is/image/MCY/3336452 </v>
      </c>
    </row>
    <row r="200" spans="1:13" ht="60" x14ac:dyDescent="0.25">
      <c r="A200" s="7" t="s">
        <v>6954</v>
      </c>
      <c r="B200" s="2" t="s">
        <v>521</v>
      </c>
      <c r="C200" s="4">
        <v>3</v>
      </c>
      <c r="D200" s="5">
        <v>5.5</v>
      </c>
      <c r="E200" s="5">
        <v>14</v>
      </c>
      <c r="F200" s="4" t="s">
        <v>522</v>
      </c>
      <c r="G200" s="2" t="s">
        <v>41</v>
      </c>
      <c r="H200" s="7"/>
      <c r="I200" s="2" t="s">
        <v>523</v>
      </c>
      <c r="J200" s="2" t="s">
        <v>524</v>
      </c>
      <c r="K200" s="2" t="s">
        <v>304</v>
      </c>
      <c r="L200" s="2" t="s">
        <v>224</v>
      </c>
      <c r="M200" s="8" t="str">
        <f>HYPERLINK("http://slimages.macys.com/is/image/MCY/11797079 ")</f>
        <v xml:space="preserve">http://slimages.macys.com/is/image/MCY/11797079 </v>
      </c>
    </row>
    <row r="201" spans="1:13" ht="60" x14ac:dyDescent="0.25">
      <c r="A201" s="7" t="s">
        <v>520</v>
      </c>
      <c r="B201" s="2" t="s">
        <v>521</v>
      </c>
      <c r="C201" s="4">
        <v>3</v>
      </c>
      <c r="D201" s="5">
        <v>5.5</v>
      </c>
      <c r="E201" s="5">
        <v>14</v>
      </c>
      <c r="F201" s="4" t="s">
        <v>522</v>
      </c>
      <c r="G201" s="2" t="s">
        <v>62</v>
      </c>
      <c r="H201" s="7"/>
      <c r="I201" s="2" t="s">
        <v>523</v>
      </c>
      <c r="J201" s="2" t="s">
        <v>524</v>
      </c>
      <c r="K201" s="2" t="s">
        <v>304</v>
      </c>
      <c r="L201" s="2" t="s">
        <v>224</v>
      </c>
      <c r="M201" s="8" t="str">
        <f>HYPERLINK("http://slimages.macys.com/is/image/MCY/11797079 ")</f>
        <v xml:space="preserve">http://slimages.macys.com/is/image/MCY/11797079 </v>
      </c>
    </row>
    <row r="202" spans="1:13" ht="60" x14ac:dyDescent="0.25">
      <c r="A202" s="7" t="s">
        <v>3412</v>
      </c>
      <c r="B202" s="2" t="s">
        <v>521</v>
      </c>
      <c r="C202" s="4">
        <v>1</v>
      </c>
      <c r="D202" s="5">
        <v>5.5</v>
      </c>
      <c r="E202" s="5">
        <v>14</v>
      </c>
      <c r="F202" s="4" t="s">
        <v>522</v>
      </c>
      <c r="G202" s="2" t="s">
        <v>41</v>
      </c>
      <c r="H202" s="7"/>
      <c r="I202" s="2" t="s">
        <v>523</v>
      </c>
      <c r="J202" s="2" t="s">
        <v>524</v>
      </c>
      <c r="K202" s="2" t="s">
        <v>304</v>
      </c>
      <c r="L202" s="2" t="s">
        <v>224</v>
      </c>
      <c r="M202" s="8" t="str">
        <f>HYPERLINK("http://slimages.macys.com/is/image/MCY/11797079 ")</f>
        <v xml:space="preserve">http://slimages.macys.com/is/image/MCY/11797079 </v>
      </c>
    </row>
    <row r="203" spans="1:13" ht="60" x14ac:dyDescent="0.25">
      <c r="A203" s="7" t="s">
        <v>6332</v>
      </c>
      <c r="B203" s="2" t="s">
        <v>521</v>
      </c>
      <c r="C203" s="4">
        <v>1</v>
      </c>
      <c r="D203" s="5">
        <v>5.5</v>
      </c>
      <c r="E203" s="5">
        <v>14</v>
      </c>
      <c r="F203" s="4" t="s">
        <v>522</v>
      </c>
      <c r="G203" s="2" t="s">
        <v>62</v>
      </c>
      <c r="H203" s="7"/>
      <c r="I203" s="2" t="s">
        <v>523</v>
      </c>
      <c r="J203" s="2" t="s">
        <v>524</v>
      </c>
      <c r="K203" s="2" t="s">
        <v>304</v>
      </c>
      <c r="L203" s="2" t="s">
        <v>224</v>
      </c>
      <c r="M203" s="8" t="str">
        <f>HYPERLINK("http://slimages.macys.com/is/image/MCY/11797079 ")</f>
        <v xml:space="preserve">http://slimages.macys.com/is/image/MCY/11797079 </v>
      </c>
    </row>
    <row r="204" spans="1:13" ht="60" x14ac:dyDescent="0.25">
      <c r="A204" s="7" t="s">
        <v>6955</v>
      </c>
      <c r="B204" s="2" t="s">
        <v>6956</v>
      </c>
      <c r="C204" s="4">
        <v>1</v>
      </c>
      <c r="D204" s="5">
        <v>5.5</v>
      </c>
      <c r="E204" s="5">
        <v>10.99</v>
      </c>
      <c r="F204" s="4" t="s">
        <v>6957</v>
      </c>
      <c r="G204" s="2" t="s">
        <v>1265</v>
      </c>
      <c r="H204" s="7" t="s">
        <v>228</v>
      </c>
      <c r="I204" s="2" t="s">
        <v>73</v>
      </c>
      <c r="J204" s="2" t="s">
        <v>1917</v>
      </c>
      <c r="K204" s="2" t="s">
        <v>304</v>
      </c>
      <c r="L204" s="2" t="s">
        <v>125</v>
      </c>
      <c r="M204" s="8" t="str">
        <f>HYPERLINK("http://slimages.macys.com/is/image/MCY/12802344 ")</f>
        <v xml:space="preserve">http://slimages.macys.com/is/image/MCY/12802344 </v>
      </c>
    </row>
    <row r="205" spans="1:13" ht="60" x14ac:dyDescent="0.25">
      <c r="A205" s="7" t="s">
        <v>1079</v>
      </c>
      <c r="B205" s="2" t="s">
        <v>1078</v>
      </c>
      <c r="C205" s="4">
        <v>2</v>
      </c>
      <c r="D205" s="5">
        <v>5.5</v>
      </c>
      <c r="E205" s="5">
        <v>12.99</v>
      </c>
      <c r="F205" s="4">
        <v>6133</v>
      </c>
      <c r="G205" s="2" t="s">
        <v>36</v>
      </c>
      <c r="H205" s="7" t="s">
        <v>196</v>
      </c>
      <c r="I205" s="2" t="s">
        <v>523</v>
      </c>
      <c r="J205" s="2" t="s">
        <v>969</v>
      </c>
      <c r="K205" s="2" t="s">
        <v>304</v>
      </c>
      <c r="L205" s="2" t="s">
        <v>1036</v>
      </c>
      <c r="M205" s="8" t="str">
        <f>HYPERLINK("http://slimages.macys.com/is/image/MCY/13403932 ")</f>
        <v xml:space="preserve">http://slimages.macys.com/is/image/MCY/13403932 </v>
      </c>
    </row>
    <row r="206" spans="1:13" ht="60" x14ac:dyDescent="0.25">
      <c r="A206" s="7" t="s">
        <v>6958</v>
      </c>
      <c r="B206" s="2" t="s">
        <v>1750</v>
      </c>
      <c r="C206" s="4">
        <v>1</v>
      </c>
      <c r="D206" s="5">
        <v>5.5</v>
      </c>
      <c r="E206" s="5">
        <v>10.99</v>
      </c>
      <c r="F206" s="4" t="s">
        <v>5966</v>
      </c>
      <c r="G206" s="2" t="s">
        <v>36</v>
      </c>
      <c r="H206" s="7" t="s">
        <v>228</v>
      </c>
      <c r="I206" s="2" t="s">
        <v>73</v>
      </c>
      <c r="J206" s="2" t="s">
        <v>1917</v>
      </c>
      <c r="K206" s="2" t="s">
        <v>304</v>
      </c>
      <c r="L206" s="2" t="s">
        <v>5967</v>
      </c>
      <c r="M206" s="8" t="str">
        <f>HYPERLINK("http://slimages.macys.com/is/image/MCY/12789105 ")</f>
        <v xml:space="preserve">http://slimages.macys.com/is/image/MCY/12789105 </v>
      </c>
    </row>
    <row r="207" spans="1:13" ht="60" x14ac:dyDescent="0.25">
      <c r="A207" s="7" t="s">
        <v>5496</v>
      </c>
      <c r="B207" s="2" t="s">
        <v>1915</v>
      </c>
      <c r="C207" s="4">
        <v>1</v>
      </c>
      <c r="D207" s="5">
        <v>5.5</v>
      </c>
      <c r="E207" s="5">
        <v>10.99</v>
      </c>
      <c r="F207" s="4" t="s">
        <v>1916</v>
      </c>
      <c r="G207" s="2" t="s">
        <v>36</v>
      </c>
      <c r="H207" s="7" t="s">
        <v>228</v>
      </c>
      <c r="I207" s="2" t="s">
        <v>73</v>
      </c>
      <c r="J207" s="2" t="s">
        <v>1917</v>
      </c>
      <c r="K207" s="2" t="s">
        <v>304</v>
      </c>
      <c r="L207" s="2" t="s">
        <v>125</v>
      </c>
      <c r="M207" s="8" t="str">
        <f>HYPERLINK("http://slimages.macys.com/is/image/MCY/12235600 ")</f>
        <v xml:space="preserve">http://slimages.macys.com/is/image/MCY/12235600 </v>
      </c>
    </row>
    <row r="208" spans="1:13" ht="60" x14ac:dyDescent="0.25">
      <c r="A208" s="7" t="s">
        <v>1077</v>
      </c>
      <c r="B208" s="2" t="s">
        <v>1078</v>
      </c>
      <c r="C208" s="4">
        <v>3</v>
      </c>
      <c r="D208" s="5">
        <v>5.5</v>
      </c>
      <c r="E208" s="5">
        <v>12.99</v>
      </c>
      <c r="F208" s="4">
        <v>6133</v>
      </c>
      <c r="G208" s="2" t="s">
        <v>28</v>
      </c>
      <c r="H208" s="7" t="s">
        <v>196</v>
      </c>
      <c r="I208" s="2" t="s">
        <v>523</v>
      </c>
      <c r="J208" s="2" t="s">
        <v>969</v>
      </c>
      <c r="K208" s="2" t="s">
        <v>304</v>
      </c>
      <c r="L208" s="2" t="s">
        <v>1036</v>
      </c>
      <c r="M208" s="8" t="str">
        <f>HYPERLINK("http://slimages.macys.com/is/image/MCY/13403932 ")</f>
        <v xml:space="preserve">http://slimages.macys.com/is/image/MCY/13403932 </v>
      </c>
    </row>
    <row r="209" spans="1:13" ht="60" x14ac:dyDescent="0.25">
      <c r="A209" s="7" t="s">
        <v>6959</v>
      </c>
      <c r="B209" s="2" t="s">
        <v>1896</v>
      </c>
      <c r="C209" s="4">
        <v>1</v>
      </c>
      <c r="D209" s="5">
        <v>5.43</v>
      </c>
      <c r="E209" s="5">
        <v>12.99</v>
      </c>
      <c r="F209" s="4" t="s">
        <v>6960</v>
      </c>
      <c r="G209" s="2" t="s">
        <v>41</v>
      </c>
      <c r="H209" s="7" t="s">
        <v>91</v>
      </c>
      <c r="I209" s="2" t="s">
        <v>483</v>
      </c>
      <c r="J209" s="2" t="s">
        <v>536</v>
      </c>
      <c r="K209" s="2" t="s">
        <v>304</v>
      </c>
      <c r="L209" s="2" t="s">
        <v>596</v>
      </c>
      <c r="M209" s="8" t="str">
        <f>HYPERLINK("http://slimages.macys.com/is/image/MCY/12643349 ")</f>
        <v xml:space="preserve">http://slimages.macys.com/is/image/MCY/12643349 </v>
      </c>
    </row>
    <row r="210" spans="1:13" ht="60" x14ac:dyDescent="0.25">
      <c r="A210" s="7" t="s">
        <v>6961</v>
      </c>
      <c r="B210" s="2" t="s">
        <v>6962</v>
      </c>
      <c r="C210" s="4">
        <v>1</v>
      </c>
      <c r="D210" s="5">
        <v>5.28</v>
      </c>
      <c r="E210" s="5">
        <v>12.99</v>
      </c>
      <c r="F210" s="4" t="s">
        <v>6963</v>
      </c>
      <c r="G210" s="2" t="s">
        <v>48</v>
      </c>
      <c r="H210" s="7" t="s">
        <v>578</v>
      </c>
      <c r="I210" s="2" t="s">
        <v>515</v>
      </c>
      <c r="J210" s="2" t="s">
        <v>516</v>
      </c>
      <c r="K210" s="2" t="s">
        <v>304</v>
      </c>
      <c r="L210" s="2" t="s">
        <v>358</v>
      </c>
      <c r="M210" s="8" t="str">
        <f>HYPERLINK("http://slimages.macys.com/is/image/MCY/12235381 ")</f>
        <v xml:space="preserve">http://slimages.macys.com/is/image/MCY/12235381 </v>
      </c>
    </row>
    <row r="211" spans="1:13" ht="60" x14ac:dyDescent="0.25">
      <c r="A211" s="7" t="s">
        <v>6964</v>
      </c>
      <c r="B211" s="2" t="s">
        <v>6965</v>
      </c>
      <c r="C211" s="4">
        <v>1</v>
      </c>
      <c r="D211" s="5">
        <v>5.25</v>
      </c>
      <c r="E211" s="5">
        <v>12.21</v>
      </c>
      <c r="F211" s="4">
        <v>17854010</v>
      </c>
      <c r="G211" s="2" t="s">
        <v>653</v>
      </c>
      <c r="H211" s="7" t="s">
        <v>675</v>
      </c>
      <c r="I211" s="2" t="s">
        <v>153</v>
      </c>
      <c r="J211" s="2" t="s">
        <v>154</v>
      </c>
      <c r="K211" s="2" t="s">
        <v>304</v>
      </c>
      <c r="L211" s="2" t="s">
        <v>38</v>
      </c>
      <c r="M211" s="8" t="str">
        <f>HYPERLINK("http://slimages.macys.com/is/image/MCY/13852959 ")</f>
        <v xml:space="preserve">http://slimages.macys.com/is/image/MCY/13852959 </v>
      </c>
    </row>
    <row r="212" spans="1:13" ht="96" x14ac:dyDescent="0.25">
      <c r="A212" s="7" t="s">
        <v>1955</v>
      </c>
      <c r="B212" s="2" t="s">
        <v>1946</v>
      </c>
      <c r="C212" s="4">
        <v>1</v>
      </c>
      <c r="D212" s="5">
        <v>5.25</v>
      </c>
      <c r="E212" s="5">
        <v>14.99</v>
      </c>
      <c r="F212" s="4" t="s">
        <v>1947</v>
      </c>
      <c r="G212" s="2"/>
      <c r="H212" s="7" t="s">
        <v>442</v>
      </c>
      <c r="I212" s="2" t="s">
        <v>92</v>
      </c>
      <c r="J212" s="2" t="s">
        <v>1076</v>
      </c>
      <c r="K212" s="2" t="s">
        <v>304</v>
      </c>
      <c r="L212" s="2" t="s">
        <v>1948</v>
      </c>
      <c r="M212" s="8" t="str">
        <f>HYPERLINK("http://slimages.macys.com/is/image/MCY/15654526 ")</f>
        <v xml:space="preserve">http://slimages.macys.com/is/image/MCY/15654526 </v>
      </c>
    </row>
    <row r="213" spans="1:13" ht="60" x14ac:dyDescent="0.25">
      <c r="A213" s="7" t="s">
        <v>6966</v>
      </c>
      <c r="B213" s="2" t="s">
        <v>6967</v>
      </c>
      <c r="C213" s="4">
        <v>1</v>
      </c>
      <c r="D213" s="5">
        <v>5.25</v>
      </c>
      <c r="E213" s="5">
        <v>14.99</v>
      </c>
      <c r="F213" s="4" t="s">
        <v>6968</v>
      </c>
      <c r="G213" s="2" t="s">
        <v>238</v>
      </c>
      <c r="H213" s="7" t="s">
        <v>159</v>
      </c>
      <c r="I213" s="2" t="s">
        <v>523</v>
      </c>
      <c r="J213" s="2" t="s">
        <v>921</v>
      </c>
      <c r="K213" s="2" t="s">
        <v>304</v>
      </c>
      <c r="L213" s="2" t="s">
        <v>100</v>
      </c>
      <c r="M213" s="8" t="str">
        <f>HYPERLINK("http://slimages.macys.com/is/image/MCY/1961114 ")</f>
        <v xml:space="preserve">http://slimages.macys.com/is/image/MCY/1961114 </v>
      </c>
    </row>
    <row r="214" spans="1:13" ht="60" x14ac:dyDescent="0.25">
      <c r="A214" s="7" t="s">
        <v>6969</v>
      </c>
      <c r="B214" s="2" t="s">
        <v>6970</v>
      </c>
      <c r="C214" s="4">
        <v>1</v>
      </c>
      <c r="D214" s="5">
        <v>5.25</v>
      </c>
      <c r="E214" s="5">
        <v>12.77</v>
      </c>
      <c r="F214" s="4">
        <v>17880810</v>
      </c>
      <c r="G214" s="2"/>
      <c r="H214" s="7" t="s">
        <v>442</v>
      </c>
      <c r="I214" s="2" t="s">
        <v>153</v>
      </c>
      <c r="J214" s="2" t="s">
        <v>3580</v>
      </c>
      <c r="K214" s="2" t="s">
        <v>304</v>
      </c>
      <c r="L214" s="2" t="s">
        <v>125</v>
      </c>
      <c r="M214" s="8" t="str">
        <f>HYPERLINK("http://slimages.macys.com/is/image/MCY/13728577 ")</f>
        <v xml:space="preserve">http://slimages.macys.com/is/image/MCY/13728577 </v>
      </c>
    </row>
    <row r="215" spans="1:13" ht="60" x14ac:dyDescent="0.25">
      <c r="A215" s="7" t="s">
        <v>6971</v>
      </c>
      <c r="B215" s="2" t="s">
        <v>6972</v>
      </c>
      <c r="C215" s="4">
        <v>1</v>
      </c>
      <c r="D215" s="5">
        <v>5.25</v>
      </c>
      <c r="E215" s="5">
        <v>12.07</v>
      </c>
      <c r="F215" s="4">
        <v>15953011</v>
      </c>
      <c r="G215" s="2"/>
      <c r="H215" s="7" t="s">
        <v>91</v>
      </c>
      <c r="I215" s="2" t="s">
        <v>153</v>
      </c>
      <c r="J215" s="2" t="s">
        <v>3580</v>
      </c>
      <c r="K215" s="2" t="s">
        <v>304</v>
      </c>
      <c r="L215" s="2" t="s">
        <v>125</v>
      </c>
      <c r="M215" s="8" t="str">
        <f>HYPERLINK("http://slimages.macys.com/is/image/MCY/11387648 ")</f>
        <v xml:space="preserve">http://slimages.macys.com/is/image/MCY/11387648 </v>
      </c>
    </row>
    <row r="216" spans="1:13" ht="84" x14ac:dyDescent="0.25">
      <c r="A216" s="7" t="s">
        <v>6973</v>
      </c>
      <c r="B216" s="2" t="s">
        <v>6974</v>
      </c>
      <c r="C216" s="4">
        <v>1</v>
      </c>
      <c r="D216" s="5">
        <v>5.24</v>
      </c>
      <c r="E216" s="5">
        <v>13.99</v>
      </c>
      <c r="F216" s="4" t="s">
        <v>6975</v>
      </c>
      <c r="G216" s="2" t="s">
        <v>36</v>
      </c>
      <c r="H216" s="7" t="s">
        <v>228</v>
      </c>
      <c r="I216" s="2" t="s">
        <v>515</v>
      </c>
      <c r="J216" s="2" t="s">
        <v>827</v>
      </c>
      <c r="K216" s="2" t="s">
        <v>304</v>
      </c>
      <c r="L216" s="2" t="s">
        <v>1117</v>
      </c>
      <c r="M216" s="8" t="str">
        <f>HYPERLINK("http://slimages.macys.com/is/image/MCY/12687325 ")</f>
        <v xml:space="preserve">http://slimages.macys.com/is/image/MCY/12687325 </v>
      </c>
    </row>
    <row r="217" spans="1:13" ht="60" x14ac:dyDescent="0.25">
      <c r="A217" s="7" t="s">
        <v>6976</v>
      </c>
      <c r="B217" s="2" t="s">
        <v>6977</v>
      </c>
      <c r="C217" s="4">
        <v>1</v>
      </c>
      <c r="D217" s="5">
        <v>5.21</v>
      </c>
      <c r="E217" s="5">
        <v>12.99</v>
      </c>
      <c r="F217" s="4" t="s">
        <v>6978</v>
      </c>
      <c r="G217" s="2" t="s">
        <v>62</v>
      </c>
      <c r="H217" s="7" t="s">
        <v>284</v>
      </c>
      <c r="I217" s="2" t="s">
        <v>515</v>
      </c>
      <c r="J217" s="2" t="s">
        <v>827</v>
      </c>
      <c r="K217" s="2" t="s">
        <v>304</v>
      </c>
      <c r="L217" s="2" t="s">
        <v>358</v>
      </c>
      <c r="M217" s="8" t="str">
        <f>HYPERLINK("http://slimages.macys.com/is/image/MCY/9977576 ")</f>
        <v xml:space="preserve">http://slimages.macys.com/is/image/MCY/9977576 </v>
      </c>
    </row>
    <row r="218" spans="1:13" ht="60" x14ac:dyDescent="0.25">
      <c r="A218" s="7" t="s">
        <v>6979</v>
      </c>
      <c r="B218" s="2" t="s">
        <v>6980</v>
      </c>
      <c r="C218" s="4">
        <v>1</v>
      </c>
      <c r="D218" s="5">
        <v>5.2</v>
      </c>
      <c r="E218" s="5">
        <v>10.4</v>
      </c>
      <c r="F218" s="4" t="s">
        <v>6981</v>
      </c>
      <c r="G218" s="2" t="s">
        <v>165</v>
      </c>
      <c r="H218" s="7" t="s">
        <v>209</v>
      </c>
      <c r="I218" s="2" t="s">
        <v>487</v>
      </c>
      <c r="J218" s="2" t="s">
        <v>488</v>
      </c>
      <c r="K218" s="2" t="s">
        <v>304</v>
      </c>
      <c r="L218" s="2" t="s">
        <v>206</v>
      </c>
      <c r="M218" s="8" t="str">
        <f>HYPERLINK("http://slimages.macys.com/is/image/MCY/12051904 ")</f>
        <v xml:space="preserve">http://slimages.macys.com/is/image/MCY/12051904 </v>
      </c>
    </row>
    <row r="219" spans="1:13" ht="60" x14ac:dyDescent="0.25">
      <c r="A219" s="7" t="s">
        <v>6982</v>
      </c>
      <c r="B219" s="2" t="s">
        <v>5038</v>
      </c>
      <c r="C219" s="4">
        <v>1</v>
      </c>
      <c r="D219" s="5">
        <v>5.19</v>
      </c>
      <c r="E219" s="5">
        <v>14.99</v>
      </c>
      <c r="F219" s="4" t="s">
        <v>5039</v>
      </c>
      <c r="G219" s="2" t="s">
        <v>785</v>
      </c>
      <c r="H219" s="7" t="s">
        <v>63</v>
      </c>
      <c r="I219" s="2" t="s">
        <v>1689</v>
      </c>
      <c r="J219" s="2" t="s">
        <v>354</v>
      </c>
      <c r="K219" s="2" t="s">
        <v>304</v>
      </c>
      <c r="L219" s="2" t="s">
        <v>119</v>
      </c>
      <c r="M219" s="8" t="str">
        <f>HYPERLINK("http://slimages.macys.com/is/image/MCY/12938570 ")</f>
        <v xml:space="preserve">http://slimages.macys.com/is/image/MCY/12938570 </v>
      </c>
    </row>
    <row r="220" spans="1:13" ht="60" x14ac:dyDescent="0.25">
      <c r="A220" s="7" t="s">
        <v>1088</v>
      </c>
      <c r="B220" s="2" t="s">
        <v>1089</v>
      </c>
      <c r="C220" s="4">
        <v>3</v>
      </c>
      <c r="D220" s="5">
        <v>5.13</v>
      </c>
      <c r="E220" s="5">
        <v>14.98</v>
      </c>
      <c r="F220" s="4" t="s">
        <v>1090</v>
      </c>
      <c r="G220" s="2" t="s">
        <v>1091</v>
      </c>
      <c r="H220" s="7" t="s">
        <v>531</v>
      </c>
      <c r="I220" s="2" t="s">
        <v>483</v>
      </c>
      <c r="J220" s="2" t="s">
        <v>536</v>
      </c>
      <c r="K220" s="2" t="s">
        <v>304</v>
      </c>
      <c r="L220" s="2" t="s">
        <v>125</v>
      </c>
      <c r="M220" s="8" t="str">
        <f>HYPERLINK("http://slimages.macys.com/is/image/MCY/12646584 ")</f>
        <v xml:space="preserve">http://slimages.macys.com/is/image/MCY/12646584 </v>
      </c>
    </row>
    <row r="221" spans="1:13" ht="72" x14ac:dyDescent="0.25">
      <c r="A221" s="7" t="s">
        <v>6983</v>
      </c>
      <c r="B221" s="2" t="s">
        <v>6984</v>
      </c>
      <c r="C221" s="4">
        <v>1</v>
      </c>
      <c r="D221" s="5">
        <v>5</v>
      </c>
      <c r="E221" s="5">
        <v>12.99</v>
      </c>
      <c r="F221" s="4">
        <v>10003197100</v>
      </c>
      <c r="G221" s="2" t="s">
        <v>437</v>
      </c>
      <c r="H221" s="7"/>
      <c r="I221" s="2" t="s">
        <v>483</v>
      </c>
      <c r="J221" s="2" t="s">
        <v>536</v>
      </c>
      <c r="K221" s="2" t="s">
        <v>304</v>
      </c>
      <c r="L221" s="2" t="s">
        <v>6985</v>
      </c>
      <c r="M221" s="8" t="str">
        <f>HYPERLINK("http://slimages.macys.com/is/image/MCY/10429512 ")</f>
        <v xml:space="preserve">http://slimages.macys.com/is/image/MCY/10429512 </v>
      </c>
    </row>
    <row r="222" spans="1:13" ht="60" x14ac:dyDescent="0.25">
      <c r="A222" s="7" t="s">
        <v>1098</v>
      </c>
      <c r="B222" s="2" t="s">
        <v>1099</v>
      </c>
      <c r="C222" s="4">
        <v>3</v>
      </c>
      <c r="D222" s="5">
        <v>5</v>
      </c>
      <c r="E222" s="5">
        <v>11.99</v>
      </c>
      <c r="F222" s="4">
        <v>2581</v>
      </c>
      <c r="G222" s="2" t="s">
        <v>28</v>
      </c>
      <c r="H222" s="7" t="s">
        <v>196</v>
      </c>
      <c r="I222" s="2" t="s">
        <v>523</v>
      </c>
      <c r="J222" s="2" t="s">
        <v>921</v>
      </c>
      <c r="K222" s="2" t="s">
        <v>304</v>
      </c>
      <c r="L222" s="2" t="s">
        <v>323</v>
      </c>
      <c r="M222" s="8" t="str">
        <f>HYPERLINK("http://slimages.macys.com/is/image/MCY/13050178 ")</f>
        <v xml:space="preserve">http://slimages.macys.com/is/image/MCY/13050178 </v>
      </c>
    </row>
    <row r="223" spans="1:13" ht="60" x14ac:dyDescent="0.25">
      <c r="A223" s="7" t="s">
        <v>6986</v>
      </c>
      <c r="B223" s="2" t="s">
        <v>6956</v>
      </c>
      <c r="C223" s="4">
        <v>1</v>
      </c>
      <c r="D223" s="5">
        <v>5</v>
      </c>
      <c r="E223" s="5">
        <v>9.99</v>
      </c>
      <c r="F223" s="4" t="s">
        <v>6987</v>
      </c>
      <c r="G223" s="2" t="s">
        <v>1265</v>
      </c>
      <c r="H223" s="7" t="s">
        <v>68</v>
      </c>
      <c r="I223" s="2" t="s">
        <v>73</v>
      </c>
      <c r="J223" s="2" t="s">
        <v>1963</v>
      </c>
      <c r="K223" s="2" t="s">
        <v>304</v>
      </c>
      <c r="L223" s="2" t="s">
        <v>125</v>
      </c>
      <c r="M223" s="8" t="str">
        <f>HYPERLINK("http://slimages.macys.com/is/image/MCY/12802344 ")</f>
        <v xml:space="preserve">http://slimages.macys.com/is/image/MCY/12802344 </v>
      </c>
    </row>
    <row r="224" spans="1:13" ht="60" x14ac:dyDescent="0.25">
      <c r="A224" s="7" t="s">
        <v>6988</v>
      </c>
      <c r="B224" s="2" t="s">
        <v>6989</v>
      </c>
      <c r="C224" s="4">
        <v>1</v>
      </c>
      <c r="D224" s="5">
        <v>5</v>
      </c>
      <c r="E224" s="5">
        <v>8.99</v>
      </c>
      <c r="F224" s="4" t="s">
        <v>6990</v>
      </c>
      <c r="G224" s="2" t="s">
        <v>41</v>
      </c>
      <c r="H224" s="7" t="s">
        <v>228</v>
      </c>
      <c r="I224" s="2" t="s">
        <v>73</v>
      </c>
      <c r="J224" s="2" t="s">
        <v>1917</v>
      </c>
      <c r="K224" s="2" t="s">
        <v>304</v>
      </c>
      <c r="L224" s="2" t="s">
        <v>119</v>
      </c>
      <c r="M224" s="8" t="str">
        <f>HYPERLINK("http://slimages.macys.com/is/image/MCY/12284138 ")</f>
        <v xml:space="preserve">http://slimages.macys.com/is/image/MCY/12284138 </v>
      </c>
    </row>
    <row r="225" spans="1:13" ht="60" x14ac:dyDescent="0.25">
      <c r="A225" s="7" t="s">
        <v>1100</v>
      </c>
      <c r="B225" s="2" t="s">
        <v>1099</v>
      </c>
      <c r="C225" s="4">
        <v>2</v>
      </c>
      <c r="D225" s="5">
        <v>5</v>
      </c>
      <c r="E225" s="5">
        <v>11.99</v>
      </c>
      <c r="F225" s="4">
        <v>2581</v>
      </c>
      <c r="G225" s="2" t="s">
        <v>28</v>
      </c>
      <c r="H225" s="7" t="s">
        <v>228</v>
      </c>
      <c r="I225" s="2" t="s">
        <v>523</v>
      </c>
      <c r="J225" s="2" t="s">
        <v>921</v>
      </c>
      <c r="K225" s="2" t="s">
        <v>304</v>
      </c>
      <c r="L225" s="2" t="s">
        <v>323</v>
      </c>
      <c r="M225" s="8" t="str">
        <f>HYPERLINK("http://slimages.macys.com/is/image/MCY/13050178 ")</f>
        <v xml:space="preserve">http://slimages.macys.com/is/image/MCY/13050178 </v>
      </c>
    </row>
    <row r="226" spans="1:13" ht="60" x14ac:dyDescent="0.25">
      <c r="A226" s="7" t="s">
        <v>6346</v>
      </c>
      <c r="B226" s="2" t="s">
        <v>6347</v>
      </c>
      <c r="C226" s="4">
        <v>2</v>
      </c>
      <c r="D226" s="5">
        <v>4.8</v>
      </c>
      <c r="E226" s="5">
        <v>9.99</v>
      </c>
      <c r="F226" s="4">
        <v>15953811</v>
      </c>
      <c r="G226" s="2"/>
      <c r="H226" s="7" t="s">
        <v>482</v>
      </c>
      <c r="I226" s="2" t="s">
        <v>153</v>
      </c>
      <c r="J226" s="2" t="s">
        <v>154</v>
      </c>
      <c r="K226" s="2" t="s">
        <v>304</v>
      </c>
      <c r="L226" s="2" t="s">
        <v>206</v>
      </c>
      <c r="M226" s="8" t="str">
        <f>HYPERLINK("http://slimages.macys.com/is/image/MCY/10705158 ")</f>
        <v xml:space="preserve">http://slimages.macys.com/is/image/MCY/10705158 </v>
      </c>
    </row>
    <row r="227" spans="1:13" ht="60" x14ac:dyDescent="0.25">
      <c r="A227" s="7" t="s">
        <v>6991</v>
      </c>
      <c r="B227" s="2" t="s">
        <v>6347</v>
      </c>
      <c r="C227" s="4">
        <v>1</v>
      </c>
      <c r="D227" s="5">
        <v>4.8</v>
      </c>
      <c r="E227" s="5">
        <v>9.99</v>
      </c>
      <c r="F227" s="4">
        <v>15953811</v>
      </c>
      <c r="G227" s="2"/>
      <c r="H227" s="7" t="s">
        <v>233</v>
      </c>
      <c r="I227" s="2" t="s">
        <v>153</v>
      </c>
      <c r="J227" s="2" t="s">
        <v>154</v>
      </c>
      <c r="K227" s="2" t="s">
        <v>304</v>
      </c>
      <c r="L227" s="2" t="s">
        <v>206</v>
      </c>
      <c r="M227" s="8" t="str">
        <f>HYPERLINK("http://slimages.macys.com/is/image/MCY/10705158 ")</f>
        <v xml:space="preserve">http://slimages.macys.com/is/image/MCY/10705158 </v>
      </c>
    </row>
    <row r="228" spans="1:13" ht="60" x14ac:dyDescent="0.25">
      <c r="A228" s="7" t="s">
        <v>6992</v>
      </c>
      <c r="B228" s="2" t="s">
        <v>6993</v>
      </c>
      <c r="C228" s="4">
        <v>1</v>
      </c>
      <c r="D228" s="5">
        <v>4.8</v>
      </c>
      <c r="E228" s="5">
        <v>9.99</v>
      </c>
      <c r="F228" s="4">
        <v>16638110</v>
      </c>
      <c r="G228" s="2"/>
      <c r="H228" s="7" t="s">
        <v>233</v>
      </c>
      <c r="I228" s="2" t="s">
        <v>153</v>
      </c>
      <c r="J228" s="2" t="s">
        <v>154</v>
      </c>
      <c r="K228" s="2" t="s">
        <v>304</v>
      </c>
      <c r="L228" s="2" t="s">
        <v>206</v>
      </c>
      <c r="M228" s="8" t="str">
        <f>HYPERLINK("http://slimages.macys.com/is/image/MCY/10705162 ")</f>
        <v xml:space="preserve">http://slimages.macys.com/is/image/MCY/10705162 </v>
      </c>
    </row>
    <row r="229" spans="1:13" ht="60" x14ac:dyDescent="0.25">
      <c r="A229" s="7" t="s">
        <v>6994</v>
      </c>
      <c r="B229" s="2" t="s">
        <v>6995</v>
      </c>
      <c r="C229" s="4">
        <v>1</v>
      </c>
      <c r="D229" s="5">
        <v>4.8</v>
      </c>
      <c r="E229" s="5">
        <v>9.99</v>
      </c>
      <c r="F229" s="4" t="s">
        <v>6996</v>
      </c>
      <c r="G229" s="2" t="s">
        <v>41</v>
      </c>
      <c r="H229" s="7" t="s">
        <v>675</v>
      </c>
      <c r="I229" s="2" t="s">
        <v>153</v>
      </c>
      <c r="J229" s="2" t="s">
        <v>154</v>
      </c>
      <c r="K229" s="2" t="s">
        <v>304</v>
      </c>
      <c r="L229" s="2" t="s">
        <v>206</v>
      </c>
      <c r="M229" s="8" t="str">
        <f>HYPERLINK("http://slimages.macys.com/is/image/MCY/9857304 ")</f>
        <v xml:space="preserve">http://slimages.macys.com/is/image/MCY/9857304 </v>
      </c>
    </row>
    <row r="230" spans="1:13" ht="60" x14ac:dyDescent="0.25">
      <c r="A230" s="7" t="s">
        <v>6997</v>
      </c>
      <c r="B230" s="2" t="s">
        <v>6998</v>
      </c>
      <c r="C230" s="4">
        <v>2</v>
      </c>
      <c r="D230" s="5">
        <v>4.8</v>
      </c>
      <c r="E230" s="5">
        <v>9.99</v>
      </c>
      <c r="F230" s="4">
        <v>15951812</v>
      </c>
      <c r="G230" s="2"/>
      <c r="H230" s="7" t="s">
        <v>482</v>
      </c>
      <c r="I230" s="2" t="s">
        <v>153</v>
      </c>
      <c r="J230" s="2" t="s">
        <v>154</v>
      </c>
      <c r="K230" s="2" t="s">
        <v>304</v>
      </c>
      <c r="L230" s="2" t="s">
        <v>206</v>
      </c>
      <c r="M230" s="8" t="str">
        <f>HYPERLINK("http://slimages.macys.com/is/image/MCY/10756223 ")</f>
        <v xml:space="preserve">http://slimages.macys.com/is/image/MCY/10756223 </v>
      </c>
    </row>
    <row r="231" spans="1:13" ht="60" x14ac:dyDescent="0.25">
      <c r="A231" s="7" t="s">
        <v>6999</v>
      </c>
      <c r="B231" s="2" t="s">
        <v>7000</v>
      </c>
      <c r="C231" s="4">
        <v>1</v>
      </c>
      <c r="D231" s="5">
        <v>4.8</v>
      </c>
      <c r="E231" s="5">
        <v>9.99</v>
      </c>
      <c r="F231" s="4">
        <v>16787910</v>
      </c>
      <c r="G231" s="2"/>
      <c r="H231" s="7" t="s">
        <v>482</v>
      </c>
      <c r="I231" s="2" t="s">
        <v>153</v>
      </c>
      <c r="J231" s="2" t="s">
        <v>154</v>
      </c>
      <c r="K231" s="2" t="s">
        <v>304</v>
      </c>
      <c r="L231" s="2" t="s">
        <v>38</v>
      </c>
      <c r="M231" s="8" t="str">
        <f>HYPERLINK("http://slimages.macys.com/is/image/MCY/10705156 ")</f>
        <v xml:space="preserve">http://slimages.macys.com/is/image/MCY/10705156 </v>
      </c>
    </row>
    <row r="232" spans="1:13" ht="60" x14ac:dyDescent="0.25">
      <c r="A232" s="7" t="s">
        <v>7001</v>
      </c>
      <c r="B232" s="2" t="s">
        <v>7002</v>
      </c>
      <c r="C232" s="4">
        <v>1</v>
      </c>
      <c r="D232" s="5">
        <v>4.8</v>
      </c>
      <c r="E232" s="5">
        <v>9.99</v>
      </c>
      <c r="F232" s="4" t="s">
        <v>7003</v>
      </c>
      <c r="G232" s="2" t="s">
        <v>41</v>
      </c>
      <c r="H232" s="7" t="s">
        <v>675</v>
      </c>
      <c r="I232" s="2" t="s">
        <v>153</v>
      </c>
      <c r="J232" s="2" t="s">
        <v>154</v>
      </c>
      <c r="K232" s="2" t="s">
        <v>304</v>
      </c>
      <c r="L232" s="2" t="s">
        <v>75</v>
      </c>
      <c r="M232" s="8" t="str">
        <f>HYPERLINK("http://slimages.macys.com/is/image/MCY/9857312 ")</f>
        <v xml:space="preserve">http://slimages.macys.com/is/image/MCY/9857312 </v>
      </c>
    </row>
    <row r="233" spans="1:13" ht="60" x14ac:dyDescent="0.25">
      <c r="A233" s="7" t="s">
        <v>7004</v>
      </c>
      <c r="B233" s="2" t="s">
        <v>7005</v>
      </c>
      <c r="C233" s="4">
        <v>1</v>
      </c>
      <c r="D233" s="5">
        <v>4.8</v>
      </c>
      <c r="E233" s="5">
        <v>9.99</v>
      </c>
      <c r="F233" s="4">
        <v>16579910</v>
      </c>
      <c r="G233" s="2"/>
      <c r="H233" s="7" t="s">
        <v>482</v>
      </c>
      <c r="I233" s="2" t="s">
        <v>153</v>
      </c>
      <c r="J233" s="2" t="s">
        <v>154</v>
      </c>
      <c r="K233" s="2" t="s">
        <v>304</v>
      </c>
      <c r="L233" s="2" t="s">
        <v>87</v>
      </c>
      <c r="M233" s="8" t="str">
        <f>HYPERLINK("http://slimages.macys.com/is/image/MCY/12049291 ")</f>
        <v xml:space="preserve">http://slimages.macys.com/is/image/MCY/12049291 </v>
      </c>
    </row>
    <row r="234" spans="1:13" ht="60" x14ac:dyDescent="0.25">
      <c r="A234" s="7" t="s">
        <v>7006</v>
      </c>
      <c r="B234" s="2" t="s">
        <v>1086</v>
      </c>
      <c r="C234" s="4">
        <v>1</v>
      </c>
      <c r="D234" s="5">
        <v>4.75</v>
      </c>
      <c r="E234" s="5">
        <v>11.99</v>
      </c>
      <c r="F234" s="4">
        <v>4217</v>
      </c>
      <c r="G234" s="2" t="s">
        <v>582</v>
      </c>
      <c r="H234" s="7" t="s">
        <v>196</v>
      </c>
      <c r="I234" s="2" t="s">
        <v>523</v>
      </c>
      <c r="J234" s="2" t="s">
        <v>921</v>
      </c>
      <c r="K234" s="2" t="s">
        <v>304</v>
      </c>
      <c r="L234" s="2" t="s">
        <v>323</v>
      </c>
      <c r="M234" s="8" t="str">
        <f>HYPERLINK("http://slimages.macys.com/is/image/MCY/13050181 ")</f>
        <v xml:space="preserve">http://slimages.macys.com/is/image/MCY/13050181 </v>
      </c>
    </row>
    <row r="235" spans="1:13" ht="60" x14ac:dyDescent="0.25">
      <c r="A235" s="7" t="s">
        <v>7007</v>
      </c>
      <c r="B235" s="2" t="s">
        <v>2058</v>
      </c>
      <c r="C235" s="4">
        <v>1</v>
      </c>
      <c r="D235" s="5">
        <v>4.75</v>
      </c>
      <c r="E235" s="5">
        <v>8.99</v>
      </c>
      <c r="F235" s="4" t="s">
        <v>7008</v>
      </c>
      <c r="G235" s="2" t="s">
        <v>36</v>
      </c>
      <c r="H235" s="7" t="s">
        <v>228</v>
      </c>
      <c r="I235" s="2" t="s">
        <v>73</v>
      </c>
      <c r="J235" s="2" t="s">
        <v>1917</v>
      </c>
      <c r="K235" s="2" t="s">
        <v>304</v>
      </c>
      <c r="L235" s="2" t="s">
        <v>119</v>
      </c>
      <c r="M235" s="8" t="str">
        <f>HYPERLINK("http://slimages.macys.com/is/image/MCY/11272141 ")</f>
        <v xml:space="preserve">http://slimages.macys.com/is/image/MCY/11272141 </v>
      </c>
    </row>
    <row r="236" spans="1:13" ht="60" x14ac:dyDescent="0.25">
      <c r="A236" s="7" t="s">
        <v>4210</v>
      </c>
      <c r="B236" s="2" t="s">
        <v>1086</v>
      </c>
      <c r="C236" s="4">
        <v>2</v>
      </c>
      <c r="D236" s="5">
        <v>4.75</v>
      </c>
      <c r="E236" s="5">
        <v>11.99</v>
      </c>
      <c r="F236" s="4">
        <v>4217</v>
      </c>
      <c r="G236" s="2" t="s">
        <v>582</v>
      </c>
      <c r="H236" s="7" t="s">
        <v>159</v>
      </c>
      <c r="I236" s="2" t="s">
        <v>523</v>
      </c>
      <c r="J236" s="2" t="s">
        <v>921</v>
      </c>
      <c r="K236" s="2" t="s">
        <v>304</v>
      </c>
      <c r="L236" s="2" t="s">
        <v>323</v>
      </c>
      <c r="M236" s="8" t="str">
        <f>HYPERLINK("http://slimages.macys.com/is/image/MCY/13050181 ")</f>
        <v xml:space="preserve">http://slimages.macys.com/is/image/MCY/13050181 </v>
      </c>
    </row>
    <row r="237" spans="1:13" ht="108" x14ac:dyDescent="0.25">
      <c r="A237" s="7" t="s">
        <v>2000</v>
      </c>
      <c r="B237" s="2" t="s">
        <v>1996</v>
      </c>
      <c r="C237" s="4">
        <v>1</v>
      </c>
      <c r="D237" s="5">
        <v>4.67</v>
      </c>
      <c r="E237" s="5">
        <v>12</v>
      </c>
      <c r="F237" s="4" t="s">
        <v>1997</v>
      </c>
      <c r="G237" s="2" t="s">
        <v>437</v>
      </c>
      <c r="H237" s="7"/>
      <c r="I237" s="2" t="s">
        <v>483</v>
      </c>
      <c r="J237" s="2" t="s">
        <v>536</v>
      </c>
      <c r="K237" s="2" t="s">
        <v>304</v>
      </c>
      <c r="L237" s="2" t="s">
        <v>1998</v>
      </c>
      <c r="M237" s="8" t="str">
        <f>HYPERLINK("http://slimages.macys.com/is/image/MCY/12466268 ")</f>
        <v xml:space="preserve">http://slimages.macys.com/is/image/MCY/12466268 </v>
      </c>
    </row>
    <row r="238" spans="1:13" ht="84" x14ac:dyDescent="0.25">
      <c r="A238" s="7" t="s">
        <v>7009</v>
      </c>
      <c r="B238" s="2" t="s">
        <v>2011</v>
      </c>
      <c r="C238" s="4">
        <v>1</v>
      </c>
      <c r="D238" s="5">
        <v>4.59</v>
      </c>
      <c r="E238" s="5">
        <v>12.99</v>
      </c>
      <c r="F238" s="4" t="s">
        <v>2012</v>
      </c>
      <c r="G238" s="2" t="s">
        <v>28</v>
      </c>
      <c r="H238" s="7" t="s">
        <v>159</v>
      </c>
      <c r="I238" s="2" t="s">
        <v>515</v>
      </c>
      <c r="J238" s="2" t="s">
        <v>827</v>
      </c>
      <c r="K238" s="2" t="s">
        <v>304</v>
      </c>
      <c r="L238" s="2" t="s">
        <v>1117</v>
      </c>
      <c r="M238" s="8" t="str">
        <f>HYPERLINK("http://slimages.macys.com/is/image/MCY/11606013 ")</f>
        <v xml:space="preserve">http://slimages.macys.com/is/image/MCY/11606013 </v>
      </c>
    </row>
    <row r="239" spans="1:13" ht="60" x14ac:dyDescent="0.25">
      <c r="A239" s="7" t="s">
        <v>7010</v>
      </c>
      <c r="B239" s="2" t="s">
        <v>3466</v>
      </c>
      <c r="C239" s="4">
        <v>1</v>
      </c>
      <c r="D239" s="5">
        <v>4.5</v>
      </c>
      <c r="E239" s="5">
        <v>10.99</v>
      </c>
      <c r="F239" s="4" t="s">
        <v>3467</v>
      </c>
      <c r="G239" s="2" t="s">
        <v>28</v>
      </c>
      <c r="H239" s="7" t="s">
        <v>228</v>
      </c>
      <c r="I239" s="2" t="s">
        <v>523</v>
      </c>
      <c r="J239" s="2" t="s">
        <v>921</v>
      </c>
      <c r="K239" s="2" t="s">
        <v>304</v>
      </c>
      <c r="L239" s="2" t="s">
        <v>3468</v>
      </c>
      <c r="M239" s="8" t="str">
        <f>HYPERLINK("http://slimages.macys.com/is/image/MCY/11247949 ")</f>
        <v xml:space="preserve">http://slimages.macys.com/is/image/MCY/11247949 </v>
      </c>
    </row>
    <row r="240" spans="1:13" ht="60" x14ac:dyDescent="0.25">
      <c r="A240" s="7" t="s">
        <v>2022</v>
      </c>
      <c r="B240" s="2" t="s">
        <v>2023</v>
      </c>
      <c r="C240" s="4">
        <v>2</v>
      </c>
      <c r="D240" s="5">
        <v>4.46</v>
      </c>
      <c r="E240" s="5">
        <v>12</v>
      </c>
      <c r="F240" s="4" t="s">
        <v>2024</v>
      </c>
      <c r="G240" s="2" t="s">
        <v>437</v>
      </c>
      <c r="H240" s="7" t="s">
        <v>586</v>
      </c>
      <c r="I240" s="2" t="s">
        <v>483</v>
      </c>
      <c r="J240" s="2" t="s">
        <v>536</v>
      </c>
      <c r="K240" s="2" t="s">
        <v>304</v>
      </c>
      <c r="L240" s="2" t="s">
        <v>1207</v>
      </c>
      <c r="M240" s="8" t="str">
        <f>HYPERLINK("http://slimages.macys.com/is/image/MCY/12466266 ")</f>
        <v xml:space="preserve">http://slimages.macys.com/is/image/MCY/12466266 </v>
      </c>
    </row>
    <row r="241" spans="1:13" ht="60" x14ac:dyDescent="0.25">
      <c r="A241" s="7" t="s">
        <v>2026</v>
      </c>
      <c r="B241" s="2" t="s">
        <v>2023</v>
      </c>
      <c r="C241" s="4">
        <v>1</v>
      </c>
      <c r="D241" s="5">
        <v>4.46</v>
      </c>
      <c r="E241" s="5">
        <v>12</v>
      </c>
      <c r="F241" s="4" t="s">
        <v>2024</v>
      </c>
      <c r="G241" s="2" t="s">
        <v>437</v>
      </c>
      <c r="H241" s="7" t="s">
        <v>604</v>
      </c>
      <c r="I241" s="2" t="s">
        <v>483</v>
      </c>
      <c r="J241" s="2" t="s">
        <v>536</v>
      </c>
      <c r="K241" s="2" t="s">
        <v>304</v>
      </c>
      <c r="L241" s="2" t="s">
        <v>1207</v>
      </c>
      <c r="M241" s="8" t="str">
        <f>HYPERLINK("http://slimages.macys.com/is/image/MCY/12466266 ")</f>
        <v xml:space="preserve">http://slimages.macys.com/is/image/MCY/12466266 </v>
      </c>
    </row>
    <row r="242" spans="1:13" ht="60" x14ac:dyDescent="0.25">
      <c r="A242" s="7" t="s">
        <v>7011</v>
      </c>
      <c r="B242" s="2" t="s">
        <v>4234</v>
      </c>
      <c r="C242" s="4">
        <v>1</v>
      </c>
      <c r="D242" s="5">
        <v>4.4000000000000004</v>
      </c>
      <c r="E242" s="5">
        <v>8.99</v>
      </c>
      <c r="F242" s="4">
        <v>16475215</v>
      </c>
      <c r="G242" s="2"/>
      <c r="H242" s="7" t="s">
        <v>42</v>
      </c>
      <c r="I242" s="2" t="s">
        <v>153</v>
      </c>
      <c r="J242" s="2" t="s">
        <v>154</v>
      </c>
      <c r="K242" s="2" t="s">
        <v>304</v>
      </c>
      <c r="L242" s="2" t="s">
        <v>206</v>
      </c>
      <c r="M242" s="8" t="str">
        <f>HYPERLINK("http://slimages.macys.com/is/image/MCY/12051816 ")</f>
        <v xml:space="preserve">http://slimages.macys.com/is/image/MCY/12051816 </v>
      </c>
    </row>
    <row r="243" spans="1:13" ht="60" x14ac:dyDescent="0.25">
      <c r="A243" s="7" t="s">
        <v>1135</v>
      </c>
      <c r="B243" s="2" t="s">
        <v>1136</v>
      </c>
      <c r="C243" s="4">
        <v>1</v>
      </c>
      <c r="D243" s="5">
        <v>4.38</v>
      </c>
      <c r="E243" s="5">
        <v>11.98</v>
      </c>
      <c r="F243" s="4">
        <v>10006013400</v>
      </c>
      <c r="G243" s="2" t="s">
        <v>107</v>
      </c>
      <c r="H243" s="7" t="s">
        <v>531</v>
      </c>
      <c r="I243" s="2" t="s">
        <v>483</v>
      </c>
      <c r="J243" s="2" t="s">
        <v>536</v>
      </c>
      <c r="K243" s="2" t="s">
        <v>304</v>
      </c>
      <c r="L243" s="2" t="s">
        <v>125</v>
      </c>
      <c r="M243" s="8" t="str">
        <f>HYPERLINK("http://slimages.macys.com/is/image/MCY/12646586 ")</f>
        <v xml:space="preserve">http://slimages.macys.com/is/image/MCY/12646586 </v>
      </c>
    </row>
    <row r="244" spans="1:13" ht="60" x14ac:dyDescent="0.25">
      <c r="A244" s="7" t="s">
        <v>7012</v>
      </c>
      <c r="B244" s="2" t="s">
        <v>2049</v>
      </c>
      <c r="C244" s="4">
        <v>1</v>
      </c>
      <c r="D244" s="5">
        <v>4.32</v>
      </c>
      <c r="E244" s="5">
        <v>10.99</v>
      </c>
      <c r="F244" s="4">
        <v>10005384800</v>
      </c>
      <c r="G244" s="2" t="s">
        <v>86</v>
      </c>
      <c r="H244" s="7"/>
      <c r="I244" s="2" t="s">
        <v>483</v>
      </c>
      <c r="J244" s="2" t="s">
        <v>536</v>
      </c>
      <c r="K244" s="2" t="s">
        <v>304</v>
      </c>
      <c r="L244" s="2" t="s">
        <v>119</v>
      </c>
      <c r="M244" s="8" t="str">
        <f>HYPERLINK("http://slimages.macys.com/is/image/MCY/12465277 ")</f>
        <v xml:space="preserve">http://slimages.macys.com/is/image/MCY/12465277 </v>
      </c>
    </row>
    <row r="245" spans="1:13" ht="60" x14ac:dyDescent="0.25">
      <c r="A245" s="7" t="s">
        <v>7013</v>
      </c>
      <c r="B245" s="2" t="s">
        <v>2049</v>
      </c>
      <c r="C245" s="4">
        <v>1</v>
      </c>
      <c r="D245" s="5">
        <v>4.32</v>
      </c>
      <c r="E245" s="5">
        <v>10.99</v>
      </c>
      <c r="F245" s="4">
        <v>10005384800</v>
      </c>
      <c r="G245" s="2" t="s">
        <v>1360</v>
      </c>
      <c r="H245" s="7" t="s">
        <v>149</v>
      </c>
      <c r="I245" s="2" t="s">
        <v>483</v>
      </c>
      <c r="J245" s="2" t="s">
        <v>536</v>
      </c>
      <c r="K245" s="2" t="s">
        <v>304</v>
      </c>
      <c r="L245" s="2" t="s">
        <v>119</v>
      </c>
      <c r="M245" s="8" t="str">
        <f>HYPERLINK("http://slimages.macys.com/is/image/MCY/12465277 ")</f>
        <v xml:space="preserve">http://slimages.macys.com/is/image/MCY/12465277 </v>
      </c>
    </row>
    <row r="246" spans="1:13" ht="60" x14ac:dyDescent="0.25">
      <c r="A246" s="7" t="s">
        <v>2066</v>
      </c>
      <c r="B246" s="2" t="s">
        <v>1991</v>
      </c>
      <c r="C246" s="4">
        <v>2</v>
      </c>
      <c r="D246" s="5">
        <v>4.25</v>
      </c>
      <c r="E246" s="5">
        <v>5.99</v>
      </c>
      <c r="F246" s="4" t="s">
        <v>2061</v>
      </c>
      <c r="G246" s="2" t="s">
        <v>653</v>
      </c>
      <c r="H246" s="7" t="s">
        <v>311</v>
      </c>
      <c r="I246" s="2" t="s">
        <v>73</v>
      </c>
      <c r="J246" s="2" t="s">
        <v>1963</v>
      </c>
      <c r="K246" s="2" t="s">
        <v>304</v>
      </c>
      <c r="L246" s="2" t="s">
        <v>125</v>
      </c>
      <c r="M246" s="8" t="str">
        <f>HYPERLINK("http://slimages.macys.com/is/image/MCY/13726811 ")</f>
        <v xml:space="preserve">http://slimages.macys.com/is/image/MCY/13726811 </v>
      </c>
    </row>
    <row r="247" spans="1:13" ht="60" x14ac:dyDescent="0.25">
      <c r="A247" s="7" t="s">
        <v>2065</v>
      </c>
      <c r="B247" s="2" t="s">
        <v>1991</v>
      </c>
      <c r="C247" s="4">
        <v>1</v>
      </c>
      <c r="D247" s="5">
        <v>4.25</v>
      </c>
      <c r="E247" s="5">
        <v>5.99</v>
      </c>
      <c r="F247" s="4" t="s">
        <v>2061</v>
      </c>
      <c r="G247" s="2" t="s">
        <v>653</v>
      </c>
      <c r="H247" s="7" t="s">
        <v>317</v>
      </c>
      <c r="I247" s="2" t="s">
        <v>73</v>
      </c>
      <c r="J247" s="2" t="s">
        <v>1963</v>
      </c>
      <c r="K247" s="2" t="s">
        <v>304</v>
      </c>
      <c r="L247" s="2" t="s">
        <v>125</v>
      </c>
      <c r="M247" s="8" t="str">
        <f>HYPERLINK("http://slimages.macys.com/is/image/MCY/13726811 ")</f>
        <v xml:space="preserve">http://slimages.macys.com/is/image/MCY/13726811 </v>
      </c>
    </row>
    <row r="248" spans="1:13" ht="60" x14ac:dyDescent="0.25">
      <c r="A248" s="7" t="s">
        <v>7014</v>
      </c>
      <c r="B248" s="2" t="s">
        <v>2071</v>
      </c>
      <c r="C248" s="4">
        <v>2</v>
      </c>
      <c r="D248" s="5">
        <v>4.25</v>
      </c>
      <c r="E248" s="5">
        <v>7.99</v>
      </c>
      <c r="F248" s="4" t="s">
        <v>2072</v>
      </c>
      <c r="G248" s="2" t="s">
        <v>41</v>
      </c>
      <c r="H248" s="7" t="s">
        <v>68</v>
      </c>
      <c r="I248" s="2" t="s">
        <v>73</v>
      </c>
      <c r="J248" s="2" t="s">
        <v>1963</v>
      </c>
      <c r="K248" s="2" t="s">
        <v>304</v>
      </c>
      <c r="L248" s="2" t="s">
        <v>119</v>
      </c>
      <c r="M248" s="8" t="str">
        <f>HYPERLINK("http://slimages.macys.com/is/image/MCY/12684273 ")</f>
        <v xml:space="preserve">http://slimages.macys.com/is/image/MCY/12684273 </v>
      </c>
    </row>
    <row r="249" spans="1:13" ht="60" x14ac:dyDescent="0.25">
      <c r="A249" s="7" t="s">
        <v>2073</v>
      </c>
      <c r="B249" s="2" t="s">
        <v>1991</v>
      </c>
      <c r="C249" s="4">
        <v>1</v>
      </c>
      <c r="D249" s="5">
        <v>4.25</v>
      </c>
      <c r="E249" s="5">
        <v>5.99</v>
      </c>
      <c r="F249" s="4" t="s">
        <v>2061</v>
      </c>
      <c r="G249" s="2" t="s">
        <v>653</v>
      </c>
      <c r="H249" s="7" t="s">
        <v>63</v>
      </c>
      <c r="I249" s="2" t="s">
        <v>73</v>
      </c>
      <c r="J249" s="2" t="s">
        <v>1963</v>
      </c>
      <c r="K249" s="2" t="s">
        <v>304</v>
      </c>
      <c r="L249" s="2" t="s">
        <v>125</v>
      </c>
      <c r="M249" s="8" t="str">
        <f>HYPERLINK("http://slimages.macys.com/is/image/MCY/13726811 ")</f>
        <v xml:space="preserve">http://slimages.macys.com/is/image/MCY/13726811 </v>
      </c>
    </row>
    <row r="250" spans="1:13" ht="60" x14ac:dyDescent="0.25">
      <c r="A250" s="7" t="s">
        <v>7015</v>
      </c>
      <c r="B250" s="2" t="s">
        <v>1991</v>
      </c>
      <c r="C250" s="4">
        <v>1</v>
      </c>
      <c r="D250" s="5">
        <v>4.25</v>
      </c>
      <c r="E250" s="5">
        <v>5.99</v>
      </c>
      <c r="F250" s="4" t="s">
        <v>2061</v>
      </c>
      <c r="G250" s="2" t="s">
        <v>36</v>
      </c>
      <c r="H250" s="7" t="s">
        <v>144</v>
      </c>
      <c r="I250" s="2" t="s">
        <v>73</v>
      </c>
      <c r="J250" s="2" t="s">
        <v>1963</v>
      </c>
      <c r="K250" s="2" t="s">
        <v>304</v>
      </c>
      <c r="L250" s="2" t="s">
        <v>125</v>
      </c>
      <c r="M250" s="8" t="str">
        <f>HYPERLINK("http://slimages.macys.com/is/image/MCY/13726811 ")</f>
        <v xml:space="preserve">http://slimages.macys.com/is/image/MCY/13726811 </v>
      </c>
    </row>
    <row r="251" spans="1:13" ht="60" x14ac:dyDescent="0.25">
      <c r="A251" s="7" t="s">
        <v>7016</v>
      </c>
      <c r="B251" s="2" t="s">
        <v>7017</v>
      </c>
      <c r="C251" s="4">
        <v>1</v>
      </c>
      <c r="D251" s="5">
        <v>4.16</v>
      </c>
      <c r="E251" s="5">
        <v>10.99</v>
      </c>
      <c r="F251" s="4" t="s">
        <v>7018</v>
      </c>
      <c r="G251" s="2" t="s">
        <v>62</v>
      </c>
      <c r="H251" s="7" t="s">
        <v>1151</v>
      </c>
      <c r="I251" s="2" t="s">
        <v>1689</v>
      </c>
      <c r="J251" s="2" t="s">
        <v>354</v>
      </c>
      <c r="K251" s="2" t="s">
        <v>304</v>
      </c>
      <c r="L251" s="2" t="s">
        <v>358</v>
      </c>
      <c r="M251" s="8" t="str">
        <f>HYPERLINK("http://slimages.macys.com/is/image/MCY/13076986 ")</f>
        <v xml:space="preserve">http://slimages.macys.com/is/image/MCY/13076986 </v>
      </c>
    </row>
    <row r="252" spans="1:13" ht="60" x14ac:dyDescent="0.25">
      <c r="A252" s="7" t="s">
        <v>3476</v>
      </c>
      <c r="B252" s="2" t="s">
        <v>2086</v>
      </c>
      <c r="C252" s="4">
        <v>1</v>
      </c>
      <c r="D252" s="5">
        <v>4.1500000000000004</v>
      </c>
      <c r="E252" s="5">
        <v>5.99</v>
      </c>
      <c r="F252" s="4" t="s">
        <v>2087</v>
      </c>
      <c r="G252" s="2" t="s">
        <v>262</v>
      </c>
      <c r="H252" s="7" t="s">
        <v>144</v>
      </c>
      <c r="I252" s="2" t="s">
        <v>80</v>
      </c>
      <c r="J252" s="2" t="s">
        <v>1857</v>
      </c>
      <c r="K252" s="2" t="s">
        <v>304</v>
      </c>
      <c r="L252" s="2" t="s">
        <v>119</v>
      </c>
      <c r="M252" s="8" t="str">
        <f>HYPERLINK("http://slimages.macys.com/is/image/MCY/10205209 ")</f>
        <v xml:space="preserve">http://slimages.macys.com/is/image/MCY/10205209 </v>
      </c>
    </row>
    <row r="253" spans="1:13" ht="60" x14ac:dyDescent="0.25">
      <c r="A253" s="7" t="s">
        <v>2081</v>
      </c>
      <c r="B253" s="2" t="s">
        <v>2075</v>
      </c>
      <c r="C253" s="4">
        <v>1</v>
      </c>
      <c r="D253" s="5">
        <v>4.1500000000000004</v>
      </c>
      <c r="E253" s="5">
        <v>10.99</v>
      </c>
      <c r="F253" s="4" t="s">
        <v>2076</v>
      </c>
      <c r="G253" s="2"/>
      <c r="H253" s="7"/>
      <c r="I253" s="2" t="s">
        <v>312</v>
      </c>
      <c r="J253" s="2" t="s">
        <v>2077</v>
      </c>
      <c r="K253" s="2" t="s">
        <v>304</v>
      </c>
      <c r="L253" s="2" t="s">
        <v>2078</v>
      </c>
      <c r="M253" s="8" t="str">
        <f>HYPERLINK("http://slimages.macys.com/is/image/MCY/12045142 ")</f>
        <v xml:space="preserve">http://slimages.macys.com/is/image/MCY/12045142 </v>
      </c>
    </row>
    <row r="254" spans="1:13" ht="60" x14ac:dyDescent="0.25">
      <c r="A254" s="7" t="s">
        <v>6005</v>
      </c>
      <c r="B254" s="2" t="s">
        <v>6006</v>
      </c>
      <c r="C254" s="4">
        <v>1</v>
      </c>
      <c r="D254" s="5">
        <v>4.05</v>
      </c>
      <c r="E254" s="5">
        <v>12.99</v>
      </c>
      <c r="F254" s="4" t="s">
        <v>6007</v>
      </c>
      <c r="G254" s="2" t="s">
        <v>437</v>
      </c>
      <c r="H254" s="7" t="s">
        <v>531</v>
      </c>
      <c r="I254" s="2" t="s">
        <v>483</v>
      </c>
      <c r="J254" s="2" t="s">
        <v>536</v>
      </c>
      <c r="K254" s="2" t="s">
        <v>304</v>
      </c>
      <c r="L254" s="2" t="s">
        <v>2711</v>
      </c>
      <c r="M254" s="8" t="str">
        <f>HYPERLINK("http://slimages.macys.com/is/image/MCY/12230704 ")</f>
        <v xml:space="preserve">http://slimages.macys.com/is/image/MCY/12230704 </v>
      </c>
    </row>
    <row r="255" spans="1:13" ht="60" x14ac:dyDescent="0.25">
      <c r="A255" s="7" t="s">
        <v>1145</v>
      </c>
      <c r="B255" s="2" t="s">
        <v>1146</v>
      </c>
      <c r="C255" s="4">
        <v>1</v>
      </c>
      <c r="D255" s="5">
        <v>4.03</v>
      </c>
      <c r="E255" s="5">
        <v>11.98</v>
      </c>
      <c r="F255" s="4">
        <v>10006013300</v>
      </c>
      <c r="G255" s="2" t="s">
        <v>1147</v>
      </c>
      <c r="H255" s="7" t="s">
        <v>531</v>
      </c>
      <c r="I255" s="2" t="s">
        <v>483</v>
      </c>
      <c r="J255" s="2" t="s">
        <v>536</v>
      </c>
      <c r="K255" s="2" t="s">
        <v>304</v>
      </c>
      <c r="L255" s="2" t="s">
        <v>125</v>
      </c>
      <c r="M255" s="8" t="str">
        <f>HYPERLINK("http://slimages.macys.com/is/image/MCY/12465711 ")</f>
        <v xml:space="preserve">http://slimages.macys.com/is/image/MCY/12465711 </v>
      </c>
    </row>
    <row r="256" spans="1:13" ht="60" x14ac:dyDescent="0.25">
      <c r="A256" s="7" t="s">
        <v>7019</v>
      </c>
      <c r="B256" s="2" t="s">
        <v>7020</v>
      </c>
      <c r="C256" s="4">
        <v>1</v>
      </c>
      <c r="D256" s="5">
        <v>4</v>
      </c>
      <c r="E256" s="5">
        <v>9.99</v>
      </c>
      <c r="F256" s="4" t="s">
        <v>7021</v>
      </c>
      <c r="G256" s="2" t="s">
        <v>41</v>
      </c>
      <c r="H256" s="7" t="s">
        <v>123</v>
      </c>
      <c r="I256" s="2" t="s">
        <v>342</v>
      </c>
      <c r="J256" s="2" t="s">
        <v>1613</v>
      </c>
      <c r="K256" s="2" t="s">
        <v>304</v>
      </c>
      <c r="L256" s="2" t="s">
        <v>119</v>
      </c>
      <c r="M256" s="8" t="str">
        <f>HYPERLINK("http://slimages.macys.com/is/image/MCY/12831995 ")</f>
        <v xml:space="preserve">http://slimages.macys.com/is/image/MCY/12831995 </v>
      </c>
    </row>
    <row r="257" spans="1:13" ht="60" x14ac:dyDescent="0.25">
      <c r="A257" s="7" t="s">
        <v>7022</v>
      </c>
      <c r="B257" s="2" t="s">
        <v>2675</v>
      </c>
      <c r="C257" s="4">
        <v>1</v>
      </c>
      <c r="D257" s="5">
        <v>4</v>
      </c>
      <c r="E257" s="5">
        <v>10.99</v>
      </c>
      <c r="F257" s="4" t="s">
        <v>2676</v>
      </c>
      <c r="G257" s="2" t="s">
        <v>347</v>
      </c>
      <c r="H257" s="7" t="s">
        <v>228</v>
      </c>
      <c r="I257" s="2" t="s">
        <v>389</v>
      </c>
      <c r="J257" s="2" t="s">
        <v>354</v>
      </c>
      <c r="K257" s="2" t="s">
        <v>304</v>
      </c>
      <c r="L257" s="2" t="s">
        <v>390</v>
      </c>
      <c r="M257" s="8" t="str">
        <f>HYPERLINK("http://slimages.macys.com/is/image/MCY/12898616 ")</f>
        <v xml:space="preserve">http://slimages.macys.com/is/image/MCY/12898616 </v>
      </c>
    </row>
    <row r="258" spans="1:13" ht="60" x14ac:dyDescent="0.25">
      <c r="A258" s="7" t="s">
        <v>2101</v>
      </c>
      <c r="B258" s="2" t="s">
        <v>2102</v>
      </c>
      <c r="C258" s="4">
        <v>2</v>
      </c>
      <c r="D258" s="5">
        <v>3.82</v>
      </c>
      <c r="E258" s="5">
        <v>16.8</v>
      </c>
      <c r="F258" s="4" t="s">
        <v>2103</v>
      </c>
      <c r="G258" s="2" t="s">
        <v>437</v>
      </c>
      <c r="H258" s="7" t="s">
        <v>531</v>
      </c>
      <c r="I258" s="2" t="s">
        <v>483</v>
      </c>
      <c r="J258" s="2" t="s">
        <v>536</v>
      </c>
      <c r="K258" s="2" t="s">
        <v>304</v>
      </c>
      <c r="L258" s="2"/>
      <c r="M258" s="8" t="str">
        <f>HYPERLINK("http://slimages.macys.com/is/image/MCY/12466269 ")</f>
        <v xml:space="preserve">http://slimages.macys.com/is/image/MCY/12466269 </v>
      </c>
    </row>
    <row r="259" spans="1:13" ht="60" x14ac:dyDescent="0.25">
      <c r="A259" s="7" t="s">
        <v>7023</v>
      </c>
      <c r="B259" s="2" t="s">
        <v>7024</v>
      </c>
      <c r="C259" s="4">
        <v>1</v>
      </c>
      <c r="D259" s="5">
        <v>3.75</v>
      </c>
      <c r="E259" s="5">
        <v>8.99</v>
      </c>
      <c r="F259" s="4" t="s">
        <v>7025</v>
      </c>
      <c r="G259" s="2" t="s">
        <v>793</v>
      </c>
      <c r="H259" s="7" t="s">
        <v>317</v>
      </c>
      <c r="I259" s="2" t="s">
        <v>380</v>
      </c>
      <c r="J259" s="2" t="s">
        <v>7026</v>
      </c>
      <c r="K259" s="2" t="s">
        <v>304</v>
      </c>
      <c r="L259" s="2" t="s">
        <v>38</v>
      </c>
      <c r="M259" s="8" t="str">
        <f>HYPERLINK("http://slimages.macys.com/is/image/MCY/11389162 ")</f>
        <v xml:space="preserve">http://slimages.macys.com/is/image/MCY/11389162 </v>
      </c>
    </row>
    <row r="260" spans="1:13" ht="60" x14ac:dyDescent="0.25">
      <c r="A260" s="7" t="s">
        <v>7027</v>
      </c>
      <c r="B260" s="2" t="s">
        <v>6404</v>
      </c>
      <c r="C260" s="4">
        <v>1</v>
      </c>
      <c r="D260" s="5">
        <v>3.64</v>
      </c>
      <c r="E260" s="5">
        <v>9.99</v>
      </c>
      <c r="F260" s="4" t="s">
        <v>6405</v>
      </c>
      <c r="G260" s="2" t="s">
        <v>41</v>
      </c>
      <c r="H260" s="7" t="s">
        <v>442</v>
      </c>
      <c r="I260" s="2" t="s">
        <v>483</v>
      </c>
      <c r="J260" s="2" t="s">
        <v>536</v>
      </c>
      <c r="K260" s="2" t="s">
        <v>304</v>
      </c>
      <c r="L260" s="2" t="s">
        <v>119</v>
      </c>
      <c r="M260" s="8" t="str">
        <f>HYPERLINK("http://slimages.macys.com/is/image/MCY/12641470 ")</f>
        <v xml:space="preserve">http://slimages.macys.com/is/image/MCY/12641470 </v>
      </c>
    </row>
    <row r="261" spans="1:13" ht="60" x14ac:dyDescent="0.25">
      <c r="A261" s="7" t="s">
        <v>2682</v>
      </c>
      <c r="B261" s="2" t="s">
        <v>2113</v>
      </c>
      <c r="C261" s="4">
        <v>1</v>
      </c>
      <c r="D261" s="5">
        <v>3.58</v>
      </c>
      <c r="E261" s="5">
        <v>8.99</v>
      </c>
      <c r="F261" s="4" t="s">
        <v>2114</v>
      </c>
      <c r="G261" s="2" t="s">
        <v>297</v>
      </c>
      <c r="H261" s="7" t="s">
        <v>442</v>
      </c>
      <c r="I261" s="2" t="s">
        <v>483</v>
      </c>
      <c r="J261" s="2" t="s">
        <v>536</v>
      </c>
      <c r="K261" s="2" t="s">
        <v>304</v>
      </c>
      <c r="L261" s="2" t="s">
        <v>119</v>
      </c>
      <c r="M261" s="8" t="str">
        <f>HYPERLINK("http://slimages.macys.com/is/image/MCY/13987501 ")</f>
        <v xml:space="preserve">http://slimages.macys.com/is/image/MCY/13987501 </v>
      </c>
    </row>
    <row r="262" spans="1:13" ht="60" x14ac:dyDescent="0.25">
      <c r="A262" s="7" t="s">
        <v>2681</v>
      </c>
      <c r="B262" s="2" t="s">
        <v>2113</v>
      </c>
      <c r="C262" s="4">
        <v>2</v>
      </c>
      <c r="D262" s="5">
        <v>3.58</v>
      </c>
      <c r="E262" s="5">
        <v>8.99</v>
      </c>
      <c r="F262" s="4" t="s">
        <v>2114</v>
      </c>
      <c r="G262" s="2" t="s">
        <v>297</v>
      </c>
      <c r="H262" s="7" t="s">
        <v>590</v>
      </c>
      <c r="I262" s="2" t="s">
        <v>483</v>
      </c>
      <c r="J262" s="2" t="s">
        <v>536</v>
      </c>
      <c r="K262" s="2" t="s">
        <v>304</v>
      </c>
      <c r="L262" s="2" t="s">
        <v>119</v>
      </c>
      <c r="M262" s="8" t="str">
        <f>HYPERLINK("http://slimages.macys.com/is/image/MCY/13987501 ")</f>
        <v xml:space="preserve">http://slimages.macys.com/is/image/MCY/13987501 </v>
      </c>
    </row>
    <row r="263" spans="1:13" ht="60" x14ac:dyDescent="0.25">
      <c r="A263" s="7" t="s">
        <v>2115</v>
      </c>
      <c r="B263" s="2" t="s">
        <v>2113</v>
      </c>
      <c r="C263" s="4">
        <v>1</v>
      </c>
      <c r="D263" s="5">
        <v>3.58</v>
      </c>
      <c r="E263" s="5">
        <v>8.99</v>
      </c>
      <c r="F263" s="4" t="s">
        <v>2114</v>
      </c>
      <c r="G263" s="2" t="s">
        <v>297</v>
      </c>
      <c r="H263" s="7" t="s">
        <v>149</v>
      </c>
      <c r="I263" s="2" t="s">
        <v>483</v>
      </c>
      <c r="J263" s="2" t="s">
        <v>536</v>
      </c>
      <c r="K263" s="2" t="s">
        <v>304</v>
      </c>
      <c r="L263" s="2" t="s">
        <v>119</v>
      </c>
      <c r="M263" s="8" t="str">
        <f>HYPERLINK("http://slimages.macys.com/is/image/MCY/13987501 ")</f>
        <v xml:space="preserve">http://slimages.macys.com/is/image/MCY/13987501 </v>
      </c>
    </row>
    <row r="264" spans="1:13" ht="60" x14ac:dyDescent="0.25">
      <c r="A264" s="7" t="s">
        <v>2118</v>
      </c>
      <c r="B264" s="2" t="s">
        <v>2117</v>
      </c>
      <c r="C264" s="4">
        <v>1</v>
      </c>
      <c r="D264" s="5">
        <v>3.51</v>
      </c>
      <c r="E264" s="5">
        <v>8.99</v>
      </c>
      <c r="F264" s="4">
        <v>10006320100</v>
      </c>
      <c r="G264" s="2" t="s">
        <v>134</v>
      </c>
      <c r="H264" s="7" t="s">
        <v>590</v>
      </c>
      <c r="I264" s="2" t="s">
        <v>483</v>
      </c>
      <c r="J264" s="2" t="s">
        <v>536</v>
      </c>
      <c r="K264" s="2" t="s">
        <v>304</v>
      </c>
      <c r="L264" s="2" t="s">
        <v>38</v>
      </c>
      <c r="M264" s="8" t="str">
        <f>HYPERLINK("http://slimages.macys.com/is/image/MCY/13987499 ")</f>
        <v xml:space="preserve">http://slimages.macys.com/is/image/MCY/13987499 </v>
      </c>
    </row>
    <row r="265" spans="1:13" ht="60" x14ac:dyDescent="0.25">
      <c r="A265" s="7" t="s">
        <v>2116</v>
      </c>
      <c r="B265" s="2" t="s">
        <v>2117</v>
      </c>
      <c r="C265" s="4">
        <v>2</v>
      </c>
      <c r="D265" s="5">
        <v>3.51</v>
      </c>
      <c r="E265" s="5">
        <v>8.99</v>
      </c>
      <c r="F265" s="4">
        <v>10006320100</v>
      </c>
      <c r="G265" s="2" t="s">
        <v>134</v>
      </c>
      <c r="H265" s="7"/>
      <c r="I265" s="2" t="s">
        <v>483</v>
      </c>
      <c r="J265" s="2" t="s">
        <v>536</v>
      </c>
      <c r="K265" s="2" t="s">
        <v>304</v>
      </c>
      <c r="L265" s="2" t="s">
        <v>38</v>
      </c>
      <c r="M265" s="8" t="str">
        <f>HYPERLINK("http://slimages.macys.com/is/image/MCY/13987499 ")</f>
        <v xml:space="preserve">http://slimages.macys.com/is/image/MCY/13987499 </v>
      </c>
    </row>
    <row r="266" spans="1:13" ht="60" x14ac:dyDescent="0.25">
      <c r="A266" s="7" t="s">
        <v>4281</v>
      </c>
      <c r="B266" s="2" t="s">
        <v>2117</v>
      </c>
      <c r="C266" s="4">
        <v>1</v>
      </c>
      <c r="D266" s="5">
        <v>3.51</v>
      </c>
      <c r="E266" s="5">
        <v>8.99</v>
      </c>
      <c r="F266" s="4">
        <v>10006320100</v>
      </c>
      <c r="G266" s="2" t="s">
        <v>134</v>
      </c>
      <c r="H266" s="7" t="s">
        <v>482</v>
      </c>
      <c r="I266" s="2" t="s">
        <v>483</v>
      </c>
      <c r="J266" s="2" t="s">
        <v>536</v>
      </c>
      <c r="K266" s="2" t="s">
        <v>304</v>
      </c>
      <c r="L266" s="2" t="s">
        <v>38</v>
      </c>
      <c r="M266" s="8" t="str">
        <f>HYPERLINK("http://slimages.macys.com/is/image/MCY/13987499 ")</f>
        <v xml:space="preserve">http://slimages.macys.com/is/image/MCY/13987499 </v>
      </c>
    </row>
    <row r="267" spans="1:13" ht="60" x14ac:dyDescent="0.25">
      <c r="A267" s="7" t="s">
        <v>7028</v>
      </c>
      <c r="B267" s="2" t="s">
        <v>7029</v>
      </c>
      <c r="C267" s="4">
        <v>1</v>
      </c>
      <c r="D267" s="5">
        <v>3.5</v>
      </c>
      <c r="E267" s="5">
        <v>7.99</v>
      </c>
      <c r="F267" s="4">
        <v>18192810</v>
      </c>
      <c r="G267" s="2" t="s">
        <v>28</v>
      </c>
      <c r="H267" s="7" t="s">
        <v>442</v>
      </c>
      <c r="I267" s="2" t="s">
        <v>153</v>
      </c>
      <c r="J267" s="2" t="s">
        <v>154</v>
      </c>
      <c r="K267" s="2" t="s">
        <v>304</v>
      </c>
      <c r="L267" s="2" t="s">
        <v>38</v>
      </c>
      <c r="M267" s="8" t="str">
        <f>HYPERLINK("http://slimages.macys.com/is/image/MCY/13852973 ")</f>
        <v xml:space="preserve">http://slimages.macys.com/is/image/MCY/13852973 </v>
      </c>
    </row>
    <row r="268" spans="1:13" ht="60" x14ac:dyDescent="0.25">
      <c r="A268" s="7" t="s">
        <v>7030</v>
      </c>
      <c r="B268" s="2" t="s">
        <v>7031</v>
      </c>
      <c r="C268" s="4">
        <v>1</v>
      </c>
      <c r="D268" s="5">
        <v>3.5</v>
      </c>
      <c r="E268" s="5">
        <v>7.99</v>
      </c>
      <c r="F268" s="4">
        <v>18203110</v>
      </c>
      <c r="G268" s="2" t="s">
        <v>752</v>
      </c>
      <c r="H268" s="7" t="s">
        <v>438</v>
      </c>
      <c r="I268" s="2" t="s">
        <v>153</v>
      </c>
      <c r="J268" s="2" t="s">
        <v>154</v>
      </c>
      <c r="K268" s="2" t="s">
        <v>304</v>
      </c>
      <c r="L268" s="2" t="s">
        <v>38</v>
      </c>
      <c r="M268" s="8" t="str">
        <f>HYPERLINK("http://slimages.macys.com/is/image/MCY/13852967 ")</f>
        <v xml:space="preserve">http://slimages.macys.com/is/image/MCY/13852967 </v>
      </c>
    </row>
    <row r="269" spans="1:13" ht="60" x14ac:dyDescent="0.25">
      <c r="A269" s="7" t="s">
        <v>7032</v>
      </c>
      <c r="B269" s="2" t="s">
        <v>558</v>
      </c>
      <c r="C269" s="4">
        <v>1</v>
      </c>
      <c r="D269" s="5">
        <v>3.5</v>
      </c>
      <c r="E269" s="5">
        <v>7.99</v>
      </c>
      <c r="F269" s="4">
        <v>18192210</v>
      </c>
      <c r="G269" s="2" t="s">
        <v>36</v>
      </c>
      <c r="H269" s="7" t="s">
        <v>42</v>
      </c>
      <c r="I269" s="2" t="s">
        <v>153</v>
      </c>
      <c r="J269" s="2" t="s">
        <v>154</v>
      </c>
      <c r="K269" s="2" t="s">
        <v>304</v>
      </c>
      <c r="L269" s="2" t="s">
        <v>38</v>
      </c>
      <c r="M269" s="8" t="str">
        <f>HYPERLINK("http://slimages.macys.com/is/image/MCY/13852974 ")</f>
        <v xml:space="preserve">http://slimages.macys.com/is/image/MCY/13852974 </v>
      </c>
    </row>
    <row r="270" spans="1:13" ht="60" x14ac:dyDescent="0.25">
      <c r="A270" s="7" t="s">
        <v>7033</v>
      </c>
      <c r="B270" s="2" t="s">
        <v>2128</v>
      </c>
      <c r="C270" s="4">
        <v>1</v>
      </c>
      <c r="D270" s="5">
        <v>3.48</v>
      </c>
      <c r="E270" s="5">
        <v>5.99</v>
      </c>
      <c r="F270" s="4" t="s">
        <v>2129</v>
      </c>
      <c r="G270" s="2" t="s">
        <v>62</v>
      </c>
      <c r="H270" s="7" t="s">
        <v>123</v>
      </c>
      <c r="I270" s="2" t="s">
        <v>80</v>
      </c>
      <c r="J270" s="2" t="s">
        <v>1857</v>
      </c>
      <c r="K270" s="2" t="s">
        <v>304</v>
      </c>
      <c r="L270" s="2" t="s">
        <v>125</v>
      </c>
      <c r="M270" s="8" t="str">
        <f>HYPERLINK("http://slimages.macys.com/is/image/MCY/12751351 ")</f>
        <v xml:space="preserve">http://slimages.macys.com/is/image/MCY/12751351 </v>
      </c>
    </row>
    <row r="271" spans="1:13" ht="60" x14ac:dyDescent="0.25">
      <c r="A271" s="7" t="s">
        <v>7034</v>
      </c>
      <c r="B271" s="2" t="s">
        <v>6433</v>
      </c>
      <c r="C271" s="4">
        <v>1</v>
      </c>
      <c r="D271" s="5">
        <v>3.48</v>
      </c>
      <c r="E271" s="5">
        <v>5.99</v>
      </c>
      <c r="F271" s="4" t="s">
        <v>6434</v>
      </c>
      <c r="G271" s="2" t="s">
        <v>303</v>
      </c>
      <c r="H271" s="7" t="s">
        <v>123</v>
      </c>
      <c r="I271" s="2" t="s">
        <v>73</v>
      </c>
      <c r="J271" s="2" t="s">
        <v>1963</v>
      </c>
      <c r="K271" s="2" t="s">
        <v>304</v>
      </c>
      <c r="L271" s="2" t="s">
        <v>119</v>
      </c>
      <c r="M271" s="8" t="str">
        <f>HYPERLINK("http://slimages.macys.com/is/image/MCY/12688440 ")</f>
        <v xml:space="preserve">http://slimages.macys.com/is/image/MCY/12688440 </v>
      </c>
    </row>
    <row r="272" spans="1:13" ht="60" x14ac:dyDescent="0.25">
      <c r="A272" s="7" t="s">
        <v>7035</v>
      </c>
      <c r="B272" s="2" t="s">
        <v>6427</v>
      </c>
      <c r="C272" s="4">
        <v>1</v>
      </c>
      <c r="D272" s="5">
        <v>3.48</v>
      </c>
      <c r="E272" s="5">
        <v>5.99</v>
      </c>
      <c r="F272" s="4" t="s">
        <v>6428</v>
      </c>
      <c r="G272" s="2" t="s">
        <v>7036</v>
      </c>
      <c r="H272" s="7" t="s">
        <v>68</v>
      </c>
      <c r="I272" s="2" t="s">
        <v>73</v>
      </c>
      <c r="J272" s="2" t="s">
        <v>1963</v>
      </c>
      <c r="K272" s="2" t="s">
        <v>304</v>
      </c>
      <c r="L272" s="2" t="s">
        <v>119</v>
      </c>
      <c r="M272" s="8" t="str">
        <f>HYPERLINK("http://slimages.macys.com/is/image/MCY/12284123 ")</f>
        <v xml:space="preserve">http://slimages.macys.com/is/image/MCY/12284123 </v>
      </c>
    </row>
    <row r="273" spans="1:13" ht="60" x14ac:dyDescent="0.25">
      <c r="A273" s="7" t="s">
        <v>7037</v>
      </c>
      <c r="B273" s="2" t="s">
        <v>2128</v>
      </c>
      <c r="C273" s="4">
        <v>1</v>
      </c>
      <c r="D273" s="5">
        <v>3.48</v>
      </c>
      <c r="E273" s="5">
        <v>5.99</v>
      </c>
      <c r="F273" s="4" t="s">
        <v>2129</v>
      </c>
      <c r="G273" s="2" t="s">
        <v>62</v>
      </c>
      <c r="H273" s="7" t="s">
        <v>144</v>
      </c>
      <c r="I273" s="2" t="s">
        <v>80</v>
      </c>
      <c r="J273" s="2" t="s">
        <v>1857</v>
      </c>
      <c r="K273" s="2" t="s">
        <v>304</v>
      </c>
      <c r="L273" s="2" t="s">
        <v>125</v>
      </c>
      <c r="M273" s="8" t="str">
        <f>HYPERLINK("http://slimages.macys.com/is/image/MCY/12751351 ")</f>
        <v xml:space="preserve">http://slimages.macys.com/is/image/MCY/12751351 </v>
      </c>
    </row>
    <row r="274" spans="1:13" ht="60" x14ac:dyDescent="0.25">
      <c r="A274" s="7" t="s">
        <v>7038</v>
      </c>
      <c r="B274" s="2" t="s">
        <v>5058</v>
      </c>
      <c r="C274" s="4">
        <v>1</v>
      </c>
      <c r="D274" s="5">
        <v>3.48</v>
      </c>
      <c r="E274" s="5">
        <v>5.99</v>
      </c>
      <c r="F274" s="4" t="s">
        <v>5059</v>
      </c>
      <c r="G274" s="2" t="s">
        <v>41</v>
      </c>
      <c r="H274" s="7" t="s">
        <v>144</v>
      </c>
      <c r="I274" s="2" t="s">
        <v>73</v>
      </c>
      <c r="J274" s="2" t="s">
        <v>1963</v>
      </c>
      <c r="K274" s="2" t="s">
        <v>304</v>
      </c>
      <c r="L274" s="2" t="s">
        <v>119</v>
      </c>
      <c r="M274" s="8" t="str">
        <f>HYPERLINK("http://slimages.macys.com/is/image/MCY/13360517 ")</f>
        <v xml:space="preserve">http://slimages.macys.com/is/image/MCY/13360517 </v>
      </c>
    </row>
    <row r="275" spans="1:13" ht="60" x14ac:dyDescent="0.25">
      <c r="A275" s="7" t="s">
        <v>4322</v>
      </c>
      <c r="B275" s="2" t="s">
        <v>3502</v>
      </c>
      <c r="C275" s="4">
        <v>1</v>
      </c>
      <c r="D275" s="5">
        <v>3.44</v>
      </c>
      <c r="E275" s="5">
        <v>7.99</v>
      </c>
      <c r="F275" s="4" t="s">
        <v>3503</v>
      </c>
      <c r="G275" s="2" t="s">
        <v>103</v>
      </c>
      <c r="H275" s="7" t="s">
        <v>578</v>
      </c>
      <c r="I275" s="2" t="s">
        <v>1689</v>
      </c>
      <c r="J275" s="2" t="s">
        <v>354</v>
      </c>
      <c r="K275" s="2" t="s">
        <v>304</v>
      </c>
      <c r="L275" s="2" t="s">
        <v>596</v>
      </c>
      <c r="M275" s="8" t="str">
        <f>HYPERLINK("http://slimages.macys.com/is/image/MCY/12938521 ")</f>
        <v xml:space="preserve">http://slimages.macys.com/is/image/MCY/12938521 </v>
      </c>
    </row>
    <row r="276" spans="1:13" ht="60" x14ac:dyDescent="0.25">
      <c r="A276" s="7" t="s">
        <v>4320</v>
      </c>
      <c r="B276" s="2" t="s">
        <v>3502</v>
      </c>
      <c r="C276" s="4">
        <v>1</v>
      </c>
      <c r="D276" s="5">
        <v>3.44</v>
      </c>
      <c r="E276" s="5">
        <v>7.99</v>
      </c>
      <c r="F276" s="4" t="s">
        <v>3503</v>
      </c>
      <c r="G276" s="2" t="s">
        <v>752</v>
      </c>
      <c r="H276" s="7" t="s">
        <v>578</v>
      </c>
      <c r="I276" s="2" t="s">
        <v>1689</v>
      </c>
      <c r="J276" s="2" t="s">
        <v>354</v>
      </c>
      <c r="K276" s="2" t="s">
        <v>304</v>
      </c>
      <c r="L276" s="2" t="s">
        <v>596</v>
      </c>
      <c r="M276" s="8" t="str">
        <f>HYPERLINK("http://slimages.macys.com/is/image/MCY/12938521 ")</f>
        <v xml:space="preserve">http://slimages.macys.com/is/image/MCY/12938521 </v>
      </c>
    </row>
    <row r="277" spans="1:13" ht="60" x14ac:dyDescent="0.25">
      <c r="A277" s="7" t="s">
        <v>3501</v>
      </c>
      <c r="B277" s="2" t="s">
        <v>3502</v>
      </c>
      <c r="C277" s="4">
        <v>18</v>
      </c>
      <c r="D277" s="5">
        <v>3.44</v>
      </c>
      <c r="E277" s="5">
        <v>7.99</v>
      </c>
      <c r="F277" s="4" t="s">
        <v>3503</v>
      </c>
      <c r="G277" s="2" t="s">
        <v>752</v>
      </c>
      <c r="H277" s="7" t="s">
        <v>123</v>
      </c>
      <c r="I277" s="2" t="s">
        <v>1689</v>
      </c>
      <c r="J277" s="2" t="s">
        <v>354</v>
      </c>
      <c r="K277" s="2" t="s">
        <v>304</v>
      </c>
      <c r="L277" s="2" t="s">
        <v>596</v>
      </c>
      <c r="M277" s="8" t="str">
        <f>HYPERLINK("http://slimages.macys.com/is/image/MCY/12494891 ")</f>
        <v xml:space="preserve">http://slimages.macys.com/is/image/MCY/12494891 </v>
      </c>
    </row>
    <row r="278" spans="1:13" ht="60" x14ac:dyDescent="0.25">
      <c r="A278" s="7" t="s">
        <v>4323</v>
      </c>
      <c r="B278" s="2" t="s">
        <v>3502</v>
      </c>
      <c r="C278" s="4">
        <v>5</v>
      </c>
      <c r="D278" s="5">
        <v>3.44</v>
      </c>
      <c r="E278" s="5">
        <v>7.99</v>
      </c>
      <c r="F278" s="4" t="s">
        <v>3503</v>
      </c>
      <c r="G278" s="2" t="s">
        <v>752</v>
      </c>
      <c r="H278" s="7" t="s">
        <v>63</v>
      </c>
      <c r="I278" s="2" t="s">
        <v>1689</v>
      </c>
      <c r="J278" s="2" t="s">
        <v>354</v>
      </c>
      <c r="K278" s="2" t="s">
        <v>304</v>
      </c>
      <c r="L278" s="2" t="s">
        <v>596</v>
      </c>
      <c r="M278" s="8" t="str">
        <f>HYPERLINK("http://slimages.macys.com/is/image/MCY/12494891 ")</f>
        <v xml:space="preserve">http://slimages.macys.com/is/image/MCY/12494891 </v>
      </c>
    </row>
    <row r="279" spans="1:13" ht="60" x14ac:dyDescent="0.25">
      <c r="A279" s="7" t="s">
        <v>4319</v>
      </c>
      <c r="B279" s="2" t="s">
        <v>3502</v>
      </c>
      <c r="C279" s="4">
        <v>8</v>
      </c>
      <c r="D279" s="5">
        <v>3.44</v>
      </c>
      <c r="E279" s="5">
        <v>7.99</v>
      </c>
      <c r="F279" s="4" t="s">
        <v>3503</v>
      </c>
      <c r="G279" s="2" t="s">
        <v>752</v>
      </c>
      <c r="H279" s="7" t="s">
        <v>514</v>
      </c>
      <c r="I279" s="2" t="s">
        <v>1689</v>
      </c>
      <c r="J279" s="2" t="s">
        <v>354</v>
      </c>
      <c r="K279" s="2" t="s">
        <v>304</v>
      </c>
      <c r="L279" s="2" t="s">
        <v>596</v>
      </c>
      <c r="M279" s="8" t="str">
        <f>HYPERLINK("http://slimages.macys.com/is/image/MCY/12938521 ")</f>
        <v xml:space="preserve">http://slimages.macys.com/is/image/MCY/12938521 </v>
      </c>
    </row>
    <row r="280" spans="1:13" ht="60" x14ac:dyDescent="0.25">
      <c r="A280" s="7" t="s">
        <v>4321</v>
      </c>
      <c r="B280" s="2" t="s">
        <v>3502</v>
      </c>
      <c r="C280" s="4">
        <v>10</v>
      </c>
      <c r="D280" s="5">
        <v>3.44</v>
      </c>
      <c r="E280" s="5">
        <v>7.99</v>
      </c>
      <c r="F280" s="4" t="s">
        <v>3503</v>
      </c>
      <c r="G280" s="2" t="s">
        <v>752</v>
      </c>
      <c r="H280" s="7" t="s">
        <v>311</v>
      </c>
      <c r="I280" s="2" t="s">
        <v>1689</v>
      </c>
      <c r="J280" s="2" t="s">
        <v>354</v>
      </c>
      <c r="K280" s="2" t="s">
        <v>304</v>
      </c>
      <c r="L280" s="2" t="s">
        <v>596</v>
      </c>
      <c r="M280" s="8" t="str">
        <f>HYPERLINK("http://slimages.macys.com/is/image/MCY/12494891 ")</f>
        <v xml:space="preserve">http://slimages.macys.com/is/image/MCY/12494891 </v>
      </c>
    </row>
    <row r="281" spans="1:13" ht="60" x14ac:dyDescent="0.25">
      <c r="A281" s="7" t="s">
        <v>4318</v>
      </c>
      <c r="B281" s="2" t="s">
        <v>3502</v>
      </c>
      <c r="C281" s="4">
        <v>7</v>
      </c>
      <c r="D281" s="5">
        <v>3.44</v>
      </c>
      <c r="E281" s="5">
        <v>7.99</v>
      </c>
      <c r="F281" s="4" t="s">
        <v>3503</v>
      </c>
      <c r="G281" s="2" t="s">
        <v>752</v>
      </c>
      <c r="H281" s="7" t="s">
        <v>1151</v>
      </c>
      <c r="I281" s="2" t="s">
        <v>1689</v>
      </c>
      <c r="J281" s="2" t="s">
        <v>354</v>
      </c>
      <c r="K281" s="2" t="s">
        <v>304</v>
      </c>
      <c r="L281" s="2" t="s">
        <v>596</v>
      </c>
      <c r="M281" s="8" t="str">
        <f>HYPERLINK("http://slimages.macys.com/is/image/MCY/12938521 ")</f>
        <v xml:space="preserve">http://slimages.macys.com/is/image/MCY/12938521 </v>
      </c>
    </row>
    <row r="282" spans="1:13" ht="60" x14ac:dyDescent="0.25">
      <c r="A282" s="7" t="s">
        <v>1172</v>
      </c>
      <c r="B282" s="2" t="s">
        <v>1173</v>
      </c>
      <c r="C282" s="4">
        <v>1</v>
      </c>
      <c r="D282" s="5">
        <v>3.4</v>
      </c>
      <c r="E282" s="5">
        <v>6.99</v>
      </c>
      <c r="F282" s="4">
        <v>7128</v>
      </c>
      <c r="G282" s="2" t="s">
        <v>86</v>
      </c>
      <c r="H282" s="7" t="s">
        <v>196</v>
      </c>
      <c r="I282" s="2" t="s">
        <v>523</v>
      </c>
      <c r="J282" s="2" t="s">
        <v>969</v>
      </c>
      <c r="K282" s="2" t="s">
        <v>304</v>
      </c>
      <c r="L282" s="2" t="s">
        <v>1036</v>
      </c>
      <c r="M282" s="8" t="str">
        <f>HYPERLINK("http://slimages.macys.com/is/image/MCY/14718518 ")</f>
        <v xml:space="preserve">http://slimages.macys.com/is/image/MCY/14718518 </v>
      </c>
    </row>
    <row r="283" spans="1:13" ht="60" x14ac:dyDescent="0.25">
      <c r="A283" s="7" t="s">
        <v>2136</v>
      </c>
      <c r="B283" s="2" t="s">
        <v>2134</v>
      </c>
      <c r="C283" s="4">
        <v>3</v>
      </c>
      <c r="D283" s="5">
        <v>3.39</v>
      </c>
      <c r="E283" s="5">
        <v>8.99</v>
      </c>
      <c r="F283" s="4" t="s">
        <v>2135</v>
      </c>
      <c r="G283" s="2" t="s">
        <v>1265</v>
      </c>
      <c r="H283" s="7" t="s">
        <v>590</v>
      </c>
      <c r="I283" s="2" t="s">
        <v>483</v>
      </c>
      <c r="J283" s="2" t="s">
        <v>536</v>
      </c>
      <c r="K283" s="2" t="s">
        <v>304</v>
      </c>
      <c r="L283" s="2" t="s">
        <v>206</v>
      </c>
      <c r="M283" s="8" t="str">
        <f>HYPERLINK("http://slimages.macys.com/is/image/MCY/13337500 ")</f>
        <v xml:space="preserve">http://slimages.macys.com/is/image/MCY/13337500 </v>
      </c>
    </row>
    <row r="284" spans="1:13" ht="60" x14ac:dyDescent="0.25">
      <c r="A284" s="7" t="s">
        <v>2692</v>
      </c>
      <c r="B284" s="2" t="s">
        <v>2134</v>
      </c>
      <c r="C284" s="4">
        <v>1</v>
      </c>
      <c r="D284" s="5">
        <v>3.39</v>
      </c>
      <c r="E284" s="5">
        <v>8.99</v>
      </c>
      <c r="F284" s="4" t="s">
        <v>2135</v>
      </c>
      <c r="G284" s="2" t="s">
        <v>1265</v>
      </c>
      <c r="H284" s="7" t="s">
        <v>482</v>
      </c>
      <c r="I284" s="2" t="s">
        <v>483</v>
      </c>
      <c r="J284" s="2" t="s">
        <v>536</v>
      </c>
      <c r="K284" s="2" t="s">
        <v>304</v>
      </c>
      <c r="L284" s="2" t="s">
        <v>206</v>
      </c>
      <c r="M284" s="8" t="str">
        <f>HYPERLINK("http://slimages.macys.com/is/image/MCY/13337500 ")</f>
        <v xml:space="preserve">http://slimages.macys.com/is/image/MCY/13337500 </v>
      </c>
    </row>
    <row r="285" spans="1:13" ht="60" x14ac:dyDescent="0.25">
      <c r="A285" s="7" t="s">
        <v>2133</v>
      </c>
      <c r="B285" s="2" t="s">
        <v>2134</v>
      </c>
      <c r="C285" s="4">
        <v>1</v>
      </c>
      <c r="D285" s="5">
        <v>3.39</v>
      </c>
      <c r="E285" s="5">
        <v>8.99</v>
      </c>
      <c r="F285" s="4" t="s">
        <v>2135</v>
      </c>
      <c r="G285" s="2" t="s">
        <v>1265</v>
      </c>
      <c r="H285" s="7"/>
      <c r="I285" s="2" t="s">
        <v>483</v>
      </c>
      <c r="J285" s="2" t="s">
        <v>536</v>
      </c>
      <c r="K285" s="2" t="s">
        <v>304</v>
      </c>
      <c r="L285" s="2" t="s">
        <v>206</v>
      </c>
      <c r="M285" s="8" t="str">
        <f>HYPERLINK("http://slimages.macys.com/is/image/MCY/13337500 ")</f>
        <v xml:space="preserve">http://slimages.macys.com/is/image/MCY/13337500 </v>
      </c>
    </row>
    <row r="286" spans="1:13" ht="60" x14ac:dyDescent="0.25">
      <c r="A286" s="7" t="s">
        <v>7039</v>
      </c>
      <c r="B286" s="2" t="s">
        <v>7040</v>
      </c>
      <c r="C286" s="4">
        <v>1</v>
      </c>
      <c r="D286" s="5">
        <v>3.34</v>
      </c>
      <c r="E286" s="5">
        <v>7.99</v>
      </c>
      <c r="F286" s="4" t="s">
        <v>7041</v>
      </c>
      <c r="G286" s="2" t="s">
        <v>476</v>
      </c>
      <c r="H286" s="7" t="s">
        <v>166</v>
      </c>
      <c r="I286" s="2" t="s">
        <v>292</v>
      </c>
      <c r="J286" s="2" t="s">
        <v>354</v>
      </c>
      <c r="K286" s="2" t="s">
        <v>304</v>
      </c>
      <c r="L286" s="2" t="s">
        <v>119</v>
      </c>
      <c r="M286" s="8" t="str">
        <f>HYPERLINK("http://slimages.macys.com/is/image/MCY/14587381 ")</f>
        <v xml:space="preserve">http://slimages.macys.com/is/image/MCY/14587381 </v>
      </c>
    </row>
    <row r="287" spans="1:13" ht="60" x14ac:dyDescent="0.25">
      <c r="A287" s="7" t="s">
        <v>7042</v>
      </c>
      <c r="B287" s="2" t="s">
        <v>1173</v>
      </c>
      <c r="C287" s="4">
        <v>2</v>
      </c>
      <c r="D287" s="5">
        <v>3.3</v>
      </c>
      <c r="E287" s="5">
        <v>6.99</v>
      </c>
      <c r="F287" s="4">
        <v>7128</v>
      </c>
      <c r="G287" s="2" t="s">
        <v>310</v>
      </c>
      <c r="H287" s="7" t="s">
        <v>196</v>
      </c>
      <c r="I287" s="2" t="s">
        <v>523</v>
      </c>
      <c r="J287" s="2" t="s">
        <v>969</v>
      </c>
      <c r="K287" s="2" t="s">
        <v>304</v>
      </c>
      <c r="L287" s="2" t="s">
        <v>1036</v>
      </c>
      <c r="M287" s="8" t="str">
        <f>HYPERLINK("http://slimages.macys.com/is/image/MCY/14718518 ")</f>
        <v xml:space="preserve">http://slimages.macys.com/is/image/MCY/14718518 </v>
      </c>
    </row>
    <row r="288" spans="1:13" ht="60" x14ac:dyDescent="0.25">
      <c r="A288" s="7" t="s">
        <v>7043</v>
      </c>
      <c r="B288" s="2" t="s">
        <v>4354</v>
      </c>
      <c r="C288" s="4">
        <v>1</v>
      </c>
      <c r="D288" s="5">
        <v>3.29</v>
      </c>
      <c r="E288" s="5">
        <v>7.99</v>
      </c>
      <c r="F288" s="4" t="s">
        <v>4355</v>
      </c>
      <c r="G288" s="2" t="s">
        <v>793</v>
      </c>
      <c r="H288" s="7" t="s">
        <v>63</v>
      </c>
      <c r="I288" s="2" t="s">
        <v>1689</v>
      </c>
      <c r="J288" s="2" t="s">
        <v>354</v>
      </c>
      <c r="K288" s="2" t="s">
        <v>304</v>
      </c>
      <c r="L288" s="2" t="s">
        <v>119</v>
      </c>
      <c r="M288" s="8" t="str">
        <f>HYPERLINK("http://slimages.macys.com/is/image/MCY/12101657 ")</f>
        <v xml:space="preserve">http://slimages.macys.com/is/image/MCY/12101657 </v>
      </c>
    </row>
    <row r="289" spans="1:13" ht="60" x14ac:dyDescent="0.25">
      <c r="A289" s="7" t="s">
        <v>2158</v>
      </c>
      <c r="B289" s="2" t="s">
        <v>2147</v>
      </c>
      <c r="C289" s="4">
        <v>1</v>
      </c>
      <c r="D289" s="5">
        <v>3.29</v>
      </c>
      <c r="E289" s="5">
        <v>7.99</v>
      </c>
      <c r="F289" s="4" t="s">
        <v>2148</v>
      </c>
      <c r="G289" s="2" t="s">
        <v>103</v>
      </c>
      <c r="H289" s="7" t="s">
        <v>311</v>
      </c>
      <c r="I289" s="2" t="s">
        <v>1689</v>
      </c>
      <c r="J289" s="2" t="s">
        <v>354</v>
      </c>
      <c r="K289" s="2" t="s">
        <v>304</v>
      </c>
      <c r="L289" s="2" t="s">
        <v>119</v>
      </c>
      <c r="M289" s="8" t="str">
        <f>HYPERLINK("http://slimages.macys.com/is/image/MCY/12938500 ")</f>
        <v xml:space="preserve">http://slimages.macys.com/is/image/MCY/12938500 </v>
      </c>
    </row>
    <row r="290" spans="1:13" ht="60" x14ac:dyDescent="0.25">
      <c r="A290" s="7" t="s">
        <v>2155</v>
      </c>
      <c r="B290" s="2" t="s">
        <v>2156</v>
      </c>
      <c r="C290" s="4">
        <v>2</v>
      </c>
      <c r="D290" s="5">
        <v>3.29</v>
      </c>
      <c r="E290" s="5">
        <v>7.99</v>
      </c>
      <c r="F290" s="4" t="s">
        <v>2157</v>
      </c>
      <c r="G290" s="2" t="s">
        <v>28</v>
      </c>
      <c r="H290" s="7" t="s">
        <v>514</v>
      </c>
      <c r="I290" s="2" t="s">
        <v>1689</v>
      </c>
      <c r="J290" s="2" t="s">
        <v>354</v>
      </c>
      <c r="K290" s="2" t="s">
        <v>304</v>
      </c>
      <c r="L290" s="2" t="s">
        <v>119</v>
      </c>
      <c r="M290" s="8" t="str">
        <f>HYPERLINK("http://slimages.macys.com/is/image/MCY/12938580 ")</f>
        <v xml:space="preserve">http://slimages.macys.com/is/image/MCY/12938580 </v>
      </c>
    </row>
    <row r="291" spans="1:13" ht="60" x14ac:dyDescent="0.25">
      <c r="A291" s="7" t="s">
        <v>6452</v>
      </c>
      <c r="B291" s="2" t="s">
        <v>6453</v>
      </c>
      <c r="C291" s="4">
        <v>1</v>
      </c>
      <c r="D291" s="5">
        <v>3.29</v>
      </c>
      <c r="E291" s="5">
        <v>7.99</v>
      </c>
      <c r="F291" s="4" t="s">
        <v>6454</v>
      </c>
      <c r="G291" s="2" t="s">
        <v>103</v>
      </c>
      <c r="H291" s="7" t="s">
        <v>578</v>
      </c>
      <c r="I291" s="2" t="s">
        <v>1689</v>
      </c>
      <c r="J291" s="2" t="s">
        <v>354</v>
      </c>
      <c r="K291" s="2" t="s">
        <v>304</v>
      </c>
      <c r="L291" s="2" t="s">
        <v>119</v>
      </c>
      <c r="M291" s="8" t="str">
        <f>HYPERLINK("http://slimages.macys.com/is/image/MCY/12101652 ")</f>
        <v xml:space="preserve">http://slimages.macys.com/is/image/MCY/12101652 </v>
      </c>
    </row>
    <row r="292" spans="1:13" ht="60" x14ac:dyDescent="0.25">
      <c r="A292" s="7" t="s">
        <v>7044</v>
      </c>
      <c r="B292" s="2" t="s">
        <v>2150</v>
      </c>
      <c r="C292" s="4">
        <v>3</v>
      </c>
      <c r="D292" s="5">
        <v>3.29</v>
      </c>
      <c r="E292" s="5">
        <v>7.99</v>
      </c>
      <c r="F292" s="4" t="s">
        <v>2151</v>
      </c>
      <c r="G292" s="2" t="s">
        <v>86</v>
      </c>
      <c r="H292" s="7" t="s">
        <v>63</v>
      </c>
      <c r="I292" s="2" t="s">
        <v>1689</v>
      </c>
      <c r="J292" s="2" t="s">
        <v>354</v>
      </c>
      <c r="K292" s="2" t="s">
        <v>304</v>
      </c>
      <c r="L292" s="2" t="s">
        <v>119</v>
      </c>
      <c r="M292" s="8" t="str">
        <f>HYPERLINK("http://slimages.macys.com/is/image/MCY/12938525 ")</f>
        <v xml:space="preserve">http://slimages.macys.com/is/image/MCY/12938525 </v>
      </c>
    </row>
    <row r="293" spans="1:13" ht="60" x14ac:dyDescent="0.25">
      <c r="A293" s="7" t="s">
        <v>7045</v>
      </c>
      <c r="B293" s="2" t="s">
        <v>7046</v>
      </c>
      <c r="C293" s="4">
        <v>1</v>
      </c>
      <c r="D293" s="5">
        <v>3.29</v>
      </c>
      <c r="E293" s="5">
        <v>7.99</v>
      </c>
      <c r="F293" s="4" t="s">
        <v>7047</v>
      </c>
      <c r="G293" s="2" t="s">
        <v>103</v>
      </c>
      <c r="H293" s="7" t="s">
        <v>514</v>
      </c>
      <c r="I293" s="2" t="s">
        <v>1689</v>
      </c>
      <c r="J293" s="2" t="s">
        <v>354</v>
      </c>
      <c r="K293" s="2" t="s">
        <v>304</v>
      </c>
      <c r="L293" s="2" t="s">
        <v>119</v>
      </c>
      <c r="M293" s="8" t="str">
        <f>HYPERLINK("http://slimages.macys.com/is/image/MCY/11524069 ")</f>
        <v xml:space="preserve">http://slimages.macys.com/is/image/MCY/11524069 </v>
      </c>
    </row>
    <row r="294" spans="1:13" ht="60" x14ac:dyDescent="0.25">
      <c r="A294" s="7" t="s">
        <v>7048</v>
      </c>
      <c r="B294" s="2" t="s">
        <v>2150</v>
      </c>
      <c r="C294" s="4">
        <v>5</v>
      </c>
      <c r="D294" s="5">
        <v>3.29</v>
      </c>
      <c r="E294" s="5">
        <v>7.99</v>
      </c>
      <c r="F294" s="4" t="s">
        <v>2151</v>
      </c>
      <c r="G294" s="2" t="s">
        <v>86</v>
      </c>
      <c r="H294" s="7" t="s">
        <v>1151</v>
      </c>
      <c r="I294" s="2" t="s">
        <v>1689</v>
      </c>
      <c r="J294" s="2" t="s">
        <v>354</v>
      </c>
      <c r="K294" s="2" t="s">
        <v>304</v>
      </c>
      <c r="L294" s="2" t="s">
        <v>119</v>
      </c>
      <c r="M294" s="8" t="str">
        <f>HYPERLINK("http://slimages.macys.com/is/image/MCY/12938525 ")</f>
        <v xml:space="preserve">http://slimages.macys.com/is/image/MCY/12938525 </v>
      </c>
    </row>
    <row r="295" spans="1:13" ht="60" x14ac:dyDescent="0.25">
      <c r="A295" s="7" t="s">
        <v>4366</v>
      </c>
      <c r="B295" s="2" t="s">
        <v>2150</v>
      </c>
      <c r="C295" s="4">
        <v>5</v>
      </c>
      <c r="D295" s="5">
        <v>3.29</v>
      </c>
      <c r="E295" s="5">
        <v>7.99</v>
      </c>
      <c r="F295" s="4" t="s">
        <v>2151</v>
      </c>
      <c r="G295" s="2" t="s">
        <v>86</v>
      </c>
      <c r="H295" s="7" t="s">
        <v>514</v>
      </c>
      <c r="I295" s="2" t="s">
        <v>1689</v>
      </c>
      <c r="J295" s="2" t="s">
        <v>354</v>
      </c>
      <c r="K295" s="2" t="s">
        <v>304</v>
      </c>
      <c r="L295" s="2" t="s">
        <v>119</v>
      </c>
      <c r="M295" s="8" t="str">
        <f>HYPERLINK("http://slimages.macys.com/is/image/MCY/12938525 ")</f>
        <v xml:space="preserve">http://slimages.macys.com/is/image/MCY/12938525 </v>
      </c>
    </row>
    <row r="296" spans="1:13" ht="60" x14ac:dyDescent="0.25">
      <c r="A296" s="7" t="s">
        <v>7049</v>
      </c>
      <c r="B296" s="2" t="s">
        <v>7050</v>
      </c>
      <c r="C296" s="4">
        <v>1</v>
      </c>
      <c r="D296" s="5">
        <v>3.29</v>
      </c>
      <c r="E296" s="5">
        <v>7.99</v>
      </c>
      <c r="F296" s="4" t="s">
        <v>7051</v>
      </c>
      <c r="G296" s="2" t="s">
        <v>103</v>
      </c>
      <c r="H296" s="7" t="s">
        <v>1151</v>
      </c>
      <c r="I296" s="2" t="s">
        <v>1689</v>
      </c>
      <c r="J296" s="2" t="s">
        <v>354</v>
      </c>
      <c r="K296" s="2" t="s">
        <v>304</v>
      </c>
      <c r="L296" s="2" t="s">
        <v>119</v>
      </c>
      <c r="M296" s="8" t="str">
        <f>HYPERLINK("http://slimages.macys.com/is/image/MCY/11777271 ")</f>
        <v xml:space="preserve">http://slimages.macys.com/is/image/MCY/11777271 </v>
      </c>
    </row>
    <row r="297" spans="1:13" ht="60" x14ac:dyDescent="0.25">
      <c r="A297" s="7" t="s">
        <v>7052</v>
      </c>
      <c r="B297" s="2" t="s">
        <v>7053</v>
      </c>
      <c r="C297" s="4">
        <v>1</v>
      </c>
      <c r="D297" s="5">
        <v>3.29</v>
      </c>
      <c r="E297" s="5">
        <v>7.99</v>
      </c>
      <c r="F297" s="4" t="s">
        <v>7054</v>
      </c>
      <c r="G297" s="2" t="s">
        <v>103</v>
      </c>
      <c r="H297" s="7" t="s">
        <v>514</v>
      </c>
      <c r="I297" s="2" t="s">
        <v>1689</v>
      </c>
      <c r="J297" s="2" t="s">
        <v>354</v>
      </c>
      <c r="K297" s="2" t="s">
        <v>304</v>
      </c>
      <c r="L297" s="2" t="s">
        <v>119</v>
      </c>
      <c r="M297" s="8" t="str">
        <f>HYPERLINK("http://slimages.macys.com/is/image/MCY/12465569 ")</f>
        <v xml:space="preserve">http://slimages.macys.com/is/image/MCY/12465569 </v>
      </c>
    </row>
    <row r="298" spans="1:13" ht="60" x14ac:dyDescent="0.25">
      <c r="A298" s="7" t="s">
        <v>7055</v>
      </c>
      <c r="B298" s="2" t="s">
        <v>7056</v>
      </c>
      <c r="C298" s="4">
        <v>2</v>
      </c>
      <c r="D298" s="5">
        <v>3.29</v>
      </c>
      <c r="E298" s="5">
        <v>7.99</v>
      </c>
      <c r="F298" s="4" t="s">
        <v>7057</v>
      </c>
      <c r="G298" s="2" t="s">
        <v>582</v>
      </c>
      <c r="H298" s="7" t="s">
        <v>123</v>
      </c>
      <c r="I298" s="2" t="s">
        <v>1689</v>
      </c>
      <c r="J298" s="2" t="s">
        <v>354</v>
      </c>
      <c r="K298" s="2" t="s">
        <v>304</v>
      </c>
      <c r="L298" s="2" t="s">
        <v>119</v>
      </c>
      <c r="M298" s="8" t="str">
        <f>HYPERLINK("http://slimages.macys.com/is/image/MCY/12465528 ")</f>
        <v xml:space="preserve">http://slimages.macys.com/is/image/MCY/12465528 </v>
      </c>
    </row>
    <row r="299" spans="1:13" ht="60" x14ac:dyDescent="0.25">
      <c r="A299" s="7" t="s">
        <v>2149</v>
      </c>
      <c r="B299" s="2" t="s">
        <v>2150</v>
      </c>
      <c r="C299" s="4">
        <v>3</v>
      </c>
      <c r="D299" s="5">
        <v>3.29</v>
      </c>
      <c r="E299" s="5">
        <v>7.99</v>
      </c>
      <c r="F299" s="4" t="s">
        <v>2151</v>
      </c>
      <c r="G299" s="2" t="s">
        <v>86</v>
      </c>
      <c r="H299" s="7" t="s">
        <v>578</v>
      </c>
      <c r="I299" s="2" t="s">
        <v>1689</v>
      </c>
      <c r="J299" s="2" t="s">
        <v>354</v>
      </c>
      <c r="K299" s="2" t="s">
        <v>304</v>
      </c>
      <c r="L299" s="2" t="s">
        <v>119</v>
      </c>
      <c r="M299" s="8" t="str">
        <f>HYPERLINK("http://slimages.macys.com/is/image/MCY/12938525 ")</f>
        <v xml:space="preserve">http://slimages.macys.com/is/image/MCY/12938525 </v>
      </c>
    </row>
    <row r="300" spans="1:13" ht="60" x14ac:dyDescent="0.25">
      <c r="A300" s="7" t="s">
        <v>7058</v>
      </c>
      <c r="B300" s="2" t="s">
        <v>2150</v>
      </c>
      <c r="C300" s="4">
        <v>2</v>
      </c>
      <c r="D300" s="5">
        <v>3.29</v>
      </c>
      <c r="E300" s="5">
        <v>7.99</v>
      </c>
      <c r="F300" s="4" t="s">
        <v>2151</v>
      </c>
      <c r="G300" s="2" t="s">
        <v>86</v>
      </c>
      <c r="H300" s="7" t="s">
        <v>123</v>
      </c>
      <c r="I300" s="2" t="s">
        <v>1689</v>
      </c>
      <c r="J300" s="2" t="s">
        <v>354</v>
      </c>
      <c r="K300" s="2" t="s">
        <v>304</v>
      </c>
      <c r="L300" s="2" t="s">
        <v>119</v>
      </c>
      <c r="M300" s="8" t="str">
        <f>HYPERLINK("http://slimages.macys.com/is/image/MCY/12938525 ")</f>
        <v xml:space="preserve">http://slimages.macys.com/is/image/MCY/12938525 </v>
      </c>
    </row>
    <row r="301" spans="1:13" ht="60" x14ac:dyDescent="0.25">
      <c r="A301" s="7" t="s">
        <v>7059</v>
      </c>
      <c r="B301" s="2" t="s">
        <v>7060</v>
      </c>
      <c r="C301" s="4">
        <v>1</v>
      </c>
      <c r="D301" s="5">
        <v>3.29</v>
      </c>
      <c r="E301" s="5">
        <v>7.99</v>
      </c>
      <c r="F301" s="4" t="s">
        <v>7061</v>
      </c>
      <c r="G301" s="2" t="s">
        <v>582</v>
      </c>
      <c r="H301" s="7" t="s">
        <v>578</v>
      </c>
      <c r="I301" s="2" t="s">
        <v>1689</v>
      </c>
      <c r="J301" s="2" t="s">
        <v>354</v>
      </c>
      <c r="K301" s="2" t="s">
        <v>304</v>
      </c>
      <c r="L301" s="2" t="s">
        <v>119</v>
      </c>
      <c r="M301" s="8" t="str">
        <f>HYPERLINK("http://slimages.macys.com/is/image/MCY/12465532 ")</f>
        <v xml:space="preserve">http://slimages.macys.com/is/image/MCY/12465532 </v>
      </c>
    </row>
    <row r="302" spans="1:13" ht="60" x14ac:dyDescent="0.25">
      <c r="A302" s="7" t="s">
        <v>7062</v>
      </c>
      <c r="B302" s="2" t="s">
        <v>2150</v>
      </c>
      <c r="C302" s="4">
        <v>5</v>
      </c>
      <c r="D302" s="5">
        <v>3.29</v>
      </c>
      <c r="E302" s="5">
        <v>7.99</v>
      </c>
      <c r="F302" s="4" t="s">
        <v>2151</v>
      </c>
      <c r="G302" s="2" t="s">
        <v>86</v>
      </c>
      <c r="H302" s="7" t="s">
        <v>311</v>
      </c>
      <c r="I302" s="2" t="s">
        <v>1689</v>
      </c>
      <c r="J302" s="2" t="s">
        <v>354</v>
      </c>
      <c r="K302" s="2" t="s">
        <v>304</v>
      </c>
      <c r="L302" s="2" t="s">
        <v>119</v>
      </c>
      <c r="M302" s="8" t="str">
        <f>HYPERLINK("http://slimages.macys.com/is/image/MCY/12938525 ")</f>
        <v xml:space="preserve">http://slimages.macys.com/is/image/MCY/12938525 </v>
      </c>
    </row>
    <row r="303" spans="1:13" ht="60" x14ac:dyDescent="0.25">
      <c r="A303" s="7" t="s">
        <v>7063</v>
      </c>
      <c r="B303" s="2" t="s">
        <v>7060</v>
      </c>
      <c r="C303" s="4">
        <v>3</v>
      </c>
      <c r="D303" s="5">
        <v>3.29</v>
      </c>
      <c r="E303" s="5">
        <v>7.99</v>
      </c>
      <c r="F303" s="4" t="s">
        <v>7061</v>
      </c>
      <c r="G303" s="2" t="s">
        <v>582</v>
      </c>
      <c r="H303" s="7" t="s">
        <v>123</v>
      </c>
      <c r="I303" s="2" t="s">
        <v>1689</v>
      </c>
      <c r="J303" s="2" t="s">
        <v>354</v>
      </c>
      <c r="K303" s="2" t="s">
        <v>304</v>
      </c>
      <c r="L303" s="2" t="s">
        <v>119</v>
      </c>
      <c r="M303" s="8" t="str">
        <f>HYPERLINK("http://slimages.macys.com/is/image/MCY/12465532 ")</f>
        <v xml:space="preserve">http://slimages.macys.com/is/image/MCY/12465532 </v>
      </c>
    </row>
    <row r="304" spans="1:13" ht="60" x14ac:dyDescent="0.25">
      <c r="A304" s="7" t="s">
        <v>7064</v>
      </c>
      <c r="B304" s="2" t="s">
        <v>7065</v>
      </c>
      <c r="C304" s="4">
        <v>1</v>
      </c>
      <c r="D304" s="5">
        <v>3.29</v>
      </c>
      <c r="E304" s="5">
        <v>7.99</v>
      </c>
      <c r="F304" s="4" t="s">
        <v>7066</v>
      </c>
      <c r="G304" s="2" t="s">
        <v>103</v>
      </c>
      <c r="H304" s="7" t="s">
        <v>311</v>
      </c>
      <c r="I304" s="2" t="s">
        <v>1689</v>
      </c>
      <c r="J304" s="2" t="s">
        <v>354</v>
      </c>
      <c r="K304" s="2" t="s">
        <v>304</v>
      </c>
      <c r="L304" s="2" t="s">
        <v>119</v>
      </c>
      <c r="M304" s="8" t="str">
        <f>HYPERLINK("http://slimages.macys.com/is/image/MCY/12465577 ")</f>
        <v xml:space="preserve">http://slimages.macys.com/is/image/MCY/12465577 </v>
      </c>
    </row>
    <row r="305" spans="1:13" ht="60" x14ac:dyDescent="0.25">
      <c r="A305" s="7" t="s">
        <v>7067</v>
      </c>
      <c r="B305" s="2" t="s">
        <v>4357</v>
      </c>
      <c r="C305" s="4">
        <v>1</v>
      </c>
      <c r="D305" s="5">
        <v>3.29</v>
      </c>
      <c r="E305" s="5">
        <v>7.99</v>
      </c>
      <c r="F305" s="4" t="s">
        <v>4358</v>
      </c>
      <c r="G305" s="2" t="s">
        <v>86</v>
      </c>
      <c r="H305" s="7" t="s">
        <v>1151</v>
      </c>
      <c r="I305" s="2" t="s">
        <v>1689</v>
      </c>
      <c r="J305" s="2" t="s">
        <v>354</v>
      </c>
      <c r="K305" s="2" t="s">
        <v>304</v>
      </c>
      <c r="L305" s="2" t="s">
        <v>119</v>
      </c>
      <c r="M305" s="8" t="str">
        <f>HYPERLINK("http://slimages.macys.com/is/image/MCY/11499070 ")</f>
        <v xml:space="preserve">http://slimages.macys.com/is/image/MCY/11499070 </v>
      </c>
    </row>
    <row r="306" spans="1:13" ht="60" x14ac:dyDescent="0.25">
      <c r="A306" s="7" t="s">
        <v>7068</v>
      </c>
      <c r="B306" s="2" t="s">
        <v>2156</v>
      </c>
      <c r="C306" s="4">
        <v>2</v>
      </c>
      <c r="D306" s="5">
        <v>3.29</v>
      </c>
      <c r="E306" s="5">
        <v>7.99</v>
      </c>
      <c r="F306" s="4" t="s">
        <v>2157</v>
      </c>
      <c r="G306" s="2" t="s">
        <v>28</v>
      </c>
      <c r="H306" s="7" t="s">
        <v>578</v>
      </c>
      <c r="I306" s="2" t="s">
        <v>1689</v>
      </c>
      <c r="J306" s="2" t="s">
        <v>354</v>
      </c>
      <c r="K306" s="2" t="s">
        <v>304</v>
      </c>
      <c r="L306" s="2" t="s">
        <v>119</v>
      </c>
      <c r="M306" s="8" t="str">
        <f>HYPERLINK("http://slimages.macys.com/is/image/MCY/12938580 ")</f>
        <v xml:space="preserve">http://slimages.macys.com/is/image/MCY/12938580 </v>
      </c>
    </row>
    <row r="307" spans="1:13" ht="60" x14ac:dyDescent="0.25">
      <c r="A307" s="7" t="s">
        <v>4359</v>
      </c>
      <c r="B307" s="2" t="s">
        <v>2147</v>
      </c>
      <c r="C307" s="4">
        <v>1</v>
      </c>
      <c r="D307" s="5">
        <v>3.29</v>
      </c>
      <c r="E307" s="5">
        <v>7.99</v>
      </c>
      <c r="F307" s="4" t="s">
        <v>2148</v>
      </c>
      <c r="G307" s="2" t="s">
        <v>103</v>
      </c>
      <c r="H307" s="7" t="s">
        <v>1151</v>
      </c>
      <c r="I307" s="2" t="s">
        <v>1689</v>
      </c>
      <c r="J307" s="2" t="s">
        <v>354</v>
      </c>
      <c r="K307" s="2" t="s">
        <v>304</v>
      </c>
      <c r="L307" s="2" t="s">
        <v>119</v>
      </c>
      <c r="M307" s="8" t="str">
        <f>HYPERLINK("http://slimages.macys.com/is/image/MCY/12938500 ")</f>
        <v xml:space="preserve">http://slimages.macys.com/is/image/MCY/12938500 </v>
      </c>
    </row>
    <row r="308" spans="1:13" ht="60" x14ac:dyDescent="0.25">
      <c r="A308" s="7" t="s">
        <v>7069</v>
      </c>
      <c r="B308" s="2" t="s">
        <v>7070</v>
      </c>
      <c r="C308" s="4">
        <v>1</v>
      </c>
      <c r="D308" s="5">
        <v>3.29</v>
      </c>
      <c r="E308" s="5">
        <v>7.99</v>
      </c>
      <c r="F308" s="4" t="s">
        <v>7071</v>
      </c>
      <c r="G308" s="2" t="s">
        <v>86</v>
      </c>
      <c r="H308" s="7" t="s">
        <v>63</v>
      </c>
      <c r="I308" s="2" t="s">
        <v>1689</v>
      </c>
      <c r="J308" s="2" t="s">
        <v>354</v>
      </c>
      <c r="K308" s="2" t="s">
        <v>304</v>
      </c>
      <c r="L308" s="2" t="s">
        <v>119</v>
      </c>
      <c r="M308" s="8" t="str">
        <f>HYPERLINK("http://slimages.macys.com/is/image/MCY/12465618 ")</f>
        <v xml:space="preserve">http://slimages.macys.com/is/image/MCY/12465618 </v>
      </c>
    </row>
    <row r="309" spans="1:13" ht="60" x14ac:dyDescent="0.25">
      <c r="A309" s="7" t="s">
        <v>7072</v>
      </c>
      <c r="B309" s="2" t="s">
        <v>7073</v>
      </c>
      <c r="C309" s="4">
        <v>2</v>
      </c>
      <c r="D309" s="5">
        <v>3.29</v>
      </c>
      <c r="E309" s="5">
        <v>7.99</v>
      </c>
      <c r="F309" s="4" t="s">
        <v>7074</v>
      </c>
      <c r="G309" s="2" t="s">
        <v>582</v>
      </c>
      <c r="H309" s="7" t="s">
        <v>578</v>
      </c>
      <c r="I309" s="2" t="s">
        <v>1689</v>
      </c>
      <c r="J309" s="2" t="s">
        <v>354</v>
      </c>
      <c r="K309" s="2" t="s">
        <v>304</v>
      </c>
      <c r="L309" s="2" t="s">
        <v>119</v>
      </c>
      <c r="M309" s="8" t="str">
        <f>HYPERLINK("http://slimages.macys.com/is/image/MCY/13077225 ")</f>
        <v xml:space="preserve">http://slimages.macys.com/is/image/MCY/13077225 </v>
      </c>
    </row>
    <row r="310" spans="1:13" ht="60" x14ac:dyDescent="0.25">
      <c r="A310" s="7" t="s">
        <v>7075</v>
      </c>
      <c r="B310" s="2" t="s">
        <v>7076</v>
      </c>
      <c r="C310" s="4">
        <v>1</v>
      </c>
      <c r="D310" s="5">
        <v>3.29</v>
      </c>
      <c r="E310" s="5">
        <v>7.99</v>
      </c>
      <c r="F310" s="4" t="s">
        <v>7077</v>
      </c>
      <c r="G310" s="2" t="s">
        <v>582</v>
      </c>
      <c r="H310" s="7" t="s">
        <v>63</v>
      </c>
      <c r="I310" s="2" t="s">
        <v>1689</v>
      </c>
      <c r="J310" s="2" t="s">
        <v>354</v>
      </c>
      <c r="K310" s="2" t="s">
        <v>304</v>
      </c>
      <c r="L310" s="2" t="s">
        <v>119</v>
      </c>
      <c r="M310" s="8" t="str">
        <f>HYPERLINK("http://slimages.macys.com/is/image/MCY/13060709 ")</f>
        <v xml:space="preserve">http://slimages.macys.com/is/image/MCY/13060709 </v>
      </c>
    </row>
    <row r="311" spans="1:13" ht="60" x14ac:dyDescent="0.25">
      <c r="A311" s="7" t="s">
        <v>7078</v>
      </c>
      <c r="B311" s="2" t="s">
        <v>7079</v>
      </c>
      <c r="C311" s="4">
        <v>2</v>
      </c>
      <c r="D311" s="5">
        <v>3.29</v>
      </c>
      <c r="E311" s="5">
        <v>7.99</v>
      </c>
      <c r="F311" s="4" t="s">
        <v>7080</v>
      </c>
      <c r="G311" s="2" t="s">
        <v>582</v>
      </c>
      <c r="H311" s="7" t="s">
        <v>514</v>
      </c>
      <c r="I311" s="2" t="s">
        <v>1689</v>
      </c>
      <c r="J311" s="2" t="s">
        <v>354</v>
      </c>
      <c r="K311" s="2" t="s">
        <v>304</v>
      </c>
      <c r="L311" s="2" t="s">
        <v>119</v>
      </c>
      <c r="M311" s="8" t="str">
        <f>HYPERLINK("http://slimages.macys.com/is/image/MCY/12465598 ")</f>
        <v xml:space="preserve">http://slimages.macys.com/is/image/MCY/12465598 </v>
      </c>
    </row>
    <row r="312" spans="1:13" ht="60" x14ac:dyDescent="0.25">
      <c r="A312" s="7" t="s">
        <v>7081</v>
      </c>
      <c r="B312" s="2" t="s">
        <v>7060</v>
      </c>
      <c r="C312" s="4">
        <v>3</v>
      </c>
      <c r="D312" s="5">
        <v>3.29</v>
      </c>
      <c r="E312" s="5">
        <v>7.99</v>
      </c>
      <c r="F312" s="4" t="s">
        <v>7061</v>
      </c>
      <c r="G312" s="2" t="s">
        <v>582</v>
      </c>
      <c r="H312" s="7" t="s">
        <v>63</v>
      </c>
      <c r="I312" s="2" t="s">
        <v>1689</v>
      </c>
      <c r="J312" s="2" t="s">
        <v>354</v>
      </c>
      <c r="K312" s="2" t="s">
        <v>304</v>
      </c>
      <c r="L312" s="2" t="s">
        <v>119</v>
      </c>
      <c r="M312" s="8" t="str">
        <f>HYPERLINK("http://slimages.macys.com/is/image/MCY/12465532 ")</f>
        <v xml:space="preserve">http://slimages.macys.com/is/image/MCY/12465532 </v>
      </c>
    </row>
    <row r="313" spans="1:13" ht="60" x14ac:dyDescent="0.25">
      <c r="A313" s="7" t="s">
        <v>7082</v>
      </c>
      <c r="B313" s="2" t="s">
        <v>7056</v>
      </c>
      <c r="C313" s="4">
        <v>2</v>
      </c>
      <c r="D313" s="5">
        <v>3.29</v>
      </c>
      <c r="E313" s="5">
        <v>7.99</v>
      </c>
      <c r="F313" s="4" t="s">
        <v>7057</v>
      </c>
      <c r="G313" s="2" t="s">
        <v>582</v>
      </c>
      <c r="H313" s="7" t="s">
        <v>311</v>
      </c>
      <c r="I313" s="2" t="s">
        <v>1689</v>
      </c>
      <c r="J313" s="2" t="s">
        <v>354</v>
      </c>
      <c r="K313" s="2" t="s">
        <v>304</v>
      </c>
      <c r="L313" s="2" t="s">
        <v>119</v>
      </c>
      <c r="M313" s="8" t="str">
        <f>HYPERLINK("http://slimages.macys.com/is/image/MCY/12465528 ")</f>
        <v xml:space="preserve">http://slimages.macys.com/is/image/MCY/12465528 </v>
      </c>
    </row>
    <row r="314" spans="1:13" ht="60" x14ac:dyDescent="0.25">
      <c r="A314" s="7" t="s">
        <v>7083</v>
      </c>
      <c r="B314" s="2" t="s">
        <v>7060</v>
      </c>
      <c r="C314" s="4">
        <v>1</v>
      </c>
      <c r="D314" s="5">
        <v>3.29</v>
      </c>
      <c r="E314" s="5">
        <v>7.99</v>
      </c>
      <c r="F314" s="4" t="s">
        <v>7061</v>
      </c>
      <c r="G314" s="2" t="s">
        <v>582</v>
      </c>
      <c r="H314" s="7" t="s">
        <v>514</v>
      </c>
      <c r="I314" s="2" t="s">
        <v>1689</v>
      </c>
      <c r="J314" s="2" t="s">
        <v>354</v>
      </c>
      <c r="K314" s="2" t="s">
        <v>304</v>
      </c>
      <c r="L314" s="2" t="s">
        <v>119</v>
      </c>
      <c r="M314" s="8" t="str">
        <f>HYPERLINK("http://slimages.macys.com/is/image/MCY/12465532 ")</f>
        <v xml:space="preserve">http://slimages.macys.com/is/image/MCY/12465532 </v>
      </c>
    </row>
    <row r="315" spans="1:13" ht="60" x14ac:dyDescent="0.25">
      <c r="A315" s="7" t="s">
        <v>7084</v>
      </c>
      <c r="B315" s="2" t="s">
        <v>7065</v>
      </c>
      <c r="C315" s="4">
        <v>1</v>
      </c>
      <c r="D315" s="5">
        <v>3.29</v>
      </c>
      <c r="E315" s="5">
        <v>7.99</v>
      </c>
      <c r="F315" s="4" t="s">
        <v>7066</v>
      </c>
      <c r="G315" s="2" t="s">
        <v>103</v>
      </c>
      <c r="H315" s="7" t="s">
        <v>578</v>
      </c>
      <c r="I315" s="2" t="s">
        <v>1689</v>
      </c>
      <c r="J315" s="2" t="s">
        <v>354</v>
      </c>
      <c r="K315" s="2" t="s">
        <v>304</v>
      </c>
      <c r="L315" s="2" t="s">
        <v>119</v>
      </c>
      <c r="M315" s="8" t="str">
        <f>HYPERLINK("http://slimages.macys.com/is/image/MCY/12465577 ")</f>
        <v xml:space="preserve">http://slimages.macys.com/is/image/MCY/12465577 </v>
      </c>
    </row>
    <row r="316" spans="1:13" ht="60" x14ac:dyDescent="0.25">
      <c r="A316" s="7" t="s">
        <v>7085</v>
      </c>
      <c r="B316" s="2" t="s">
        <v>7056</v>
      </c>
      <c r="C316" s="4">
        <v>2</v>
      </c>
      <c r="D316" s="5">
        <v>3.29</v>
      </c>
      <c r="E316" s="5">
        <v>7.99</v>
      </c>
      <c r="F316" s="4" t="s">
        <v>7057</v>
      </c>
      <c r="G316" s="2" t="s">
        <v>582</v>
      </c>
      <c r="H316" s="7" t="s">
        <v>63</v>
      </c>
      <c r="I316" s="2" t="s">
        <v>1689</v>
      </c>
      <c r="J316" s="2" t="s">
        <v>354</v>
      </c>
      <c r="K316" s="2" t="s">
        <v>304</v>
      </c>
      <c r="L316" s="2" t="s">
        <v>119</v>
      </c>
      <c r="M316" s="8" t="str">
        <f>HYPERLINK("http://slimages.macys.com/is/image/MCY/12465528 ")</f>
        <v xml:space="preserve">http://slimages.macys.com/is/image/MCY/12465528 </v>
      </c>
    </row>
    <row r="317" spans="1:13" ht="60" x14ac:dyDescent="0.25">
      <c r="A317" s="7" t="s">
        <v>7086</v>
      </c>
      <c r="B317" s="2" t="s">
        <v>7073</v>
      </c>
      <c r="C317" s="4">
        <v>1</v>
      </c>
      <c r="D317" s="5">
        <v>3.29</v>
      </c>
      <c r="E317" s="5">
        <v>7.99</v>
      </c>
      <c r="F317" s="4" t="s">
        <v>7074</v>
      </c>
      <c r="G317" s="2" t="s">
        <v>582</v>
      </c>
      <c r="H317" s="7" t="s">
        <v>63</v>
      </c>
      <c r="I317" s="2" t="s">
        <v>1689</v>
      </c>
      <c r="J317" s="2" t="s">
        <v>354</v>
      </c>
      <c r="K317" s="2" t="s">
        <v>304</v>
      </c>
      <c r="L317" s="2" t="s">
        <v>119</v>
      </c>
      <c r="M317" s="8" t="str">
        <f>HYPERLINK("http://slimages.macys.com/is/image/MCY/13077225 ")</f>
        <v xml:space="preserve">http://slimages.macys.com/is/image/MCY/13077225 </v>
      </c>
    </row>
    <row r="318" spans="1:13" ht="60" x14ac:dyDescent="0.25">
      <c r="A318" s="7" t="s">
        <v>7087</v>
      </c>
      <c r="B318" s="2" t="s">
        <v>7073</v>
      </c>
      <c r="C318" s="4">
        <v>1</v>
      </c>
      <c r="D318" s="5">
        <v>3.29</v>
      </c>
      <c r="E318" s="5">
        <v>7.99</v>
      </c>
      <c r="F318" s="4" t="s">
        <v>7074</v>
      </c>
      <c r="G318" s="2" t="s">
        <v>582</v>
      </c>
      <c r="H318" s="7" t="s">
        <v>123</v>
      </c>
      <c r="I318" s="2" t="s">
        <v>1689</v>
      </c>
      <c r="J318" s="2" t="s">
        <v>354</v>
      </c>
      <c r="K318" s="2" t="s">
        <v>304</v>
      </c>
      <c r="L318" s="2" t="s">
        <v>119</v>
      </c>
      <c r="M318" s="8" t="str">
        <f>HYPERLINK("http://slimages.macys.com/is/image/MCY/13077225 ")</f>
        <v xml:space="preserve">http://slimages.macys.com/is/image/MCY/13077225 </v>
      </c>
    </row>
    <row r="319" spans="1:13" ht="60" x14ac:dyDescent="0.25">
      <c r="A319" s="7" t="s">
        <v>7088</v>
      </c>
      <c r="B319" s="2" t="s">
        <v>4364</v>
      </c>
      <c r="C319" s="4">
        <v>1</v>
      </c>
      <c r="D319" s="5">
        <v>3.29</v>
      </c>
      <c r="E319" s="5">
        <v>7.99</v>
      </c>
      <c r="F319" s="4" t="s">
        <v>4365</v>
      </c>
      <c r="G319" s="2" t="s">
        <v>86</v>
      </c>
      <c r="H319" s="7" t="s">
        <v>514</v>
      </c>
      <c r="I319" s="2" t="s">
        <v>1689</v>
      </c>
      <c r="J319" s="2" t="s">
        <v>354</v>
      </c>
      <c r="K319" s="2" t="s">
        <v>304</v>
      </c>
      <c r="L319" s="2" t="s">
        <v>119</v>
      </c>
      <c r="M319" s="8" t="str">
        <f>HYPERLINK("http://slimages.macys.com/is/image/MCY/12494534 ")</f>
        <v xml:space="preserve">http://slimages.macys.com/is/image/MCY/12494534 </v>
      </c>
    </row>
    <row r="320" spans="1:13" ht="60" x14ac:dyDescent="0.25">
      <c r="A320" s="7" t="s">
        <v>7089</v>
      </c>
      <c r="B320" s="2" t="s">
        <v>7090</v>
      </c>
      <c r="C320" s="4">
        <v>1</v>
      </c>
      <c r="D320" s="5">
        <v>3.29</v>
      </c>
      <c r="E320" s="5">
        <v>7.99</v>
      </c>
      <c r="F320" s="4" t="s">
        <v>7091</v>
      </c>
      <c r="G320" s="2" t="s">
        <v>582</v>
      </c>
      <c r="H320" s="7" t="s">
        <v>514</v>
      </c>
      <c r="I320" s="2" t="s">
        <v>1689</v>
      </c>
      <c r="J320" s="2" t="s">
        <v>354</v>
      </c>
      <c r="K320" s="2" t="s">
        <v>304</v>
      </c>
      <c r="L320" s="2" t="s">
        <v>119</v>
      </c>
      <c r="M320" s="8" t="str">
        <f>HYPERLINK("http://slimages.macys.com/is/image/MCY/11500733 ")</f>
        <v xml:space="preserve">http://slimages.macys.com/is/image/MCY/11500733 </v>
      </c>
    </row>
    <row r="321" spans="1:13" ht="60" x14ac:dyDescent="0.25">
      <c r="A321" s="7" t="s">
        <v>7092</v>
      </c>
      <c r="B321" s="2" t="s">
        <v>4354</v>
      </c>
      <c r="C321" s="4">
        <v>1</v>
      </c>
      <c r="D321" s="5">
        <v>3.29</v>
      </c>
      <c r="E321" s="5">
        <v>7.99</v>
      </c>
      <c r="F321" s="4" t="s">
        <v>4355</v>
      </c>
      <c r="G321" s="2" t="s">
        <v>793</v>
      </c>
      <c r="H321" s="7" t="s">
        <v>514</v>
      </c>
      <c r="I321" s="2" t="s">
        <v>1689</v>
      </c>
      <c r="J321" s="2" t="s">
        <v>354</v>
      </c>
      <c r="K321" s="2" t="s">
        <v>304</v>
      </c>
      <c r="L321" s="2" t="s">
        <v>119</v>
      </c>
      <c r="M321" s="8" t="str">
        <f>HYPERLINK("http://slimages.macys.com/is/image/MCY/12101657 ")</f>
        <v xml:space="preserve">http://slimages.macys.com/is/image/MCY/12101657 </v>
      </c>
    </row>
    <row r="322" spans="1:13" ht="60" x14ac:dyDescent="0.25">
      <c r="A322" s="7" t="s">
        <v>7093</v>
      </c>
      <c r="B322" s="2" t="s">
        <v>6453</v>
      </c>
      <c r="C322" s="4">
        <v>1</v>
      </c>
      <c r="D322" s="5">
        <v>3.29</v>
      </c>
      <c r="E322" s="5">
        <v>7.99</v>
      </c>
      <c r="F322" s="4" t="s">
        <v>6454</v>
      </c>
      <c r="G322" s="2" t="s">
        <v>103</v>
      </c>
      <c r="H322" s="7" t="s">
        <v>123</v>
      </c>
      <c r="I322" s="2" t="s">
        <v>1689</v>
      </c>
      <c r="J322" s="2" t="s">
        <v>354</v>
      </c>
      <c r="K322" s="2" t="s">
        <v>304</v>
      </c>
      <c r="L322" s="2" t="s">
        <v>119</v>
      </c>
      <c r="M322" s="8" t="str">
        <f>HYPERLINK("http://slimages.macys.com/is/image/MCY/12101652 ")</f>
        <v xml:space="preserve">http://slimages.macys.com/is/image/MCY/12101652 </v>
      </c>
    </row>
    <row r="323" spans="1:13" ht="60" x14ac:dyDescent="0.25">
      <c r="A323" s="7" t="s">
        <v>1178</v>
      </c>
      <c r="B323" s="2" t="s">
        <v>1176</v>
      </c>
      <c r="C323" s="4">
        <v>1</v>
      </c>
      <c r="D323" s="5">
        <v>3.21</v>
      </c>
      <c r="E323" s="5">
        <v>7.99</v>
      </c>
      <c r="F323" s="4" t="s">
        <v>1177</v>
      </c>
      <c r="G323" s="2" t="s">
        <v>527</v>
      </c>
      <c r="H323" s="7" t="s">
        <v>1151</v>
      </c>
      <c r="I323" s="2" t="s">
        <v>483</v>
      </c>
      <c r="J323" s="2" t="s">
        <v>536</v>
      </c>
      <c r="K323" s="2" t="s">
        <v>304</v>
      </c>
      <c r="L323" s="2" t="s">
        <v>119</v>
      </c>
      <c r="M323" s="8" t="str">
        <f>HYPERLINK("http://slimages.macys.com/is/image/MCY/13987326 ")</f>
        <v xml:space="preserve">http://slimages.macys.com/is/image/MCY/13987326 </v>
      </c>
    </row>
    <row r="324" spans="1:13" ht="60" x14ac:dyDescent="0.25">
      <c r="A324" s="7" t="s">
        <v>1175</v>
      </c>
      <c r="B324" s="2" t="s">
        <v>1176</v>
      </c>
      <c r="C324" s="4">
        <v>1</v>
      </c>
      <c r="D324" s="5">
        <v>3.21</v>
      </c>
      <c r="E324" s="5">
        <v>7.99</v>
      </c>
      <c r="F324" s="4" t="s">
        <v>1177</v>
      </c>
      <c r="G324" s="2" t="s">
        <v>527</v>
      </c>
      <c r="H324" s="7" t="s">
        <v>514</v>
      </c>
      <c r="I324" s="2" t="s">
        <v>483</v>
      </c>
      <c r="J324" s="2" t="s">
        <v>536</v>
      </c>
      <c r="K324" s="2" t="s">
        <v>304</v>
      </c>
      <c r="L324" s="2" t="s">
        <v>119</v>
      </c>
      <c r="M324" s="8" t="str">
        <f>HYPERLINK("http://slimages.macys.com/is/image/MCY/13987326 ")</f>
        <v xml:space="preserve">http://slimages.macys.com/is/image/MCY/13987326 </v>
      </c>
    </row>
    <row r="325" spans="1:13" ht="60" x14ac:dyDescent="0.25">
      <c r="A325" s="7" t="s">
        <v>7094</v>
      </c>
      <c r="B325" s="2" t="s">
        <v>7095</v>
      </c>
      <c r="C325" s="4">
        <v>1</v>
      </c>
      <c r="D325" s="5">
        <v>3.21</v>
      </c>
      <c r="E325" s="5">
        <v>7.99</v>
      </c>
      <c r="F325" s="4" t="s">
        <v>7096</v>
      </c>
      <c r="G325" s="2" t="s">
        <v>41</v>
      </c>
      <c r="H325" s="7" t="s">
        <v>514</v>
      </c>
      <c r="I325" s="2" t="s">
        <v>483</v>
      </c>
      <c r="J325" s="2" t="s">
        <v>536</v>
      </c>
      <c r="K325" s="2" t="s">
        <v>304</v>
      </c>
      <c r="L325" s="2" t="s">
        <v>38</v>
      </c>
      <c r="M325" s="8" t="str">
        <f>HYPERLINK("http://slimages.macys.com/is/image/MCY/13987340 ")</f>
        <v xml:space="preserve">http://slimages.macys.com/is/image/MCY/13987340 </v>
      </c>
    </row>
    <row r="326" spans="1:13" ht="60" x14ac:dyDescent="0.25">
      <c r="A326" s="7" t="s">
        <v>7097</v>
      </c>
      <c r="B326" s="2" t="s">
        <v>7098</v>
      </c>
      <c r="C326" s="4">
        <v>2</v>
      </c>
      <c r="D326" s="5">
        <v>3.2</v>
      </c>
      <c r="E326" s="5">
        <v>6.99</v>
      </c>
      <c r="F326" s="4">
        <v>7132</v>
      </c>
      <c r="G326" s="2" t="s">
        <v>103</v>
      </c>
      <c r="H326" s="7" t="s">
        <v>228</v>
      </c>
      <c r="I326" s="2" t="s">
        <v>523</v>
      </c>
      <c r="J326" s="2" t="s">
        <v>969</v>
      </c>
      <c r="K326" s="2" t="s">
        <v>304</v>
      </c>
      <c r="L326" s="2" t="s">
        <v>7099</v>
      </c>
      <c r="M326" s="8" t="str">
        <f>HYPERLINK("http://slimages.macys.com/is/image/MCY/13403928 ")</f>
        <v xml:space="preserve">http://slimages.macys.com/is/image/MCY/13403928 </v>
      </c>
    </row>
    <row r="327" spans="1:13" ht="60" x14ac:dyDescent="0.25">
      <c r="A327" s="7" t="s">
        <v>7100</v>
      </c>
      <c r="B327" s="2" t="s">
        <v>4368</v>
      </c>
      <c r="C327" s="4">
        <v>1</v>
      </c>
      <c r="D327" s="5">
        <v>3.15</v>
      </c>
      <c r="E327" s="5">
        <v>7.99</v>
      </c>
      <c r="F327" s="4" t="s">
        <v>4369</v>
      </c>
      <c r="G327" s="2" t="s">
        <v>238</v>
      </c>
      <c r="H327" s="7" t="s">
        <v>578</v>
      </c>
      <c r="I327" s="2" t="s">
        <v>483</v>
      </c>
      <c r="J327" s="2" t="s">
        <v>536</v>
      </c>
      <c r="K327" s="2" t="s">
        <v>304</v>
      </c>
      <c r="L327" s="2" t="s">
        <v>87</v>
      </c>
      <c r="M327" s="8" t="str">
        <f>HYPERLINK("http://slimages.macys.com/is/image/MCY/11436881 ")</f>
        <v xml:space="preserve">http://slimages.macys.com/is/image/MCY/11436881 </v>
      </c>
    </row>
    <row r="328" spans="1:13" ht="60" x14ac:dyDescent="0.25">
      <c r="A328" s="7" t="s">
        <v>6460</v>
      </c>
      <c r="B328" s="2" t="s">
        <v>4368</v>
      </c>
      <c r="C328" s="4">
        <v>1</v>
      </c>
      <c r="D328" s="5">
        <v>3.15</v>
      </c>
      <c r="E328" s="5">
        <v>7.99</v>
      </c>
      <c r="F328" s="4" t="s">
        <v>4369</v>
      </c>
      <c r="G328" s="2" t="s">
        <v>238</v>
      </c>
      <c r="H328" s="7" t="s">
        <v>514</v>
      </c>
      <c r="I328" s="2" t="s">
        <v>483</v>
      </c>
      <c r="J328" s="2" t="s">
        <v>536</v>
      </c>
      <c r="K328" s="2" t="s">
        <v>304</v>
      </c>
      <c r="L328" s="2" t="s">
        <v>87</v>
      </c>
      <c r="M328" s="8" t="str">
        <f>HYPERLINK("http://slimages.macys.com/is/image/MCY/11436881 ")</f>
        <v xml:space="preserve">http://slimages.macys.com/is/image/MCY/11436881 </v>
      </c>
    </row>
    <row r="329" spans="1:13" ht="60" x14ac:dyDescent="0.25">
      <c r="A329" s="7" t="s">
        <v>7101</v>
      </c>
      <c r="B329" s="2" t="s">
        <v>7102</v>
      </c>
      <c r="C329" s="4">
        <v>1</v>
      </c>
      <c r="D329" s="5">
        <v>3.09</v>
      </c>
      <c r="E329" s="5">
        <v>7.99</v>
      </c>
      <c r="F329" s="4" t="s">
        <v>7103</v>
      </c>
      <c r="G329" s="2" t="s">
        <v>28</v>
      </c>
      <c r="H329" s="7" t="s">
        <v>1151</v>
      </c>
      <c r="I329" s="2" t="s">
        <v>483</v>
      </c>
      <c r="J329" s="2" t="s">
        <v>536</v>
      </c>
      <c r="K329" s="2" t="s">
        <v>304</v>
      </c>
      <c r="L329" s="2" t="s">
        <v>38</v>
      </c>
      <c r="M329" s="8" t="str">
        <f>HYPERLINK("http://slimages.macys.com/is/image/MCY/11436893 ")</f>
        <v xml:space="preserve">http://slimages.macys.com/is/image/MCY/11436893 </v>
      </c>
    </row>
    <row r="330" spans="1:13" ht="60" x14ac:dyDescent="0.25">
      <c r="A330" s="7" t="s">
        <v>4380</v>
      </c>
      <c r="B330" s="2" t="s">
        <v>1180</v>
      </c>
      <c r="C330" s="4">
        <v>1</v>
      </c>
      <c r="D330" s="5">
        <v>3.05</v>
      </c>
      <c r="E330" s="5">
        <v>7.99</v>
      </c>
      <c r="F330" s="4" t="s">
        <v>1181</v>
      </c>
      <c r="G330" s="2" t="s">
        <v>41</v>
      </c>
      <c r="H330" s="7" t="s">
        <v>1151</v>
      </c>
      <c r="I330" s="2" t="s">
        <v>483</v>
      </c>
      <c r="J330" s="2" t="s">
        <v>536</v>
      </c>
      <c r="K330" s="2" t="s">
        <v>304</v>
      </c>
      <c r="L330" s="2" t="s">
        <v>38</v>
      </c>
      <c r="M330" s="8" t="str">
        <f>HYPERLINK("http://slimages.macys.com/is/image/MCY/13337374 ")</f>
        <v xml:space="preserve">http://slimages.macys.com/is/image/MCY/13337374 </v>
      </c>
    </row>
    <row r="331" spans="1:13" ht="60" x14ac:dyDescent="0.25">
      <c r="A331" s="7" t="s">
        <v>1179</v>
      </c>
      <c r="B331" s="2" t="s">
        <v>1180</v>
      </c>
      <c r="C331" s="4">
        <v>1</v>
      </c>
      <c r="D331" s="5">
        <v>3.05</v>
      </c>
      <c r="E331" s="5">
        <v>7.99</v>
      </c>
      <c r="F331" s="4" t="s">
        <v>1181</v>
      </c>
      <c r="G331" s="2" t="s">
        <v>41</v>
      </c>
      <c r="H331" s="7" t="s">
        <v>514</v>
      </c>
      <c r="I331" s="2" t="s">
        <v>483</v>
      </c>
      <c r="J331" s="2" t="s">
        <v>536</v>
      </c>
      <c r="K331" s="2" t="s">
        <v>304</v>
      </c>
      <c r="L331" s="2" t="s">
        <v>38</v>
      </c>
      <c r="M331" s="8" t="str">
        <f>HYPERLINK("http://slimages.macys.com/is/image/MCY/13337374 ")</f>
        <v xml:space="preserve">http://slimages.macys.com/is/image/MCY/13337374 </v>
      </c>
    </row>
    <row r="332" spans="1:13" ht="60" x14ac:dyDescent="0.25">
      <c r="A332" s="7" t="s">
        <v>2166</v>
      </c>
      <c r="B332" s="2" t="s">
        <v>1183</v>
      </c>
      <c r="C332" s="4">
        <v>4</v>
      </c>
      <c r="D332" s="5">
        <v>3.03</v>
      </c>
      <c r="E332" s="5">
        <v>7.99</v>
      </c>
      <c r="F332" s="4" t="s">
        <v>1184</v>
      </c>
      <c r="G332" s="2" t="s">
        <v>41</v>
      </c>
      <c r="H332" s="7" t="s">
        <v>1151</v>
      </c>
      <c r="I332" s="2" t="s">
        <v>483</v>
      </c>
      <c r="J332" s="2" t="s">
        <v>536</v>
      </c>
      <c r="K332" s="2" t="s">
        <v>304</v>
      </c>
      <c r="L332" s="2" t="s">
        <v>38</v>
      </c>
      <c r="M332" s="8" t="str">
        <f>HYPERLINK("http://slimages.macys.com/is/image/MCY/13987599 ")</f>
        <v xml:space="preserve">http://slimages.macys.com/is/image/MCY/13987599 </v>
      </c>
    </row>
    <row r="333" spans="1:13" ht="60" x14ac:dyDescent="0.25">
      <c r="A333" s="7" t="s">
        <v>1182</v>
      </c>
      <c r="B333" s="2" t="s">
        <v>1183</v>
      </c>
      <c r="C333" s="4">
        <v>5</v>
      </c>
      <c r="D333" s="5">
        <v>3.03</v>
      </c>
      <c r="E333" s="5">
        <v>7.99</v>
      </c>
      <c r="F333" s="4" t="s">
        <v>1184</v>
      </c>
      <c r="G333" s="2" t="s">
        <v>41</v>
      </c>
      <c r="H333" s="7" t="s">
        <v>514</v>
      </c>
      <c r="I333" s="2" t="s">
        <v>483</v>
      </c>
      <c r="J333" s="2" t="s">
        <v>536</v>
      </c>
      <c r="K333" s="2" t="s">
        <v>304</v>
      </c>
      <c r="L333" s="2" t="s">
        <v>38</v>
      </c>
      <c r="M333" s="8" t="str">
        <f>HYPERLINK("http://slimages.macys.com/is/image/MCY/13987599 ")</f>
        <v xml:space="preserve">http://slimages.macys.com/is/image/MCY/13987599 </v>
      </c>
    </row>
    <row r="334" spans="1:13" ht="60" x14ac:dyDescent="0.25">
      <c r="A334" s="7" t="s">
        <v>7104</v>
      </c>
      <c r="B334" s="2" t="s">
        <v>4386</v>
      </c>
      <c r="C334" s="4">
        <v>2</v>
      </c>
      <c r="D334" s="5">
        <v>3.03</v>
      </c>
      <c r="E334" s="5">
        <v>7.99</v>
      </c>
      <c r="F334" s="4" t="s">
        <v>4387</v>
      </c>
      <c r="G334" s="2" t="s">
        <v>28</v>
      </c>
      <c r="H334" s="7" t="s">
        <v>1151</v>
      </c>
      <c r="I334" s="2" t="s">
        <v>483</v>
      </c>
      <c r="J334" s="2" t="s">
        <v>536</v>
      </c>
      <c r="K334" s="2" t="s">
        <v>304</v>
      </c>
      <c r="L334" s="2" t="s">
        <v>100</v>
      </c>
      <c r="M334" s="8" t="str">
        <f>HYPERLINK("http://slimages.macys.com/is/image/MCY/13336558 ")</f>
        <v xml:space="preserve">http://slimages.macys.com/is/image/MCY/13336558 </v>
      </c>
    </row>
    <row r="335" spans="1:13" ht="60" x14ac:dyDescent="0.25">
      <c r="A335" s="7" t="s">
        <v>4385</v>
      </c>
      <c r="B335" s="2" t="s">
        <v>4386</v>
      </c>
      <c r="C335" s="4">
        <v>2</v>
      </c>
      <c r="D335" s="5">
        <v>3.03</v>
      </c>
      <c r="E335" s="5">
        <v>7.99</v>
      </c>
      <c r="F335" s="4" t="s">
        <v>4387</v>
      </c>
      <c r="G335" s="2" t="s">
        <v>28</v>
      </c>
      <c r="H335" s="7" t="s">
        <v>514</v>
      </c>
      <c r="I335" s="2" t="s">
        <v>483</v>
      </c>
      <c r="J335" s="2" t="s">
        <v>536</v>
      </c>
      <c r="K335" s="2" t="s">
        <v>304</v>
      </c>
      <c r="L335" s="2" t="s">
        <v>100</v>
      </c>
      <c r="M335" s="8" t="str">
        <f>HYPERLINK("http://slimages.macys.com/is/image/MCY/13336558 ")</f>
        <v xml:space="preserve">http://slimages.macys.com/is/image/MCY/13336558 </v>
      </c>
    </row>
    <row r="336" spans="1:13" ht="60" x14ac:dyDescent="0.25">
      <c r="A336" s="7" t="s">
        <v>2167</v>
      </c>
      <c r="B336" s="2" t="s">
        <v>2168</v>
      </c>
      <c r="C336" s="4">
        <v>1</v>
      </c>
      <c r="D336" s="5">
        <v>3.02</v>
      </c>
      <c r="E336" s="5">
        <v>7.99</v>
      </c>
      <c r="F336" s="4" t="s">
        <v>2169</v>
      </c>
      <c r="G336" s="2" t="s">
        <v>657</v>
      </c>
      <c r="H336" s="7" t="s">
        <v>578</v>
      </c>
      <c r="I336" s="2" t="s">
        <v>483</v>
      </c>
      <c r="J336" s="2" t="s">
        <v>536</v>
      </c>
      <c r="K336" s="2" t="s">
        <v>304</v>
      </c>
      <c r="L336" s="2" t="s">
        <v>119</v>
      </c>
      <c r="M336" s="8" t="str">
        <f>HYPERLINK("http://slimages.macys.com/is/image/MCY/13987476 ")</f>
        <v xml:space="preserve">http://slimages.macys.com/is/image/MCY/13987476 </v>
      </c>
    </row>
    <row r="337" spans="1:13" ht="60" x14ac:dyDescent="0.25">
      <c r="A337" s="7" t="s">
        <v>7105</v>
      </c>
      <c r="B337" s="2" t="s">
        <v>7106</v>
      </c>
      <c r="C337" s="4">
        <v>1</v>
      </c>
      <c r="D337" s="5">
        <v>3.01</v>
      </c>
      <c r="E337" s="5">
        <v>7.99</v>
      </c>
      <c r="F337" s="4" t="s">
        <v>7107</v>
      </c>
      <c r="G337" s="2" t="s">
        <v>28</v>
      </c>
      <c r="H337" s="7" t="s">
        <v>578</v>
      </c>
      <c r="I337" s="2" t="s">
        <v>483</v>
      </c>
      <c r="J337" s="2" t="s">
        <v>536</v>
      </c>
      <c r="K337" s="2" t="s">
        <v>304</v>
      </c>
      <c r="L337" s="2" t="s">
        <v>119</v>
      </c>
      <c r="M337" s="8" t="str">
        <f>HYPERLINK("http://slimages.macys.com/is/image/MCY/13987054 ")</f>
        <v xml:space="preserve">http://slimages.macys.com/is/image/MCY/13987054 </v>
      </c>
    </row>
    <row r="338" spans="1:13" ht="60" x14ac:dyDescent="0.25">
      <c r="A338" s="7" t="s">
        <v>7108</v>
      </c>
      <c r="B338" s="2" t="s">
        <v>1190</v>
      </c>
      <c r="C338" s="4">
        <v>1</v>
      </c>
      <c r="D338" s="5">
        <v>3.01</v>
      </c>
      <c r="E338" s="5">
        <v>7.99</v>
      </c>
      <c r="F338" s="4" t="s">
        <v>1191</v>
      </c>
      <c r="G338" s="2" t="s">
        <v>527</v>
      </c>
      <c r="H338" s="7" t="s">
        <v>1151</v>
      </c>
      <c r="I338" s="2" t="s">
        <v>483</v>
      </c>
      <c r="J338" s="2" t="s">
        <v>536</v>
      </c>
      <c r="K338" s="2" t="s">
        <v>304</v>
      </c>
      <c r="L338" s="2" t="s">
        <v>206</v>
      </c>
      <c r="M338" s="8" t="str">
        <f>HYPERLINK("http://slimages.macys.com/is/image/MCY/13336562 ")</f>
        <v xml:space="preserve">http://slimages.macys.com/is/image/MCY/13336562 </v>
      </c>
    </row>
    <row r="339" spans="1:13" ht="60" x14ac:dyDescent="0.25">
      <c r="A339" s="7" t="s">
        <v>7109</v>
      </c>
      <c r="B339" s="2" t="s">
        <v>2183</v>
      </c>
      <c r="C339" s="4">
        <v>1</v>
      </c>
      <c r="D339" s="5">
        <v>2.97</v>
      </c>
      <c r="E339" s="5">
        <v>7.99</v>
      </c>
      <c r="F339" s="4" t="s">
        <v>2184</v>
      </c>
      <c r="G339" s="2" t="s">
        <v>595</v>
      </c>
      <c r="H339" s="7" t="s">
        <v>442</v>
      </c>
      <c r="I339" s="2" t="s">
        <v>483</v>
      </c>
      <c r="J339" s="2" t="s">
        <v>536</v>
      </c>
      <c r="K339" s="2" t="s">
        <v>304</v>
      </c>
      <c r="L339" s="2" t="s">
        <v>119</v>
      </c>
      <c r="M339" s="8" t="str">
        <f>HYPERLINK("http://slimages.macys.com/is/image/MCY/12465363 ")</f>
        <v xml:space="preserve">http://slimages.macys.com/is/image/MCY/12465363 </v>
      </c>
    </row>
    <row r="340" spans="1:13" ht="60" x14ac:dyDescent="0.25">
      <c r="A340" s="7" t="s">
        <v>7110</v>
      </c>
      <c r="B340" s="2" t="s">
        <v>2180</v>
      </c>
      <c r="C340" s="4">
        <v>1</v>
      </c>
      <c r="D340" s="5">
        <v>2.97</v>
      </c>
      <c r="E340" s="5">
        <v>7.99</v>
      </c>
      <c r="F340" s="4" t="s">
        <v>2181</v>
      </c>
      <c r="G340" s="2" t="s">
        <v>41</v>
      </c>
      <c r="H340" s="7" t="s">
        <v>442</v>
      </c>
      <c r="I340" s="2" t="s">
        <v>483</v>
      </c>
      <c r="J340" s="2" t="s">
        <v>536</v>
      </c>
      <c r="K340" s="2" t="s">
        <v>304</v>
      </c>
      <c r="L340" s="2" t="s">
        <v>119</v>
      </c>
      <c r="M340" s="8" t="str">
        <f>HYPERLINK("http://slimages.macys.com/is/image/MCY/12465218 ")</f>
        <v xml:space="preserve">http://slimages.macys.com/is/image/MCY/12465218 </v>
      </c>
    </row>
    <row r="341" spans="1:13" ht="60" x14ac:dyDescent="0.25">
      <c r="A341" s="7" t="s">
        <v>4401</v>
      </c>
      <c r="B341" s="2" t="s">
        <v>2183</v>
      </c>
      <c r="C341" s="4">
        <v>1</v>
      </c>
      <c r="D341" s="5">
        <v>2.97</v>
      </c>
      <c r="E341" s="5">
        <v>7.99</v>
      </c>
      <c r="F341" s="4" t="s">
        <v>2184</v>
      </c>
      <c r="G341" s="2" t="s">
        <v>595</v>
      </c>
      <c r="H341" s="7" t="s">
        <v>590</v>
      </c>
      <c r="I341" s="2" t="s">
        <v>483</v>
      </c>
      <c r="J341" s="2" t="s">
        <v>536</v>
      </c>
      <c r="K341" s="2" t="s">
        <v>304</v>
      </c>
      <c r="L341" s="2" t="s">
        <v>119</v>
      </c>
      <c r="M341" s="8" t="str">
        <f>HYPERLINK("http://slimages.macys.com/is/image/MCY/12465363 ")</f>
        <v xml:space="preserve">http://slimages.macys.com/is/image/MCY/12465363 </v>
      </c>
    </row>
    <row r="342" spans="1:13" ht="60" x14ac:dyDescent="0.25">
      <c r="A342" s="7" t="s">
        <v>7111</v>
      </c>
      <c r="B342" s="2" t="s">
        <v>7112</v>
      </c>
      <c r="C342" s="4">
        <v>1</v>
      </c>
      <c r="D342" s="5">
        <v>2.97</v>
      </c>
      <c r="E342" s="5">
        <v>7.99</v>
      </c>
      <c r="F342" s="4" t="s">
        <v>7113</v>
      </c>
      <c r="G342" s="2" t="s">
        <v>195</v>
      </c>
      <c r="H342" s="7"/>
      <c r="I342" s="2" t="s">
        <v>483</v>
      </c>
      <c r="J342" s="2" t="s">
        <v>536</v>
      </c>
      <c r="K342" s="2" t="s">
        <v>304</v>
      </c>
      <c r="L342" s="2" t="s">
        <v>119</v>
      </c>
      <c r="M342" s="8" t="str">
        <f>HYPERLINK("http://slimages.macys.com/is/image/MCY/12465251 ")</f>
        <v xml:space="preserve">http://slimages.macys.com/is/image/MCY/12465251 </v>
      </c>
    </row>
    <row r="343" spans="1:13" ht="60" x14ac:dyDescent="0.25">
      <c r="A343" s="7" t="s">
        <v>7114</v>
      </c>
      <c r="B343" s="2" t="s">
        <v>7115</v>
      </c>
      <c r="C343" s="4">
        <v>1</v>
      </c>
      <c r="D343" s="5">
        <v>2.97</v>
      </c>
      <c r="E343" s="5">
        <v>7.99</v>
      </c>
      <c r="F343" s="4" t="s">
        <v>7116</v>
      </c>
      <c r="G343" s="2" t="s">
        <v>297</v>
      </c>
      <c r="H343" s="7" t="s">
        <v>590</v>
      </c>
      <c r="I343" s="2" t="s">
        <v>483</v>
      </c>
      <c r="J343" s="2" t="s">
        <v>536</v>
      </c>
      <c r="K343" s="2" t="s">
        <v>304</v>
      </c>
      <c r="L343" s="2" t="s">
        <v>119</v>
      </c>
      <c r="M343" s="8" t="str">
        <f>HYPERLINK("http://slimages.macys.com/is/image/MCY/12465218 ")</f>
        <v xml:space="preserve">http://slimages.macys.com/is/image/MCY/12465218 </v>
      </c>
    </row>
    <row r="344" spans="1:13" ht="60" x14ac:dyDescent="0.25">
      <c r="A344" s="7" t="s">
        <v>4398</v>
      </c>
      <c r="B344" s="2" t="s">
        <v>4399</v>
      </c>
      <c r="C344" s="4">
        <v>1</v>
      </c>
      <c r="D344" s="5">
        <v>2.97</v>
      </c>
      <c r="E344" s="5">
        <v>7.99</v>
      </c>
      <c r="F344" s="4" t="s">
        <v>4400</v>
      </c>
      <c r="G344" s="2" t="s">
        <v>171</v>
      </c>
      <c r="H344" s="7"/>
      <c r="I344" s="2" t="s">
        <v>483</v>
      </c>
      <c r="J344" s="2" t="s">
        <v>536</v>
      </c>
      <c r="K344" s="2" t="s">
        <v>304</v>
      </c>
      <c r="L344" s="2" t="s">
        <v>100</v>
      </c>
      <c r="M344" s="8" t="str">
        <f>HYPERLINK("http://slimages.macys.com/is/image/MCY/12465404 ")</f>
        <v xml:space="preserve">http://slimages.macys.com/is/image/MCY/12465404 </v>
      </c>
    </row>
    <row r="345" spans="1:13" ht="60" x14ac:dyDescent="0.25">
      <c r="A345" s="7" t="s">
        <v>7117</v>
      </c>
      <c r="B345" s="2" t="s">
        <v>2180</v>
      </c>
      <c r="C345" s="4">
        <v>1</v>
      </c>
      <c r="D345" s="5">
        <v>2.97</v>
      </c>
      <c r="E345" s="5">
        <v>7.99</v>
      </c>
      <c r="F345" s="4" t="s">
        <v>2181</v>
      </c>
      <c r="G345" s="2" t="s">
        <v>41</v>
      </c>
      <c r="H345" s="7" t="s">
        <v>590</v>
      </c>
      <c r="I345" s="2" t="s">
        <v>483</v>
      </c>
      <c r="J345" s="2" t="s">
        <v>536</v>
      </c>
      <c r="K345" s="2" t="s">
        <v>304</v>
      </c>
      <c r="L345" s="2" t="s">
        <v>119</v>
      </c>
      <c r="M345" s="8" t="str">
        <f>HYPERLINK("http://slimages.macys.com/is/image/MCY/12465218 ")</f>
        <v xml:space="preserve">http://slimages.macys.com/is/image/MCY/12465218 </v>
      </c>
    </row>
    <row r="346" spans="1:13" ht="60" x14ac:dyDescent="0.25">
      <c r="A346" s="7" t="s">
        <v>4417</v>
      </c>
      <c r="B346" s="2" t="s">
        <v>4418</v>
      </c>
      <c r="C346" s="4">
        <v>1</v>
      </c>
      <c r="D346" s="5">
        <v>2.94</v>
      </c>
      <c r="E346" s="5">
        <v>7.99</v>
      </c>
      <c r="F346" s="4" t="s">
        <v>4419</v>
      </c>
      <c r="G346" s="2" t="s">
        <v>28</v>
      </c>
      <c r="H346" s="7" t="s">
        <v>578</v>
      </c>
      <c r="I346" s="2" t="s">
        <v>483</v>
      </c>
      <c r="J346" s="2" t="s">
        <v>536</v>
      </c>
      <c r="K346" s="2" t="s">
        <v>304</v>
      </c>
      <c r="L346" s="2" t="s">
        <v>206</v>
      </c>
      <c r="M346" s="8" t="str">
        <f>HYPERLINK("http://slimages.macys.com/is/image/MCY/13386207 ")</f>
        <v xml:space="preserve">http://slimages.macys.com/is/image/MCY/13386207 </v>
      </c>
    </row>
    <row r="347" spans="1:13" ht="60" x14ac:dyDescent="0.25">
      <c r="A347" s="7" t="s">
        <v>4426</v>
      </c>
      <c r="B347" s="2" t="s">
        <v>4424</v>
      </c>
      <c r="C347" s="4">
        <v>1</v>
      </c>
      <c r="D347" s="5">
        <v>2.94</v>
      </c>
      <c r="E347" s="5">
        <v>7.99</v>
      </c>
      <c r="F347" s="4" t="s">
        <v>4425</v>
      </c>
      <c r="G347" s="2" t="s">
        <v>527</v>
      </c>
      <c r="H347" s="7" t="s">
        <v>1151</v>
      </c>
      <c r="I347" s="2" t="s">
        <v>483</v>
      </c>
      <c r="J347" s="2" t="s">
        <v>536</v>
      </c>
      <c r="K347" s="2" t="s">
        <v>304</v>
      </c>
      <c r="L347" s="2" t="s">
        <v>119</v>
      </c>
      <c r="M347" s="8" t="str">
        <f>HYPERLINK("http://slimages.macys.com/is/image/MCY/13987179 ")</f>
        <v xml:space="preserve">http://slimages.macys.com/is/image/MCY/13987179 </v>
      </c>
    </row>
    <row r="348" spans="1:13" ht="60" x14ac:dyDescent="0.25">
      <c r="A348" s="7" t="s">
        <v>2192</v>
      </c>
      <c r="B348" s="2" t="s">
        <v>2193</v>
      </c>
      <c r="C348" s="4">
        <v>2</v>
      </c>
      <c r="D348" s="5">
        <v>2.94</v>
      </c>
      <c r="E348" s="5">
        <v>7.99</v>
      </c>
      <c r="F348" s="4" t="s">
        <v>2194</v>
      </c>
      <c r="G348" s="2" t="s">
        <v>41</v>
      </c>
      <c r="H348" s="7" t="s">
        <v>514</v>
      </c>
      <c r="I348" s="2" t="s">
        <v>483</v>
      </c>
      <c r="J348" s="2" t="s">
        <v>536</v>
      </c>
      <c r="K348" s="2" t="s">
        <v>304</v>
      </c>
      <c r="L348" s="2" t="s">
        <v>38</v>
      </c>
      <c r="M348" s="8" t="str">
        <f>HYPERLINK("http://slimages.macys.com/is/image/MCY/13987272 ")</f>
        <v xml:space="preserve">http://slimages.macys.com/is/image/MCY/13987272 </v>
      </c>
    </row>
    <row r="349" spans="1:13" ht="60" x14ac:dyDescent="0.25">
      <c r="A349" s="7" t="s">
        <v>4413</v>
      </c>
      <c r="B349" s="2" t="s">
        <v>2193</v>
      </c>
      <c r="C349" s="4">
        <v>1</v>
      </c>
      <c r="D349" s="5">
        <v>2.94</v>
      </c>
      <c r="E349" s="5">
        <v>7.99</v>
      </c>
      <c r="F349" s="4" t="s">
        <v>2194</v>
      </c>
      <c r="G349" s="2" t="s">
        <v>41</v>
      </c>
      <c r="H349" s="7" t="s">
        <v>1151</v>
      </c>
      <c r="I349" s="2" t="s">
        <v>483</v>
      </c>
      <c r="J349" s="2" t="s">
        <v>536</v>
      </c>
      <c r="K349" s="2" t="s">
        <v>304</v>
      </c>
      <c r="L349" s="2" t="s">
        <v>38</v>
      </c>
      <c r="M349" s="8" t="str">
        <f>HYPERLINK("http://slimages.macys.com/is/image/MCY/13987272 ")</f>
        <v xml:space="preserve">http://slimages.macys.com/is/image/MCY/13987272 </v>
      </c>
    </row>
    <row r="350" spans="1:13" ht="60" x14ac:dyDescent="0.25">
      <c r="A350" s="7" t="s">
        <v>2186</v>
      </c>
      <c r="B350" s="2" t="s">
        <v>2187</v>
      </c>
      <c r="C350" s="4">
        <v>1</v>
      </c>
      <c r="D350" s="5">
        <v>2.94</v>
      </c>
      <c r="E350" s="5">
        <v>7.99</v>
      </c>
      <c r="F350" s="4" t="s">
        <v>2188</v>
      </c>
      <c r="G350" s="2" t="s">
        <v>353</v>
      </c>
      <c r="H350" s="7" t="s">
        <v>1151</v>
      </c>
      <c r="I350" s="2" t="s">
        <v>483</v>
      </c>
      <c r="J350" s="2" t="s">
        <v>536</v>
      </c>
      <c r="K350" s="2" t="s">
        <v>304</v>
      </c>
      <c r="L350" s="2" t="s">
        <v>206</v>
      </c>
      <c r="M350" s="8" t="str">
        <f>HYPERLINK("http://slimages.macys.com/is/image/MCY/13386702 ")</f>
        <v xml:space="preserve">http://slimages.macys.com/is/image/MCY/13386702 </v>
      </c>
    </row>
    <row r="351" spans="1:13" ht="60" x14ac:dyDescent="0.25">
      <c r="A351" s="7" t="s">
        <v>7118</v>
      </c>
      <c r="B351" s="2" t="s">
        <v>4424</v>
      </c>
      <c r="C351" s="4">
        <v>2</v>
      </c>
      <c r="D351" s="5">
        <v>2.94</v>
      </c>
      <c r="E351" s="5">
        <v>7.99</v>
      </c>
      <c r="F351" s="4" t="s">
        <v>4425</v>
      </c>
      <c r="G351" s="2" t="s">
        <v>527</v>
      </c>
      <c r="H351" s="7" t="s">
        <v>514</v>
      </c>
      <c r="I351" s="2" t="s">
        <v>483</v>
      </c>
      <c r="J351" s="2" t="s">
        <v>536</v>
      </c>
      <c r="K351" s="2" t="s">
        <v>304</v>
      </c>
      <c r="L351" s="2" t="s">
        <v>119</v>
      </c>
      <c r="M351" s="8" t="str">
        <f>HYPERLINK("http://slimages.macys.com/is/image/MCY/13987179 ")</f>
        <v xml:space="preserve">http://slimages.macys.com/is/image/MCY/13987179 </v>
      </c>
    </row>
    <row r="352" spans="1:13" ht="60" x14ac:dyDescent="0.25">
      <c r="A352" s="7" t="s">
        <v>4423</v>
      </c>
      <c r="B352" s="2" t="s">
        <v>4424</v>
      </c>
      <c r="C352" s="4">
        <v>2</v>
      </c>
      <c r="D352" s="5">
        <v>2.94</v>
      </c>
      <c r="E352" s="5">
        <v>7.99</v>
      </c>
      <c r="F352" s="4" t="s">
        <v>4425</v>
      </c>
      <c r="G352" s="2" t="s">
        <v>527</v>
      </c>
      <c r="H352" s="7" t="s">
        <v>578</v>
      </c>
      <c r="I352" s="2" t="s">
        <v>483</v>
      </c>
      <c r="J352" s="2" t="s">
        <v>536</v>
      </c>
      <c r="K352" s="2" t="s">
        <v>304</v>
      </c>
      <c r="L352" s="2" t="s">
        <v>119</v>
      </c>
      <c r="M352" s="8" t="str">
        <f>HYPERLINK("http://slimages.macys.com/is/image/MCY/13987179 ")</f>
        <v xml:space="preserve">http://slimages.macys.com/is/image/MCY/13987179 </v>
      </c>
    </row>
    <row r="353" spans="1:13" ht="60" x14ac:dyDescent="0.25">
      <c r="A353" s="7" t="s">
        <v>7119</v>
      </c>
      <c r="B353" s="2" t="s">
        <v>4418</v>
      </c>
      <c r="C353" s="4">
        <v>1</v>
      </c>
      <c r="D353" s="5">
        <v>2.94</v>
      </c>
      <c r="E353" s="5">
        <v>7.99</v>
      </c>
      <c r="F353" s="4" t="s">
        <v>4419</v>
      </c>
      <c r="G353" s="2" t="s">
        <v>28</v>
      </c>
      <c r="H353" s="7" t="s">
        <v>514</v>
      </c>
      <c r="I353" s="2" t="s">
        <v>483</v>
      </c>
      <c r="J353" s="2" t="s">
        <v>536</v>
      </c>
      <c r="K353" s="2" t="s">
        <v>304</v>
      </c>
      <c r="L353" s="2" t="s">
        <v>206</v>
      </c>
      <c r="M353" s="8" t="str">
        <f>HYPERLINK("http://slimages.macys.com/is/image/MCY/13386207 ")</f>
        <v xml:space="preserve">http://slimages.macys.com/is/image/MCY/13386207 </v>
      </c>
    </row>
    <row r="354" spans="1:13" ht="60" x14ac:dyDescent="0.25">
      <c r="A354" s="7" t="s">
        <v>4420</v>
      </c>
      <c r="B354" s="2" t="s">
        <v>4421</v>
      </c>
      <c r="C354" s="4">
        <v>1</v>
      </c>
      <c r="D354" s="5">
        <v>2.94</v>
      </c>
      <c r="E354" s="5">
        <v>7.99</v>
      </c>
      <c r="F354" s="4" t="s">
        <v>4422</v>
      </c>
      <c r="G354" s="2" t="s">
        <v>41</v>
      </c>
      <c r="H354" s="7" t="s">
        <v>578</v>
      </c>
      <c r="I354" s="2" t="s">
        <v>483</v>
      </c>
      <c r="J354" s="2" t="s">
        <v>536</v>
      </c>
      <c r="K354" s="2" t="s">
        <v>304</v>
      </c>
      <c r="L354" s="2" t="s">
        <v>206</v>
      </c>
      <c r="M354" s="8" t="str">
        <f>HYPERLINK("http://slimages.macys.com/is/image/MCY/13385820 ")</f>
        <v xml:space="preserve">http://slimages.macys.com/is/image/MCY/13385820 </v>
      </c>
    </row>
    <row r="355" spans="1:13" ht="60" x14ac:dyDescent="0.25">
      <c r="A355" s="7" t="s">
        <v>7120</v>
      </c>
      <c r="B355" s="2" t="s">
        <v>2193</v>
      </c>
      <c r="C355" s="4">
        <v>1</v>
      </c>
      <c r="D355" s="5">
        <v>2.94</v>
      </c>
      <c r="E355" s="5">
        <v>7.99</v>
      </c>
      <c r="F355" s="4" t="s">
        <v>2194</v>
      </c>
      <c r="G355" s="2" t="s">
        <v>41</v>
      </c>
      <c r="H355" s="7" t="s">
        <v>578</v>
      </c>
      <c r="I355" s="2" t="s">
        <v>483</v>
      </c>
      <c r="J355" s="2" t="s">
        <v>536</v>
      </c>
      <c r="K355" s="2" t="s">
        <v>304</v>
      </c>
      <c r="L355" s="2" t="s">
        <v>38</v>
      </c>
      <c r="M355" s="8" t="str">
        <f>HYPERLINK("http://slimages.macys.com/is/image/MCY/13987272 ")</f>
        <v xml:space="preserve">http://slimages.macys.com/is/image/MCY/13987272 </v>
      </c>
    </row>
    <row r="356" spans="1:13" ht="60" x14ac:dyDescent="0.25">
      <c r="A356" s="7" t="s">
        <v>7121</v>
      </c>
      <c r="B356" s="2" t="s">
        <v>4421</v>
      </c>
      <c r="C356" s="4">
        <v>1</v>
      </c>
      <c r="D356" s="5">
        <v>2.94</v>
      </c>
      <c r="E356" s="5">
        <v>7.99</v>
      </c>
      <c r="F356" s="4" t="s">
        <v>4422</v>
      </c>
      <c r="G356" s="2" t="s">
        <v>41</v>
      </c>
      <c r="H356" s="7" t="s">
        <v>514</v>
      </c>
      <c r="I356" s="2" t="s">
        <v>483</v>
      </c>
      <c r="J356" s="2" t="s">
        <v>536</v>
      </c>
      <c r="K356" s="2" t="s">
        <v>304</v>
      </c>
      <c r="L356" s="2" t="s">
        <v>206</v>
      </c>
      <c r="M356" s="8" t="str">
        <f>HYPERLINK("http://slimages.macys.com/is/image/MCY/13385820 ")</f>
        <v xml:space="preserve">http://slimages.macys.com/is/image/MCY/13385820 </v>
      </c>
    </row>
    <row r="357" spans="1:13" ht="60" x14ac:dyDescent="0.25">
      <c r="A357" s="7" t="s">
        <v>6022</v>
      </c>
      <c r="B357" s="2" t="s">
        <v>2187</v>
      </c>
      <c r="C357" s="4">
        <v>1</v>
      </c>
      <c r="D357" s="5">
        <v>2.94</v>
      </c>
      <c r="E357" s="5">
        <v>7.99</v>
      </c>
      <c r="F357" s="4" t="s">
        <v>2188</v>
      </c>
      <c r="G357" s="2" t="s">
        <v>353</v>
      </c>
      <c r="H357" s="7" t="s">
        <v>514</v>
      </c>
      <c r="I357" s="2" t="s">
        <v>483</v>
      </c>
      <c r="J357" s="2" t="s">
        <v>536</v>
      </c>
      <c r="K357" s="2" t="s">
        <v>304</v>
      </c>
      <c r="L357" s="2" t="s">
        <v>206</v>
      </c>
      <c r="M357" s="8" t="str">
        <f>HYPERLINK("http://slimages.macys.com/is/image/MCY/13386702 ")</f>
        <v xml:space="preserve">http://slimages.macys.com/is/image/MCY/13386702 </v>
      </c>
    </row>
    <row r="358" spans="1:13" ht="60" x14ac:dyDescent="0.25">
      <c r="A358" s="7" t="s">
        <v>4427</v>
      </c>
      <c r="B358" s="2" t="s">
        <v>4428</v>
      </c>
      <c r="C358" s="4">
        <v>2</v>
      </c>
      <c r="D358" s="5">
        <v>2.93</v>
      </c>
      <c r="E358" s="5">
        <v>8.99</v>
      </c>
      <c r="F358" s="4">
        <v>10006317700</v>
      </c>
      <c r="G358" s="2" t="s">
        <v>134</v>
      </c>
      <c r="H358" s="7"/>
      <c r="I358" s="2" t="s">
        <v>483</v>
      </c>
      <c r="J358" s="2" t="s">
        <v>536</v>
      </c>
      <c r="K358" s="2" t="s">
        <v>304</v>
      </c>
      <c r="L358" s="2" t="s">
        <v>38</v>
      </c>
      <c r="M358" s="8" t="str">
        <f>HYPERLINK("http://slimages.macys.com/is/image/MCY/13987487 ")</f>
        <v xml:space="preserve">http://slimages.macys.com/is/image/MCY/13987487 </v>
      </c>
    </row>
    <row r="359" spans="1:13" ht="60" x14ac:dyDescent="0.25">
      <c r="A359" s="7" t="s">
        <v>7122</v>
      </c>
      <c r="B359" s="2" t="s">
        <v>7123</v>
      </c>
      <c r="C359" s="4">
        <v>1</v>
      </c>
      <c r="D359" s="5">
        <v>2.91</v>
      </c>
      <c r="E359" s="5">
        <v>6.99</v>
      </c>
      <c r="F359" s="4">
        <v>10004349800</v>
      </c>
      <c r="G359" s="2" t="s">
        <v>134</v>
      </c>
      <c r="H359" s="7" t="s">
        <v>149</v>
      </c>
      <c r="I359" s="2" t="s">
        <v>483</v>
      </c>
      <c r="J359" s="2" t="s">
        <v>536</v>
      </c>
      <c r="K359" s="2" t="s">
        <v>304</v>
      </c>
      <c r="L359" s="2" t="s">
        <v>119</v>
      </c>
      <c r="M359" s="8" t="str">
        <f>HYPERLINK("http://slimages.macys.com/is/image/MCY/11437071 ")</f>
        <v xml:space="preserve">http://slimages.macys.com/is/image/MCY/11437071 </v>
      </c>
    </row>
    <row r="360" spans="1:13" ht="60" x14ac:dyDescent="0.25">
      <c r="A360" s="7" t="s">
        <v>7124</v>
      </c>
      <c r="B360" s="2" t="s">
        <v>6479</v>
      </c>
      <c r="C360" s="4">
        <v>1</v>
      </c>
      <c r="D360" s="5">
        <v>2.91</v>
      </c>
      <c r="E360" s="5">
        <v>6.99</v>
      </c>
      <c r="F360" s="4">
        <v>10005791200</v>
      </c>
      <c r="G360" s="2" t="s">
        <v>41</v>
      </c>
      <c r="H360" s="7" t="s">
        <v>590</v>
      </c>
      <c r="I360" s="2" t="s">
        <v>483</v>
      </c>
      <c r="J360" s="2" t="s">
        <v>536</v>
      </c>
      <c r="K360" s="2" t="s">
        <v>304</v>
      </c>
      <c r="L360" s="2" t="s">
        <v>119</v>
      </c>
      <c r="M360" s="8" t="str">
        <f>HYPERLINK("http://slimages.macys.com/is/image/MCY/12466218 ")</f>
        <v xml:space="preserve">http://slimages.macys.com/is/image/MCY/12466218 </v>
      </c>
    </row>
    <row r="361" spans="1:13" ht="60" x14ac:dyDescent="0.25">
      <c r="A361" s="7" t="s">
        <v>1204</v>
      </c>
      <c r="B361" s="2" t="s">
        <v>1205</v>
      </c>
      <c r="C361" s="4">
        <v>3</v>
      </c>
      <c r="D361" s="5">
        <v>2.87</v>
      </c>
      <c r="E361" s="5">
        <v>7.99</v>
      </c>
      <c r="F361" s="4" t="s">
        <v>1206</v>
      </c>
      <c r="G361" s="2" t="s">
        <v>437</v>
      </c>
      <c r="H361" s="7" t="s">
        <v>531</v>
      </c>
      <c r="I361" s="2" t="s">
        <v>483</v>
      </c>
      <c r="J361" s="2" t="s">
        <v>536</v>
      </c>
      <c r="K361" s="2" t="s">
        <v>304</v>
      </c>
      <c r="L361" s="2" t="s">
        <v>1207</v>
      </c>
      <c r="M361" s="8" t="str">
        <f>HYPERLINK("http://slimages.macys.com/is/image/MCY/12466264 ")</f>
        <v xml:space="preserve">http://slimages.macys.com/is/image/MCY/12466264 </v>
      </c>
    </row>
    <row r="362" spans="1:13" ht="120" x14ac:dyDescent="0.25">
      <c r="A362" s="7" t="s">
        <v>2200</v>
      </c>
      <c r="B362" s="2" t="s">
        <v>598</v>
      </c>
      <c r="C362" s="4">
        <v>2</v>
      </c>
      <c r="D362" s="5">
        <v>2.84</v>
      </c>
      <c r="E362" s="5">
        <v>7.99</v>
      </c>
      <c r="F362" s="4" t="s">
        <v>599</v>
      </c>
      <c r="G362" s="2" t="s">
        <v>62</v>
      </c>
      <c r="H362" s="7" t="s">
        <v>149</v>
      </c>
      <c r="I362" s="2" t="s">
        <v>483</v>
      </c>
      <c r="J362" s="2" t="s">
        <v>536</v>
      </c>
      <c r="K362" s="2" t="s">
        <v>304</v>
      </c>
      <c r="L362" s="2" t="s">
        <v>600</v>
      </c>
      <c r="M362" s="8" t="str">
        <f>HYPERLINK("http://slimages.macys.com/is/image/MCY/14384837 ")</f>
        <v xml:space="preserve">http://slimages.macys.com/is/image/MCY/14384837 </v>
      </c>
    </row>
    <row r="363" spans="1:13" ht="120" x14ac:dyDescent="0.25">
      <c r="A363" s="7" t="s">
        <v>2199</v>
      </c>
      <c r="B363" s="2" t="s">
        <v>598</v>
      </c>
      <c r="C363" s="4">
        <v>1</v>
      </c>
      <c r="D363" s="5">
        <v>2.84</v>
      </c>
      <c r="E363" s="5">
        <v>7.99</v>
      </c>
      <c r="F363" s="4" t="s">
        <v>599</v>
      </c>
      <c r="G363" s="2" t="s">
        <v>62</v>
      </c>
      <c r="H363" s="7" t="s">
        <v>590</v>
      </c>
      <c r="I363" s="2" t="s">
        <v>483</v>
      </c>
      <c r="J363" s="2" t="s">
        <v>536</v>
      </c>
      <c r="K363" s="2" t="s">
        <v>304</v>
      </c>
      <c r="L363" s="2" t="s">
        <v>600</v>
      </c>
      <c r="M363" s="8" t="str">
        <f>HYPERLINK("http://slimages.macys.com/is/image/MCY/14384837 ")</f>
        <v xml:space="preserve">http://slimages.macys.com/is/image/MCY/14384837 </v>
      </c>
    </row>
    <row r="364" spans="1:13" ht="120" x14ac:dyDescent="0.25">
      <c r="A364" s="7" t="s">
        <v>597</v>
      </c>
      <c r="B364" s="2" t="s">
        <v>598</v>
      </c>
      <c r="C364" s="4">
        <v>1</v>
      </c>
      <c r="D364" s="5">
        <v>2.84</v>
      </c>
      <c r="E364" s="5">
        <v>7.99</v>
      </c>
      <c r="F364" s="4" t="s">
        <v>599</v>
      </c>
      <c r="G364" s="2" t="s">
        <v>62</v>
      </c>
      <c r="H364" s="7"/>
      <c r="I364" s="2" t="s">
        <v>483</v>
      </c>
      <c r="J364" s="2" t="s">
        <v>536</v>
      </c>
      <c r="K364" s="2" t="s">
        <v>304</v>
      </c>
      <c r="L364" s="2" t="s">
        <v>600</v>
      </c>
      <c r="M364" s="8" t="str">
        <f>HYPERLINK("http://slimages.macys.com/is/image/MCY/14384837 ")</f>
        <v xml:space="preserve">http://slimages.macys.com/is/image/MCY/14384837 </v>
      </c>
    </row>
    <row r="365" spans="1:13" ht="120" x14ac:dyDescent="0.25">
      <c r="A365" s="7" t="s">
        <v>7125</v>
      </c>
      <c r="B365" s="2" t="s">
        <v>598</v>
      </c>
      <c r="C365" s="4">
        <v>1</v>
      </c>
      <c r="D365" s="5">
        <v>2.84</v>
      </c>
      <c r="E365" s="5">
        <v>7.99</v>
      </c>
      <c r="F365" s="4" t="s">
        <v>599</v>
      </c>
      <c r="G365" s="2" t="s">
        <v>62</v>
      </c>
      <c r="H365" s="7" t="s">
        <v>42</v>
      </c>
      <c r="I365" s="2" t="s">
        <v>483</v>
      </c>
      <c r="J365" s="2" t="s">
        <v>536</v>
      </c>
      <c r="K365" s="2" t="s">
        <v>304</v>
      </c>
      <c r="L365" s="2" t="s">
        <v>600</v>
      </c>
      <c r="M365" s="8" t="str">
        <f>HYPERLINK("http://slimages.macys.com/is/image/MCY/14384837 ")</f>
        <v xml:space="preserve">http://slimages.macys.com/is/image/MCY/14384837 </v>
      </c>
    </row>
    <row r="366" spans="1:13" ht="60" x14ac:dyDescent="0.25">
      <c r="A366" s="7" t="s">
        <v>7126</v>
      </c>
      <c r="B366" s="2" t="s">
        <v>7127</v>
      </c>
      <c r="C366" s="4">
        <v>1</v>
      </c>
      <c r="D366" s="5">
        <v>2.84</v>
      </c>
      <c r="E366" s="5">
        <v>7.99</v>
      </c>
      <c r="F366" s="4" t="s">
        <v>7128</v>
      </c>
      <c r="G366" s="2" t="s">
        <v>28</v>
      </c>
      <c r="H366" s="7" t="s">
        <v>578</v>
      </c>
      <c r="I366" s="2" t="s">
        <v>483</v>
      </c>
      <c r="J366" s="2" t="s">
        <v>536</v>
      </c>
      <c r="K366" s="2" t="s">
        <v>304</v>
      </c>
      <c r="L366" s="2" t="s">
        <v>119</v>
      </c>
      <c r="M366" s="8" t="str">
        <f>HYPERLINK("http://slimages.macys.com/is/image/MCY/13987615 ")</f>
        <v xml:space="preserve">http://slimages.macys.com/is/image/MCY/13987615 </v>
      </c>
    </row>
    <row r="367" spans="1:13" ht="60" x14ac:dyDescent="0.25">
      <c r="A367" s="7" t="s">
        <v>7129</v>
      </c>
      <c r="B367" s="2" t="s">
        <v>7127</v>
      </c>
      <c r="C367" s="4">
        <v>2</v>
      </c>
      <c r="D367" s="5">
        <v>2.84</v>
      </c>
      <c r="E367" s="5">
        <v>7.99</v>
      </c>
      <c r="F367" s="4" t="s">
        <v>7128</v>
      </c>
      <c r="G367" s="2" t="s">
        <v>28</v>
      </c>
      <c r="H367" s="7" t="s">
        <v>514</v>
      </c>
      <c r="I367" s="2" t="s">
        <v>483</v>
      </c>
      <c r="J367" s="2" t="s">
        <v>536</v>
      </c>
      <c r="K367" s="2" t="s">
        <v>304</v>
      </c>
      <c r="L367" s="2" t="s">
        <v>119</v>
      </c>
      <c r="M367" s="8" t="str">
        <f>HYPERLINK("http://slimages.macys.com/is/image/MCY/13987615 ")</f>
        <v xml:space="preserve">http://slimages.macys.com/is/image/MCY/13987615 </v>
      </c>
    </row>
    <row r="368" spans="1:13" ht="60" x14ac:dyDescent="0.25">
      <c r="A368" s="7" t="s">
        <v>5677</v>
      </c>
      <c r="B368" s="2" t="s">
        <v>5675</v>
      </c>
      <c r="C368" s="4">
        <v>1</v>
      </c>
      <c r="D368" s="5">
        <v>2.84</v>
      </c>
      <c r="E368" s="5">
        <v>7.99</v>
      </c>
      <c r="F368" s="4" t="s">
        <v>5676</v>
      </c>
      <c r="G368" s="2" t="s">
        <v>41</v>
      </c>
      <c r="H368" s="7" t="s">
        <v>149</v>
      </c>
      <c r="I368" s="2" t="s">
        <v>483</v>
      </c>
      <c r="J368" s="2" t="s">
        <v>536</v>
      </c>
      <c r="K368" s="2" t="s">
        <v>304</v>
      </c>
      <c r="L368" s="2" t="s">
        <v>87</v>
      </c>
      <c r="M368" s="8" t="str">
        <f>HYPERLINK("http://slimages.macys.com/is/image/MCY/14384843 ")</f>
        <v xml:space="preserve">http://slimages.macys.com/is/image/MCY/14384843 </v>
      </c>
    </row>
    <row r="369" spans="1:13" ht="60" x14ac:dyDescent="0.25">
      <c r="A369" s="7" t="s">
        <v>7130</v>
      </c>
      <c r="B369" s="2" t="s">
        <v>7131</v>
      </c>
      <c r="C369" s="4">
        <v>1</v>
      </c>
      <c r="D369" s="5">
        <v>2.83</v>
      </c>
      <c r="E369" s="5">
        <v>7.99</v>
      </c>
      <c r="F369" s="4" t="s">
        <v>7132</v>
      </c>
      <c r="G369" s="2" t="s">
        <v>41</v>
      </c>
      <c r="H369" s="7" t="s">
        <v>578</v>
      </c>
      <c r="I369" s="2" t="s">
        <v>483</v>
      </c>
      <c r="J369" s="2" t="s">
        <v>536</v>
      </c>
      <c r="K369" s="2" t="s">
        <v>304</v>
      </c>
      <c r="L369" s="2" t="s">
        <v>38</v>
      </c>
      <c r="M369" s="8" t="str">
        <f>HYPERLINK("http://slimages.macys.com/is/image/MCY/13337389 ")</f>
        <v xml:space="preserve">http://slimages.macys.com/is/image/MCY/13337389 </v>
      </c>
    </row>
    <row r="370" spans="1:13" ht="60" x14ac:dyDescent="0.25">
      <c r="A370" s="7" t="s">
        <v>1215</v>
      </c>
      <c r="B370" s="2" t="s">
        <v>1213</v>
      </c>
      <c r="C370" s="4">
        <v>1</v>
      </c>
      <c r="D370" s="5">
        <v>2.82</v>
      </c>
      <c r="E370" s="5">
        <v>7.99</v>
      </c>
      <c r="F370" s="4" t="s">
        <v>1214</v>
      </c>
      <c r="G370" s="2" t="s">
        <v>657</v>
      </c>
      <c r="H370" s="7" t="s">
        <v>578</v>
      </c>
      <c r="I370" s="2" t="s">
        <v>483</v>
      </c>
      <c r="J370" s="2" t="s">
        <v>536</v>
      </c>
      <c r="K370" s="2" t="s">
        <v>304</v>
      </c>
      <c r="L370" s="2" t="s">
        <v>119</v>
      </c>
      <c r="M370" s="8" t="str">
        <f>HYPERLINK("http://slimages.macys.com/is/image/MCY/13987252 ")</f>
        <v xml:space="preserve">http://slimages.macys.com/is/image/MCY/13987252 </v>
      </c>
    </row>
    <row r="371" spans="1:13" ht="60" x14ac:dyDescent="0.25">
      <c r="A371" s="7" t="s">
        <v>6024</v>
      </c>
      <c r="B371" s="2" t="s">
        <v>1213</v>
      </c>
      <c r="C371" s="4">
        <v>1</v>
      </c>
      <c r="D371" s="5">
        <v>2.82</v>
      </c>
      <c r="E371" s="5">
        <v>7.99</v>
      </c>
      <c r="F371" s="4" t="s">
        <v>1214</v>
      </c>
      <c r="G371" s="2" t="s">
        <v>657</v>
      </c>
      <c r="H371" s="7" t="s">
        <v>514</v>
      </c>
      <c r="I371" s="2" t="s">
        <v>483</v>
      </c>
      <c r="J371" s="2" t="s">
        <v>536</v>
      </c>
      <c r="K371" s="2" t="s">
        <v>304</v>
      </c>
      <c r="L371" s="2" t="s">
        <v>119</v>
      </c>
      <c r="M371" s="8" t="str">
        <f>HYPERLINK("http://slimages.macys.com/is/image/MCY/13987252 ")</f>
        <v xml:space="preserve">http://slimages.macys.com/is/image/MCY/13987252 </v>
      </c>
    </row>
    <row r="372" spans="1:13" ht="60" x14ac:dyDescent="0.25">
      <c r="A372" s="7" t="s">
        <v>1212</v>
      </c>
      <c r="B372" s="2" t="s">
        <v>1213</v>
      </c>
      <c r="C372" s="4">
        <v>2</v>
      </c>
      <c r="D372" s="5">
        <v>2.82</v>
      </c>
      <c r="E372" s="5">
        <v>7.99</v>
      </c>
      <c r="F372" s="4" t="s">
        <v>1214</v>
      </c>
      <c r="G372" s="2" t="s">
        <v>657</v>
      </c>
      <c r="H372" s="7" t="s">
        <v>1151</v>
      </c>
      <c r="I372" s="2" t="s">
        <v>483</v>
      </c>
      <c r="J372" s="2" t="s">
        <v>536</v>
      </c>
      <c r="K372" s="2" t="s">
        <v>304</v>
      </c>
      <c r="L372" s="2" t="s">
        <v>119</v>
      </c>
      <c r="M372" s="8" t="str">
        <f>HYPERLINK("http://slimages.macys.com/is/image/MCY/13987252 ")</f>
        <v xml:space="preserve">http://slimages.macys.com/is/image/MCY/13987252 </v>
      </c>
    </row>
    <row r="373" spans="1:13" ht="60" x14ac:dyDescent="0.25">
      <c r="A373" s="7" t="s">
        <v>7133</v>
      </c>
      <c r="B373" s="2" t="s">
        <v>2709</v>
      </c>
      <c r="C373" s="4">
        <v>1</v>
      </c>
      <c r="D373" s="5">
        <v>2.79</v>
      </c>
      <c r="E373" s="5">
        <v>6.99</v>
      </c>
      <c r="F373" s="4">
        <v>10004643300</v>
      </c>
      <c r="G373" s="2" t="s">
        <v>297</v>
      </c>
      <c r="H373" s="7" t="s">
        <v>604</v>
      </c>
      <c r="I373" s="2" t="s">
        <v>483</v>
      </c>
      <c r="J373" s="2" t="s">
        <v>2710</v>
      </c>
      <c r="K373" s="2" t="s">
        <v>304</v>
      </c>
      <c r="L373" s="2" t="s">
        <v>2711</v>
      </c>
      <c r="M373" s="8" t="str">
        <f>HYPERLINK("http://slimages.macys.com/is/image/MCY/11547123 ")</f>
        <v xml:space="preserve">http://slimages.macys.com/is/image/MCY/11547123 </v>
      </c>
    </row>
    <row r="374" spans="1:13" ht="60" x14ac:dyDescent="0.25">
      <c r="A374" s="7" t="s">
        <v>5079</v>
      </c>
      <c r="B374" s="2" t="s">
        <v>2709</v>
      </c>
      <c r="C374" s="4">
        <v>1</v>
      </c>
      <c r="D374" s="5">
        <v>2.79</v>
      </c>
      <c r="E374" s="5">
        <v>6.99</v>
      </c>
      <c r="F374" s="4">
        <v>10004643300</v>
      </c>
      <c r="G374" s="2" t="s">
        <v>297</v>
      </c>
      <c r="H374" s="7"/>
      <c r="I374" s="2" t="s">
        <v>483</v>
      </c>
      <c r="J374" s="2" t="s">
        <v>2710</v>
      </c>
      <c r="K374" s="2" t="s">
        <v>304</v>
      </c>
      <c r="L374" s="2" t="s">
        <v>2711</v>
      </c>
      <c r="M374" s="8" t="str">
        <f>HYPERLINK("http://slimages.macys.com/is/image/MCY/11547123 ")</f>
        <v xml:space="preserve">http://slimages.macys.com/is/image/MCY/11547123 </v>
      </c>
    </row>
    <row r="375" spans="1:13" ht="60" x14ac:dyDescent="0.25">
      <c r="A375" s="7" t="s">
        <v>2708</v>
      </c>
      <c r="B375" s="2" t="s">
        <v>2709</v>
      </c>
      <c r="C375" s="4">
        <v>1</v>
      </c>
      <c r="D375" s="5">
        <v>2.79</v>
      </c>
      <c r="E375" s="5">
        <v>6.99</v>
      </c>
      <c r="F375" s="4">
        <v>10004643300</v>
      </c>
      <c r="G375" s="2" t="s">
        <v>297</v>
      </c>
      <c r="H375" s="7" t="s">
        <v>586</v>
      </c>
      <c r="I375" s="2" t="s">
        <v>483</v>
      </c>
      <c r="J375" s="2" t="s">
        <v>2710</v>
      </c>
      <c r="K375" s="2" t="s">
        <v>304</v>
      </c>
      <c r="L375" s="2" t="s">
        <v>2711</v>
      </c>
      <c r="M375" s="8" t="str">
        <f>HYPERLINK("http://slimages.macys.com/is/image/MCY/11547123 ")</f>
        <v xml:space="preserve">http://slimages.macys.com/is/image/MCY/11547123 </v>
      </c>
    </row>
    <row r="376" spans="1:13" ht="60" x14ac:dyDescent="0.25">
      <c r="A376" s="7" t="s">
        <v>7134</v>
      </c>
      <c r="B376" s="2" t="s">
        <v>7135</v>
      </c>
      <c r="C376" s="4">
        <v>1</v>
      </c>
      <c r="D376" s="5">
        <v>2.79</v>
      </c>
      <c r="E376" s="5">
        <v>7.99</v>
      </c>
      <c r="F376" s="4" t="s">
        <v>7136</v>
      </c>
      <c r="G376" s="2" t="s">
        <v>476</v>
      </c>
      <c r="H376" s="7" t="s">
        <v>578</v>
      </c>
      <c r="I376" s="2" t="s">
        <v>483</v>
      </c>
      <c r="J376" s="2" t="s">
        <v>536</v>
      </c>
      <c r="K376" s="2" t="s">
        <v>304</v>
      </c>
      <c r="L376" s="2" t="s">
        <v>38</v>
      </c>
      <c r="M376" s="8" t="str">
        <f>HYPERLINK("http://slimages.macys.com/is/image/MCY/10532933 ")</f>
        <v xml:space="preserve">http://slimages.macys.com/is/image/MCY/10532933 </v>
      </c>
    </row>
    <row r="377" spans="1:13" ht="60" x14ac:dyDescent="0.25">
      <c r="A377" s="7" t="s">
        <v>2217</v>
      </c>
      <c r="B377" s="2" t="s">
        <v>1219</v>
      </c>
      <c r="C377" s="4">
        <v>2</v>
      </c>
      <c r="D377" s="5">
        <v>2.75</v>
      </c>
      <c r="E377" s="5">
        <v>6.99</v>
      </c>
      <c r="F377" s="4" t="s">
        <v>1220</v>
      </c>
      <c r="G377" s="2" t="s">
        <v>527</v>
      </c>
      <c r="H377" s="7" t="s">
        <v>42</v>
      </c>
      <c r="I377" s="2" t="s">
        <v>483</v>
      </c>
      <c r="J377" s="2" t="s">
        <v>536</v>
      </c>
      <c r="K377" s="2" t="s">
        <v>304</v>
      </c>
      <c r="L377" s="2" t="s">
        <v>119</v>
      </c>
      <c r="M377" s="8" t="str">
        <f>HYPERLINK("http://slimages.macys.com/is/image/MCY/13987326 ")</f>
        <v xml:space="preserve">http://slimages.macys.com/is/image/MCY/13987326 </v>
      </c>
    </row>
    <row r="378" spans="1:13" ht="60" x14ac:dyDescent="0.25">
      <c r="A378" s="7" t="s">
        <v>7137</v>
      </c>
      <c r="B378" s="2" t="s">
        <v>2215</v>
      </c>
      <c r="C378" s="4">
        <v>1</v>
      </c>
      <c r="D378" s="5">
        <v>2.75</v>
      </c>
      <c r="E378" s="5">
        <v>7.99</v>
      </c>
      <c r="F378" s="4" t="s">
        <v>2216</v>
      </c>
      <c r="G378" s="2" t="s">
        <v>1360</v>
      </c>
      <c r="H378" s="7" t="s">
        <v>578</v>
      </c>
      <c r="I378" s="2" t="s">
        <v>483</v>
      </c>
      <c r="J378" s="2" t="s">
        <v>536</v>
      </c>
      <c r="K378" s="2" t="s">
        <v>304</v>
      </c>
      <c r="L378" s="2" t="s">
        <v>38</v>
      </c>
      <c r="M378" s="8" t="str">
        <f>HYPERLINK("http://slimages.macys.com/is/image/MCY/13987605 ")</f>
        <v xml:space="preserve">http://slimages.macys.com/is/image/MCY/13987605 </v>
      </c>
    </row>
    <row r="379" spans="1:13" ht="60" x14ac:dyDescent="0.25">
      <c r="A379" s="7" t="s">
        <v>6025</v>
      </c>
      <c r="B379" s="2" t="s">
        <v>1219</v>
      </c>
      <c r="C379" s="4">
        <v>2</v>
      </c>
      <c r="D379" s="5">
        <v>2.75</v>
      </c>
      <c r="E379" s="5">
        <v>6.99</v>
      </c>
      <c r="F379" s="4" t="s">
        <v>1220</v>
      </c>
      <c r="G379" s="2" t="s">
        <v>527</v>
      </c>
      <c r="H379" s="7" t="s">
        <v>91</v>
      </c>
      <c r="I379" s="2" t="s">
        <v>483</v>
      </c>
      <c r="J379" s="2" t="s">
        <v>536</v>
      </c>
      <c r="K379" s="2" t="s">
        <v>304</v>
      </c>
      <c r="L379" s="2" t="s">
        <v>119</v>
      </c>
      <c r="M379" s="8" t="str">
        <f>HYPERLINK("http://slimages.macys.com/is/image/MCY/13987326 ")</f>
        <v xml:space="preserve">http://slimages.macys.com/is/image/MCY/13987326 </v>
      </c>
    </row>
    <row r="380" spans="1:13" ht="60" x14ac:dyDescent="0.25">
      <c r="A380" s="7" t="s">
        <v>1218</v>
      </c>
      <c r="B380" s="2" t="s">
        <v>1219</v>
      </c>
      <c r="C380" s="4">
        <v>1</v>
      </c>
      <c r="D380" s="5">
        <v>2.75</v>
      </c>
      <c r="E380" s="5">
        <v>6.99</v>
      </c>
      <c r="F380" s="4" t="s">
        <v>1220</v>
      </c>
      <c r="G380" s="2" t="s">
        <v>527</v>
      </c>
      <c r="H380" s="7" t="s">
        <v>590</v>
      </c>
      <c r="I380" s="2" t="s">
        <v>483</v>
      </c>
      <c r="J380" s="2" t="s">
        <v>536</v>
      </c>
      <c r="K380" s="2" t="s">
        <v>304</v>
      </c>
      <c r="L380" s="2" t="s">
        <v>119</v>
      </c>
      <c r="M380" s="8" t="str">
        <f>HYPERLINK("http://slimages.macys.com/is/image/MCY/13987326 ")</f>
        <v xml:space="preserve">http://slimages.macys.com/is/image/MCY/13987326 </v>
      </c>
    </row>
    <row r="381" spans="1:13" ht="60" x14ac:dyDescent="0.25">
      <c r="A381" s="7" t="s">
        <v>2213</v>
      </c>
      <c r="B381" s="2" t="s">
        <v>1219</v>
      </c>
      <c r="C381" s="4">
        <v>1</v>
      </c>
      <c r="D381" s="5">
        <v>2.75</v>
      </c>
      <c r="E381" s="5">
        <v>6.99</v>
      </c>
      <c r="F381" s="4" t="s">
        <v>1220</v>
      </c>
      <c r="G381" s="2" t="s">
        <v>527</v>
      </c>
      <c r="H381" s="7" t="s">
        <v>442</v>
      </c>
      <c r="I381" s="2" t="s">
        <v>483</v>
      </c>
      <c r="J381" s="2" t="s">
        <v>536</v>
      </c>
      <c r="K381" s="2" t="s">
        <v>304</v>
      </c>
      <c r="L381" s="2" t="s">
        <v>119</v>
      </c>
      <c r="M381" s="8" t="str">
        <f>HYPERLINK("http://slimages.macys.com/is/image/MCY/13987326 ")</f>
        <v xml:space="preserve">http://slimages.macys.com/is/image/MCY/13987326 </v>
      </c>
    </row>
    <row r="382" spans="1:13" ht="60" x14ac:dyDescent="0.25">
      <c r="A382" s="7" t="s">
        <v>7138</v>
      </c>
      <c r="B382" s="2" t="s">
        <v>6481</v>
      </c>
      <c r="C382" s="4">
        <v>1</v>
      </c>
      <c r="D382" s="5">
        <v>2.75</v>
      </c>
      <c r="E382" s="5">
        <v>6.99</v>
      </c>
      <c r="F382" s="4" t="s">
        <v>6482</v>
      </c>
      <c r="G382" s="2" t="s">
        <v>41</v>
      </c>
      <c r="H382" s="7" t="s">
        <v>149</v>
      </c>
      <c r="I382" s="2" t="s">
        <v>483</v>
      </c>
      <c r="J382" s="2" t="s">
        <v>536</v>
      </c>
      <c r="K382" s="2" t="s">
        <v>304</v>
      </c>
      <c r="L382" s="2" t="s">
        <v>38</v>
      </c>
      <c r="M382" s="8" t="str">
        <f>HYPERLINK("http://slimages.macys.com/is/image/MCY/13987340 ")</f>
        <v xml:space="preserve">http://slimages.macys.com/is/image/MCY/13987340 </v>
      </c>
    </row>
    <row r="383" spans="1:13" ht="60" x14ac:dyDescent="0.25">
      <c r="A383" s="7" t="s">
        <v>7139</v>
      </c>
      <c r="B383" s="2" t="s">
        <v>7140</v>
      </c>
      <c r="C383" s="4">
        <v>1</v>
      </c>
      <c r="D383" s="5">
        <v>2.74</v>
      </c>
      <c r="E383" s="5">
        <v>7.99</v>
      </c>
      <c r="F383" s="4" t="s">
        <v>7141</v>
      </c>
      <c r="G383" s="2" t="s">
        <v>388</v>
      </c>
      <c r="H383" s="7" t="s">
        <v>1151</v>
      </c>
      <c r="I383" s="2" t="s">
        <v>483</v>
      </c>
      <c r="J383" s="2" t="s">
        <v>536</v>
      </c>
      <c r="K383" s="2" t="s">
        <v>304</v>
      </c>
      <c r="L383" s="2" t="s">
        <v>206</v>
      </c>
      <c r="M383" s="8" t="str">
        <f>HYPERLINK("http://slimages.macys.com/is/image/MCY/13386727 ")</f>
        <v xml:space="preserve">http://slimages.macys.com/is/image/MCY/13386727 </v>
      </c>
    </row>
    <row r="384" spans="1:13" ht="60" x14ac:dyDescent="0.25">
      <c r="A384" s="7" t="s">
        <v>7142</v>
      </c>
      <c r="B384" s="2" t="s">
        <v>7143</v>
      </c>
      <c r="C384" s="4">
        <v>1</v>
      </c>
      <c r="D384" s="5">
        <v>2.74</v>
      </c>
      <c r="E384" s="5">
        <v>7.99</v>
      </c>
      <c r="F384" s="4" t="s">
        <v>7144</v>
      </c>
      <c r="G384" s="2" t="s">
        <v>643</v>
      </c>
      <c r="H384" s="7" t="s">
        <v>514</v>
      </c>
      <c r="I384" s="2" t="s">
        <v>483</v>
      </c>
      <c r="J384" s="2" t="s">
        <v>536</v>
      </c>
      <c r="K384" s="2" t="s">
        <v>304</v>
      </c>
      <c r="L384" s="2" t="s">
        <v>206</v>
      </c>
      <c r="M384" s="8" t="str">
        <f>HYPERLINK("http://slimages.macys.com/is/image/MCY/13337390 ")</f>
        <v xml:space="preserve">http://slimages.macys.com/is/image/MCY/13337390 </v>
      </c>
    </row>
    <row r="385" spans="1:13" ht="60" x14ac:dyDescent="0.25">
      <c r="A385" s="7" t="s">
        <v>7145</v>
      </c>
      <c r="B385" s="2" t="s">
        <v>7143</v>
      </c>
      <c r="C385" s="4">
        <v>1</v>
      </c>
      <c r="D385" s="5">
        <v>2.74</v>
      </c>
      <c r="E385" s="5">
        <v>7.99</v>
      </c>
      <c r="F385" s="4" t="s">
        <v>7144</v>
      </c>
      <c r="G385" s="2" t="s">
        <v>643</v>
      </c>
      <c r="H385" s="7" t="s">
        <v>578</v>
      </c>
      <c r="I385" s="2" t="s">
        <v>483</v>
      </c>
      <c r="J385" s="2" t="s">
        <v>536</v>
      </c>
      <c r="K385" s="2" t="s">
        <v>304</v>
      </c>
      <c r="L385" s="2" t="s">
        <v>206</v>
      </c>
      <c r="M385" s="8" t="str">
        <f>HYPERLINK("http://slimages.macys.com/is/image/MCY/13337390 ")</f>
        <v xml:space="preserve">http://slimages.macys.com/is/image/MCY/13337390 </v>
      </c>
    </row>
    <row r="386" spans="1:13" ht="96" x14ac:dyDescent="0.25">
      <c r="A386" s="7" t="s">
        <v>2218</v>
      </c>
      <c r="B386" s="2" t="s">
        <v>1222</v>
      </c>
      <c r="C386" s="4">
        <v>2</v>
      </c>
      <c r="D386" s="5">
        <v>2.74</v>
      </c>
      <c r="E386" s="5">
        <v>7.99</v>
      </c>
      <c r="F386" s="4" t="s">
        <v>1223</v>
      </c>
      <c r="G386" s="2" t="s">
        <v>41</v>
      </c>
      <c r="H386" s="7" t="s">
        <v>514</v>
      </c>
      <c r="I386" s="2" t="s">
        <v>483</v>
      </c>
      <c r="J386" s="2" t="s">
        <v>536</v>
      </c>
      <c r="K386" s="2" t="s">
        <v>304</v>
      </c>
      <c r="L386" s="2" t="s">
        <v>1224</v>
      </c>
      <c r="M386" s="8" t="str">
        <f>HYPERLINK("http://slimages.macys.com/is/image/MCY/13386590 ")</f>
        <v xml:space="preserve">http://slimages.macys.com/is/image/MCY/13386590 </v>
      </c>
    </row>
    <row r="387" spans="1:13" ht="96" x14ac:dyDescent="0.25">
      <c r="A387" s="7" t="s">
        <v>1221</v>
      </c>
      <c r="B387" s="2" t="s">
        <v>1222</v>
      </c>
      <c r="C387" s="4">
        <v>1</v>
      </c>
      <c r="D387" s="5">
        <v>2.74</v>
      </c>
      <c r="E387" s="5">
        <v>7.99</v>
      </c>
      <c r="F387" s="4" t="s">
        <v>1223</v>
      </c>
      <c r="G387" s="2" t="s">
        <v>41</v>
      </c>
      <c r="H387" s="7" t="s">
        <v>1151</v>
      </c>
      <c r="I387" s="2" t="s">
        <v>483</v>
      </c>
      <c r="J387" s="2" t="s">
        <v>536</v>
      </c>
      <c r="K387" s="2" t="s">
        <v>304</v>
      </c>
      <c r="L387" s="2" t="s">
        <v>1224</v>
      </c>
      <c r="M387" s="8" t="str">
        <f>HYPERLINK("http://slimages.macys.com/is/image/MCY/13386590 ")</f>
        <v xml:space="preserve">http://slimages.macys.com/is/image/MCY/13386590 </v>
      </c>
    </row>
    <row r="388" spans="1:13" ht="60" x14ac:dyDescent="0.25">
      <c r="A388" s="7" t="s">
        <v>7146</v>
      </c>
      <c r="B388" s="2" t="s">
        <v>7147</v>
      </c>
      <c r="C388" s="4">
        <v>1</v>
      </c>
      <c r="D388" s="5">
        <v>2.7</v>
      </c>
      <c r="E388" s="5">
        <v>7.99</v>
      </c>
      <c r="F388" s="4" t="s">
        <v>7148</v>
      </c>
      <c r="G388" s="2" t="s">
        <v>353</v>
      </c>
      <c r="H388" s="7" t="s">
        <v>578</v>
      </c>
      <c r="I388" s="2" t="s">
        <v>483</v>
      </c>
      <c r="J388" s="2" t="s">
        <v>536</v>
      </c>
      <c r="K388" s="2"/>
      <c r="L388" s="2"/>
      <c r="M388" s="8" t="str">
        <f>HYPERLINK("http://slimages.macys.com/is/image/MCY/10334745 ")</f>
        <v xml:space="preserve">http://slimages.macys.com/is/image/MCY/10334745 </v>
      </c>
    </row>
    <row r="389" spans="1:13" ht="60" x14ac:dyDescent="0.25">
      <c r="A389" s="7" t="s">
        <v>5680</v>
      </c>
      <c r="B389" s="2" t="s">
        <v>2223</v>
      </c>
      <c r="C389" s="4">
        <v>1</v>
      </c>
      <c r="D389" s="5">
        <v>2.69</v>
      </c>
      <c r="E389" s="5">
        <v>5.99</v>
      </c>
      <c r="F389" s="4" t="s">
        <v>2224</v>
      </c>
      <c r="G389" s="2" t="s">
        <v>437</v>
      </c>
      <c r="H389" s="7" t="s">
        <v>42</v>
      </c>
      <c r="I389" s="2" t="s">
        <v>483</v>
      </c>
      <c r="J389" s="2" t="s">
        <v>536</v>
      </c>
      <c r="K389" s="2" t="s">
        <v>304</v>
      </c>
      <c r="L389" s="2" t="s">
        <v>206</v>
      </c>
      <c r="M389" s="8" t="str">
        <f t="shared" ref="M389:M398" si="1">HYPERLINK("http://slimages.macys.com/is/image/MCY/11436881 ")</f>
        <v xml:space="preserve">http://slimages.macys.com/is/image/MCY/11436881 </v>
      </c>
    </row>
    <row r="390" spans="1:13" ht="60" x14ac:dyDescent="0.25">
      <c r="A390" s="7" t="s">
        <v>6026</v>
      </c>
      <c r="B390" s="2" t="s">
        <v>2223</v>
      </c>
      <c r="C390" s="4">
        <v>1</v>
      </c>
      <c r="D390" s="5">
        <v>2.69</v>
      </c>
      <c r="E390" s="5">
        <v>5.99</v>
      </c>
      <c r="F390" s="4" t="s">
        <v>2224</v>
      </c>
      <c r="G390" s="2" t="s">
        <v>238</v>
      </c>
      <c r="H390" s="7" t="s">
        <v>442</v>
      </c>
      <c r="I390" s="2" t="s">
        <v>483</v>
      </c>
      <c r="J390" s="2" t="s">
        <v>536</v>
      </c>
      <c r="K390" s="2" t="s">
        <v>304</v>
      </c>
      <c r="L390" s="2" t="s">
        <v>206</v>
      </c>
      <c r="M390" s="8" t="str">
        <f t="shared" si="1"/>
        <v xml:space="preserve">http://slimages.macys.com/is/image/MCY/11436881 </v>
      </c>
    </row>
    <row r="391" spans="1:13" ht="60" x14ac:dyDescent="0.25">
      <c r="A391" s="7" t="s">
        <v>2226</v>
      </c>
      <c r="B391" s="2" t="s">
        <v>2223</v>
      </c>
      <c r="C391" s="4">
        <v>1</v>
      </c>
      <c r="D391" s="5">
        <v>2.69</v>
      </c>
      <c r="E391" s="5">
        <v>5.99</v>
      </c>
      <c r="F391" s="4" t="s">
        <v>2224</v>
      </c>
      <c r="G391" s="2" t="s">
        <v>28</v>
      </c>
      <c r="H391" s="7" t="s">
        <v>42</v>
      </c>
      <c r="I391" s="2" t="s">
        <v>483</v>
      </c>
      <c r="J391" s="2" t="s">
        <v>536</v>
      </c>
      <c r="K391" s="2" t="s">
        <v>304</v>
      </c>
      <c r="L391" s="2" t="s">
        <v>206</v>
      </c>
      <c r="M391" s="8" t="str">
        <f t="shared" si="1"/>
        <v xml:space="preserve">http://slimages.macys.com/is/image/MCY/11436881 </v>
      </c>
    </row>
    <row r="392" spans="1:13" ht="60" x14ac:dyDescent="0.25">
      <c r="A392" s="7" t="s">
        <v>4467</v>
      </c>
      <c r="B392" s="2" t="s">
        <v>2223</v>
      </c>
      <c r="C392" s="4">
        <v>2</v>
      </c>
      <c r="D392" s="5">
        <v>2.69</v>
      </c>
      <c r="E392" s="5">
        <v>5.99</v>
      </c>
      <c r="F392" s="4" t="s">
        <v>2224</v>
      </c>
      <c r="G392" s="2" t="s">
        <v>238</v>
      </c>
      <c r="H392" s="7" t="s">
        <v>42</v>
      </c>
      <c r="I392" s="2" t="s">
        <v>483</v>
      </c>
      <c r="J392" s="2" t="s">
        <v>536</v>
      </c>
      <c r="K392" s="2" t="s">
        <v>304</v>
      </c>
      <c r="L392" s="2" t="s">
        <v>206</v>
      </c>
      <c r="M392" s="8" t="str">
        <f t="shared" si="1"/>
        <v xml:space="preserve">http://slimages.macys.com/is/image/MCY/11436881 </v>
      </c>
    </row>
    <row r="393" spans="1:13" ht="60" x14ac:dyDescent="0.25">
      <c r="A393" s="7" t="s">
        <v>6487</v>
      </c>
      <c r="B393" s="2" t="s">
        <v>2223</v>
      </c>
      <c r="C393" s="4">
        <v>1</v>
      </c>
      <c r="D393" s="5">
        <v>2.69</v>
      </c>
      <c r="E393" s="5">
        <v>5.99</v>
      </c>
      <c r="F393" s="4" t="s">
        <v>2224</v>
      </c>
      <c r="G393" s="2" t="s">
        <v>28</v>
      </c>
      <c r="H393" s="7" t="s">
        <v>149</v>
      </c>
      <c r="I393" s="2" t="s">
        <v>483</v>
      </c>
      <c r="J393" s="2" t="s">
        <v>536</v>
      </c>
      <c r="K393" s="2" t="s">
        <v>304</v>
      </c>
      <c r="L393" s="2" t="s">
        <v>206</v>
      </c>
      <c r="M393" s="8" t="str">
        <f t="shared" si="1"/>
        <v xml:space="preserve">http://slimages.macys.com/is/image/MCY/11436881 </v>
      </c>
    </row>
    <row r="394" spans="1:13" ht="60" x14ac:dyDescent="0.25">
      <c r="A394" s="7" t="s">
        <v>6485</v>
      </c>
      <c r="B394" s="2" t="s">
        <v>2223</v>
      </c>
      <c r="C394" s="4">
        <v>1</v>
      </c>
      <c r="D394" s="5">
        <v>2.69</v>
      </c>
      <c r="E394" s="5">
        <v>5.99</v>
      </c>
      <c r="F394" s="4" t="s">
        <v>2224</v>
      </c>
      <c r="G394" s="2" t="s">
        <v>28</v>
      </c>
      <c r="H394" s="7" t="s">
        <v>590</v>
      </c>
      <c r="I394" s="2" t="s">
        <v>483</v>
      </c>
      <c r="J394" s="2" t="s">
        <v>536</v>
      </c>
      <c r="K394" s="2" t="s">
        <v>304</v>
      </c>
      <c r="L394" s="2" t="s">
        <v>206</v>
      </c>
      <c r="M394" s="8" t="str">
        <f t="shared" si="1"/>
        <v xml:space="preserve">http://slimages.macys.com/is/image/MCY/11436881 </v>
      </c>
    </row>
    <row r="395" spans="1:13" ht="60" x14ac:dyDescent="0.25">
      <c r="A395" s="7" t="s">
        <v>6029</v>
      </c>
      <c r="B395" s="2" t="s">
        <v>2223</v>
      </c>
      <c r="C395" s="4">
        <v>1</v>
      </c>
      <c r="D395" s="5">
        <v>2.69</v>
      </c>
      <c r="E395" s="5">
        <v>5.99</v>
      </c>
      <c r="F395" s="4" t="s">
        <v>2224</v>
      </c>
      <c r="G395" s="2" t="s">
        <v>238</v>
      </c>
      <c r="H395" s="7" t="s">
        <v>149</v>
      </c>
      <c r="I395" s="2" t="s">
        <v>483</v>
      </c>
      <c r="J395" s="2" t="s">
        <v>536</v>
      </c>
      <c r="K395" s="2" t="s">
        <v>304</v>
      </c>
      <c r="L395" s="2" t="s">
        <v>206</v>
      </c>
      <c r="M395" s="8" t="str">
        <f t="shared" si="1"/>
        <v xml:space="preserve">http://slimages.macys.com/is/image/MCY/11436881 </v>
      </c>
    </row>
    <row r="396" spans="1:13" ht="60" x14ac:dyDescent="0.25">
      <c r="A396" s="7" t="s">
        <v>6490</v>
      </c>
      <c r="B396" s="2" t="s">
        <v>2223</v>
      </c>
      <c r="C396" s="4">
        <v>1</v>
      </c>
      <c r="D396" s="5">
        <v>2.69</v>
      </c>
      <c r="E396" s="5">
        <v>5.99</v>
      </c>
      <c r="F396" s="4" t="s">
        <v>2224</v>
      </c>
      <c r="G396" s="2" t="s">
        <v>62</v>
      </c>
      <c r="H396" s="7" t="s">
        <v>149</v>
      </c>
      <c r="I396" s="2" t="s">
        <v>483</v>
      </c>
      <c r="J396" s="2" t="s">
        <v>536</v>
      </c>
      <c r="K396" s="2" t="s">
        <v>304</v>
      </c>
      <c r="L396" s="2" t="s">
        <v>206</v>
      </c>
      <c r="M396" s="8" t="str">
        <f t="shared" si="1"/>
        <v xml:space="preserve">http://slimages.macys.com/is/image/MCY/11436881 </v>
      </c>
    </row>
    <row r="397" spans="1:13" ht="60" x14ac:dyDescent="0.25">
      <c r="A397" s="7" t="s">
        <v>6028</v>
      </c>
      <c r="B397" s="2" t="s">
        <v>2223</v>
      </c>
      <c r="C397" s="4">
        <v>2</v>
      </c>
      <c r="D397" s="5">
        <v>2.69</v>
      </c>
      <c r="E397" s="5">
        <v>5.99</v>
      </c>
      <c r="F397" s="4" t="s">
        <v>2224</v>
      </c>
      <c r="G397" s="2" t="s">
        <v>238</v>
      </c>
      <c r="H397" s="7" t="s">
        <v>590</v>
      </c>
      <c r="I397" s="2" t="s">
        <v>483</v>
      </c>
      <c r="J397" s="2" t="s">
        <v>536</v>
      </c>
      <c r="K397" s="2" t="s">
        <v>304</v>
      </c>
      <c r="L397" s="2" t="s">
        <v>206</v>
      </c>
      <c r="M397" s="8" t="str">
        <f t="shared" si="1"/>
        <v xml:space="preserve">http://slimages.macys.com/is/image/MCY/11436881 </v>
      </c>
    </row>
    <row r="398" spans="1:13" ht="60" x14ac:dyDescent="0.25">
      <c r="A398" s="7" t="s">
        <v>6486</v>
      </c>
      <c r="B398" s="2" t="s">
        <v>2223</v>
      </c>
      <c r="C398" s="4">
        <v>1</v>
      </c>
      <c r="D398" s="5">
        <v>2.69</v>
      </c>
      <c r="E398" s="5">
        <v>5.99</v>
      </c>
      <c r="F398" s="4" t="s">
        <v>2224</v>
      </c>
      <c r="G398" s="2" t="s">
        <v>28</v>
      </c>
      <c r="H398" s="7" t="s">
        <v>442</v>
      </c>
      <c r="I398" s="2" t="s">
        <v>483</v>
      </c>
      <c r="J398" s="2" t="s">
        <v>536</v>
      </c>
      <c r="K398" s="2" t="s">
        <v>304</v>
      </c>
      <c r="L398" s="2" t="s">
        <v>206</v>
      </c>
      <c r="M398" s="8" t="str">
        <f t="shared" si="1"/>
        <v xml:space="preserve">http://slimages.macys.com/is/image/MCY/11436881 </v>
      </c>
    </row>
    <row r="399" spans="1:13" ht="60" x14ac:dyDescent="0.25">
      <c r="A399" s="7" t="s">
        <v>1228</v>
      </c>
      <c r="B399" s="2" t="s">
        <v>1229</v>
      </c>
      <c r="C399" s="4">
        <v>2</v>
      </c>
      <c r="D399" s="5">
        <v>2.68</v>
      </c>
      <c r="E399" s="5">
        <v>7.99</v>
      </c>
      <c r="F399" s="4" t="s">
        <v>1230</v>
      </c>
      <c r="G399" s="2" t="s">
        <v>41</v>
      </c>
      <c r="H399" s="7" t="s">
        <v>1151</v>
      </c>
      <c r="I399" s="2" t="s">
        <v>483</v>
      </c>
      <c r="J399" s="2" t="s">
        <v>536</v>
      </c>
      <c r="K399" s="2" t="s">
        <v>304</v>
      </c>
      <c r="L399" s="2" t="s">
        <v>38</v>
      </c>
      <c r="M399" s="8" t="str">
        <f>HYPERLINK("http://slimages.macys.com/is/image/MCY/13987603 ")</f>
        <v xml:space="preserve">http://slimages.macys.com/is/image/MCY/13987603 </v>
      </c>
    </row>
    <row r="400" spans="1:13" ht="60" x14ac:dyDescent="0.25">
      <c r="A400" s="7" t="s">
        <v>6495</v>
      </c>
      <c r="B400" s="2" t="s">
        <v>6492</v>
      </c>
      <c r="C400" s="4">
        <v>1</v>
      </c>
      <c r="D400" s="5">
        <v>2.68</v>
      </c>
      <c r="E400" s="5">
        <v>5.99</v>
      </c>
      <c r="F400" s="4" t="s">
        <v>6493</v>
      </c>
      <c r="G400" s="2" t="s">
        <v>41</v>
      </c>
      <c r="H400" s="7" t="s">
        <v>42</v>
      </c>
      <c r="I400" s="2" t="s">
        <v>483</v>
      </c>
      <c r="J400" s="2" t="s">
        <v>536</v>
      </c>
      <c r="K400" s="2" t="s">
        <v>304</v>
      </c>
      <c r="L400" s="2" t="s">
        <v>206</v>
      </c>
      <c r="M400" s="8" t="str">
        <f>HYPERLINK("http://slimages.macys.com/is/image/MCY/12644512 ")</f>
        <v xml:space="preserve">http://slimages.macys.com/is/image/MCY/12644512 </v>
      </c>
    </row>
    <row r="401" spans="1:13" ht="60" x14ac:dyDescent="0.25">
      <c r="A401" s="7" t="s">
        <v>1231</v>
      </c>
      <c r="B401" s="2" t="s">
        <v>1229</v>
      </c>
      <c r="C401" s="4">
        <v>4</v>
      </c>
      <c r="D401" s="5">
        <v>2.68</v>
      </c>
      <c r="E401" s="5">
        <v>7.99</v>
      </c>
      <c r="F401" s="4" t="s">
        <v>1230</v>
      </c>
      <c r="G401" s="2" t="s">
        <v>41</v>
      </c>
      <c r="H401" s="7" t="s">
        <v>514</v>
      </c>
      <c r="I401" s="2" t="s">
        <v>483</v>
      </c>
      <c r="J401" s="2" t="s">
        <v>536</v>
      </c>
      <c r="K401" s="2" t="s">
        <v>304</v>
      </c>
      <c r="L401" s="2" t="s">
        <v>38</v>
      </c>
      <c r="M401" s="8" t="str">
        <f>HYPERLINK("http://slimages.macys.com/is/image/MCY/13987603 ")</f>
        <v xml:space="preserve">http://slimages.macys.com/is/image/MCY/13987603 </v>
      </c>
    </row>
    <row r="402" spans="1:13" ht="84" x14ac:dyDescent="0.25">
      <c r="A402" s="7" t="s">
        <v>2237</v>
      </c>
      <c r="B402" s="2" t="s">
        <v>2228</v>
      </c>
      <c r="C402" s="4">
        <v>1</v>
      </c>
      <c r="D402" s="5">
        <v>2.67</v>
      </c>
      <c r="E402" s="5">
        <v>7.99</v>
      </c>
      <c r="F402" s="4" t="s">
        <v>2229</v>
      </c>
      <c r="G402" s="2" t="s">
        <v>527</v>
      </c>
      <c r="H402" s="7"/>
      <c r="I402" s="2" t="s">
        <v>483</v>
      </c>
      <c r="J402" s="2" t="s">
        <v>536</v>
      </c>
      <c r="K402" s="2" t="s">
        <v>304</v>
      </c>
      <c r="L402" s="2" t="s">
        <v>2230</v>
      </c>
      <c r="M402" s="8" t="str">
        <f>HYPERLINK("http://slimages.macys.com/is/image/MCY/14385110 ")</f>
        <v xml:space="preserve">http://slimages.macys.com/is/image/MCY/14385110 </v>
      </c>
    </row>
    <row r="403" spans="1:13" ht="84" x14ac:dyDescent="0.25">
      <c r="A403" s="7" t="s">
        <v>2227</v>
      </c>
      <c r="B403" s="2" t="s">
        <v>2228</v>
      </c>
      <c r="C403" s="4">
        <v>2</v>
      </c>
      <c r="D403" s="5">
        <v>2.67</v>
      </c>
      <c r="E403" s="5">
        <v>7.99</v>
      </c>
      <c r="F403" s="4" t="s">
        <v>2229</v>
      </c>
      <c r="G403" s="2" t="s">
        <v>527</v>
      </c>
      <c r="H403" s="7" t="s">
        <v>149</v>
      </c>
      <c r="I403" s="2" t="s">
        <v>483</v>
      </c>
      <c r="J403" s="2" t="s">
        <v>536</v>
      </c>
      <c r="K403" s="2" t="s">
        <v>304</v>
      </c>
      <c r="L403" s="2" t="s">
        <v>2230</v>
      </c>
      <c r="M403" s="8" t="str">
        <f>HYPERLINK("http://slimages.macys.com/is/image/MCY/14385110 ")</f>
        <v xml:space="preserve">http://slimages.macys.com/is/image/MCY/14385110 </v>
      </c>
    </row>
    <row r="404" spans="1:13" ht="60" x14ac:dyDescent="0.25">
      <c r="A404" s="7" t="s">
        <v>1232</v>
      </c>
      <c r="B404" s="2" t="s">
        <v>1233</v>
      </c>
      <c r="C404" s="4">
        <v>1</v>
      </c>
      <c r="D404" s="5">
        <v>2.67</v>
      </c>
      <c r="E404" s="5">
        <v>6.99</v>
      </c>
      <c r="F404" s="4" t="s">
        <v>1234</v>
      </c>
      <c r="G404" s="2" t="s">
        <v>171</v>
      </c>
      <c r="H404" s="7" t="s">
        <v>590</v>
      </c>
      <c r="I404" s="2" t="s">
        <v>483</v>
      </c>
      <c r="J404" s="2" t="s">
        <v>536</v>
      </c>
      <c r="K404" s="2" t="s">
        <v>304</v>
      </c>
      <c r="L404" s="2" t="s">
        <v>119</v>
      </c>
      <c r="M404" s="8" t="str">
        <f>HYPERLINK("http://slimages.macys.com/is/image/MCY/12646582 ")</f>
        <v xml:space="preserve">http://slimages.macys.com/is/image/MCY/12646582 </v>
      </c>
    </row>
    <row r="405" spans="1:13" ht="60" x14ac:dyDescent="0.25">
      <c r="A405" s="7" t="s">
        <v>7149</v>
      </c>
      <c r="B405" s="2" t="s">
        <v>7150</v>
      </c>
      <c r="C405" s="4">
        <v>2</v>
      </c>
      <c r="D405" s="5">
        <v>2.66</v>
      </c>
      <c r="E405" s="5">
        <v>7.99</v>
      </c>
      <c r="F405" s="4" t="s">
        <v>7151</v>
      </c>
      <c r="G405" s="2" t="s">
        <v>657</v>
      </c>
      <c r="H405" s="7" t="s">
        <v>1151</v>
      </c>
      <c r="I405" s="2" t="s">
        <v>483</v>
      </c>
      <c r="J405" s="2" t="s">
        <v>536</v>
      </c>
      <c r="K405" s="2" t="s">
        <v>304</v>
      </c>
      <c r="L405" s="2" t="s">
        <v>119</v>
      </c>
      <c r="M405" s="8" t="str">
        <f>HYPERLINK("http://slimages.macys.com/is/image/MCY/13987611 ")</f>
        <v xml:space="preserve">http://slimages.macys.com/is/image/MCY/13987611 </v>
      </c>
    </row>
    <row r="406" spans="1:13" ht="60" x14ac:dyDescent="0.25">
      <c r="A406" s="7" t="s">
        <v>7152</v>
      </c>
      <c r="B406" s="2" t="s">
        <v>7150</v>
      </c>
      <c r="C406" s="4">
        <v>1</v>
      </c>
      <c r="D406" s="5">
        <v>2.66</v>
      </c>
      <c r="E406" s="5">
        <v>7.99</v>
      </c>
      <c r="F406" s="4" t="s">
        <v>7151</v>
      </c>
      <c r="G406" s="2" t="s">
        <v>657</v>
      </c>
      <c r="H406" s="7" t="s">
        <v>578</v>
      </c>
      <c r="I406" s="2" t="s">
        <v>483</v>
      </c>
      <c r="J406" s="2" t="s">
        <v>536</v>
      </c>
      <c r="K406" s="2" t="s">
        <v>304</v>
      </c>
      <c r="L406" s="2" t="s">
        <v>119</v>
      </c>
      <c r="M406" s="8" t="str">
        <f>HYPERLINK("http://slimages.macys.com/is/image/MCY/13987611 ")</f>
        <v xml:space="preserve">http://slimages.macys.com/is/image/MCY/13987611 </v>
      </c>
    </row>
    <row r="407" spans="1:13" ht="60" x14ac:dyDescent="0.25">
      <c r="A407" s="7" t="s">
        <v>7153</v>
      </c>
      <c r="B407" s="2" t="s">
        <v>7150</v>
      </c>
      <c r="C407" s="4">
        <v>6</v>
      </c>
      <c r="D407" s="5">
        <v>2.66</v>
      </c>
      <c r="E407" s="5">
        <v>7.99</v>
      </c>
      <c r="F407" s="4" t="s">
        <v>7151</v>
      </c>
      <c r="G407" s="2" t="s">
        <v>657</v>
      </c>
      <c r="H407" s="7" t="s">
        <v>514</v>
      </c>
      <c r="I407" s="2" t="s">
        <v>483</v>
      </c>
      <c r="J407" s="2" t="s">
        <v>536</v>
      </c>
      <c r="K407" s="2" t="s">
        <v>304</v>
      </c>
      <c r="L407" s="2" t="s">
        <v>119</v>
      </c>
      <c r="M407" s="8" t="str">
        <f>HYPERLINK("http://slimages.macys.com/is/image/MCY/13987611 ")</f>
        <v xml:space="preserve">http://slimages.macys.com/is/image/MCY/13987611 </v>
      </c>
    </row>
    <row r="408" spans="1:13" ht="60" x14ac:dyDescent="0.25">
      <c r="A408" s="7" t="s">
        <v>1235</v>
      </c>
      <c r="B408" s="2" t="s">
        <v>1236</v>
      </c>
      <c r="C408" s="4">
        <v>1</v>
      </c>
      <c r="D408" s="5">
        <v>2.65</v>
      </c>
      <c r="E408" s="5">
        <v>6.99</v>
      </c>
      <c r="F408" s="4" t="s">
        <v>1237</v>
      </c>
      <c r="G408" s="2" t="s">
        <v>41</v>
      </c>
      <c r="H408" s="7" t="s">
        <v>442</v>
      </c>
      <c r="I408" s="2" t="s">
        <v>483</v>
      </c>
      <c r="J408" s="2" t="s">
        <v>536</v>
      </c>
      <c r="K408" s="2" t="s">
        <v>304</v>
      </c>
      <c r="L408" s="2" t="s">
        <v>100</v>
      </c>
      <c r="M408" s="8" t="str">
        <f>HYPERLINK("http://slimages.macys.com/is/image/MCY/13337374 ")</f>
        <v xml:space="preserve">http://slimages.macys.com/is/image/MCY/13337374 </v>
      </c>
    </row>
    <row r="409" spans="1:13" ht="60" x14ac:dyDescent="0.25">
      <c r="A409" s="7" t="s">
        <v>7154</v>
      </c>
      <c r="B409" s="2" t="s">
        <v>2240</v>
      </c>
      <c r="C409" s="4">
        <v>1</v>
      </c>
      <c r="D409" s="5">
        <v>2.65</v>
      </c>
      <c r="E409" s="5">
        <v>7.99</v>
      </c>
      <c r="F409" s="4" t="s">
        <v>2241</v>
      </c>
      <c r="G409" s="2" t="s">
        <v>41</v>
      </c>
      <c r="H409" s="7" t="s">
        <v>578</v>
      </c>
      <c r="I409" s="2" t="s">
        <v>483</v>
      </c>
      <c r="J409" s="2" t="s">
        <v>536</v>
      </c>
      <c r="K409" s="2" t="s">
        <v>304</v>
      </c>
      <c r="L409" s="2" t="s">
        <v>206</v>
      </c>
      <c r="M409" s="8" t="str">
        <f>HYPERLINK("http://slimages.macys.com/is/image/MCY/13386152 ")</f>
        <v xml:space="preserve">http://slimages.macys.com/is/image/MCY/13386152 </v>
      </c>
    </row>
    <row r="410" spans="1:13" ht="60" x14ac:dyDescent="0.25">
      <c r="A410" s="7" t="s">
        <v>7155</v>
      </c>
      <c r="B410" s="2" t="s">
        <v>6501</v>
      </c>
      <c r="C410" s="4">
        <v>1</v>
      </c>
      <c r="D410" s="5">
        <v>2.65</v>
      </c>
      <c r="E410" s="5">
        <v>5.99</v>
      </c>
      <c r="F410" s="4" t="s">
        <v>6502</v>
      </c>
      <c r="G410" s="2" t="s">
        <v>134</v>
      </c>
      <c r="H410" s="7" t="s">
        <v>42</v>
      </c>
      <c r="I410" s="2" t="s">
        <v>483</v>
      </c>
      <c r="J410" s="2" t="s">
        <v>536</v>
      </c>
      <c r="K410" s="2" t="s">
        <v>304</v>
      </c>
      <c r="L410" s="2" t="s">
        <v>119</v>
      </c>
      <c r="M410" s="8" t="str">
        <f>HYPERLINK("http://slimages.macys.com/is/image/MCY/12644420 ")</f>
        <v xml:space="preserve">http://slimages.macys.com/is/image/MCY/12644420 </v>
      </c>
    </row>
    <row r="411" spans="1:13" ht="60" x14ac:dyDescent="0.25">
      <c r="A411" s="7" t="s">
        <v>7156</v>
      </c>
      <c r="B411" s="2" t="s">
        <v>2240</v>
      </c>
      <c r="C411" s="4">
        <v>1</v>
      </c>
      <c r="D411" s="5">
        <v>2.65</v>
      </c>
      <c r="E411" s="5">
        <v>7.99</v>
      </c>
      <c r="F411" s="4" t="s">
        <v>2241</v>
      </c>
      <c r="G411" s="2" t="s">
        <v>41</v>
      </c>
      <c r="H411" s="7" t="s">
        <v>1151</v>
      </c>
      <c r="I411" s="2" t="s">
        <v>483</v>
      </c>
      <c r="J411" s="2" t="s">
        <v>536</v>
      </c>
      <c r="K411" s="2" t="s">
        <v>304</v>
      </c>
      <c r="L411" s="2" t="s">
        <v>206</v>
      </c>
      <c r="M411" s="8" t="str">
        <f>HYPERLINK("http://slimages.macys.com/is/image/MCY/13386152 ")</f>
        <v xml:space="preserve">http://slimages.macys.com/is/image/MCY/13386152 </v>
      </c>
    </row>
    <row r="412" spans="1:13" ht="60" x14ac:dyDescent="0.25">
      <c r="A412" s="7" t="s">
        <v>6500</v>
      </c>
      <c r="B412" s="2" t="s">
        <v>6501</v>
      </c>
      <c r="C412" s="4">
        <v>1</v>
      </c>
      <c r="D412" s="5">
        <v>2.65</v>
      </c>
      <c r="E412" s="5">
        <v>5.99</v>
      </c>
      <c r="F412" s="4" t="s">
        <v>6502</v>
      </c>
      <c r="G412" s="2" t="s">
        <v>134</v>
      </c>
      <c r="H412" s="7" t="s">
        <v>91</v>
      </c>
      <c r="I412" s="2" t="s">
        <v>483</v>
      </c>
      <c r="J412" s="2" t="s">
        <v>536</v>
      </c>
      <c r="K412" s="2" t="s">
        <v>304</v>
      </c>
      <c r="L412" s="2" t="s">
        <v>119</v>
      </c>
      <c r="M412" s="8" t="str">
        <f>HYPERLINK("http://slimages.macys.com/is/image/MCY/12644420 ")</f>
        <v xml:space="preserve">http://slimages.macys.com/is/image/MCY/12644420 </v>
      </c>
    </row>
    <row r="413" spans="1:13" ht="60" x14ac:dyDescent="0.25">
      <c r="A413" s="7" t="s">
        <v>2245</v>
      </c>
      <c r="B413" s="2" t="s">
        <v>2246</v>
      </c>
      <c r="C413" s="4">
        <v>1</v>
      </c>
      <c r="D413" s="5">
        <v>2.64</v>
      </c>
      <c r="E413" s="5">
        <v>6.99</v>
      </c>
      <c r="F413" s="4" t="s">
        <v>2247</v>
      </c>
      <c r="G413" s="2" t="s">
        <v>262</v>
      </c>
      <c r="H413" s="7"/>
      <c r="I413" s="2" t="s">
        <v>483</v>
      </c>
      <c r="J413" s="2" t="s">
        <v>536</v>
      </c>
      <c r="K413" s="2" t="s">
        <v>304</v>
      </c>
      <c r="L413" s="2" t="s">
        <v>119</v>
      </c>
      <c r="M413" s="8" t="str">
        <f>HYPERLINK("http://slimages.macys.com/is/image/MCY/13987489 ")</f>
        <v xml:space="preserve">http://slimages.macys.com/is/image/MCY/13987489 </v>
      </c>
    </row>
    <row r="414" spans="1:13" ht="60" x14ac:dyDescent="0.25">
      <c r="A414" s="7" t="s">
        <v>2249</v>
      </c>
      <c r="B414" s="2" t="s">
        <v>2246</v>
      </c>
      <c r="C414" s="4">
        <v>1</v>
      </c>
      <c r="D414" s="5">
        <v>2.64</v>
      </c>
      <c r="E414" s="5">
        <v>6.99</v>
      </c>
      <c r="F414" s="4" t="s">
        <v>2247</v>
      </c>
      <c r="G414" s="2" t="s">
        <v>262</v>
      </c>
      <c r="H414" s="7" t="s">
        <v>149</v>
      </c>
      <c r="I414" s="2" t="s">
        <v>483</v>
      </c>
      <c r="J414" s="2" t="s">
        <v>536</v>
      </c>
      <c r="K414" s="2" t="s">
        <v>304</v>
      </c>
      <c r="L414" s="2" t="s">
        <v>119</v>
      </c>
      <c r="M414" s="8" t="str">
        <f>HYPERLINK("http://slimages.macys.com/is/image/MCY/13987489 ")</f>
        <v xml:space="preserve">http://slimages.macys.com/is/image/MCY/13987489 </v>
      </c>
    </row>
    <row r="415" spans="1:13" ht="60" x14ac:dyDescent="0.25">
      <c r="A415" s="7" t="s">
        <v>2248</v>
      </c>
      <c r="B415" s="2" t="s">
        <v>2246</v>
      </c>
      <c r="C415" s="4">
        <v>2</v>
      </c>
      <c r="D415" s="5">
        <v>2.64</v>
      </c>
      <c r="E415" s="5">
        <v>6.99</v>
      </c>
      <c r="F415" s="4" t="s">
        <v>2247</v>
      </c>
      <c r="G415" s="2" t="s">
        <v>262</v>
      </c>
      <c r="H415" s="7" t="s">
        <v>590</v>
      </c>
      <c r="I415" s="2" t="s">
        <v>483</v>
      </c>
      <c r="J415" s="2" t="s">
        <v>536</v>
      </c>
      <c r="K415" s="2" t="s">
        <v>304</v>
      </c>
      <c r="L415" s="2" t="s">
        <v>119</v>
      </c>
      <c r="M415" s="8" t="str">
        <f>HYPERLINK("http://slimages.macys.com/is/image/MCY/13987489 ")</f>
        <v xml:space="preserve">http://slimages.macys.com/is/image/MCY/13987489 </v>
      </c>
    </row>
    <row r="416" spans="1:13" ht="60" x14ac:dyDescent="0.25">
      <c r="A416" s="7" t="s">
        <v>7157</v>
      </c>
      <c r="B416" s="2" t="s">
        <v>2246</v>
      </c>
      <c r="C416" s="4">
        <v>1</v>
      </c>
      <c r="D416" s="5">
        <v>2.64</v>
      </c>
      <c r="E416" s="5">
        <v>6.99</v>
      </c>
      <c r="F416" s="4" t="s">
        <v>2247</v>
      </c>
      <c r="G416" s="2" t="s">
        <v>262</v>
      </c>
      <c r="H416" s="7" t="s">
        <v>442</v>
      </c>
      <c r="I416" s="2" t="s">
        <v>483</v>
      </c>
      <c r="J416" s="2" t="s">
        <v>536</v>
      </c>
      <c r="K416" s="2" t="s">
        <v>304</v>
      </c>
      <c r="L416" s="2" t="s">
        <v>119</v>
      </c>
      <c r="M416" s="8" t="str">
        <f>HYPERLINK("http://slimages.macys.com/is/image/MCY/13987489 ")</f>
        <v xml:space="preserve">http://slimages.macys.com/is/image/MCY/13987489 </v>
      </c>
    </row>
    <row r="417" spans="1:13" ht="60" x14ac:dyDescent="0.25">
      <c r="A417" s="7" t="s">
        <v>7158</v>
      </c>
      <c r="B417" s="2" t="s">
        <v>4495</v>
      </c>
      <c r="C417" s="4">
        <v>2</v>
      </c>
      <c r="D417" s="5">
        <v>2.63</v>
      </c>
      <c r="E417" s="5">
        <v>5.99</v>
      </c>
      <c r="F417" s="4" t="s">
        <v>4496</v>
      </c>
      <c r="G417" s="2" t="s">
        <v>858</v>
      </c>
      <c r="H417" s="7" t="s">
        <v>91</v>
      </c>
      <c r="I417" s="2" t="s">
        <v>483</v>
      </c>
      <c r="J417" s="2" t="s">
        <v>536</v>
      </c>
      <c r="K417" s="2" t="s">
        <v>304</v>
      </c>
      <c r="L417" s="2" t="s">
        <v>206</v>
      </c>
      <c r="M417" s="8" t="str">
        <f>HYPERLINK("http://slimages.macys.com/is/image/MCY/11709478 ")</f>
        <v xml:space="preserve">http://slimages.macys.com/is/image/MCY/11709478 </v>
      </c>
    </row>
    <row r="418" spans="1:13" ht="60" x14ac:dyDescent="0.25">
      <c r="A418" s="7" t="s">
        <v>7159</v>
      </c>
      <c r="B418" s="2" t="s">
        <v>4495</v>
      </c>
      <c r="C418" s="4">
        <v>1</v>
      </c>
      <c r="D418" s="5">
        <v>2.63</v>
      </c>
      <c r="E418" s="5">
        <v>5.99</v>
      </c>
      <c r="F418" s="4" t="s">
        <v>4496</v>
      </c>
      <c r="G418" s="2" t="s">
        <v>86</v>
      </c>
      <c r="H418" s="7" t="s">
        <v>590</v>
      </c>
      <c r="I418" s="2" t="s">
        <v>483</v>
      </c>
      <c r="J418" s="2" t="s">
        <v>536</v>
      </c>
      <c r="K418" s="2" t="s">
        <v>304</v>
      </c>
      <c r="L418" s="2" t="s">
        <v>206</v>
      </c>
      <c r="M418" s="8" t="str">
        <f>HYPERLINK("http://slimages.macys.com/is/image/MCY/11709478 ")</f>
        <v xml:space="preserve">http://slimages.macys.com/is/image/MCY/11709478 </v>
      </c>
    </row>
    <row r="419" spans="1:13" ht="60" x14ac:dyDescent="0.25">
      <c r="A419" s="7" t="s">
        <v>6031</v>
      </c>
      <c r="B419" s="2" t="s">
        <v>6032</v>
      </c>
      <c r="C419" s="4">
        <v>1</v>
      </c>
      <c r="D419" s="5">
        <v>2.63</v>
      </c>
      <c r="E419" s="5">
        <v>6.99</v>
      </c>
      <c r="F419" s="4" t="s">
        <v>6033</v>
      </c>
      <c r="G419" s="2" t="s">
        <v>1265</v>
      </c>
      <c r="H419" s="7" t="s">
        <v>442</v>
      </c>
      <c r="I419" s="2" t="s">
        <v>483</v>
      </c>
      <c r="J419" s="2" t="s">
        <v>536</v>
      </c>
      <c r="K419" s="2" t="s">
        <v>304</v>
      </c>
      <c r="L419" s="2" t="s">
        <v>100</v>
      </c>
      <c r="M419" s="8" t="str">
        <f>HYPERLINK("http://slimages.macys.com/is/image/MCY/11378279 ")</f>
        <v xml:space="preserve">http://slimages.macys.com/is/image/MCY/11378279 </v>
      </c>
    </row>
    <row r="420" spans="1:13" ht="60" x14ac:dyDescent="0.25">
      <c r="A420" s="7" t="s">
        <v>7160</v>
      </c>
      <c r="B420" s="2" t="s">
        <v>4495</v>
      </c>
      <c r="C420" s="4">
        <v>2</v>
      </c>
      <c r="D420" s="5">
        <v>2.63</v>
      </c>
      <c r="E420" s="5">
        <v>5.99</v>
      </c>
      <c r="F420" s="4" t="s">
        <v>4496</v>
      </c>
      <c r="G420" s="2" t="s">
        <v>858</v>
      </c>
      <c r="H420" s="7" t="s">
        <v>590</v>
      </c>
      <c r="I420" s="2" t="s">
        <v>483</v>
      </c>
      <c r="J420" s="2" t="s">
        <v>536</v>
      </c>
      <c r="K420" s="2" t="s">
        <v>304</v>
      </c>
      <c r="L420" s="2" t="s">
        <v>206</v>
      </c>
      <c r="M420" s="8" t="str">
        <f>HYPERLINK("http://slimages.macys.com/is/image/MCY/11709478 ")</f>
        <v xml:space="preserve">http://slimages.macys.com/is/image/MCY/11709478 </v>
      </c>
    </row>
    <row r="421" spans="1:13" ht="60" x14ac:dyDescent="0.25">
      <c r="A421" s="7" t="s">
        <v>7161</v>
      </c>
      <c r="B421" s="2" t="s">
        <v>4495</v>
      </c>
      <c r="C421" s="4">
        <v>1</v>
      </c>
      <c r="D421" s="5">
        <v>2.63</v>
      </c>
      <c r="E421" s="5">
        <v>5.99</v>
      </c>
      <c r="F421" s="4" t="s">
        <v>4496</v>
      </c>
      <c r="G421" s="2" t="s">
        <v>437</v>
      </c>
      <c r="H421" s="7" t="s">
        <v>442</v>
      </c>
      <c r="I421" s="2" t="s">
        <v>483</v>
      </c>
      <c r="J421" s="2" t="s">
        <v>536</v>
      </c>
      <c r="K421" s="2" t="s">
        <v>304</v>
      </c>
      <c r="L421" s="2" t="s">
        <v>206</v>
      </c>
      <c r="M421" s="8" t="str">
        <f>HYPERLINK("http://slimages.macys.com/is/image/MCY/11709478 ")</f>
        <v xml:space="preserve">http://slimages.macys.com/is/image/MCY/11709478 </v>
      </c>
    </row>
    <row r="422" spans="1:13" ht="60" x14ac:dyDescent="0.25">
      <c r="A422" s="7" t="s">
        <v>5080</v>
      </c>
      <c r="B422" s="2" t="s">
        <v>4495</v>
      </c>
      <c r="C422" s="4">
        <v>1</v>
      </c>
      <c r="D422" s="5">
        <v>2.63</v>
      </c>
      <c r="E422" s="5">
        <v>5.99</v>
      </c>
      <c r="F422" s="4" t="s">
        <v>4496</v>
      </c>
      <c r="G422" s="2" t="s">
        <v>858</v>
      </c>
      <c r="H422" s="7" t="s">
        <v>149</v>
      </c>
      <c r="I422" s="2" t="s">
        <v>483</v>
      </c>
      <c r="J422" s="2" t="s">
        <v>536</v>
      </c>
      <c r="K422" s="2" t="s">
        <v>304</v>
      </c>
      <c r="L422" s="2" t="s">
        <v>206</v>
      </c>
      <c r="M422" s="8" t="str">
        <f>HYPERLINK("http://slimages.macys.com/is/image/MCY/11709478 ")</f>
        <v xml:space="preserve">http://slimages.macys.com/is/image/MCY/11709478 </v>
      </c>
    </row>
    <row r="423" spans="1:13" ht="60" x14ac:dyDescent="0.25">
      <c r="A423" s="7" t="s">
        <v>1248</v>
      </c>
      <c r="B423" s="2" t="s">
        <v>1243</v>
      </c>
      <c r="C423" s="4">
        <v>1</v>
      </c>
      <c r="D423" s="5">
        <v>2.62</v>
      </c>
      <c r="E423" s="5">
        <v>6.99</v>
      </c>
      <c r="F423" s="4" t="s">
        <v>1244</v>
      </c>
      <c r="G423" s="2" t="s">
        <v>41</v>
      </c>
      <c r="H423" s="7" t="s">
        <v>590</v>
      </c>
      <c r="I423" s="2" t="s">
        <v>483</v>
      </c>
      <c r="J423" s="2" t="s">
        <v>536</v>
      </c>
      <c r="K423" s="2" t="s">
        <v>304</v>
      </c>
      <c r="L423" s="2" t="s">
        <v>38</v>
      </c>
      <c r="M423" s="8" t="str">
        <f>HYPERLINK("http://slimages.macys.com/is/image/MCY/13987599 ")</f>
        <v xml:space="preserve">http://slimages.macys.com/is/image/MCY/13987599 </v>
      </c>
    </row>
    <row r="424" spans="1:13" ht="60" x14ac:dyDescent="0.25">
      <c r="A424" s="7" t="s">
        <v>7162</v>
      </c>
      <c r="B424" s="2" t="s">
        <v>6507</v>
      </c>
      <c r="C424" s="4">
        <v>4</v>
      </c>
      <c r="D424" s="5">
        <v>2.62</v>
      </c>
      <c r="E424" s="5">
        <v>7.99</v>
      </c>
      <c r="F424" s="4" t="s">
        <v>6508</v>
      </c>
      <c r="G424" s="2" t="s">
        <v>28</v>
      </c>
      <c r="H424" s="7" t="s">
        <v>514</v>
      </c>
      <c r="I424" s="2" t="s">
        <v>483</v>
      </c>
      <c r="J424" s="2" t="s">
        <v>536</v>
      </c>
      <c r="K424" s="2" t="s">
        <v>304</v>
      </c>
      <c r="L424" s="2" t="s">
        <v>38</v>
      </c>
      <c r="M424" s="8" t="str">
        <f>HYPERLINK("http://slimages.macys.com/is/image/MCY/13987609 ")</f>
        <v xml:space="preserve">http://slimages.macys.com/is/image/MCY/13987609 </v>
      </c>
    </row>
    <row r="425" spans="1:13" ht="60" x14ac:dyDescent="0.25">
      <c r="A425" s="7" t="s">
        <v>7163</v>
      </c>
      <c r="B425" s="2" t="s">
        <v>1240</v>
      </c>
      <c r="C425" s="4">
        <v>1</v>
      </c>
      <c r="D425" s="5">
        <v>2.62</v>
      </c>
      <c r="E425" s="5">
        <v>6.99</v>
      </c>
      <c r="F425" s="4" t="s">
        <v>1241</v>
      </c>
      <c r="G425" s="2" t="s">
        <v>28</v>
      </c>
      <c r="H425" s="7" t="s">
        <v>42</v>
      </c>
      <c r="I425" s="2" t="s">
        <v>483</v>
      </c>
      <c r="J425" s="2" t="s">
        <v>536</v>
      </c>
      <c r="K425" s="2" t="s">
        <v>304</v>
      </c>
      <c r="L425" s="2" t="s">
        <v>100</v>
      </c>
      <c r="M425" s="8" t="str">
        <f>HYPERLINK("http://slimages.macys.com/is/image/MCY/13336558 ")</f>
        <v xml:space="preserve">http://slimages.macys.com/is/image/MCY/13336558 </v>
      </c>
    </row>
    <row r="426" spans="1:13" ht="60" x14ac:dyDescent="0.25">
      <c r="A426" s="7" t="s">
        <v>7164</v>
      </c>
      <c r="B426" s="2" t="s">
        <v>1243</v>
      </c>
      <c r="C426" s="4">
        <v>6</v>
      </c>
      <c r="D426" s="5">
        <v>2.62</v>
      </c>
      <c r="E426" s="5">
        <v>6.99</v>
      </c>
      <c r="F426" s="4" t="s">
        <v>1244</v>
      </c>
      <c r="G426" s="2" t="s">
        <v>41</v>
      </c>
      <c r="H426" s="7" t="s">
        <v>91</v>
      </c>
      <c r="I426" s="2" t="s">
        <v>483</v>
      </c>
      <c r="J426" s="2" t="s">
        <v>536</v>
      </c>
      <c r="K426" s="2" t="s">
        <v>304</v>
      </c>
      <c r="L426" s="2" t="s">
        <v>38</v>
      </c>
      <c r="M426" s="8" t="str">
        <f>HYPERLINK("http://slimages.macys.com/is/image/MCY/13987599 ")</f>
        <v xml:space="preserve">http://slimages.macys.com/is/image/MCY/13987599 </v>
      </c>
    </row>
    <row r="427" spans="1:13" ht="60" x14ac:dyDescent="0.25">
      <c r="A427" s="7" t="s">
        <v>6511</v>
      </c>
      <c r="B427" s="2" t="s">
        <v>1243</v>
      </c>
      <c r="C427" s="4">
        <v>3</v>
      </c>
      <c r="D427" s="5">
        <v>2.62</v>
      </c>
      <c r="E427" s="5">
        <v>6.99</v>
      </c>
      <c r="F427" s="4" t="s">
        <v>1244</v>
      </c>
      <c r="G427" s="2" t="s">
        <v>41</v>
      </c>
      <c r="H427" s="7" t="s">
        <v>442</v>
      </c>
      <c r="I427" s="2" t="s">
        <v>483</v>
      </c>
      <c r="J427" s="2" t="s">
        <v>536</v>
      </c>
      <c r="K427" s="2" t="s">
        <v>304</v>
      </c>
      <c r="L427" s="2" t="s">
        <v>38</v>
      </c>
      <c r="M427" s="8" t="str">
        <f>HYPERLINK("http://slimages.macys.com/is/image/MCY/13987599 ")</f>
        <v xml:space="preserve">http://slimages.macys.com/is/image/MCY/13987599 </v>
      </c>
    </row>
    <row r="428" spans="1:13" ht="60" x14ac:dyDescent="0.25">
      <c r="A428" s="7" t="s">
        <v>7165</v>
      </c>
      <c r="B428" s="2" t="s">
        <v>1246</v>
      </c>
      <c r="C428" s="4">
        <v>1</v>
      </c>
      <c r="D428" s="5">
        <v>2.62</v>
      </c>
      <c r="E428" s="5">
        <v>6.99</v>
      </c>
      <c r="F428" s="4" t="s">
        <v>1247</v>
      </c>
      <c r="G428" s="2" t="s">
        <v>41</v>
      </c>
      <c r="H428" s="7" t="s">
        <v>590</v>
      </c>
      <c r="I428" s="2" t="s">
        <v>483</v>
      </c>
      <c r="J428" s="2" t="s">
        <v>536</v>
      </c>
      <c r="K428" s="2" t="s">
        <v>304</v>
      </c>
      <c r="L428" s="2" t="s">
        <v>100</v>
      </c>
      <c r="M428" s="8" t="str">
        <f>HYPERLINK("http://slimages.macys.com/is/image/MCY/13337544 ")</f>
        <v xml:space="preserve">http://slimages.macys.com/is/image/MCY/13337544 </v>
      </c>
    </row>
    <row r="429" spans="1:13" ht="60" x14ac:dyDescent="0.25">
      <c r="A429" s="7" t="s">
        <v>6506</v>
      </c>
      <c r="B429" s="2" t="s">
        <v>6507</v>
      </c>
      <c r="C429" s="4">
        <v>2</v>
      </c>
      <c r="D429" s="5">
        <v>2.62</v>
      </c>
      <c r="E429" s="5">
        <v>7.99</v>
      </c>
      <c r="F429" s="4" t="s">
        <v>6508</v>
      </c>
      <c r="G429" s="2" t="s">
        <v>28</v>
      </c>
      <c r="H429" s="7" t="s">
        <v>578</v>
      </c>
      <c r="I429" s="2" t="s">
        <v>483</v>
      </c>
      <c r="J429" s="2" t="s">
        <v>536</v>
      </c>
      <c r="K429" s="2" t="s">
        <v>304</v>
      </c>
      <c r="L429" s="2" t="s">
        <v>38</v>
      </c>
      <c r="M429" s="8" t="str">
        <f>HYPERLINK("http://slimages.macys.com/is/image/MCY/13987609 ")</f>
        <v xml:space="preserve">http://slimages.macys.com/is/image/MCY/13987609 </v>
      </c>
    </row>
    <row r="430" spans="1:13" ht="60" x14ac:dyDescent="0.25">
      <c r="A430" s="7" t="s">
        <v>7166</v>
      </c>
      <c r="B430" s="2" t="s">
        <v>1243</v>
      </c>
      <c r="C430" s="4">
        <v>8</v>
      </c>
      <c r="D430" s="5">
        <v>2.62</v>
      </c>
      <c r="E430" s="5">
        <v>6.99</v>
      </c>
      <c r="F430" s="4" t="s">
        <v>1244</v>
      </c>
      <c r="G430" s="2" t="s">
        <v>41</v>
      </c>
      <c r="H430" s="7" t="s">
        <v>42</v>
      </c>
      <c r="I430" s="2" t="s">
        <v>483</v>
      </c>
      <c r="J430" s="2" t="s">
        <v>536</v>
      </c>
      <c r="K430" s="2" t="s">
        <v>304</v>
      </c>
      <c r="L430" s="2" t="s">
        <v>38</v>
      </c>
      <c r="M430" s="8" t="str">
        <f>HYPERLINK("http://slimages.macys.com/is/image/MCY/13987599 ")</f>
        <v xml:space="preserve">http://slimages.macys.com/is/image/MCY/13987599 </v>
      </c>
    </row>
    <row r="431" spans="1:13" ht="60" x14ac:dyDescent="0.25">
      <c r="A431" s="7" t="s">
        <v>1242</v>
      </c>
      <c r="B431" s="2" t="s">
        <v>1243</v>
      </c>
      <c r="C431" s="4">
        <v>2</v>
      </c>
      <c r="D431" s="5">
        <v>2.62</v>
      </c>
      <c r="E431" s="5">
        <v>6.99</v>
      </c>
      <c r="F431" s="4" t="s">
        <v>1244</v>
      </c>
      <c r="G431" s="2" t="s">
        <v>41</v>
      </c>
      <c r="H431" s="7" t="s">
        <v>149</v>
      </c>
      <c r="I431" s="2" t="s">
        <v>483</v>
      </c>
      <c r="J431" s="2" t="s">
        <v>536</v>
      </c>
      <c r="K431" s="2" t="s">
        <v>304</v>
      </c>
      <c r="L431" s="2" t="s">
        <v>38</v>
      </c>
      <c r="M431" s="8" t="str">
        <f>HYPERLINK("http://slimages.macys.com/is/image/MCY/13987599 ")</f>
        <v xml:space="preserve">http://slimages.macys.com/is/image/MCY/13987599 </v>
      </c>
    </row>
    <row r="432" spans="1:13" ht="60" x14ac:dyDescent="0.25">
      <c r="A432" s="7" t="s">
        <v>6036</v>
      </c>
      <c r="B432" s="2" t="s">
        <v>1246</v>
      </c>
      <c r="C432" s="4">
        <v>2</v>
      </c>
      <c r="D432" s="5">
        <v>2.62</v>
      </c>
      <c r="E432" s="5">
        <v>6.99</v>
      </c>
      <c r="F432" s="4" t="s">
        <v>1247</v>
      </c>
      <c r="G432" s="2" t="s">
        <v>41</v>
      </c>
      <c r="H432" s="7" t="s">
        <v>42</v>
      </c>
      <c r="I432" s="2" t="s">
        <v>483</v>
      </c>
      <c r="J432" s="2" t="s">
        <v>536</v>
      </c>
      <c r="K432" s="2" t="s">
        <v>304</v>
      </c>
      <c r="L432" s="2" t="s">
        <v>100</v>
      </c>
      <c r="M432" s="8" t="str">
        <f>HYPERLINK("http://slimages.macys.com/is/image/MCY/13337544 ")</f>
        <v xml:space="preserve">http://slimages.macys.com/is/image/MCY/13337544 </v>
      </c>
    </row>
    <row r="433" spans="1:13" ht="60" x14ac:dyDescent="0.25">
      <c r="A433" s="7" t="s">
        <v>7167</v>
      </c>
      <c r="B433" s="2" t="s">
        <v>7168</v>
      </c>
      <c r="C433" s="4">
        <v>1</v>
      </c>
      <c r="D433" s="5">
        <v>2.62</v>
      </c>
      <c r="E433" s="5">
        <v>6.99</v>
      </c>
      <c r="F433" s="4" t="s">
        <v>7169</v>
      </c>
      <c r="G433" s="2" t="s">
        <v>36</v>
      </c>
      <c r="H433" s="7" t="s">
        <v>149</v>
      </c>
      <c r="I433" s="2" t="s">
        <v>483</v>
      </c>
      <c r="J433" s="2" t="s">
        <v>536</v>
      </c>
      <c r="K433" s="2" t="s">
        <v>304</v>
      </c>
      <c r="L433" s="2" t="s">
        <v>100</v>
      </c>
      <c r="M433" s="8" t="str">
        <f>HYPERLINK("http://slimages.macys.com/is/image/MCY/11258891 ")</f>
        <v xml:space="preserve">http://slimages.macys.com/is/image/MCY/11258891 </v>
      </c>
    </row>
    <row r="434" spans="1:13" ht="60" x14ac:dyDescent="0.25">
      <c r="A434" s="7" t="s">
        <v>7170</v>
      </c>
      <c r="B434" s="2" t="s">
        <v>2261</v>
      </c>
      <c r="C434" s="4">
        <v>1</v>
      </c>
      <c r="D434" s="5">
        <v>2.62</v>
      </c>
      <c r="E434" s="5">
        <v>5.99</v>
      </c>
      <c r="F434" s="4" t="s">
        <v>2262</v>
      </c>
      <c r="G434" s="2" t="s">
        <v>858</v>
      </c>
      <c r="H434" s="7" t="s">
        <v>590</v>
      </c>
      <c r="I434" s="2" t="s">
        <v>483</v>
      </c>
      <c r="J434" s="2" t="s">
        <v>536</v>
      </c>
      <c r="K434" s="2" t="s">
        <v>304</v>
      </c>
      <c r="L434" s="2" t="s">
        <v>119</v>
      </c>
      <c r="M434" s="8" t="str">
        <f>HYPERLINK("http://slimages.macys.com/is/image/MCY/12644569 ")</f>
        <v xml:space="preserve">http://slimages.macys.com/is/image/MCY/12644569 </v>
      </c>
    </row>
    <row r="435" spans="1:13" ht="60" x14ac:dyDescent="0.25">
      <c r="A435" s="7" t="s">
        <v>6509</v>
      </c>
      <c r="B435" s="2" t="s">
        <v>6507</v>
      </c>
      <c r="C435" s="4">
        <v>3</v>
      </c>
      <c r="D435" s="5">
        <v>2.62</v>
      </c>
      <c r="E435" s="5">
        <v>7.99</v>
      </c>
      <c r="F435" s="4" t="s">
        <v>6508</v>
      </c>
      <c r="G435" s="2" t="s">
        <v>28</v>
      </c>
      <c r="H435" s="7" t="s">
        <v>1151</v>
      </c>
      <c r="I435" s="2" t="s">
        <v>483</v>
      </c>
      <c r="J435" s="2" t="s">
        <v>536</v>
      </c>
      <c r="K435" s="2" t="s">
        <v>304</v>
      </c>
      <c r="L435" s="2" t="s">
        <v>38</v>
      </c>
      <c r="M435" s="8" t="str">
        <f>HYPERLINK("http://slimages.macys.com/is/image/MCY/13987609 ")</f>
        <v xml:space="preserve">http://slimages.macys.com/is/image/MCY/13987609 </v>
      </c>
    </row>
    <row r="436" spans="1:13" ht="60" x14ac:dyDescent="0.25">
      <c r="A436" s="7" t="s">
        <v>6035</v>
      </c>
      <c r="B436" s="2" t="s">
        <v>1246</v>
      </c>
      <c r="C436" s="4">
        <v>2</v>
      </c>
      <c r="D436" s="5">
        <v>2.62</v>
      </c>
      <c r="E436" s="5">
        <v>6.99</v>
      </c>
      <c r="F436" s="4" t="s">
        <v>1247</v>
      </c>
      <c r="G436" s="2" t="s">
        <v>41</v>
      </c>
      <c r="H436" s="7" t="s">
        <v>442</v>
      </c>
      <c r="I436" s="2" t="s">
        <v>483</v>
      </c>
      <c r="J436" s="2" t="s">
        <v>536</v>
      </c>
      <c r="K436" s="2" t="s">
        <v>304</v>
      </c>
      <c r="L436" s="2" t="s">
        <v>100</v>
      </c>
      <c r="M436" s="8" t="str">
        <f>HYPERLINK("http://slimages.macys.com/is/image/MCY/13337544 ")</f>
        <v xml:space="preserve">http://slimages.macys.com/is/image/MCY/13337544 </v>
      </c>
    </row>
    <row r="437" spans="1:13" ht="60" x14ac:dyDescent="0.25">
      <c r="A437" s="7" t="s">
        <v>2270</v>
      </c>
      <c r="B437" s="2" t="s">
        <v>2271</v>
      </c>
      <c r="C437" s="4">
        <v>1</v>
      </c>
      <c r="D437" s="5">
        <v>2.61</v>
      </c>
      <c r="E437" s="5">
        <v>6.99</v>
      </c>
      <c r="F437" s="4" t="s">
        <v>2272</v>
      </c>
      <c r="G437" s="2" t="s">
        <v>1147</v>
      </c>
      <c r="H437" s="7" t="s">
        <v>590</v>
      </c>
      <c r="I437" s="2" t="s">
        <v>483</v>
      </c>
      <c r="J437" s="2" t="s">
        <v>536</v>
      </c>
      <c r="K437" s="2" t="s">
        <v>304</v>
      </c>
      <c r="L437" s="2" t="s">
        <v>38</v>
      </c>
      <c r="M437" s="8" t="str">
        <f>HYPERLINK("http://slimages.macys.com/is/image/MCY/13987297 ")</f>
        <v xml:space="preserve">http://slimages.macys.com/is/image/MCY/13987297 </v>
      </c>
    </row>
    <row r="438" spans="1:13" ht="60" x14ac:dyDescent="0.25">
      <c r="A438" s="7" t="s">
        <v>7171</v>
      </c>
      <c r="B438" s="2" t="s">
        <v>7172</v>
      </c>
      <c r="C438" s="4">
        <v>1</v>
      </c>
      <c r="D438" s="5">
        <v>2.61</v>
      </c>
      <c r="E438" s="5">
        <v>7.99</v>
      </c>
      <c r="F438" s="4" t="s">
        <v>7173</v>
      </c>
      <c r="G438" s="2" t="s">
        <v>41</v>
      </c>
      <c r="H438" s="7" t="s">
        <v>578</v>
      </c>
      <c r="I438" s="2" t="s">
        <v>483</v>
      </c>
      <c r="J438" s="2" t="s">
        <v>536</v>
      </c>
      <c r="K438" s="2" t="s">
        <v>304</v>
      </c>
      <c r="L438" s="2" t="s">
        <v>38</v>
      </c>
      <c r="M438" s="8" t="str">
        <f>HYPERLINK("http://slimages.macys.com/is/image/MCY/13987622 ")</f>
        <v xml:space="preserve">http://slimages.macys.com/is/image/MCY/13987622 </v>
      </c>
    </row>
    <row r="439" spans="1:13" ht="60" x14ac:dyDescent="0.25">
      <c r="A439" s="7" t="s">
        <v>7174</v>
      </c>
      <c r="B439" s="2" t="s">
        <v>2276</v>
      </c>
      <c r="C439" s="4">
        <v>1</v>
      </c>
      <c r="D439" s="5">
        <v>2.61</v>
      </c>
      <c r="E439" s="5">
        <v>6.99</v>
      </c>
      <c r="F439" s="4" t="s">
        <v>2277</v>
      </c>
      <c r="G439" s="2" t="s">
        <v>527</v>
      </c>
      <c r="H439" s="7" t="s">
        <v>590</v>
      </c>
      <c r="I439" s="2" t="s">
        <v>483</v>
      </c>
      <c r="J439" s="2" t="s">
        <v>536</v>
      </c>
      <c r="K439" s="2" t="s">
        <v>304</v>
      </c>
      <c r="L439" s="2" t="s">
        <v>206</v>
      </c>
      <c r="M439" s="8" t="str">
        <f>HYPERLINK("http://slimages.macys.com/is/image/MCY/13336562 ")</f>
        <v xml:space="preserve">http://slimages.macys.com/is/image/MCY/13336562 </v>
      </c>
    </row>
    <row r="440" spans="1:13" ht="60" x14ac:dyDescent="0.25">
      <c r="A440" s="7" t="s">
        <v>7175</v>
      </c>
      <c r="B440" s="2" t="s">
        <v>7172</v>
      </c>
      <c r="C440" s="4">
        <v>1</v>
      </c>
      <c r="D440" s="5">
        <v>2.61</v>
      </c>
      <c r="E440" s="5">
        <v>7.99</v>
      </c>
      <c r="F440" s="4" t="s">
        <v>7173</v>
      </c>
      <c r="G440" s="2" t="s">
        <v>41</v>
      </c>
      <c r="H440" s="7" t="s">
        <v>1151</v>
      </c>
      <c r="I440" s="2" t="s">
        <v>483</v>
      </c>
      <c r="J440" s="2" t="s">
        <v>536</v>
      </c>
      <c r="K440" s="2" t="s">
        <v>304</v>
      </c>
      <c r="L440" s="2" t="s">
        <v>38</v>
      </c>
      <c r="M440" s="8" t="str">
        <f>HYPERLINK("http://slimages.macys.com/is/image/MCY/13987622 ")</f>
        <v xml:space="preserve">http://slimages.macys.com/is/image/MCY/13987622 </v>
      </c>
    </row>
    <row r="441" spans="1:13" ht="60" x14ac:dyDescent="0.25">
      <c r="A441" s="7" t="s">
        <v>7176</v>
      </c>
      <c r="B441" s="2" t="s">
        <v>7172</v>
      </c>
      <c r="C441" s="4">
        <v>3</v>
      </c>
      <c r="D441" s="5">
        <v>2.61</v>
      </c>
      <c r="E441" s="5">
        <v>7.99</v>
      </c>
      <c r="F441" s="4" t="s">
        <v>7173</v>
      </c>
      <c r="G441" s="2" t="s">
        <v>41</v>
      </c>
      <c r="H441" s="7" t="s">
        <v>514</v>
      </c>
      <c r="I441" s="2" t="s">
        <v>483</v>
      </c>
      <c r="J441" s="2" t="s">
        <v>536</v>
      </c>
      <c r="K441" s="2" t="s">
        <v>304</v>
      </c>
      <c r="L441" s="2" t="s">
        <v>38</v>
      </c>
      <c r="M441" s="8" t="str">
        <f>HYPERLINK("http://slimages.macys.com/is/image/MCY/13987622 ")</f>
        <v xml:space="preserve">http://slimages.macys.com/is/image/MCY/13987622 </v>
      </c>
    </row>
    <row r="442" spans="1:13" ht="60" x14ac:dyDescent="0.25">
      <c r="A442" s="7" t="s">
        <v>7177</v>
      </c>
      <c r="B442" s="2" t="s">
        <v>7178</v>
      </c>
      <c r="C442" s="4">
        <v>3</v>
      </c>
      <c r="D442" s="5">
        <v>2.61</v>
      </c>
      <c r="E442" s="5">
        <v>7.99</v>
      </c>
      <c r="F442" s="4" t="s">
        <v>7179</v>
      </c>
      <c r="G442" s="2" t="s">
        <v>28</v>
      </c>
      <c r="H442" s="7" t="s">
        <v>514</v>
      </c>
      <c r="I442" s="2" t="s">
        <v>483</v>
      </c>
      <c r="J442" s="2" t="s">
        <v>536</v>
      </c>
      <c r="K442" s="2" t="s">
        <v>304</v>
      </c>
      <c r="L442" s="2" t="s">
        <v>119</v>
      </c>
      <c r="M442" s="8" t="str">
        <f>HYPERLINK("http://slimages.macys.com/is/image/MCY/13987620 ")</f>
        <v xml:space="preserve">http://slimages.macys.com/is/image/MCY/13987620 </v>
      </c>
    </row>
    <row r="443" spans="1:13" ht="60" x14ac:dyDescent="0.25">
      <c r="A443" s="7" t="s">
        <v>7180</v>
      </c>
      <c r="B443" s="2" t="s">
        <v>7178</v>
      </c>
      <c r="C443" s="4">
        <v>3</v>
      </c>
      <c r="D443" s="5">
        <v>2.61</v>
      </c>
      <c r="E443" s="5">
        <v>7.99</v>
      </c>
      <c r="F443" s="4" t="s">
        <v>7179</v>
      </c>
      <c r="G443" s="2" t="s">
        <v>28</v>
      </c>
      <c r="H443" s="7" t="s">
        <v>1151</v>
      </c>
      <c r="I443" s="2" t="s">
        <v>483</v>
      </c>
      <c r="J443" s="2" t="s">
        <v>536</v>
      </c>
      <c r="K443" s="2" t="s">
        <v>304</v>
      </c>
      <c r="L443" s="2" t="s">
        <v>119</v>
      </c>
      <c r="M443" s="8" t="str">
        <f>HYPERLINK("http://slimages.macys.com/is/image/MCY/13987620 ")</f>
        <v xml:space="preserve">http://slimages.macys.com/is/image/MCY/13987620 </v>
      </c>
    </row>
    <row r="444" spans="1:13" ht="60" x14ac:dyDescent="0.25">
      <c r="A444" s="7" t="s">
        <v>5082</v>
      </c>
      <c r="B444" s="2" t="s">
        <v>2276</v>
      </c>
      <c r="C444" s="4">
        <v>1</v>
      </c>
      <c r="D444" s="5">
        <v>2.61</v>
      </c>
      <c r="E444" s="5">
        <v>6.99</v>
      </c>
      <c r="F444" s="4" t="s">
        <v>2277</v>
      </c>
      <c r="G444" s="2" t="s">
        <v>527</v>
      </c>
      <c r="H444" s="7" t="s">
        <v>149</v>
      </c>
      <c r="I444" s="2" t="s">
        <v>483</v>
      </c>
      <c r="J444" s="2" t="s">
        <v>536</v>
      </c>
      <c r="K444" s="2" t="s">
        <v>304</v>
      </c>
      <c r="L444" s="2" t="s">
        <v>206</v>
      </c>
      <c r="M444" s="8" t="str">
        <f>HYPERLINK("http://slimages.macys.com/is/image/MCY/13336562 ")</f>
        <v xml:space="preserve">http://slimages.macys.com/is/image/MCY/13336562 </v>
      </c>
    </row>
    <row r="445" spans="1:13" ht="60" x14ac:dyDescent="0.25">
      <c r="A445" s="7" t="s">
        <v>2274</v>
      </c>
      <c r="B445" s="2" t="s">
        <v>1253</v>
      </c>
      <c r="C445" s="4">
        <v>1</v>
      </c>
      <c r="D445" s="5">
        <v>2.61</v>
      </c>
      <c r="E445" s="5">
        <v>6.99</v>
      </c>
      <c r="F445" s="4" t="s">
        <v>1254</v>
      </c>
      <c r="G445" s="2" t="s">
        <v>171</v>
      </c>
      <c r="H445" s="7" t="s">
        <v>590</v>
      </c>
      <c r="I445" s="2" t="s">
        <v>483</v>
      </c>
      <c r="J445" s="2" t="s">
        <v>536</v>
      </c>
      <c r="K445" s="2" t="s">
        <v>304</v>
      </c>
      <c r="L445" s="2" t="s">
        <v>38</v>
      </c>
      <c r="M445" s="8" t="str">
        <f>HYPERLINK("http://slimages.macys.com/is/image/MCY/13987491 ")</f>
        <v xml:space="preserve">http://slimages.macys.com/is/image/MCY/13987491 </v>
      </c>
    </row>
    <row r="446" spans="1:13" ht="60" x14ac:dyDescent="0.25">
      <c r="A446" s="7" t="s">
        <v>2273</v>
      </c>
      <c r="B446" s="2" t="s">
        <v>1253</v>
      </c>
      <c r="C446" s="4">
        <v>2</v>
      </c>
      <c r="D446" s="5">
        <v>2.61</v>
      </c>
      <c r="E446" s="5">
        <v>6.99</v>
      </c>
      <c r="F446" s="4" t="s">
        <v>1254</v>
      </c>
      <c r="G446" s="2" t="s">
        <v>171</v>
      </c>
      <c r="H446" s="7" t="s">
        <v>442</v>
      </c>
      <c r="I446" s="2" t="s">
        <v>483</v>
      </c>
      <c r="J446" s="2" t="s">
        <v>536</v>
      </c>
      <c r="K446" s="2" t="s">
        <v>304</v>
      </c>
      <c r="L446" s="2" t="s">
        <v>38</v>
      </c>
      <c r="M446" s="8" t="str">
        <f>HYPERLINK("http://slimages.macys.com/is/image/MCY/13987491 ")</f>
        <v xml:space="preserve">http://slimages.macys.com/is/image/MCY/13987491 </v>
      </c>
    </row>
    <row r="447" spans="1:13" ht="60" x14ac:dyDescent="0.25">
      <c r="A447" s="7" t="s">
        <v>1252</v>
      </c>
      <c r="B447" s="2" t="s">
        <v>1253</v>
      </c>
      <c r="C447" s="4">
        <v>1</v>
      </c>
      <c r="D447" s="5">
        <v>2.61</v>
      </c>
      <c r="E447" s="5">
        <v>6.99</v>
      </c>
      <c r="F447" s="4" t="s">
        <v>1254</v>
      </c>
      <c r="G447" s="2" t="s">
        <v>171</v>
      </c>
      <c r="H447" s="7" t="s">
        <v>149</v>
      </c>
      <c r="I447" s="2" t="s">
        <v>483</v>
      </c>
      <c r="J447" s="2" t="s">
        <v>536</v>
      </c>
      <c r="K447" s="2" t="s">
        <v>304</v>
      </c>
      <c r="L447" s="2" t="s">
        <v>38</v>
      </c>
      <c r="M447" s="8" t="str">
        <f>HYPERLINK("http://slimages.macys.com/is/image/MCY/13987491 ")</f>
        <v xml:space="preserve">http://slimages.macys.com/is/image/MCY/13987491 </v>
      </c>
    </row>
    <row r="448" spans="1:13" ht="60" x14ac:dyDescent="0.25">
      <c r="A448" s="7" t="s">
        <v>7181</v>
      </c>
      <c r="B448" s="2" t="s">
        <v>1253</v>
      </c>
      <c r="C448" s="4">
        <v>2</v>
      </c>
      <c r="D448" s="5">
        <v>2.61</v>
      </c>
      <c r="E448" s="5">
        <v>6.99</v>
      </c>
      <c r="F448" s="4" t="s">
        <v>1254</v>
      </c>
      <c r="G448" s="2" t="s">
        <v>171</v>
      </c>
      <c r="H448" s="7" t="s">
        <v>482</v>
      </c>
      <c r="I448" s="2" t="s">
        <v>483</v>
      </c>
      <c r="J448" s="2" t="s">
        <v>536</v>
      </c>
      <c r="K448" s="2" t="s">
        <v>304</v>
      </c>
      <c r="L448" s="2" t="s">
        <v>38</v>
      </c>
      <c r="M448" s="8" t="str">
        <f>HYPERLINK("http://slimages.macys.com/is/image/MCY/13987491 ")</f>
        <v xml:space="preserve">http://slimages.macys.com/is/image/MCY/13987491 </v>
      </c>
    </row>
    <row r="449" spans="1:13" ht="60" x14ac:dyDescent="0.25">
      <c r="A449" s="7" t="s">
        <v>7182</v>
      </c>
      <c r="B449" s="2" t="s">
        <v>7183</v>
      </c>
      <c r="C449" s="4">
        <v>1</v>
      </c>
      <c r="D449" s="5">
        <v>2.58</v>
      </c>
      <c r="E449" s="5">
        <v>7.99</v>
      </c>
      <c r="F449" s="4" t="s">
        <v>7184</v>
      </c>
      <c r="G449" s="2" t="s">
        <v>129</v>
      </c>
      <c r="H449" s="7" t="s">
        <v>578</v>
      </c>
      <c r="I449" s="2" t="s">
        <v>483</v>
      </c>
      <c r="J449" s="2" t="s">
        <v>536</v>
      </c>
      <c r="K449" s="2" t="s">
        <v>304</v>
      </c>
      <c r="L449" s="2" t="s">
        <v>38</v>
      </c>
      <c r="M449" s="8" t="str">
        <f>HYPERLINK("http://slimages.macys.com/is/image/MCY/13987618 ")</f>
        <v xml:space="preserve">http://slimages.macys.com/is/image/MCY/13987618 </v>
      </c>
    </row>
    <row r="450" spans="1:13" ht="60" x14ac:dyDescent="0.25">
      <c r="A450" s="7" t="s">
        <v>7185</v>
      </c>
      <c r="B450" s="2" t="s">
        <v>7183</v>
      </c>
      <c r="C450" s="4">
        <v>1</v>
      </c>
      <c r="D450" s="5">
        <v>2.58</v>
      </c>
      <c r="E450" s="5">
        <v>7.99</v>
      </c>
      <c r="F450" s="4" t="s">
        <v>7184</v>
      </c>
      <c r="G450" s="2" t="s">
        <v>129</v>
      </c>
      <c r="H450" s="7" t="s">
        <v>1151</v>
      </c>
      <c r="I450" s="2" t="s">
        <v>483</v>
      </c>
      <c r="J450" s="2" t="s">
        <v>536</v>
      </c>
      <c r="K450" s="2" t="s">
        <v>304</v>
      </c>
      <c r="L450" s="2" t="s">
        <v>38</v>
      </c>
      <c r="M450" s="8" t="str">
        <f>HYPERLINK("http://slimages.macys.com/is/image/MCY/13987618 ")</f>
        <v xml:space="preserve">http://slimages.macys.com/is/image/MCY/13987618 </v>
      </c>
    </row>
    <row r="451" spans="1:13" ht="60" x14ac:dyDescent="0.25">
      <c r="A451" s="7" t="s">
        <v>7186</v>
      </c>
      <c r="B451" s="2" t="s">
        <v>7183</v>
      </c>
      <c r="C451" s="4">
        <v>1</v>
      </c>
      <c r="D451" s="5">
        <v>2.58</v>
      </c>
      <c r="E451" s="5">
        <v>7.99</v>
      </c>
      <c r="F451" s="4" t="s">
        <v>7184</v>
      </c>
      <c r="G451" s="2" t="s">
        <v>129</v>
      </c>
      <c r="H451" s="7" t="s">
        <v>514</v>
      </c>
      <c r="I451" s="2" t="s">
        <v>483</v>
      </c>
      <c r="J451" s="2" t="s">
        <v>536</v>
      </c>
      <c r="K451" s="2" t="s">
        <v>304</v>
      </c>
      <c r="L451" s="2" t="s">
        <v>38</v>
      </c>
      <c r="M451" s="8" t="str">
        <f>HYPERLINK("http://slimages.macys.com/is/image/MCY/13987618 ")</f>
        <v xml:space="preserve">http://slimages.macys.com/is/image/MCY/13987618 </v>
      </c>
    </row>
    <row r="452" spans="1:13" ht="60" x14ac:dyDescent="0.25">
      <c r="A452" s="7" t="s">
        <v>7187</v>
      </c>
      <c r="B452" s="2" t="s">
        <v>6032</v>
      </c>
      <c r="C452" s="4">
        <v>1</v>
      </c>
      <c r="D452" s="5">
        <v>2.57</v>
      </c>
      <c r="E452" s="5">
        <v>6.99</v>
      </c>
      <c r="F452" s="4" t="s">
        <v>6033</v>
      </c>
      <c r="G452" s="2" t="s">
        <v>171</v>
      </c>
      <c r="H452" s="7" t="s">
        <v>91</v>
      </c>
      <c r="I452" s="2" t="s">
        <v>483</v>
      </c>
      <c r="J452" s="2" t="s">
        <v>536</v>
      </c>
      <c r="K452" s="2" t="s">
        <v>304</v>
      </c>
      <c r="L452" s="2" t="s">
        <v>100</v>
      </c>
      <c r="M452" s="8" t="str">
        <f>HYPERLINK("http://slimages.macys.com/is/image/MCY/11378313 ")</f>
        <v xml:space="preserve">http://slimages.macys.com/is/image/MCY/11378313 </v>
      </c>
    </row>
    <row r="453" spans="1:13" ht="60" x14ac:dyDescent="0.25">
      <c r="A453" s="7" t="s">
        <v>6044</v>
      </c>
      <c r="B453" s="2" t="s">
        <v>6032</v>
      </c>
      <c r="C453" s="4">
        <v>2</v>
      </c>
      <c r="D453" s="5">
        <v>2.57</v>
      </c>
      <c r="E453" s="5">
        <v>6.99</v>
      </c>
      <c r="F453" s="4" t="s">
        <v>6033</v>
      </c>
      <c r="G453" s="2" t="s">
        <v>297</v>
      </c>
      <c r="H453" s="7" t="s">
        <v>590</v>
      </c>
      <c r="I453" s="2" t="s">
        <v>483</v>
      </c>
      <c r="J453" s="2" t="s">
        <v>536</v>
      </c>
      <c r="K453" s="2" t="s">
        <v>304</v>
      </c>
      <c r="L453" s="2" t="s">
        <v>100</v>
      </c>
      <c r="M453" s="8" t="str">
        <f>HYPERLINK("http://slimages.macys.com/is/image/MCY/11378313 ")</f>
        <v xml:space="preserve">http://slimages.macys.com/is/image/MCY/11378313 </v>
      </c>
    </row>
    <row r="454" spans="1:13" ht="60" x14ac:dyDescent="0.25">
      <c r="A454" s="7" t="s">
        <v>7188</v>
      </c>
      <c r="B454" s="2" t="s">
        <v>1260</v>
      </c>
      <c r="C454" s="4">
        <v>1</v>
      </c>
      <c r="D454" s="5">
        <v>2.56</v>
      </c>
      <c r="E454" s="5">
        <v>6.99</v>
      </c>
      <c r="F454" s="4" t="s">
        <v>1261</v>
      </c>
      <c r="G454" s="2" t="s">
        <v>2107</v>
      </c>
      <c r="H454" s="7" t="s">
        <v>42</v>
      </c>
      <c r="I454" s="2" t="s">
        <v>483</v>
      </c>
      <c r="J454" s="2" t="s">
        <v>536</v>
      </c>
      <c r="K454" s="2" t="s">
        <v>304</v>
      </c>
      <c r="L454" s="2" t="s">
        <v>100</v>
      </c>
      <c r="M454" s="8" t="str">
        <f>HYPERLINK("http://slimages.macys.com/is/image/MCY/11779082 ")</f>
        <v xml:space="preserve">http://slimages.macys.com/is/image/MCY/11779082 </v>
      </c>
    </row>
    <row r="455" spans="1:13" ht="84" x14ac:dyDescent="0.25">
      <c r="A455" s="7" t="s">
        <v>4540</v>
      </c>
      <c r="B455" s="2" t="s">
        <v>4538</v>
      </c>
      <c r="C455" s="4">
        <v>2</v>
      </c>
      <c r="D455" s="5">
        <v>2.5499999999999998</v>
      </c>
      <c r="E455" s="5">
        <v>6.99</v>
      </c>
      <c r="F455" s="4" t="s">
        <v>4539</v>
      </c>
      <c r="G455" s="2" t="s">
        <v>1265</v>
      </c>
      <c r="H455" s="7" t="s">
        <v>149</v>
      </c>
      <c r="I455" s="2" t="s">
        <v>483</v>
      </c>
      <c r="J455" s="2" t="s">
        <v>536</v>
      </c>
      <c r="K455" s="2" t="s">
        <v>304</v>
      </c>
      <c r="L455" s="2" t="s">
        <v>1308</v>
      </c>
      <c r="M455" s="8" t="str">
        <f>HYPERLINK("http://slimages.macys.com/is/image/MCY/13987471 ")</f>
        <v xml:space="preserve">http://slimages.macys.com/is/image/MCY/13987471 </v>
      </c>
    </row>
    <row r="456" spans="1:13" ht="96" x14ac:dyDescent="0.25">
      <c r="A456" s="7" t="s">
        <v>7189</v>
      </c>
      <c r="B456" s="2" t="s">
        <v>1263</v>
      </c>
      <c r="C456" s="4">
        <v>1</v>
      </c>
      <c r="D456" s="5">
        <v>2.5499999999999998</v>
      </c>
      <c r="E456" s="5">
        <v>6.99</v>
      </c>
      <c r="F456" s="4" t="s">
        <v>1264</v>
      </c>
      <c r="G456" s="2" t="s">
        <v>1265</v>
      </c>
      <c r="H456" s="7"/>
      <c r="I456" s="2" t="s">
        <v>483</v>
      </c>
      <c r="J456" s="2" t="s">
        <v>536</v>
      </c>
      <c r="K456" s="2" t="s">
        <v>304</v>
      </c>
      <c r="L456" s="2" t="s">
        <v>1266</v>
      </c>
      <c r="M456" s="8" t="str">
        <f>HYPERLINK("http://slimages.macys.com/is/image/MCY/13337503 ")</f>
        <v xml:space="preserve">http://slimages.macys.com/is/image/MCY/13337503 </v>
      </c>
    </row>
    <row r="457" spans="1:13" ht="96" x14ac:dyDescent="0.25">
      <c r="A457" s="7" t="s">
        <v>1267</v>
      </c>
      <c r="B457" s="2" t="s">
        <v>1263</v>
      </c>
      <c r="C457" s="4">
        <v>1</v>
      </c>
      <c r="D457" s="5">
        <v>2.5499999999999998</v>
      </c>
      <c r="E457" s="5">
        <v>6.99</v>
      </c>
      <c r="F457" s="4" t="s">
        <v>1264</v>
      </c>
      <c r="G457" s="2" t="s">
        <v>1265</v>
      </c>
      <c r="H457" s="7" t="s">
        <v>482</v>
      </c>
      <c r="I457" s="2" t="s">
        <v>483</v>
      </c>
      <c r="J457" s="2" t="s">
        <v>536</v>
      </c>
      <c r="K457" s="2" t="s">
        <v>304</v>
      </c>
      <c r="L457" s="2" t="s">
        <v>1266</v>
      </c>
      <c r="M457" s="8" t="str">
        <f>HYPERLINK("http://slimages.macys.com/is/image/MCY/13337503 ")</f>
        <v xml:space="preserve">http://slimages.macys.com/is/image/MCY/13337503 </v>
      </c>
    </row>
    <row r="458" spans="1:13" ht="96" x14ac:dyDescent="0.25">
      <c r="A458" s="7" t="s">
        <v>3518</v>
      </c>
      <c r="B458" s="2" t="s">
        <v>1263</v>
      </c>
      <c r="C458" s="4">
        <v>2</v>
      </c>
      <c r="D458" s="5">
        <v>2.5499999999999998</v>
      </c>
      <c r="E458" s="5">
        <v>6.99</v>
      </c>
      <c r="F458" s="4" t="s">
        <v>1264</v>
      </c>
      <c r="G458" s="2" t="s">
        <v>1265</v>
      </c>
      <c r="H458" s="7" t="s">
        <v>590</v>
      </c>
      <c r="I458" s="2" t="s">
        <v>483</v>
      </c>
      <c r="J458" s="2" t="s">
        <v>536</v>
      </c>
      <c r="K458" s="2" t="s">
        <v>304</v>
      </c>
      <c r="L458" s="2" t="s">
        <v>1266</v>
      </c>
      <c r="M458" s="8" t="str">
        <f>HYPERLINK("http://slimages.macys.com/is/image/MCY/13337503 ")</f>
        <v xml:space="preserve">http://slimages.macys.com/is/image/MCY/13337503 </v>
      </c>
    </row>
    <row r="459" spans="1:13" ht="84" x14ac:dyDescent="0.25">
      <c r="A459" s="7" t="s">
        <v>5705</v>
      </c>
      <c r="B459" s="2" t="s">
        <v>4538</v>
      </c>
      <c r="C459" s="4">
        <v>1</v>
      </c>
      <c r="D459" s="5">
        <v>2.5499999999999998</v>
      </c>
      <c r="E459" s="5">
        <v>6.99</v>
      </c>
      <c r="F459" s="4" t="s">
        <v>4539</v>
      </c>
      <c r="G459" s="2" t="s">
        <v>1265</v>
      </c>
      <c r="H459" s="7" t="s">
        <v>482</v>
      </c>
      <c r="I459" s="2" t="s">
        <v>483</v>
      </c>
      <c r="J459" s="2" t="s">
        <v>536</v>
      </c>
      <c r="K459" s="2" t="s">
        <v>304</v>
      </c>
      <c r="L459" s="2" t="s">
        <v>1308</v>
      </c>
      <c r="M459" s="8" t="str">
        <f>HYPERLINK("http://slimages.macys.com/is/image/MCY/13987471 ")</f>
        <v xml:space="preserve">http://slimages.macys.com/is/image/MCY/13987471 </v>
      </c>
    </row>
    <row r="460" spans="1:13" ht="60" x14ac:dyDescent="0.25">
      <c r="A460" s="7" t="s">
        <v>1271</v>
      </c>
      <c r="B460" s="2" t="s">
        <v>1269</v>
      </c>
      <c r="C460" s="4">
        <v>3</v>
      </c>
      <c r="D460" s="5">
        <v>2.54</v>
      </c>
      <c r="E460" s="5">
        <v>6.99</v>
      </c>
      <c r="F460" s="4" t="s">
        <v>1270</v>
      </c>
      <c r="G460" s="2" t="s">
        <v>41</v>
      </c>
      <c r="H460" s="7" t="s">
        <v>590</v>
      </c>
      <c r="I460" s="2" t="s">
        <v>483</v>
      </c>
      <c r="J460" s="2" t="s">
        <v>536</v>
      </c>
      <c r="K460" s="2" t="s">
        <v>304</v>
      </c>
      <c r="L460" s="2" t="s">
        <v>38</v>
      </c>
      <c r="M460" s="8" t="str">
        <f>HYPERLINK("http://slimages.macys.com/is/image/MCY/13987495 ")</f>
        <v xml:space="preserve">http://slimages.macys.com/is/image/MCY/13987495 </v>
      </c>
    </row>
    <row r="461" spans="1:13" ht="60" x14ac:dyDescent="0.25">
      <c r="A461" s="7" t="s">
        <v>1268</v>
      </c>
      <c r="B461" s="2" t="s">
        <v>1269</v>
      </c>
      <c r="C461" s="4">
        <v>1</v>
      </c>
      <c r="D461" s="5">
        <v>2.54</v>
      </c>
      <c r="E461" s="5">
        <v>6.99</v>
      </c>
      <c r="F461" s="4" t="s">
        <v>1270</v>
      </c>
      <c r="G461" s="2" t="s">
        <v>41</v>
      </c>
      <c r="H461" s="7"/>
      <c r="I461" s="2" t="s">
        <v>483</v>
      </c>
      <c r="J461" s="2" t="s">
        <v>536</v>
      </c>
      <c r="K461" s="2" t="s">
        <v>304</v>
      </c>
      <c r="L461" s="2" t="s">
        <v>38</v>
      </c>
      <c r="M461" s="8" t="str">
        <f>HYPERLINK("http://slimages.macys.com/is/image/MCY/13987495 ")</f>
        <v xml:space="preserve">http://slimages.macys.com/is/image/MCY/13987495 </v>
      </c>
    </row>
    <row r="462" spans="1:13" ht="60" x14ac:dyDescent="0.25">
      <c r="A462" s="7" t="s">
        <v>7190</v>
      </c>
      <c r="B462" s="2" t="s">
        <v>5710</v>
      </c>
      <c r="C462" s="4">
        <v>1</v>
      </c>
      <c r="D462" s="5">
        <v>2.54</v>
      </c>
      <c r="E462" s="5">
        <v>6.99</v>
      </c>
      <c r="F462" s="4">
        <v>10005487500</v>
      </c>
      <c r="G462" s="2" t="s">
        <v>1360</v>
      </c>
      <c r="H462" s="7" t="s">
        <v>482</v>
      </c>
      <c r="I462" s="2" t="s">
        <v>483</v>
      </c>
      <c r="J462" s="2" t="s">
        <v>536</v>
      </c>
      <c r="K462" s="2" t="s">
        <v>304</v>
      </c>
      <c r="L462" s="2" t="s">
        <v>38</v>
      </c>
      <c r="M462" s="8" t="str">
        <f>HYPERLINK("http://slimages.macys.com/is/image/MCY/12466277 ")</f>
        <v xml:space="preserve">http://slimages.macys.com/is/image/MCY/12466277 </v>
      </c>
    </row>
    <row r="463" spans="1:13" ht="60" x14ac:dyDescent="0.25">
      <c r="A463" s="7" t="s">
        <v>6551</v>
      </c>
      <c r="B463" s="2" t="s">
        <v>2722</v>
      </c>
      <c r="C463" s="4">
        <v>1</v>
      </c>
      <c r="D463" s="5">
        <v>2.54</v>
      </c>
      <c r="E463" s="5">
        <v>6.99</v>
      </c>
      <c r="F463" s="4">
        <v>10006317100</v>
      </c>
      <c r="G463" s="2" t="s">
        <v>1302</v>
      </c>
      <c r="H463" s="7"/>
      <c r="I463" s="2" t="s">
        <v>483</v>
      </c>
      <c r="J463" s="2" t="s">
        <v>536</v>
      </c>
      <c r="K463" s="2" t="s">
        <v>304</v>
      </c>
      <c r="L463" s="2" t="s">
        <v>38</v>
      </c>
      <c r="M463" s="8" t="str">
        <f>HYPERLINK("http://slimages.macys.com/is/image/MCY/13987493 ")</f>
        <v xml:space="preserve">http://slimages.macys.com/is/image/MCY/13987493 </v>
      </c>
    </row>
    <row r="464" spans="1:13" ht="60" x14ac:dyDescent="0.25">
      <c r="A464" s="7" t="s">
        <v>2723</v>
      </c>
      <c r="B464" s="2" t="s">
        <v>1269</v>
      </c>
      <c r="C464" s="4">
        <v>1</v>
      </c>
      <c r="D464" s="5">
        <v>2.54</v>
      </c>
      <c r="E464" s="5">
        <v>6.99</v>
      </c>
      <c r="F464" s="4" t="s">
        <v>1270</v>
      </c>
      <c r="G464" s="2" t="s">
        <v>41</v>
      </c>
      <c r="H464" s="7" t="s">
        <v>482</v>
      </c>
      <c r="I464" s="2" t="s">
        <v>483</v>
      </c>
      <c r="J464" s="2" t="s">
        <v>536</v>
      </c>
      <c r="K464" s="2" t="s">
        <v>304</v>
      </c>
      <c r="L464" s="2" t="s">
        <v>38</v>
      </c>
      <c r="M464" s="8" t="str">
        <f>HYPERLINK("http://slimages.macys.com/is/image/MCY/13987495 ")</f>
        <v xml:space="preserve">http://slimages.macys.com/is/image/MCY/13987495 </v>
      </c>
    </row>
    <row r="465" spans="1:13" ht="60" x14ac:dyDescent="0.25">
      <c r="A465" s="7" t="s">
        <v>7191</v>
      </c>
      <c r="B465" s="2" t="s">
        <v>2722</v>
      </c>
      <c r="C465" s="4">
        <v>1</v>
      </c>
      <c r="D465" s="5">
        <v>2.54</v>
      </c>
      <c r="E465" s="5">
        <v>6.99</v>
      </c>
      <c r="F465" s="4">
        <v>10006317100</v>
      </c>
      <c r="G465" s="2" t="s">
        <v>1302</v>
      </c>
      <c r="H465" s="7" t="s">
        <v>482</v>
      </c>
      <c r="I465" s="2" t="s">
        <v>483</v>
      </c>
      <c r="J465" s="2" t="s">
        <v>536</v>
      </c>
      <c r="K465" s="2" t="s">
        <v>304</v>
      </c>
      <c r="L465" s="2" t="s">
        <v>38</v>
      </c>
      <c r="M465" s="8" t="str">
        <f>HYPERLINK("http://slimages.macys.com/is/image/MCY/13987493 ")</f>
        <v xml:space="preserve">http://slimages.macys.com/is/image/MCY/13987493 </v>
      </c>
    </row>
    <row r="466" spans="1:13" ht="60" x14ac:dyDescent="0.25">
      <c r="A466" s="7" t="s">
        <v>7192</v>
      </c>
      <c r="B466" s="2" t="s">
        <v>7193</v>
      </c>
      <c r="C466" s="4">
        <v>1</v>
      </c>
      <c r="D466" s="5">
        <v>2.54</v>
      </c>
      <c r="E466" s="5">
        <v>6.99</v>
      </c>
      <c r="F466" s="4" t="s">
        <v>7194</v>
      </c>
      <c r="G466" s="2" t="s">
        <v>297</v>
      </c>
      <c r="H466" s="7" t="s">
        <v>149</v>
      </c>
      <c r="I466" s="2" t="s">
        <v>483</v>
      </c>
      <c r="J466" s="2" t="s">
        <v>536</v>
      </c>
      <c r="K466" s="2" t="s">
        <v>304</v>
      </c>
      <c r="L466" s="2" t="s">
        <v>206</v>
      </c>
      <c r="M466" s="8" t="str">
        <f>HYPERLINK("http://slimages.macys.com/is/image/MCY/12466227 ")</f>
        <v xml:space="preserve">http://slimages.macys.com/is/image/MCY/12466227 </v>
      </c>
    </row>
    <row r="467" spans="1:13" ht="60" x14ac:dyDescent="0.25">
      <c r="A467" s="7" t="s">
        <v>7195</v>
      </c>
      <c r="B467" s="2" t="s">
        <v>2722</v>
      </c>
      <c r="C467" s="4">
        <v>1</v>
      </c>
      <c r="D467" s="5">
        <v>2.54</v>
      </c>
      <c r="E467" s="5">
        <v>6.99</v>
      </c>
      <c r="F467" s="4">
        <v>10006317100</v>
      </c>
      <c r="G467" s="2" t="s">
        <v>1302</v>
      </c>
      <c r="H467" s="7" t="s">
        <v>590</v>
      </c>
      <c r="I467" s="2" t="s">
        <v>483</v>
      </c>
      <c r="J467" s="2" t="s">
        <v>536</v>
      </c>
      <c r="K467" s="2" t="s">
        <v>304</v>
      </c>
      <c r="L467" s="2" t="s">
        <v>38</v>
      </c>
      <c r="M467" s="8" t="str">
        <f>HYPERLINK("http://slimages.macys.com/is/image/MCY/13987493 ")</f>
        <v xml:space="preserve">http://slimages.macys.com/is/image/MCY/13987493 </v>
      </c>
    </row>
    <row r="468" spans="1:13" ht="60" x14ac:dyDescent="0.25">
      <c r="A468" s="7" t="s">
        <v>7196</v>
      </c>
      <c r="B468" s="2" t="s">
        <v>6549</v>
      </c>
      <c r="C468" s="4">
        <v>1</v>
      </c>
      <c r="D468" s="5">
        <v>2.54</v>
      </c>
      <c r="E468" s="5">
        <v>7.99</v>
      </c>
      <c r="F468" s="4" t="s">
        <v>6550</v>
      </c>
      <c r="G468" s="2" t="s">
        <v>41</v>
      </c>
      <c r="H468" s="7" t="s">
        <v>1151</v>
      </c>
      <c r="I468" s="2" t="s">
        <v>483</v>
      </c>
      <c r="J468" s="2" t="s">
        <v>536</v>
      </c>
      <c r="K468" s="2" t="s">
        <v>304</v>
      </c>
      <c r="L468" s="2" t="s">
        <v>38</v>
      </c>
      <c r="M468" s="8" t="str">
        <f>HYPERLINK("http://slimages.macys.com/is/image/MCY/13987582 ")</f>
        <v xml:space="preserve">http://slimages.macys.com/is/image/MCY/13987582 </v>
      </c>
    </row>
    <row r="469" spans="1:13" ht="60" x14ac:dyDescent="0.25">
      <c r="A469" s="7" t="s">
        <v>2721</v>
      </c>
      <c r="B469" s="2" t="s">
        <v>2722</v>
      </c>
      <c r="C469" s="4">
        <v>2</v>
      </c>
      <c r="D469" s="5">
        <v>2.54</v>
      </c>
      <c r="E469" s="5">
        <v>6.99</v>
      </c>
      <c r="F469" s="4">
        <v>10006317100</v>
      </c>
      <c r="G469" s="2" t="s">
        <v>1302</v>
      </c>
      <c r="H469" s="7" t="s">
        <v>149</v>
      </c>
      <c r="I469" s="2" t="s">
        <v>483</v>
      </c>
      <c r="J469" s="2" t="s">
        <v>536</v>
      </c>
      <c r="K469" s="2" t="s">
        <v>304</v>
      </c>
      <c r="L469" s="2" t="s">
        <v>38</v>
      </c>
      <c r="M469" s="8" t="str">
        <f>HYPERLINK("http://slimages.macys.com/is/image/MCY/13987493 ")</f>
        <v xml:space="preserve">http://slimages.macys.com/is/image/MCY/13987493 </v>
      </c>
    </row>
    <row r="470" spans="1:13" ht="60" x14ac:dyDescent="0.25">
      <c r="A470" s="7" t="s">
        <v>7197</v>
      </c>
      <c r="B470" s="2" t="s">
        <v>1286</v>
      </c>
      <c r="C470" s="4">
        <v>1</v>
      </c>
      <c r="D470" s="5">
        <v>2.5299999999999998</v>
      </c>
      <c r="E470" s="5">
        <v>5.99</v>
      </c>
      <c r="F470" s="4" t="s">
        <v>1287</v>
      </c>
      <c r="G470" s="2" t="s">
        <v>41</v>
      </c>
      <c r="H470" s="7" t="s">
        <v>91</v>
      </c>
      <c r="I470" s="2" t="s">
        <v>483</v>
      </c>
      <c r="J470" s="2" t="s">
        <v>536</v>
      </c>
      <c r="K470" s="2" t="s">
        <v>304</v>
      </c>
      <c r="L470" s="2" t="s">
        <v>38</v>
      </c>
      <c r="M470" s="8" t="str">
        <f>HYPERLINK("http://slimages.macys.com/is/image/MCY/13987272 ")</f>
        <v xml:space="preserve">http://slimages.macys.com/is/image/MCY/13987272 </v>
      </c>
    </row>
    <row r="471" spans="1:13" ht="60" x14ac:dyDescent="0.25">
      <c r="A471" s="7" t="s">
        <v>7198</v>
      </c>
      <c r="B471" s="2" t="s">
        <v>1286</v>
      </c>
      <c r="C471" s="4">
        <v>1</v>
      </c>
      <c r="D471" s="5">
        <v>2.5299999999999998</v>
      </c>
      <c r="E471" s="5">
        <v>5.99</v>
      </c>
      <c r="F471" s="4" t="s">
        <v>1287</v>
      </c>
      <c r="G471" s="2" t="s">
        <v>41</v>
      </c>
      <c r="H471" s="7" t="s">
        <v>590</v>
      </c>
      <c r="I471" s="2" t="s">
        <v>483</v>
      </c>
      <c r="J471" s="2" t="s">
        <v>536</v>
      </c>
      <c r="K471" s="2" t="s">
        <v>304</v>
      </c>
      <c r="L471" s="2" t="s">
        <v>38</v>
      </c>
      <c r="M471" s="8" t="str">
        <f>HYPERLINK("http://slimages.macys.com/is/image/MCY/13987272 ")</f>
        <v xml:space="preserve">http://slimages.macys.com/is/image/MCY/13987272 </v>
      </c>
    </row>
    <row r="472" spans="1:13" ht="60" x14ac:dyDescent="0.25">
      <c r="A472" s="7" t="s">
        <v>6555</v>
      </c>
      <c r="B472" s="2" t="s">
        <v>1283</v>
      </c>
      <c r="C472" s="4">
        <v>1</v>
      </c>
      <c r="D472" s="5">
        <v>2.5299999999999998</v>
      </c>
      <c r="E472" s="5">
        <v>5.99</v>
      </c>
      <c r="F472" s="4" t="s">
        <v>1284</v>
      </c>
      <c r="G472" s="2" t="s">
        <v>41</v>
      </c>
      <c r="H472" s="7" t="s">
        <v>42</v>
      </c>
      <c r="I472" s="2" t="s">
        <v>483</v>
      </c>
      <c r="J472" s="2" t="s">
        <v>536</v>
      </c>
      <c r="K472" s="2" t="s">
        <v>304</v>
      </c>
      <c r="L472" s="2" t="s">
        <v>38</v>
      </c>
      <c r="M472" s="8" t="str">
        <f>HYPERLINK("http://slimages.macys.com/is/image/MCY/13337388 ")</f>
        <v xml:space="preserve">http://slimages.macys.com/is/image/MCY/13337388 </v>
      </c>
    </row>
    <row r="473" spans="1:13" ht="60" x14ac:dyDescent="0.25">
      <c r="A473" s="7" t="s">
        <v>7199</v>
      </c>
      <c r="B473" s="2" t="s">
        <v>1260</v>
      </c>
      <c r="C473" s="4">
        <v>1</v>
      </c>
      <c r="D473" s="5">
        <v>2.5299999999999998</v>
      </c>
      <c r="E473" s="5">
        <v>6.99</v>
      </c>
      <c r="F473" s="4" t="s">
        <v>1261</v>
      </c>
      <c r="G473" s="2" t="s">
        <v>1265</v>
      </c>
      <c r="H473" s="7" t="s">
        <v>590</v>
      </c>
      <c r="I473" s="2" t="s">
        <v>483</v>
      </c>
      <c r="J473" s="2" t="s">
        <v>536</v>
      </c>
      <c r="K473" s="2" t="s">
        <v>304</v>
      </c>
      <c r="L473" s="2" t="s">
        <v>100</v>
      </c>
      <c r="M473" s="8" t="str">
        <f>HYPERLINK("http://slimages.macys.com/is/image/MCY/11779082 ")</f>
        <v xml:space="preserve">http://slimages.macys.com/is/image/MCY/11779082 </v>
      </c>
    </row>
    <row r="474" spans="1:13" ht="60" x14ac:dyDescent="0.25">
      <c r="A474" s="7" t="s">
        <v>7200</v>
      </c>
      <c r="B474" s="2" t="s">
        <v>1286</v>
      </c>
      <c r="C474" s="4">
        <v>4</v>
      </c>
      <c r="D474" s="5">
        <v>2.5299999999999998</v>
      </c>
      <c r="E474" s="5">
        <v>5.99</v>
      </c>
      <c r="F474" s="4" t="s">
        <v>1287</v>
      </c>
      <c r="G474" s="2" t="s">
        <v>41</v>
      </c>
      <c r="H474" s="7" t="s">
        <v>42</v>
      </c>
      <c r="I474" s="2" t="s">
        <v>483</v>
      </c>
      <c r="J474" s="2" t="s">
        <v>536</v>
      </c>
      <c r="K474" s="2" t="s">
        <v>304</v>
      </c>
      <c r="L474" s="2" t="s">
        <v>38</v>
      </c>
      <c r="M474" s="8" t="str">
        <f>HYPERLINK("http://slimages.macys.com/is/image/MCY/13987272 ")</f>
        <v xml:space="preserve">http://slimages.macys.com/is/image/MCY/13987272 </v>
      </c>
    </row>
    <row r="475" spans="1:13" ht="60" x14ac:dyDescent="0.25">
      <c r="A475" s="7" t="s">
        <v>1292</v>
      </c>
      <c r="B475" s="2" t="s">
        <v>1293</v>
      </c>
      <c r="C475" s="4">
        <v>1</v>
      </c>
      <c r="D475" s="5">
        <v>2.52</v>
      </c>
      <c r="E475" s="5">
        <v>6.99</v>
      </c>
      <c r="F475" s="4" t="s">
        <v>1294</v>
      </c>
      <c r="G475" s="2" t="s">
        <v>297</v>
      </c>
      <c r="H475" s="7"/>
      <c r="I475" s="2" t="s">
        <v>483</v>
      </c>
      <c r="J475" s="2" t="s">
        <v>536</v>
      </c>
      <c r="K475" s="2" t="s">
        <v>304</v>
      </c>
      <c r="L475" s="2" t="s">
        <v>100</v>
      </c>
      <c r="M475" s="8" t="str">
        <f>HYPERLINK("http://slimages.macys.com/is/image/MCY/13987466 ")</f>
        <v xml:space="preserve">http://slimages.macys.com/is/image/MCY/13987466 </v>
      </c>
    </row>
    <row r="476" spans="1:13" ht="60" x14ac:dyDescent="0.25">
      <c r="A476" s="7" t="s">
        <v>7201</v>
      </c>
      <c r="B476" s="2" t="s">
        <v>2299</v>
      </c>
      <c r="C476" s="4">
        <v>2</v>
      </c>
      <c r="D476" s="5">
        <v>2.5099999999999998</v>
      </c>
      <c r="E476" s="5">
        <v>5.99</v>
      </c>
      <c r="F476" s="4" t="s">
        <v>2300</v>
      </c>
      <c r="G476" s="2" t="s">
        <v>28</v>
      </c>
      <c r="H476" s="7" t="s">
        <v>590</v>
      </c>
      <c r="I476" s="2" t="s">
        <v>483</v>
      </c>
      <c r="J476" s="2" t="s">
        <v>536</v>
      </c>
      <c r="K476" s="2" t="s">
        <v>304</v>
      </c>
      <c r="L476" s="2" t="s">
        <v>119</v>
      </c>
      <c r="M476" s="8" t="str">
        <f>HYPERLINK("http://slimages.macys.com/is/image/MCY/13987054 ")</f>
        <v xml:space="preserve">http://slimages.macys.com/is/image/MCY/13987054 </v>
      </c>
    </row>
    <row r="477" spans="1:13" ht="60" x14ac:dyDescent="0.25">
      <c r="A477" s="7" t="s">
        <v>6074</v>
      </c>
      <c r="B477" s="2" t="s">
        <v>2295</v>
      </c>
      <c r="C477" s="4">
        <v>1</v>
      </c>
      <c r="D477" s="5">
        <v>2.5099999999999998</v>
      </c>
      <c r="E477" s="5">
        <v>5.99</v>
      </c>
      <c r="F477" s="4" t="s">
        <v>2296</v>
      </c>
      <c r="G477" s="2" t="s">
        <v>28</v>
      </c>
      <c r="H477" s="7" t="s">
        <v>42</v>
      </c>
      <c r="I477" s="2" t="s">
        <v>483</v>
      </c>
      <c r="J477" s="2" t="s">
        <v>536</v>
      </c>
      <c r="K477" s="2" t="s">
        <v>304</v>
      </c>
      <c r="L477" s="2" t="s">
        <v>119</v>
      </c>
      <c r="M477" s="8" t="str">
        <f>HYPERLINK("http://slimages.macys.com/is/image/MCY/11436914 ")</f>
        <v xml:space="preserve">http://slimages.macys.com/is/image/MCY/11436914 </v>
      </c>
    </row>
    <row r="478" spans="1:13" ht="60" x14ac:dyDescent="0.25">
      <c r="A478" s="7" t="s">
        <v>5083</v>
      </c>
      <c r="B478" s="2" t="s">
        <v>3523</v>
      </c>
      <c r="C478" s="4">
        <v>3</v>
      </c>
      <c r="D478" s="5">
        <v>2.5099999999999998</v>
      </c>
      <c r="E478" s="5">
        <v>5.99</v>
      </c>
      <c r="F478" s="4" t="s">
        <v>3524</v>
      </c>
      <c r="G478" s="2" t="s">
        <v>657</v>
      </c>
      <c r="H478" s="7" t="s">
        <v>590</v>
      </c>
      <c r="I478" s="2" t="s">
        <v>483</v>
      </c>
      <c r="J478" s="2" t="s">
        <v>536</v>
      </c>
      <c r="K478" s="2" t="s">
        <v>304</v>
      </c>
      <c r="L478" s="2" t="s">
        <v>119</v>
      </c>
      <c r="M478" s="8" t="str">
        <f>HYPERLINK("http://slimages.macys.com/is/image/MCY/13987476 ")</f>
        <v xml:space="preserve">http://slimages.macys.com/is/image/MCY/13987476 </v>
      </c>
    </row>
    <row r="479" spans="1:13" ht="60" x14ac:dyDescent="0.25">
      <c r="A479" s="7" t="s">
        <v>2298</v>
      </c>
      <c r="B479" s="2" t="s">
        <v>2299</v>
      </c>
      <c r="C479" s="4">
        <v>1</v>
      </c>
      <c r="D479" s="5">
        <v>2.5099999999999998</v>
      </c>
      <c r="E479" s="5">
        <v>5.99</v>
      </c>
      <c r="F479" s="4" t="s">
        <v>2300</v>
      </c>
      <c r="G479" s="2" t="s">
        <v>28</v>
      </c>
      <c r="H479" s="7" t="s">
        <v>42</v>
      </c>
      <c r="I479" s="2" t="s">
        <v>483</v>
      </c>
      <c r="J479" s="2" t="s">
        <v>536</v>
      </c>
      <c r="K479" s="2" t="s">
        <v>304</v>
      </c>
      <c r="L479" s="2" t="s">
        <v>119</v>
      </c>
      <c r="M479" s="8" t="str">
        <f>HYPERLINK("http://slimages.macys.com/is/image/MCY/13987054 ")</f>
        <v xml:space="preserve">http://slimages.macys.com/is/image/MCY/13987054 </v>
      </c>
    </row>
    <row r="480" spans="1:13" ht="60" x14ac:dyDescent="0.25">
      <c r="A480" s="7" t="s">
        <v>7202</v>
      </c>
      <c r="B480" s="2" t="s">
        <v>2299</v>
      </c>
      <c r="C480" s="4">
        <v>2</v>
      </c>
      <c r="D480" s="5">
        <v>2.5099999999999998</v>
      </c>
      <c r="E480" s="5">
        <v>5.99</v>
      </c>
      <c r="F480" s="4" t="s">
        <v>2300</v>
      </c>
      <c r="G480" s="2" t="s">
        <v>28</v>
      </c>
      <c r="H480" s="7" t="s">
        <v>91</v>
      </c>
      <c r="I480" s="2" t="s">
        <v>483</v>
      </c>
      <c r="J480" s="2" t="s">
        <v>536</v>
      </c>
      <c r="K480" s="2" t="s">
        <v>304</v>
      </c>
      <c r="L480" s="2" t="s">
        <v>119</v>
      </c>
      <c r="M480" s="8" t="str">
        <f>HYPERLINK("http://slimages.macys.com/is/image/MCY/13987054 ")</f>
        <v xml:space="preserve">http://slimages.macys.com/is/image/MCY/13987054 </v>
      </c>
    </row>
    <row r="481" spans="1:13" ht="60" x14ac:dyDescent="0.25">
      <c r="A481" s="7" t="s">
        <v>7203</v>
      </c>
      <c r="B481" s="2" t="s">
        <v>2299</v>
      </c>
      <c r="C481" s="4">
        <v>2</v>
      </c>
      <c r="D481" s="5">
        <v>2.5099999999999998</v>
      </c>
      <c r="E481" s="5">
        <v>5.99</v>
      </c>
      <c r="F481" s="4" t="s">
        <v>2300</v>
      </c>
      <c r="G481" s="2" t="s">
        <v>28</v>
      </c>
      <c r="H481" s="7" t="s">
        <v>442</v>
      </c>
      <c r="I481" s="2" t="s">
        <v>483</v>
      </c>
      <c r="J481" s="2" t="s">
        <v>536</v>
      </c>
      <c r="K481" s="2" t="s">
        <v>304</v>
      </c>
      <c r="L481" s="2" t="s">
        <v>119</v>
      </c>
      <c r="M481" s="8" t="str">
        <f>HYPERLINK("http://slimages.macys.com/is/image/MCY/13987054 ")</f>
        <v xml:space="preserve">http://slimages.macys.com/is/image/MCY/13987054 </v>
      </c>
    </row>
    <row r="482" spans="1:13" ht="60" x14ac:dyDescent="0.25">
      <c r="A482" s="7" t="s">
        <v>7204</v>
      </c>
      <c r="B482" s="2" t="s">
        <v>2299</v>
      </c>
      <c r="C482" s="4">
        <v>2</v>
      </c>
      <c r="D482" s="5">
        <v>2.5099999999999998</v>
      </c>
      <c r="E482" s="5">
        <v>5.99</v>
      </c>
      <c r="F482" s="4" t="s">
        <v>2300</v>
      </c>
      <c r="G482" s="2" t="s">
        <v>28</v>
      </c>
      <c r="H482" s="7" t="s">
        <v>149</v>
      </c>
      <c r="I482" s="2" t="s">
        <v>483</v>
      </c>
      <c r="J482" s="2" t="s">
        <v>536</v>
      </c>
      <c r="K482" s="2" t="s">
        <v>304</v>
      </c>
      <c r="L482" s="2" t="s">
        <v>119</v>
      </c>
      <c r="M482" s="8" t="str">
        <f>HYPERLINK("http://slimages.macys.com/is/image/MCY/13987054 ")</f>
        <v xml:space="preserve">http://slimages.macys.com/is/image/MCY/13987054 </v>
      </c>
    </row>
    <row r="483" spans="1:13" ht="60" x14ac:dyDescent="0.25">
      <c r="A483" s="7" t="s">
        <v>3522</v>
      </c>
      <c r="B483" s="2" t="s">
        <v>3523</v>
      </c>
      <c r="C483" s="4">
        <v>1</v>
      </c>
      <c r="D483" s="5">
        <v>2.5099999999999998</v>
      </c>
      <c r="E483" s="5">
        <v>5.99</v>
      </c>
      <c r="F483" s="4" t="s">
        <v>3524</v>
      </c>
      <c r="G483" s="2" t="s">
        <v>657</v>
      </c>
      <c r="H483" s="7" t="s">
        <v>42</v>
      </c>
      <c r="I483" s="2" t="s">
        <v>483</v>
      </c>
      <c r="J483" s="2" t="s">
        <v>536</v>
      </c>
      <c r="K483" s="2" t="s">
        <v>304</v>
      </c>
      <c r="L483" s="2" t="s">
        <v>119</v>
      </c>
      <c r="M483" s="8" t="str">
        <f>HYPERLINK("http://slimages.macys.com/is/image/MCY/13987476 ")</f>
        <v xml:space="preserve">http://slimages.macys.com/is/image/MCY/13987476 </v>
      </c>
    </row>
    <row r="484" spans="1:13" ht="60" x14ac:dyDescent="0.25">
      <c r="A484" s="7" t="s">
        <v>619</v>
      </c>
      <c r="B484" s="2" t="s">
        <v>616</v>
      </c>
      <c r="C484" s="4">
        <v>1</v>
      </c>
      <c r="D484" s="5">
        <v>2.5</v>
      </c>
      <c r="E484" s="5">
        <v>5.99</v>
      </c>
      <c r="F484" s="4" t="s">
        <v>617</v>
      </c>
      <c r="G484" s="2" t="s">
        <v>262</v>
      </c>
      <c r="H484" s="7" t="s">
        <v>379</v>
      </c>
      <c r="I484" s="2" t="s">
        <v>380</v>
      </c>
      <c r="J484" s="2" t="s">
        <v>544</v>
      </c>
      <c r="K484" s="2" t="s">
        <v>304</v>
      </c>
      <c r="L484" s="2" t="s">
        <v>38</v>
      </c>
      <c r="M484" s="8" t="str">
        <f>HYPERLINK("http://slimages.macys.com/is/image/MCY/12228048 ")</f>
        <v xml:space="preserve">http://slimages.macys.com/is/image/MCY/12228048 </v>
      </c>
    </row>
    <row r="485" spans="1:13" ht="60" x14ac:dyDescent="0.25">
      <c r="A485" s="7" t="s">
        <v>4561</v>
      </c>
      <c r="B485" s="2" t="s">
        <v>616</v>
      </c>
      <c r="C485" s="4">
        <v>1</v>
      </c>
      <c r="D485" s="5">
        <v>2.5</v>
      </c>
      <c r="E485" s="5">
        <v>5.99</v>
      </c>
      <c r="F485" s="4" t="s">
        <v>617</v>
      </c>
      <c r="G485" s="2" t="s">
        <v>262</v>
      </c>
      <c r="H485" s="7" t="s">
        <v>317</v>
      </c>
      <c r="I485" s="2" t="s">
        <v>380</v>
      </c>
      <c r="J485" s="2" t="s">
        <v>544</v>
      </c>
      <c r="K485" s="2" t="s">
        <v>304</v>
      </c>
      <c r="L485" s="2" t="s">
        <v>87</v>
      </c>
      <c r="M485" s="8" t="str">
        <f>HYPERLINK("http://slimages.macys.com/is/image/MCY/12228048 ")</f>
        <v xml:space="preserve">http://slimages.macys.com/is/image/MCY/12228048 </v>
      </c>
    </row>
    <row r="486" spans="1:13" ht="60" x14ac:dyDescent="0.25">
      <c r="A486" s="7" t="s">
        <v>4560</v>
      </c>
      <c r="B486" s="2" t="s">
        <v>616</v>
      </c>
      <c r="C486" s="4">
        <v>1</v>
      </c>
      <c r="D486" s="5">
        <v>2.5</v>
      </c>
      <c r="E486" s="5">
        <v>5.99</v>
      </c>
      <c r="F486" s="4" t="s">
        <v>617</v>
      </c>
      <c r="G486" s="2" t="s">
        <v>262</v>
      </c>
      <c r="H486" s="7" t="s">
        <v>311</v>
      </c>
      <c r="I486" s="2" t="s">
        <v>380</v>
      </c>
      <c r="J486" s="2" t="s">
        <v>544</v>
      </c>
      <c r="K486" s="2" t="s">
        <v>304</v>
      </c>
      <c r="L486" s="2" t="s">
        <v>87</v>
      </c>
      <c r="M486" s="8" t="str">
        <f>HYPERLINK("http://slimages.macys.com/is/image/MCY/12228048 ")</f>
        <v xml:space="preserve">http://slimages.macys.com/is/image/MCY/12228048 </v>
      </c>
    </row>
    <row r="487" spans="1:13" ht="108" x14ac:dyDescent="0.25">
      <c r="A487" s="7" t="s">
        <v>7205</v>
      </c>
      <c r="B487" s="2" t="s">
        <v>2302</v>
      </c>
      <c r="C487" s="4">
        <v>1</v>
      </c>
      <c r="D487" s="5">
        <v>2.4900000000000002</v>
      </c>
      <c r="E487" s="5">
        <v>6.99</v>
      </c>
      <c r="F487" s="4" t="s">
        <v>2303</v>
      </c>
      <c r="G487" s="2" t="s">
        <v>134</v>
      </c>
      <c r="H487" s="7" t="s">
        <v>482</v>
      </c>
      <c r="I487" s="2" t="s">
        <v>483</v>
      </c>
      <c r="J487" s="2" t="s">
        <v>536</v>
      </c>
      <c r="K487" s="2" t="s">
        <v>304</v>
      </c>
      <c r="L487" s="2" t="s">
        <v>2304</v>
      </c>
      <c r="M487" s="8" t="str">
        <f>HYPERLINK("http://slimages.macys.com/is/image/MCY/13987461 ")</f>
        <v xml:space="preserve">http://slimages.macys.com/is/image/MCY/13987461 </v>
      </c>
    </row>
    <row r="488" spans="1:13" ht="60" x14ac:dyDescent="0.25">
      <c r="A488" s="7" t="s">
        <v>1310</v>
      </c>
      <c r="B488" s="2" t="s">
        <v>1297</v>
      </c>
      <c r="C488" s="4">
        <v>1</v>
      </c>
      <c r="D488" s="5">
        <v>2.4900000000000002</v>
      </c>
      <c r="E488" s="5">
        <v>6.99</v>
      </c>
      <c r="F488" s="4" t="s">
        <v>1298</v>
      </c>
      <c r="G488" s="2" t="s">
        <v>171</v>
      </c>
      <c r="H488" s="7" t="s">
        <v>590</v>
      </c>
      <c r="I488" s="2" t="s">
        <v>483</v>
      </c>
      <c r="J488" s="2" t="s">
        <v>536</v>
      </c>
      <c r="K488" s="2" t="s">
        <v>304</v>
      </c>
      <c r="L488" s="2" t="s">
        <v>100</v>
      </c>
      <c r="M488" s="8" t="str">
        <f>HYPERLINK("http://slimages.macys.com/is/image/MCY/13987459 ")</f>
        <v xml:space="preserve">http://slimages.macys.com/is/image/MCY/13987459 </v>
      </c>
    </row>
    <row r="489" spans="1:13" ht="108" x14ac:dyDescent="0.25">
      <c r="A489" s="7" t="s">
        <v>2308</v>
      </c>
      <c r="B489" s="2" t="s">
        <v>2302</v>
      </c>
      <c r="C489" s="4">
        <v>3</v>
      </c>
      <c r="D489" s="5">
        <v>2.4900000000000002</v>
      </c>
      <c r="E489" s="5">
        <v>6.99</v>
      </c>
      <c r="F489" s="4" t="s">
        <v>2303</v>
      </c>
      <c r="G489" s="2" t="s">
        <v>134</v>
      </c>
      <c r="H489" s="7" t="s">
        <v>590</v>
      </c>
      <c r="I489" s="2" t="s">
        <v>483</v>
      </c>
      <c r="J489" s="2" t="s">
        <v>536</v>
      </c>
      <c r="K489" s="2" t="s">
        <v>304</v>
      </c>
      <c r="L489" s="2" t="s">
        <v>2304</v>
      </c>
      <c r="M489" s="8" t="str">
        <f>HYPERLINK("http://slimages.macys.com/is/image/MCY/13987461 ")</f>
        <v xml:space="preserve">http://slimages.macys.com/is/image/MCY/13987461 </v>
      </c>
    </row>
    <row r="490" spans="1:13" ht="108" x14ac:dyDescent="0.25">
      <c r="A490" s="7" t="s">
        <v>2728</v>
      </c>
      <c r="B490" s="2" t="s">
        <v>2302</v>
      </c>
      <c r="C490" s="4">
        <v>2</v>
      </c>
      <c r="D490" s="5">
        <v>2.4900000000000002</v>
      </c>
      <c r="E490" s="5">
        <v>6.99</v>
      </c>
      <c r="F490" s="4" t="s">
        <v>2303</v>
      </c>
      <c r="G490" s="2" t="s">
        <v>134</v>
      </c>
      <c r="H490" s="7" t="s">
        <v>442</v>
      </c>
      <c r="I490" s="2" t="s">
        <v>483</v>
      </c>
      <c r="J490" s="2" t="s">
        <v>536</v>
      </c>
      <c r="K490" s="2" t="s">
        <v>304</v>
      </c>
      <c r="L490" s="2" t="s">
        <v>2304</v>
      </c>
      <c r="M490" s="8" t="str">
        <f>HYPERLINK("http://slimages.macys.com/is/image/MCY/13987461 ")</f>
        <v xml:space="preserve">http://slimages.macys.com/is/image/MCY/13987461 </v>
      </c>
    </row>
    <row r="491" spans="1:13" ht="60" x14ac:dyDescent="0.25">
      <c r="A491" s="7" t="s">
        <v>1299</v>
      </c>
      <c r="B491" s="2" t="s">
        <v>1300</v>
      </c>
      <c r="C491" s="4">
        <v>3</v>
      </c>
      <c r="D491" s="5">
        <v>2.4900000000000002</v>
      </c>
      <c r="E491" s="5">
        <v>6.99</v>
      </c>
      <c r="F491" s="4" t="s">
        <v>1301</v>
      </c>
      <c r="G491" s="2" t="s">
        <v>1302</v>
      </c>
      <c r="H491" s="7" t="s">
        <v>590</v>
      </c>
      <c r="I491" s="2" t="s">
        <v>483</v>
      </c>
      <c r="J491" s="2" t="s">
        <v>536</v>
      </c>
      <c r="K491" s="2" t="s">
        <v>304</v>
      </c>
      <c r="L491" s="2" t="s">
        <v>596</v>
      </c>
      <c r="M491" s="8" t="str">
        <f>HYPERLINK("http://slimages.macys.com/is/image/MCY/13337498 ")</f>
        <v xml:space="preserve">http://slimages.macys.com/is/image/MCY/13337498 </v>
      </c>
    </row>
    <row r="492" spans="1:13" ht="84" x14ac:dyDescent="0.25">
      <c r="A492" s="7" t="s">
        <v>5084</v>
      </c>
      <c r="B492" s="2" t="s">
        <v>1307</v>
      </c>
      <c r="C492" s="4">
        <v>1</v>
      </c>
      <c r="D492" s="5">
        <v>2.4900000000000002</v>
      </c>
      <c r="E492" s="5">
        <v>6.99</v>
      </c>
      <c r="F492" s="4">
        <v>10006315700</v>
      </c>
      <c r="G492" s="2" t="s">
        <v>41</v>
      </c>
      <c r="H492" s="7"/>
      <c r="I492" s="2" t="s">
        <v>483</v>
      </c>
      <c r="J492" s="2" t="s">
        <v>536</v>
      </c>
      <c r="K492" s="2" t="s">
        <v>304</v>
      </c>
      <c r="L492" s="2" t="s">
        <v>1308</v>
      </c>
      <c r="M492" s="8" t="str">
        <f>HYPERLINK("http://slimages.macys.com/is/image/MCY/13987457 ")</f>
        <v xml:space="preserve">http://slimages.macys.com/is/image/MCY/13987457 </v>
      </c>
    </row>
    <row r="493" spans="1:13" ht="108" x14ac:dyDescent="0.25">
      <c r="A493" s="7" t="s">
        <v>2301</v>
      </c>
      <c r="B493" s="2" t="s">
        <v>2302</v>
      </c>
      <c r="C493" s="4">
        <v>4</v>
      </c>
      <c r="D493" s="5">
        <v>2.4900000000000002</v>
      </c>
      <c r="E493" s="5">
        <v>6.99</v>
      </c>
      <c r="F493" s="4" t="s">
        <v>2303</v>
      </c>
      <c r="G493" s="2" t="s">
        <v>134</v>
      </c>
      <c r="H493" s="7" t="s">
        <v>149</v>
      </c>
      <c r="I493" s="2" t="s">
        <v>483</v>
      </c>
      <c r="J493" s="2" t="s">
        <v>536</v>
      </c>
      <c r="K493" s="2" t="s">
        <v>304</v>
      </c>
      <c r="L493" s="2" t="s">
        <v>2304</v>
      </c>
      <c r="M493" s="8" t="str">
        <f>HYPERLINK("http://slimages.macys.com/is/image/MCY/13987461 ")</f>
        <v xml:space="preserve">http://slimages.macys.com/is/image/MCY/13987461 </v>
      </c>
    </row>
    <row r="494" spans="1:13" ht="60" x14ac:dyDescent="0.25">
      <c r="A494" s="7" t="s">
        <v>7206</v>
      </c>
      <c r="B494" s="2" t="s">
        <v>5731</v>
      </c>
      <c r="C494" s="4">
        <v>1</v>
      </c>
      <c r="D494" s="5">
        <v>2.4900000000000002</v>
      </c>
      <c r="E494" s="5">
        <v>5.99</v>
      </c>
      <c r="F494" s="4" t="s">
        <v>5732</v>
      </c>
      <c r="G494" s="2" t="s">
        <v>657</v>
      </c>
      <c r="H494" s="7" t="s">
        <v>91</v>
      </c>
      <c r="I494" s="2" t="s">
        <v>483</v>
      </c>
      <c r="J494" s="2" t="s">
        <v>536</v>
      </c>
      <c r="K494" s="2" t="s">
        <v>304</v>
      </c>
      <c r="L494" s="2" t="s">
        <v>119</v>
      </c>
      <c r="M494" s="8" t="str">
        <f>HYPERLINK("http://slimages.macys.com/is/image/MCY/13987264 ")</f>
        <v xml:space="preserve">http://slimages.macys.com/is/image/MCY/13987264 </v>
      </c>
    </row>
    <row r="495" spans="1:13" ht="108" x14ac:dyDescent="0.25">
      <c r="A495" s="7" t="s">
        <v>7207</v>
      </c>
      <c r="B495" s="2" t="s">
        <v>2302</v>
      </c>
      <c r="C495" s="4">
        <v>2</v>
      </c>
      <c r="D495" s="5">
        <v>2.4900000000000002</v>
      </c>
      <c r="E495" s="5">
        <v>6.99</v>
      </c>
      <c r="F495" s="4" t="s">
        <v>2303</v>
      </c>
      <c r="G495" s="2" t="s">
        <v>134</v>
      </c>
      <c r="H495" s="7"/>
      <c r="I495" s="2" t="s">
        <v>483</v>
      </c>
      <c r="J495" s="2" t="s">
        <v>536</v>
      </c>
      <c r="K495" s="2" t="s">
        <v>304</v>
      </c>
      <c r="L495" s="2" t="s">
        <v>2304</v>
      </c>
      <c r="M495" s="8" t="str">
        <f>HYPERLINK("http://slimages.macys.com/is/image/MCY/13987461 ")</f>
        <v xml:space="preserve">http://slimages.macys.com/is/image/MCY/13987461 </v>
      </c>
    </row>
    <row r="496" spans="1:13" ht="60" x14ac:dyDescent="0.25">
      <c r="A496" s="7" t="s">
        <v>7208</v>
      </c>
      <c r="B496" s="2" t="s">
        <v>1297</v>
      </c>
      <c r="C496" s="4">
        <v>1</v>
      </c>
      <c r="D496" s="5">
        <v>2.4900000000000002</v>
      </c>
      <c r="E496" s="5">
        <v>6.99</v>
      </c>
      <c r="F496" s="4" t="s">
        <v>1298</v>
      </c>
      <c r="G496" s="2" t="s">
        <v>171</v>
      </c>
      <c r="H496" s="7" t="s">
        <v>482</v>
      </c>
      <c r="I496" s="2" t="s">
        <v>483</v>
      </c>
      <c r="J496" s="2" t="s">
        <v>536</v>
      </c>
      <c r="K496" s="2" t="s">
        <v>304</v>
      </c>
      <c r="L496" s="2" t="s">
        <v>100</v>
      </c>
      <c r="M496" s="8" t="str">
        <f>HYPERLINK("http://slimages.macys.com/is/image/MCY/13987459 ")</f>
        <v xml:space="preserve">http://slimages.macys.com/is/image/MCY/13987459 </v>
      </c>
    </row>
    <row r="497" spans="1:13" ht="84" x14ac:dyDescent="0.25">
      <c r="A497" s="7" t="s">
        <v>7209</v>
      </c>
      <c r="B497" s="2" t="s">
        <v>1307</v>
      </c>
      <c r="C497" s="4">
        <v>1</v>
      </c>
      <c r="D497" s="5">
        <v>2.4900000000000002</v>
      </c>
      <c r="E497" s="5">
        <v>6.99</v>
      </c>
      <c r="F497" s="4">
        <v>10006315700</v>
      </c>
      <c r="G497" s="2" t="s">
        <v>41</v>
      </c>
      <c r="H497" s="7" t="s">
        <v>442</v>
      </c>
      <c r="I497" s="2" t="s">
        <v>483</v>
      </c>
      <c r="J497" s="2" t="s">
        <v>536</v>
      </c>
      <c r="K497" s="2" t="s">
        <v>304</v>
      </c>
      <c r="L497" s="2" t="s">
        <v>1308</v>
      </c>
      <c r="M497" s="8" t="str">
        <f>HYPERLINK("http://slimages.macys.com/is/image/MCY/13987457 ")</f>
        <v xml:space="preserve">http://slimages.macys.com/is/image/MCY/13987457 </v>
      </c>
    </row>
    <row r="498" spans="1:13" ht="60" x14ac:dyDescent="0.25">
      <c r="A498" s="7" t="s">
        <v>2314</v>
      </c>
      <c r="B498" s="2" t="s">
        <v>622</v>
      </c>
      <c r="C498" s="4">
        <v>2</v>
      </c>
      <c r="D498" s="5">
        <v>2.48</v>
      </c>
      <c r="E498" s="5">
        <v>7.99</v>
      </c>
      <c r="F498" s="4">
        <v>10005379300</v>
      </c>
      <c r="G498" s="2" t="s">
        <v>437</v>
      </c>
      <c r="H498" s="7"/>
      <c r="I498" s="2" t="s">
        <v>483</v>
      </c>
      <c r="J498" s="2" t="s">
        <v>536</v>
      </c>
      <c r="K498" s="2" t="s">
        <v>304</v>
      </c>
      <c r="L498" s="2" t="s">
        <v>623</v>
      </c>
      <c r="M498" s="8" t="str">
        <f>HYPERLINK("http://slimages.macys.com/is/image/MCY/12465415 ")</f>
        <v xml:space="preserve">http://slimages.macys.com/is/image/MCY/12465415 </v>
      </c>
    </row>
    <row r="499" spans="1:13" ht="60" x14ac:dyDescent="0.25">
      <c r="A499" s="7" t="s">
        <v>621</v>
      </c>
      <c r="B499" s="2" t="s">
        <v>622</v>
      </c>
      <c r="C499" s="4">
        <v>1</v>
      </c>
      <c r="D499" s="5">
        <v>2.48</v>
      </c>
      <c r="E499" s="5">
        <v>7.99</v>
      </c>
      <c r="F499" s="4">
        <v>10005379300</v>
      </c>
      <c r="G499" s="2" t="s">
        <v>437</v>
      </c>
      <c r="H499" s="7" t="s">
        <v>590</v>
      </c>
      <c r="I499" s="2" t="s">
        <v>483</v>
      </c>
      <c r="J499" s="2" t="s">
        <v>536</v>
      </c>
      <c r="K499" s="2" t="s">
        <v>304</v>
      </c>
      <c r="L499" s="2" t="s">
        <v>623</v>
      </c>
      <c r="M499" s="8" t="str">
        <f>HYPERLINK("http://slimages.macys.com/is/image/MCY/12465415 ")</f>
        <v xml:space="preserve">http://slimages.macys.com/is/image/MCY/12465415 </v>
      </c>
    </row>
    <row r="500" spans="1:13" ht="60" x14ac:dyDescent="0.25">
      <c r="A500" s="7" t="s">
        <v>2311</v>
      </c>
      <c r="B500" s="2" t="s">
        <v>622</v>
      </c>
      <c r="C500" s="4">
        <v>1</v>
      </c>
      <c r="D500" s="5">
        <v>2.48</v>
      </c>
      <c r="E500" s="5">
        <v>7.99</v>
      </c>
      <c r="F500" s="4">
        <v>10005379300</v>
      </c>
      <c r="G500" s="2" t="s">
        <v>62</v>
      </c>
      <c r="H500" s="7" t="s">
        <v>482</v>
      </c>
      <c r="I500" s="2" t="s">
        <v>483</v>
      </c>
      <c r="J500" s="2" t="s">
        <v>536</v>
      </c>
      <c r="K500" s="2" t="s">
        <v>304</v>
      </c>
      <c r="L500" s="2" t="s">
        <v>623</v>
      </c>
      <c r="M500" s="8" t="str">
        <f>HYPERLINK("http://slimages.macys.com/is/image/MCY/12465415 ")</f>
        <v xml:space="preserve">http://slimages.macys.com/is/image/MCY/12465415 </v>
      </c>
    </row>
    <row r="501" spans="1:13" ht="96" x14ac:dyDescent="0.25">
      <c r="A501" s="7" t="s">
        <v>7210</v>
      </c>
      <c r="B501" s="2" t="s">
        <v>2318</v>
      </c>
      <c r="C501" s="4">
        <v>1</v>
      </c>
      <c r="D501" s="5">
        <v>2.4700000000000002</v>
      </c>
      <c r="E501" s="5">
        <v>6.99</v>
      </c>
      <c r="F501" s="4">
        <v>10006315800</v>
      </c>
      <c r="G501" s="2" t="s">
        <v>527</v>
      </c>
      <c r="H501" s="7"/>
      <c r="I501" s="2" t="s">
        <v>483</v>
      </c>
      <c r="J501" s="2" t="s">
        <v>536</v>
      </c>
      <c r="K501" s="2" t="s">
        <v>304</v>
      </c>
      <c r="L501" s="2" t="s">
        <v>2319</v>
      </c>
      <c r="M501" s="8" t="str">
        <f>HYPERLINK("http://slimages.macys.com/is/image/MCY/13987454 ")</f>
        <v xml:space="preserve">http://slimages.macys.com/is/image/MCY/13987454 </v>
      </c>
    </row>
    <row r="502" spans="1:13" ht="96" x14ac:dyDescent="0.25">
      <c r="A502" s="7" t="s">
        <v>2317</v>
      </c>
      <c r="B502" s="2" t="s">
        <v>2318</v>
      </c>
      <c r="C502" s="4">
        <v>1</v>
      </c>
      <c r="D502" s="5">
        <v>2.4700000000000002</v>
      </c>
      <c r="E502" s="5">
        <v>6.99</v>
      </c>
      <c r="F502" s="4">
        <v>10006315800</v>
      </c>
      <c r="G502" s="2" t="s">
        <v>527</v>
      </c>
      <c r="H502" s="7" t="s">
        <v>149</v>
      </c>
      <c r="I502" s="2" t="s">
        <v>483</v>
      </c>
      <c r="J502" s="2" t="s">
        <v>536</v>
      </c>
      <c r="K502" s="2" t="s">
        <v>304</v>
      </c>
      <c r="L502" s="2" t="s">
        <v>2319</v>
      </c>
      <c r="M502" s="8" t="str">
        <f>HYPERLINK("http://slimages.macys.com/is/image/MCY/13987454 ")</f>
        <v xml:space="preserve">http://slimages.macys.com/is/image/MCY/13987454 </v>
      </c>
    </row>
    <row r="503" spans="1:13" ht="96" x14ac:dyDescent="0.25">
      <c r="A503" s="7" t="s">
        <v>7211</v>
      </c>
      <c r="B503" s="2" t="s">
        <v>2318</v>
      </c>
      <c r="C503" s="4">
        <v>1</v>
      </c>
      <c r="D503" s="5">
        <v>2.4700000000000002</v>
      </c>
      <c r="E503" s="5">
        <v>6.99</v>
      </c>
      <c r="F503" s="4">
        <v>10006315800</v>
      </c>
      <c r="G503" s="2" t="s">
        <v>527</v>
      </c>
      <c r="H503" s="7" t="s">
        <v>590</v>
      </c>
      <c r="I503" s="2" t="s">
        <v>483</v>
      </c>
      <c r="J503" s="2" t="s">
        <v>536</v>
      </c>
      <c r="K503" s="2" t="s">
        <v>304</v>
      </c>
      <c r="L503" s="2" t="s">
        <v>2319</v>
      </c>
      <c r="M503" s="8" t="str">
        <f>HYPERLINK("http://slimages.macys.com/is/image/MCY/13987454 ")</f>
        <v xml:space="preserve">http://slimages.macys.com/is/image/MCY/13987454 </v>
      </c>
    </row>
    <row r="504" spans="1:13" ht="96" x14ac:dyDescent="0.25">
      <c r="A504" s="7" t="s">
        <v>7212</v>
      </c>
      <c r="B504" s="2" t="s">
        <v>2318</v>
      </c>
      <c r="C504" s="4">
        <v>1</v>
      </c>
      <c r="D504" s="5">
        <v>2.4700000000000002</v>
      </c>
      <c r="E504" s="5">
        <v>6.99</v>
      </c>
      <c r="F504" s="4">
        <v>10006315800</v>
      </c>
      <c r="G504" s="2" t="s">
        <v>527</v>
      </c>
      <c r="H504" s="7" t="s">
        <v>442</v>
      </c>
      <c r="I504" s="2" t="s">
        <v>483</v>
      </c>
      <c r="J504" s="2" t="s">
        <v>536</v>
      </c>
      <c r="K504" s="2" t="s">
        <v>304</v>
      </c>
      <c r="L504" s="2" t="s">
        <v>2319</v>
      </c>
      <c r="M504" s="8" t="str">
        <f>HYPERLINK("http://slimages.macys.com/is/image/MCY/13987454 ")</f>
        <v xml:space="preserve">http://slimages.macys.com/is/image/MCY/13987454 </v>
      </c>
    </row>
    <row r="505" spans="1:13" ht="60" x14ac:dyDescent="0.25">
      <c r="A505" s="7" t="s">
        <v>7213</v>
      </c>
      <c r="B505" s="2" t="s">
        <v>7214</v>
      </c>
      <c r="C505" s="4">
        <v>2</v>
      </c>
      <c r="D505" s="5">
        <v>2.46</v>
      </c>
      <c r="E505" s="5">
        <v>7.99</v>
      </c>
      <c r="F505" s="4" t="s">
        <v>7215</v>
      </c>
      <c r="G505" s="2" t="s">
        <v>41</v>
      </c>
      <c r="H505" s="7" t="s">
        <v>514</v>
      </c>
      <c r="I505" s="2" t="s">
        <v>483</v>
      </c>
      <c r="J505" s="2" t="s">
        <v>536</v>
      </c>
      <c r="K505" s="2" t="s">
        <v>304</v>
      </c>
      <c r="L505" s="2" t="s">
        <v>206</v>
      </c>
      <c r="M505" s="8" t="str">
        <f>HYPERLINK("http://slimages.macys.com/is/image/MCY/11525810 ")</f>
        <v xml:space="preserve">http://slimages.macys.com/is/image/MCY/11525810 </v>
      </c>
    </row>
    <row r="506" spans="1:13" ht="60" x14ac:dyDescent="0.25">
      <c r="A506" s="7" t="s">
        <v>7216</v>
      </c>
      <c r="B506" s="2" t="s">
        <v>1327</v>
      </c>
      <c r="C506" s="4">
        <v>1</v>
      </c>
      <c r="D506" s="5">
        <v>2.44</v>
      </c>
      <c r="E506" s="5">
        <v>5.99</v>
      </c>
      <c r="F506" s="4" t="s">
        <v>1328</v>
      </c>
      <c r="G506" s="2" t="s">
        <v>41</v>
      </c>
      <c r="H506" s="7" t="s">
        <v>42</v>
      </c>
      <c r="I506" s="2" t="s">
        <v>483</v>
      </c>
      <c r="J506" s="2" t="s">
        <v>536</v>
      </c>
      <c r="K506" s="2" t="s">
        <v>304</v>
      </c>
      <c r="L506" s="2" t="s">
        <v>119</v>
      </c>
      <c r="M506" s="8" t="str">
        <f>HYPERLINK("http://slimages.macys.com/is/image/MCY/12466322 ")</f>
        <v xml:space="preserve">http://slimages.macys.com/is/image/MCY/12466322 </v>
      </c>
    </row>
    <row r="507" spans="1:13" ht="60" x14ac:dyDescent="0.25">
      <c r="A507" s="7" t="s">
        <v>1326</v>
      </c>
      <c r="B507" s="2" t="s">
        <v>1327</v>
      </c>
      <c r="C507" s="4">
        <v>2</v>
      </c>
      <c r="D507" s="5">
        <v>2.44</v>
      </c>
      <c r="E507" s="5">
        <v>5.99</v>
      </c>
      <c r="F507" s="4" t="s">
        <v>1328</v>
      </c>
      <c r="G507" s="2" t="s">
        <v>41</v>
      </c>
      <c r="H507" s="7" t="s">
        <v>91</v>
      </c>
      <c r="I507" s="2" t="s">
        <v>483</v>
      </c>
      <c r="J507" s="2" t="s">
        <v>536</v>
      </c>
      <c r="K507" s="2" t="s">
        <v>304</v>
      </c>
      <c r="L507" s="2" t="s">
        <v>119</v>
      </c>
      <c r="M507" s="8" t="str">
        <f>HYPERLINK("http://slimages.macys.com/is/image/MCY/12466322 ")</f>
        <v xml:space="preserve">http://slimages.macys.com/is/image/MCY/12466322 </v>
      </c>
    </row>
    <row r="508" spans="1:13" ht="60" x14ac:dyDescent="0.25">
      <c r="A508" s="7" t="s">
        <v>3531</v>
      </c>
      <c r="B508" s="2" t="s">
        <v>1327</v>
      </c>
      <c r="C508" s="4">
        <v>1</v>
      </c>
      <c r="D508" s="5">
        <v>2.44</v>
      </c>
      <c r="E508" s="5">
        <v>5.99</v>
      </c>
      <c r="F508" s="4" t="s">
        <v>1328</v>
      </c>
      <c r="G508" s="2" t="s">
        <v>41</v>
      </c>
      <c r="H508" s="7" t="s">
        <v>590</v>
      </c>
      <c r="I508" s="2" t="s">
        <v>483</v>
      </c>
      <c r="J508" s="2" t="s">
        <v>536</v>
      </c>
      <c r="K508" s="2" t="s">
        <v>304</v>
      </c>
      <c r="L508" s="2" t="s">
        <v>119</v>
      </c>
      <c r="M508" s="8" t="str">
        <f>HYPERLINK("http://slimages.macys.com/is/image/MCY/12466322 ")</f>
        <v xml:space="preserve">http://slimages.macys.com/is/image/MCY/12466322 </v>
      </c>
    </row>
    <row r="509" spans="1:13" ht="60" x14ac:dyDescent="0.25">
      <c r="A509" s="7" t="s">
        <v>7217</v>
      </c>
      <c r="B509" s="2" t="s">
        <v>1330</v>
      </c>
      <c r="C509" s="4">
        <v>1</v>
      </c>
      <c r="D509" s="5">
        <v>2.4300000000000002</v>
      </c>
      <c r="E509" s="5">
        <v>6.99</v>
      </c>
      <c r="F509" s="4" t="s">
        <v>1331</v>
      </c>
      <c r="G509" s="2" t="s">
        <v>41</v>
      </c>
      <c r="H509" s="7" t="s">
        <v>149</v>
      </c>
      <c r="I509" s="2" t="s">
        <v>483</v>
      </c>
      <c r="J509" s="2" t="s">
        <v>536</v>
      </c>
      <c r="K509" s="2" t="s">
        <v>304</v>
      </c>
      <c r="L509" s="2" t="s">
        <v>38</v>
      </c>
      <c r="M509" s="8" t="str">
        <f>HYPERLINK("http://slimages.macys.com/is/image/MCY/12465718 ")</f>
        <v xml:space="preserve">http://slimages.macys.com/is/image/MCY/12465718 </v>
      </c>
    </row>
    <row r="510" spans="1:13" ht="108" x14ac:dyDescent="0.25">
      <c r="A510" s="7" t="s">
        <v>2325</v>
      </c>
      <c r="B510" s="2" t="s">
        <v>2322</v>
      </c>
      <c r="C510" s="4">
        <v>1</v>
      </c>
      <c r="D510" s="5">
        <v>2.4300000000000002</v>
      </c>
      <c r="E510" s="5">
        <v>7.99</v>
      </c>
      <c r="F510" s="4" t="s">
        <v>2323</v>
      </c>
      <c r="G510" s="2" t="s">
        <v>41</v>
      </c>
      <c r="H510" s="7" t="s">
        <v>590</v>
      </c>
      <c r="I510" s="2" t="s">
        <v>483</v>
      </c>
      <c r="J510" s="2" t="s">
        <v>536</v>
      </c>
      <c r="K510" s="2" t="s">
        <v>304</v>
      </c>
      <c r="L510" s="2" t="s">
        <v>2324</v>
      </c>
      <c r="M510" s="8" t="str">
        <f>HYPERLINK("http://slimages.macys.com/is/image/MCY/14384998 ")</f>
        <v xml:space="preserve">http://slimages.macys.com/is/image/MCY/14384998 </v>
      </c>
    </row>
    <row r="511" spans="1:13" ht="108" x14ac:dyDescent="0.25">
      <c r="A511" s="7" t="s">
        <v>2326</v>
      </c>
      <c r="B511" s="2" t="s">
        <v>2322</v>
      </c>
      <c r="C511" s="4">
        <v>1</v>
      </c>
      <c r="D511" s="5">
        <v>2.4300000000000002</v>
      </c>
      <c r="E511" s="5">
        <v>7.99</v>
      </c>
      <c r="F511" s="4" t="s">
        <v>2323</v>
      </c>
      <c r="G511" s="2" t="s">
        <v>41</v>
      </c>
      <c r="H511" s="7" t="s">
        <v>149</v>
      </c>
      <c r="I511" s="2" t="s">
        <v>483</v>
      </c>
      <c r="J511" s="2" t="s">
        <v>536</v>
      </c>
      <c r="K511" s="2" t="s">
        <v>304</v>
      </c>
      <c r="L511" s="2" t="s">
        <v>2324</v>
      </c>
      <c r="M511" s="8" t="str">
        <f>HYPERLINK("http://slimages.macys.com/is/image/MCY/14384998 ")</f>
        <v xml:space="preserve">http://slimages.macys.com/is/image/MCY/14384998 </v>
      </c>
    </row>
    <row r="512" spans="1:13" ht="60" x14ac:dyDescent="0.25">
      <c r="A512" s="7" t="s">
        <v>4563</v>
      </c>
      <c r="B512" s="2" t="s">
        <v>4564</v>
      </c>
      <c r="C512" s="4">
        <v>1</v>
      </c>
      <c r="D512" s="5">
        <v>2.4300000000000002</v>
      </c>
      <c r="E512" s="5">
        <v>6.99</v>
      </c>
      <c r="F512" s="4" t="s">
        <v>4565</v>
      </c>
      <c r="G512" s="2" t="s">
        <v>171</v>
      </c>
      <c r="H512" s="7" t="s">
        <v>482</v>
      </c>
      <c r="I512" s="2" t="s">
        <v>483</v>
      </c>
      <c r="J512" s="2" t="s">
        <v>536</v>
      </c>
      <c r="K512" s="2" t="s">
        <v>304</v>
      </c>
      <c r="L512" s="2" t="s">
        <v>100</v>
      </c>
      <c r="M512" s="8" t="str">
        <f>HYPERLINK("http://slimages.macys.com/is/image/MCY/13987449 ")</f>
        <v xml:space="preserve">http://slimages.macys.com/is/image/MCY/13987449 </v>
      </c>
    </row>
    <row r="513" spans="1:13" ht="60" x14ac:dyDescent="0.25">
      <c r="A513" s="7" t="s">
        <v>7218</v>
      </c>
      <c r="B513" s="2" t="s">
        <v>4526</v>
      </c>
      <c r="C513" s="4">
        <v>2</v>
      </c>
      <c r="D513" s="5">
        <v>2.4300000000000002</v>
      </c>
      <c r="E513" s="5">
        <v>6.99</v>
      </c>
      <c r="F513" s="4">
        <v>10005485000</v>
      </c>
      <c r="G513" s="2" t="s">
        <v>134</v>
      </c>
      <c r="H513" s="7"/>
      <c r="I513" s="2" t="s">
        <v>483</v>
      </c>
      <c r="J513" s="2" t="s">
        <v>536</v>
      </c>
      <c r="K513" s="2" t="s">
        <v>304</v>
      </c>
      <c r="L513" s="2" t="s">
        <v>596</v>
      </c>
      <c r="M513" s="8" t="str">
        <f>HYPERLINK("http://slimages.macys.com/is/image/MCY/12465974 ")</f>
        <v xml:space="preserve">http://slimages.macys.com/is/image/MCY/12465974 </v>
      </c>
    </row>
    <row r="514" spans="1:13" ht="60" x14ac:dyDescent="0.25">
      <c r="A514" s="7" t="s">
        <v>7219</v>
      </c>
      <c r="B514" s="2" t="s">
        <v>4564</v>
      </c>
      <c r="C514" s="4">
        <v>4</v>
      </c>
      <c r="D514" s="5">
        <v>2.4300000000000002</v>
      </c>
      <c r="E514" s="5">
        <v>6.99</v>
      </c>
      <c r="F514" s="4" t="s">
        <v>4565</v>
      </c>
      <c r="G514" s="2" t="s">
        <v>171</v>
      </c>
      <c r="H514" s="7" t="s">
        <v>149</v>
      </c>
      <c r="I514" s="2" t="s">
        <v>483</v>
      </c>
      <c r="J514" s="2" t="s">
        <v>536</v>
      </c>
      <c r="K514" s="2" t="s">
        <v>304</v>
      </c>
      <c r="L514" s="2" t="s">
        <v>100</v>
      </c>
      <c r="M514" s="8" t="str">
        <f>HYPERLINK("http://slimages.macys.com/is/image/MCY/13987449 ")</f>
        <v xml:space="preserve">http://slimages.macys.com/is/image/MCY/13987449 </v>
      </c>
    </row>
    <row r="515" spans="1:13" ht="60" x14ac:dyDescent="0.25">
      <c r="A515" s="7" t="s">
        <v>7220</v>
      </c>
      <c r="B515" s="2" t="s">
        <v>4564</v>
      </c>
      <c r="C515" s="4">
        <v>3</v>
      </c>
      <c r="D515" s="5">
        <v>2.4300000000000002</v>
      </c>
      <c r="E515" s="5">
        <v>6.99</v>
      </c>
      <c r="F515" s="4" t="s">
        <v>4565</v>
      </c>
      <c r="G515" s="2" t="s">
        <v>171</v>
      </c>
      <c r="H515" s="7"/>
      <c r="I515" s="2" t="s">
        <v>483</v>
      </c>
      <c r="J515" s="2" t="s">
        <v>536</v>
      </c>
      <c r="K515" s="2" t="s">
        <v>304</v>
      </c>
      <c r="L515" s="2" t="s">
        <v>100</v>
      </c>
      <c r="M515" s="8" t="str">
        <f>HYPERLINK("http://slimages.macys.com/is/image/MCY/13987449 ")</f>
        <v xml:space="preserve">http://slimages.macys.com/is/image/MCY/13987449 </v>
      </c>
    </row>
    <row r="516" spans="1:13" ht="60" x14ac:dyDescent="0.25">
      <c r="A516" s="7" t="s">
        <v>7221</v>
      </c>
      <c r="B516" s="2" t="s">
        <v>7222</v>
      </c>
      <c r="C516" s="4">
        <v>1</v>
      </c>
      <c r="D516" s="5">
        <v>2.41</v>
      </c>
      <c r="E516" s="5">
        <v>5.99</v>
      </c>
      <c r="F516" s="4" t="s">
        <v>7223</v>
      </c>
      <c r="G516" s="2" t="s">
        <v>36</v>
      </c>
      <c r="H516" s="7" t="s">
        <v>442</v>
      </c>
      <c r="I516" s="2" t="s">
        <v>483</v>
      </c>
      <c r="J516" s="2" t="s">
        <v>536</v>
      </c>
      <c r="K516" s="2" t="s">
        <v>304</v>
      </c>
      <c r="L516" s="2" t="s">
        <v>206</v>
      </c>
      <c r="M516" s="8" t="str">
        <f>HYPERLINK("http://slimages.macys.com/is/image/MCY/12239806 ")</f>
        <v xml:space="preserve">http://slimages.macys.com/is/image/MCY/12239806 </v>
      </c>
    </row>
    <row r="517" spans="1:13" ht="60" x14ac:dyDescent="0.25">
      <c r="A517" s="7" t="s">
        <v>7224</v>
      </c>
      <c r="B517" s="2" t="s">
        <v>1336</v>
      </c>
      <c r="C517" s="4">
        <v>3</v>
      </c>
      <c r="D517" s="5">
        <v>2.4</v>
      </c>
      <c r="E517" s="5">
        <v>5.99</v>
      </c>
      <c r="F517" s="4" t="s">
        <v>1337</v>
      </c>
      <c r="G517" s="2" t="s">
        <v>657</v>
      </c>
      <c r="H517" s="7" t="s">
        <v>42</v>
      </c>
      <c r="I517" s="2" t="s">
        <v>483</v>
      </c>
      <c r="J517" s="2" t="s">
        <v>536</v>
      </c>
      <c r="K517" s="2" t="s">
        <v>304</v>
      </c>
      <c r="L517" s="2" t="s">
        <v>119</v>
      </c>
      <c r="M517" s="8" t="str">
        <f>HYPERLINK("http://slimages.macys.com/is/image/MCY/13987252 ")</f>
        <v xml:space="preserve">http://slimages.macys.com/is/image/MCY/13987252 </v>
      </c>
    </row>
    <row r="518" spans="1:13" ht="60" x14ac:dyDescent="0.25">
      <c r="A518" s="7" t="s">
        <v>1335</v>
      </c>
      <c r="B518" s="2" t="s">
        <v>1336</v>
      </c>
      <c r="C518" s="4">
        <v>2</v>
      </c>
      <c r="D518" s="5">
        <v>2.4</v>
      </c>
      <c r="E518" s="5">
        <v>5.99</v>
      </c>
      <c r="F518" s="4" t="s">
        <v>1337</v>
      </c>
      <c r="G518" s="2" t="s">
        <v>657</v>
      </c>
      <c r="H518" s="7" t="s">
        <v>149</v>
      </c>
      <c r="I518" s="2" t="s">
        <v>483</v>
      </c>
      <c r="J518" s="2" t="s">
        <v>536</v>
      </c>
      <c r="K518" s="2" t="s">
        <v>304</v>
      </c>
      <c r="L518" s="2" t="s">
        <v>119</v>
      </c>
      <c r="M518" s="8" t="str">
        <f>HYPERLINK("http://slimages.macys.com/is/image/MCY/13987252 ")</f>
        <v xml:space="preserve">http://slimages.macys.com/is/image/MCY/13987252 </v>
      </c>
    </row>
    <row r="519" spans="1:13" ht="60" x14ac:dyDescent="0.25">
      <c r="A519" s="7" t="s">
        <v>7225</v>
      </c>
      <c r="B519" s="2" t="s">
        <v>1336</v>
      </c>
      <c r="C519" s="4">
        <v>3</v>
      </c>
      <c r="D519" s="5">
        <v>2.4</v>
      </c>
      <c r="E519" s="5">
        <v>5.99</v>
      </c>
      <c r="F519" s="4" t="s">
        <v>1337</v>
      </c>
      <c r="G519" s="2" t="s">
        <v>657</v>
      </c>
      <c r="H519" s="7" t="s">
        <v>91</v>
      </c>
      <c r="I519" s="2" t="s">
        <v>483</v>
      </c>
      <c r="J519" s="2" t="s">
        <v>536</v>
      </c>
      <c r="K519" s="2" t="s">
        <v>304</v>
      </c>
      <c r="L519" s="2" t="s">
        <v>119</v>
      </c>
      <c r="M519" s="8" t="str">
        <f>HYPERLINK("http://slimages.macys.com/is/image/MCY/13987252 ")</f>
        <v xml:space="preserve">http://slimages.macys.com/is/image/MCY/13987252 </v>
      </c>
    </row>
    <row r="520" spans="1:13" ht="60" x14ac:dyDescent="0.25">
      <c r="A520" s="7" t="s">
        <v>2327</v>
      </c>
      <c r="B520" s="2" t="s">
        <v>1336</v>
      </c>
      <c r="C520" s="4">
        <v>1</v>
      </c>
      <c r="D520" s="5">
        <v>2.4</v>
      </c>
      <c r="E520" s="5">
        <v>5.99</v>
      </c>
      <c r="F520" s="4" t="s">
        <v>1337</v>
      </c>
      <c r="G520" s="2" t="s">
        <v>657</v>
      </c>
      <c r="H520" s="7" t="s">
        <v>442</v>
      </c>
      <c r="I520" s="2" t="s">
        <v>483</v>
      </c>
      <c r="J520" s="2" t="s">
        <v>536</v>
      </c>
      <c r="K520" s="2" t="s">
        <v>304</v>
      </c>
      <c r="L520" s="2" t="s">
        <v>119</v>
      </c>
      <c r="M520" s="8" t="str">
        <f>HYPERLINK("http://slimages.macys.com/is/image/MCY/13987252 ")</f>
        <v xml:space="preserve">http://slimages.macys.com/is/image/MCY/13987252 </v>
      </c>
    </row>
    <row r="521" spans="1:13" ht="60" x14ac:dyDescent="0.25">
      <c r="A521" s="7" t="s">
        <v>7226</v>
      </c>
      <c r="B521" s="2" t="s">
        <v>7227</v>
      </c>
      <c r="C521" s="4">
        <v>2</v>
      </c>
      <c r="D521" s="5">
        <v>2.4</v>
      </c>
      <c r="E521" s="5">
        <v>5.99</v>
      </c>
      <c r="F521" s="4" t="s">
        <v>7228</v>
      </c>
      <c r="G521" s="2" t="s">
        <v>28</v>
      </c>
      <c r="H521" s="7" t="s">
        <v>42</v>
      </c>
      <c r="I521" s="2" t="s">
        <v>483</v>
      </c>
      <c r="J521" s="2" t="s">
        <v>536</v>
      </c>
      <c r="K521" s="2" t="s">
        <v>304</v>
      </c>
      <c r="L521" s="2" t="s">
        <v>38</v>
      </c>
      <c r="M521" s="8" t="str">
        <f>HYPERLINK("http://slimages.macys.com/is/image/MCY/11953879 ")</f>
        <v xml:space="preserve">http://slimages.macys.com/is/image/MCY/11953879 </v>
      </c>
    </row>
    <row r="522" spans="1:13" ht="60" x14ac:dyDescent="0.25">
      <c r="A522" s="7" t="s">
        <v>6592</v>
      </c>
      <c r="B522" s="2" t="s">
        <v>1336</v>
      </c>
      <c r="C522" s="4">
        <v>1</v>
      </c>
      <c r="D522" s="5">
        <v>2.4</v>
      </c>
      <c r="E522" s="5">
        <v>5.99</v>
      </c>
      <c r="F522" s="4" t="s">
        <v>1337</v>
      </c>
      <c r="G522" s="2" t="s">
        <v>657</v>
      </c>
      <c r="H522" s="7" t="s">
        <v>590</v>
      </c>
      <c r="I522" s="2" t="s">
        <v>483</v>
      </c>
      <c r="J522" s="2" t="s">
        <v>536</v>
      </c>
      <c r="K522" s="2" t="s">
        <v>304</v>
      </c>
      <c r="L522" s="2" t="s">
        <v>119</v>
      </c>
      <c r="M522" s="8" t="str">
        <f>HYPERLINK("http://slimages.macys.com/is/image/MCY/13987252 ")</f>
        <v xml:space="preserve">http://slimages.macys.com/is/image/MCY/13987252 </v>
      </c>
    </row>
    <row r="523" spans="1:13" ht="60" x14ac:dyDescent="0.25">
      <c r="A523" s="7" t="s">
        <v>7229</v>
      </c>
      <c r="B523" s="2" t="s">
        <v>3540</v>
      </c>
      <c r="C523" s="4">
        <v>1</v>
      </c>
      <c r="D523" s="5">
        <v>2.4</v>
      </c>
      <c r="E523" s="5">
        <v>5.99</v>
      </c>
      <c r="F523" s="4" t="s">
        <v>3541</v>
      </c>
      <c r="G523" s="2" t="s">
        <v>41</v>
      </c>
      <c r="H523" s="7" t="s">
        <v>91</v>
      </c>
      <c r="I523" s="2" t="s">
        <v>483</v>
      </c>
      <c r="J523" s="2" t="s">
        <v>536</v>
      </c>
      <c r="K523" s="2" t="s">
        <v>304</v>
      </c>
      <c r="L523" s="2" t="s">
        <v>100</v>
      </c>
      <c r="M523" s="8" t="str">
        <f>HYPERLINK("http://slimages.macys.com/is/image/MCY/12406900 ")</f>
        <v xml:space="preserve">http://slimages.macys.com/is/image/MCY/12406900 </v>
      </c>
    </row>
    <row r="524" spans="1:13" ht="60" x14ac:dyDescent="0.25">
      <c r="A524" s="7" t="s">
        <v>7230</v>
      </c>
      <c r="B524" s="2" t="s">
        <v>7227</v>
      </c>
      <c r="C524" s="4">
        <v>1</v>
      </c>
      <c r="D524" s="5">
        <v>2.4</v>
      </c>
      <c r="E524" s="5">
        <v>5.99</v>
      </c>
      <c r="F524" s="4" t="s">
        <v>7228</v>
      </c>
      <c r="G524" s="2" t="s">
        <v>28</v>
      </c>
      <c r="H524" s="7" t="s">
        <v>91</v>
      </c>
      <c r="I524" s="2" t="s">
        <v>483</v>
      </c>
      <c r="J524" s="2" t="s">
        <v>536</v>
      </c>
      <c r="K524" s="2" t="s">
        <v>304</v>
      </c>
      <c r="L524" s="2" t="s">
        <v>38</v>
      </c>
      <c r="M524" s="8" t="str">
        <f>HYPERLINK("http://slimages.macys.com/is/image/MCY/11953879 ")</f>
        <v xml:space="preserve">http://slimages.macys.com/is/image/MCY/11953879 </v>
      </c>
    </row>
    <row r="525" spans="1:13" ht="60" x14ac:dyDescent="0.25">
      <c r="A525" s="7" t="s">
        <v>7231</v>
      </c>
      <c r="B525" s="2" t="s">
        <v>7232</v>
      </c>
      <c r="C525" s="4">
        <v>1</v>
      </c>
      <c r="D525" s="5">
        <v>2.38</v>
      </c>
      <c r="E525" s="5">
        <v>5.99</v>
      </c>
      <c r="F525" s="4" t="s">
        <v>7233</v>
      </c>
      <c r="G525" s="2" t="s">
        <v>28</v>
      </c>
      <c r="H525" s="7" t="s">
        <v>91</v>
      </c>
      <c r="I525" s="2" t="s">
        <v>483</v>
      </c>
      <c r="J525" s="2" t="s">
        <v>536</v>
      </c>
      <c r="K525" s="2" t="s">
        <v>304</v>
      </c>
      <c r="L525" s="2" t="s">
        <v>119</v>
      </c>
      <c r="M525" s="8" t="str">
        <f>HYPERLINK("http://slimages.macys.com/is/image/MCY/13987615 ")</f>
        <v xml:space="preserve">http://slimages.macys.com/is/image/MCY/13987615 </v>
      </c>
    </row>
    <row r="526" spans="1:13" ht="60" x14ac:dyDescent="0.25">
      <c r="A526" s="7" t="s">
        <v>2332</v>
      </c>
      <c r="B526" s="2" t="s">
        <v>2330</v>
      </c>
      <c r="C526" s="4">
        <v>1</v>
      </c>
      <c r="D526" s="5">
        <v>2.35</v>
      </c>
      <c r="E526" s="5">
        <v>5.99</v>
      </c>
      <c r="F526" s="4" t="s">
        <v>2331</v>
      </c>
      <c r="G526" s="2" t="s">
        <v>36</v>
      </c>
      <c r="H526" s="7" t="s">
        <v>42</v>
      </c>
      <c r="I526" s="2" t="s">
        <v>483</v>
      </c>
      <c r="J526" s="2" t="s">
        <v>536</v>
      </c>
      <c r="K526" s="2" t="s">
        <v>304</v>
      </c>
      <c r="L526" s="2" t="s">
        <v>596</v>
      </c>
      <c r="M526" s="8" t="str">
        <f>HYPERLINK("http://slimages.macys.com/is/image/MCY/12466357 ")</f>
        <v xml:space="preserve">http://slimages.macys.com/is/image/MCY/12466357 </v>
      </c>
    </row>
    <row r="527" spans="1:13" ht="60" x14ac:dyDescent="0.25">
      <c r="A527" s="7" t="s">
        <v>6602</v>
      </c>
      <c r="B527" s="2" t="s">
        <v>2335</v>
      </c>
      <c r="C527" s="4">
        <v>2</v>
      </c>
      <c r="D527" s="5">
        <v>2.34</v>
      </c>
      <c r="E527" s="5">
        <v>5.99</v>
      </c>
      <c r="F527" s="4" t="s">
        <v>2336</v>
      </c>
      <c r="G527" s="2" t="s">
        <v>41</v>
      </c>
      <c r="H527" s="7" t="s">
        <v>590</v>
      </c>
      <c r="I527" s="2" t="s">
        <v>483</v>
      </c>
      <c r="J527" s="2" t="s">
        <v>536</v>
      </c>
      <c r="K527" s="2" t="s">
        <v>304</v>
      </c>
      <c r="L527" s="2" t="s">
        <v>100</v>
      </c>
      <c r="M527" s="8" t="str">
        <f>HYPERLINK("http://slimages.macys.com/is/image/MCY/12466329 ")</f>
        <v xml:space="preserve">http://slimages.macys.com/is/image/MCY/12466329 </v>
      </c>
    </row>
    <row r="528" spans="1:13" ht="60" x14ac:dyDescent="0.25">
      <c r="A528" s="7" t="s">
        <v>6601</v>
      </c>
      <c r="B528" s="2" t="s">
        <v>2338</v>
      </c>
      <c r="C528" s="4">
        <v>1</v>
      </c>
      <c r="D528" s="5">
        <v>2.34</v>
      </c>
      <c r="E528" s="5">
        <v>5.99</v>
      </c>
      <c r="F528" s="4" t="s">
        <v>2339</v>
      </c>
      <c r="G528" s="2" t="s">
        <v>41</v>
      </c>
      <c r="H528" s="7" t="s">
        <v>149</v>
      </c>
      <c r="I528" s="2" t="s">
        <v>483</v>
      </c>
      <c r="J528" s="2" t="s">
        <v>536</v>
      </c>
      <c r="K528" s="2" t="s">
        <v>304</v>
      </c>
      <c r="L528" s="2" t="s">
        <v>38</v>
      </c>
      <c r="M528" s="8" t="str">
        <f>HYPERLINK("http://slimages.macys.com/is/image/MCY/13386590 ")</f>
        <v xml:space="preserve">http://slimages.macys.com/is/image/MCY/13386590 </v>
      </c>
    </row>
    <row r="529" spans="1:13" ht="60" x14ac:dyDescent="0.25">
      <c r="A529" s="7" t="s">
        <v>2341</v>
      </c>
      <c r="B529" s="2" t="s">
        <v>2338</v>
      </c>
      <c r="C529" s="4">
        <v>1</v>
      </c>
      <c r="D529" s="5">
        <v>2.34</v>
      </c>
      <c r="E529" s="5">
        <v>5.99</v>
      </c>
      <c r="F529" s="4" t="s">
        <v>2339</v>
      </c>
      <c r="G529" s="2" t="s">
        <v>41</v>
      </c>
      <c r="H529" s="7" t="s">
        <v>590</v>
      </c>
      <c r="I529" s="2" t="s">
        <v>483</v>
      </c>
      <c r="J529" s="2" t="s">
        <v>536</v>
      </c>
      <c r="K529" s="2" t="s">
        <v>304</v>
      </c>
      <c r="L529" s="2" t="s">
        <v>38</v>
      </c>
      <c r="M529" s="8" t="str">
        <f>HYPERLINK("http://slimages.macys.com/is/image/MCY/13386590 ")</f>
        <v xml:space="preserve">http://slimages.macys.com/is/image/MCY/13386590 </v>
      </c>
    </row>
    <row r="530" spans="1:13" ht="60" x14ac:dyDescent="0.25">
      <c r="A530" s="7" t="s">
        <v>2337</v>
      </c>
      <c r="B530" s="2" t="s">
        <v>2338</v>
      </c>
      <c r="C530" s="4">
        <v>1</v>
      </c>
      <c r="D530" s="5">
        <v>2.34</v>
      </c>
      <c r="E530" s="5">
        <v>5.99</v>
      </c>
      <c r="F530" s="4" t="s">
        <v>2339</v>
      </c>
      <c r="G530" s="2" t="s">
        <v>41</v>
      </c>
      <c r="H530" s="7" t="s">
        <v>442</v>
      </c>
      <c r="I530" s="2" t="s">
        <v>483</v>
      </c>
      <c r="J530" s="2" t="s">
        <v>536</v>
      </c>
      <c r="K530" s="2" t="s">
        <v>304</v>
      </c>
      <c r="L530" s="2" t="s">
        <v>38</v>
      </c>
      <c r="M530" s="8" t="str">
        <f>HYPERLINK("http://slimages.macys.com/is/image/MCY/13386590 ")</f>
        <v xml:space="preserve">http://slimages.macys.com/is/image/MCY/13386590 </v>
      </c>
    </row>
    <row r="531" spans="1:13" ht="60" x14ac:dyDescent="0.25">
      <c r="A531" s="7" t="s">
        <v>7234</v>
      </c>
      <c r="B531" s="2" t="s">
        <v>4573</v>
      </c>
      <c r="C531" s="4">
        <v>1</v>
      </c>
      <c r="D531" s="5">
        <v>2.34</v>
      </c>
      <c r="E531" s="5">
        <v>5.99</v>
      </c>
      <c r="F531" s="4" t="s">
        <v>4574</v>
      </c>
      <c r="G531" s="2" t="s">
        <v>1360</v>
      </c>
      <c r="H531" s="7" t="s">
        <v>149</v>
      </c>
      <c r="I531" s="2" t="s">
        <v>483</v>
      </c>
      <c r="J531" s="2" t="s">
        <v>536</v>
      </c>
      <c r="K531" s="2" t="s">
        <v>304</v>
      </c>
      <c r="L531" s="2" t="s">
        <v>38</v>
      </c>
      <c r="M531" s="8" t="str">
        <f>HYPERLINK("http://slimages.macys.com/is/image/MCY/13987605 ")</f>
        <v xml:space="preserve">http://slimages.macys.com/is/image/MCY/13987605 </v>
      </c>
    </row>
    <row r="532" spans="1:13" ht="60" x14ac:dyDescent="0.25">
      <c r="A532" s="7" t="s">
        <v>7235</v>
      </c>
      <c r="B532" s="2" t="s">
        <v>7236</v>
      </c>
      <c r="C532" s="4">
        <v>1</v>
      </c>
      <c r="D532" s="5">
        <v>2.34</v>
      </c>
      <c r="E532" s="5">
        <v>5.99</v>
      </c>
      <c r="F532" s="4" t="s">
        <v>7237</v>
      </c>
      <c r="G532" s="2" t="s">
        <v>103</v>
      </c>
      <c r="H532" s="7" t="s">
        <v>42</v>
      </c>
      <c r="I532" s="2" t="s">
        <v>483</v>
      </c>
      <c r="J532" s="2" t="s">
        <v>536</v>
      </c>
      <c r="K532" s="2" t="s">
        <v>304</v>
      </c>
      <c r="L532" s="2" t="s">
        <v>87</v>
      </c>
      <c r="M532" s="8" t="str">
        <f>HYPERLINK("http://slimages.macys.com/is/image/MCY/12466358 ")</f>
        <v xml:space="preserve">http://slimages.macys.com/is/image/MCY/12466358 </v>
      </c>
    </row>
    <row r="533" spans="1:13" ht="60" x14ac:dyDescent="0.25">
      <c r="A533" s="7" t="s">
        <v>4572</v>
      </c>
      <c r="B533" s="2" t="s">
        <v>4573</v>
      </c>
      <c r="C533" s="4">
        <v>1</v>
      </c>
      <c r="D533" s="5">
        <v>2.34</v>
      </c>
      <c r="E533" s="5">
        <v>5.99</v>
      </c>
      <c r="F533" s="4" t="s">
        <v>4574</v>
      </c>
      <c r="G533" s="2" t="s">
        <v>1360</v>
      </c>
      <c r="H533" s="7" t="s">
        <v>91</v>
      </c>
      <c r="I533" s="2" t="s">
        <v>483</v>
      </c>
      <c r="J533" s="2" t="s">
        <v>536</v>
      </c>
      <c r="K533" s="2" t="s">
        <v>304</v>
      </c>
      <c r="L533" s="2" t="s">
        <v>38</v>
      </c>
      <c r="M533" s="8" t="str">
        <f>HYPERLINK("http://slimages.macys.com/is/image/MCY/13987605 ")</f>
        <v xml:space="preserve">http://slimages.macys.com/is/image/MCY/13987605 </v>
      </c>
    </row>
    <row r="534" spans="1:13" ht="60" x14ac:dyDescent="0.25">
      <c r="A534" s="7" t="s">
        <v>7238</v>
      </c>
      <c r="B534" s="2" t="s">
        <v>6604</v>
      </c>
      <c r="C534" s="4">
        <v>1</v>
      </c>
      <c r="D534" s="5">
        <v>2.33</v>
      </c>
      <c r="E534" s="5">
        <v>6.99</v>
      </c>
      <c r="F534" s="4" t="s">
        <v>6605</v>
      </c>
      <c r="G534" s="2" t="s">
        <v>195</v>
      </c>
      <c r="H534" s="7" t="s">
        <v>590</v>
      </c>
      <c r="I534" s="2" t="s">
        <v>483</v>
      </c>
      <c r="J534" s="2" t="s">
        <v>536</v>
      </c>
      <c r="K534" s="2" t="s">
        <v>304</v>
      </c>
      <c r="L534" s="2" t="s">
        <v>100</v>
      </c>
      <c r="M534" s="8" t="str">
        <f>HYPERLINK("http://slimages.macys.com/is/image/MCY/12466085 ")</f>
        <v xml:space="preserve">http://slimages.macys.com/is/image/MCY/12466085 </v>
      </c>
    </row>
    <row r="535" spans="1:13" ht="60" x14ac:dyDescent="0.25">
      <c r="A535" s="7" t="s">
        <v>7239</v>
      </c>
      <c r="B535" s="2" t="s">
        <v>4576</v>
      </c>
      <c r="C535" s="4">
        <v>1</v>
      </c>
      <c r="D535" s="5">
        <v>2.33</v>
      </c>
      <c r="E535" s="5">
        <v>6.99</v>
      </c>
      <c r="F535" s="4" t="s">
        <v>4577</v>
      </c>
      <c r="G535" s="2" t="s">
        <v>297</v>
      </c>
      <c r="H535" s="7" t="s">
        <v>482</v>
      </c>
      <c r="I535" s="2" t="s">
        <v>483</v>
      </c>
      <c r="J535" s="2" t="s">
        <v>536</v>
      </c>
      <c r="K535" s="2" t="s">
        <v>304</v>
      </c>
      <c r="L535" s="2" t="s">
        <v>596</v>
      </c>
      <c r="M535" s="8" t="str">
        <f>HYPERLINK("http://slimages.macys.com/is/image/MCY/12465959 ")</f>
        <v xml:space="preserve">http://slimages.macys.com/is/image/MCY/12465959 </v>
      </c>
    </row>
    <row r="536" spans="1:13" ht="60" x14ac:dyDescent="0.25">
      <c r="A536" s="7" t="s">
        <v>6609</v>
      </c>
      <c r="B536" s="2" t="s">
        <v>6610</v>
      </c>
      <c r="C536" s="4">
        <v>1</v>
      </c>
      <c r="D536" s="5">
        <v>2.33</v>
      </c>
      <c r="E536" s="5">
        <v>6.99</v>
      </c>
      <c r="F536" s="4" t="s">
        <v>6611</v>
      </c>
      <c r="G536" s="2" t="s">
        <v>41</v>
      </c>
      <c r="H536" s="7" t="s">
        <v>482</v>
      </c>
      <c r="I536" s="2" t="s">
        <v>483</v>
      </c>
      <c r="J536" s="2" t="s">
        <v>536</v>
      </c>
      <c r="K536" s="2" t="s">
        <v>304</v>
      </c>
      <c r="L536" s="2" t="s">
        <v>100</v>
      </c>
      <c r="M536" s="8" t="str">
        <f>HYPERLINK("http://slimages.macys.com/is/image/MCY/12636233 ")</f>
        <v xml:space="preserve">http://slimages.macys.com/is/image/MCY/12636233 </v>
      </c>
    </row>
    <row r="537" spans="1:13" ht="60" x14ac:dyDescent="0.25">
      <c r="A537" s="7" t="s">
        <v>7240</v>
      </c>
      <c r="B537" s="2" t="s">
        <v>1362</v>
      </c>
      <c r="C537" s="4">
        <v>1</v>
      </c>
      <c r="D537" s="5">
        <v>2.33</v>
      </c>
      <c r="E537" s="5">
        <v>6.99</v>
      </c>
      <c r="F537" s="4" t="s">
        <v>1363</v>
      </c>
      <c r="G537" s="2" t="s">
        <v>527</v>
      </c>
      <c r="H537" s="7" t="s">
        <v>482</v>
      </c>
      <c r="I537" s="2" t="s">
        <v>483</v>
      </c>
      <c r="J537" s="2" t="s">
        <v>536</v>
      </c>
      <c r="K537" s="2" t="s">
        <v>304</v>
      </c>
      <c r="L537" s="2" t="s">
        <v>100</v>
      </c>
      <c r="M537" s="8" t="str">
        <f>HYPERLINK("http://slimages.macys.com/is/image/MCY/12465866 ")</f>
        <v xml:space="preserve">http://slimages.macys.com/is/image/MCY/12465866 </v>
      </c>
    </row>
    <row r="538" spans="1:13" ht="60" x14ac:dyDescent="0.25">
      <c r="A538" s="7" t="s">
        <v>7241</v>
      </c>
      <c r="B538" s="2" t="s">
        <v>6607</v>
      </c>
      <c r="C538" s="4">
        <v>1</v>
      </c>
      <c r="D538" s="5">
        <v>2.33</v>
      </c>
      <c r="E538" s="5">
        <v>6.99</v>
      </c>
      <c r="F538" s="4" t="s">
        <v>6608</v>
      </c>
      <c r="G538" s="2" t="s">
        <v>2107</v>
      </c>
      <c r="H538" s="7" t="s">
        <v>149</v>
      </c>
      <c r="I538" s="2" t="s">
        <v>483</v>
      </c>
      <c r="J538" s="2" t="s">
        <v>536</v>
      </c>
      <c r="K538" s="2"/>
      <c r="L538" s="2" t="s">
        <v>100</v>
      </c>
      <c r="M538" s="8" t="str">
        <f>HYPERLINK("http://slimages.macys.com/is/image/MCY/12466261 ")</f>
        <v xml:space="preserve">http://slimages.macys.com/is/image/MCY/12466261 </v>
      </c>
    </row>
    <row r="539" spans="1:13" ht="60" x14ac:dyDescent="0.25">
      <c r="A539" s="7" t="s">
        <v>7242</v>
      </c>
      <c r="B539" s="2" t="s">
        <v>6610</v>
      </c>
      <c r="C539" s="4">
        <v>1</v>
      </c>
      <c r="D539" s="5">
        <v>2.33</v>
      </c>
      <c r="E539" s="5">
        <v>6.99</v>
      </c>
      <c r="F539" s="4" t="s">
        <v>6611</v>
      </c>
      <c r="G539" s="2" t="s">
        <v>41</v>
      </c>
      <c r="H539" s="7" t="s">
        <v>590</v>
      </c>
      <c r="I539" s="2" t="s">
        <v>483</v>
      </c>
      <c r="J539" s="2" t="s">
        <v>536</v>
      </c>
      <c r="K539" s="2" t="s">
        <v>304</v>
      </c>
      <c r="L539" s="2" t="s">
        <v>100</v>
      </c>
      <c r="M539" s="8" t="str">
        <f>HYPERLINK("http://slimages.macys.com/is/image/MCY/12636233 ")</f>
        <v xml:space="preserve">http://slimages.macys.com/is/image/MCY/12636233 </v>
      </c>
    </row>
    <row r="540" spans="1:13" ht="60" x14ac:dyDescent="0.25">
      <c r="A540" s="7" t="s">
        <v>2347</v>
      </c>
      <c r="B540" s="2" t="s">
        <v>2348</v>
      </c>
      <c r="C540" s="4">
        <v>3</v>
      </c>
      <c r="D540" s="5">
        <v>2.31</v>
      </c>
      <c r="E540" s="5">
        <v>7.99</v>
      </c>
      <c r="F540" s="4">
        <v>10005380100</v>
      </c>
      <c r="G540" s="2" t="s">
        <v>1360</v>
      </c>
      <c r="H540" s="7" t="s">
        <v>531</v>
      </c>
      <c r="I540" s="2" t="s">
        <v>483</v>
      </c>
      <c r="J540" s="2" t="s">
        <v>536</v>
      </c>
      <c r="K540" s="2" t="s">
        <v>304</v>
      </c>
      <c r="L540" s="2" t="s">
        <v>87</v>
      </c>
      <c r="M540" s="8" t="str">
        <f>HYPERLINK("http://slimages.macys.com/is/image/MCY/12466174 ")</f>
        <v xml:space="preserve">http://slimages.macys.com/is/image/MCY/12466174 </v>
      </c>
    </row>
    <row r="541" spans="1:13" ht="60" x14ac:dyDescent="0.25">
      <c r="A541" s="7" t="s">
        <v>2349</v>
      </c>
      <c r="B541" s="2" t="s">
        <v>2350</v>
      </c>
      <c r="C541" s="4">
        <v>5</v>
      </c>
      <c r="D541" s="5">
        <v>2.31</v>
      </c>
      <c r="E541" s="5">
        <v>7.99</v>
      </c>
      <c r="F541" s="4" t="s">
        <v>2351</v>
      </c>
      <c r="G541" s="2" t="s">
        <v>657</v>
      </c>
      <c r="H541" s="7" t="s">
        <v>1151</v>
      </c>
      <c r="I541" s="2" t="s">
        <v>483</v>
      </c>
      <c r="J541" s="2" t="s">
        <v>536</v>
      </c>
      <c r="K541" s="2" t="s">
        <v>304</v>
      </c>
      <c r="L541" s="2" t="s">
        <v>38</v>
      </c>
      <c r="M541" s="8" t="str">
        <f>HYPERLINK("http://slimages.macys.com/is/image/MCY/13987607 ")</f>
        <v xml:space="preserve">http://slimages.macys.com/is/image/MCY/13987607 </v>
      </c>
    </row>
    <row r="542" spans="1:13" ht="60" x14ac:dyDescent="0.25">
      <c r="A542" s="7" t="s">
        <v>4580</v>
      </c>
      <c r="B542" s="2" t="s">
        <v>2350</v>
      </c>
      <c r="C542" s="4">
        <v>3</v>
      </c>
      <c r="D542" s="5">
        <v>2.31</v>
      </c>
      <c r="E542" s="5">
        <v>7.99</v>
      </c>
      <c r="F542" s="4" t="s">
        <v>2351</v>
      </c>
      <c r="G542" s="2" t="s">
        <v>657</v>
      </c>
      <c r="H542" s="7" t="s">
        <v>514</v>
      </c>
      <c r="I542" s="2" t="s">
        <v>483</v>
      </c>
      <c r="J542" s="2" t="s">
        <v>536</v>
      </c>
      <c r="K542" s="2" t="s">
        <v>304</v>
      </c>
      <c r="L542" s="2" t="s">
        <v>38</v>
      </c>
      <c r="M542" s="8" t="str">
        <f>HYPERLINK("http://slimages.macys.com/is/image/MCY/13987607 ")</f>
        <v xml:space="preserve">http://slimages.macys.com/is/image/MCY/13987607 </v>
      </c>
    </row>
    <row r="543" spans="1:13" ht="60" x14ac:dyDescent="0.25">
      <c r="A543" s="7" t="s">
        <v>3546</v>
      </c>
      <c r="B543" s="2" t="s">
        <v>2353</v>
      </c>
      <c r="C543" s="4">
        <v>2</v>
      </c>
      <c r="D543" s="5">
        <v>2.31</v>
      </c>
      <c r="E543" s="5">
        <v>7.99</v>
      </c>
      <c r="F543" s="4" t="s">
        <v>2354</v>
      </c>
      <c r="G543" s="2" t="s">
        <v>657</v>
      </c>
      <c r="H543" s="7" t="s">
        <v>578</v>
      </c>
      <c r="I543" s="2" t="s">
        <v>483</v>
      </c>
      <c r="J543" s="2" t="s">
        <v>536</v>
      </c>
      <c r="K543" s="2" t="s">
        <v>304</v>
      </c>
      <c r="L543" s="2" t="s">
        <v>119</v>
      </c>
      <c r="M543" s="8" t="str">
        <f>HYPERLINK("http://slimages.macys.com/is/image/MCY/13987628 ")</f>
        <v xml:space="preserve">http://slimages.macys.com/is/image/MCY/13987628 </v>
      </c>
    </row>
    <row r="544" spans="1:13" ht="60" x14ac:dyDescent="0.25">
      <c r="A544" s="7" t="s">
        <v>4581</v>
      </c>
      <c r="B544" s="2" t="s">
        <v>2350</v>
      </c>
      <c r="C544" s="4">
        <v>2</v>
      </c>
      <c r="D544" s="5">
        <v>2.31</v>
      </c>
      <c r="E544" s="5">
        <v>7.99</v>
      </c>
      <c r="F544" s="4" t="s">
        <v>2351</v>
      </c>
      <c r="G544" s="2" t="s">
        <v>657</v>
      </c>
      <c r="H544" s="7" t="s">
        <v>578</v>
      </c>
      <c r="I544" s="2" t="s">
        <v>483</v>
      </c>
      <c r="J544" s="2" t="s">
        <v>536</v>
      </c>
      <c r="K544" s="2" t="s">
        <v>304</v>
      </c>
      <c r="L544" s="2" t="s">
        <v>38</v>
      </c>
      <c r="M544" s="8" t="str">
        <f>HYPERLINK("http://slimages.macys.com/is/image/MCY/13987607 ")</f>
        <v xml:space="preserve">http://slimages.macys.com/is/image/MCY/13987607 </v>
      </c>
    </row>
    <row r="545" spans="1:13" ht="60" x14ac:dyDescent="0.25">
      <c r="A545" s="7" t="s">
        <v>2352</v>
      </c>
      <c r="B545" s="2" t="s">
        <v>2353</v>
      </c>
      <c r="C545" s="4">
        <v>5</v>
      </c>
      <c r="D545" s="5">
        <v>2.31</v>
      </c>
      <c r="E545" s="5">
        <v>7.99</v>
      </c>
      <c r="F545" s="4" t="s">
        <v>2354</v>
      </c>
      <c r="G545" s="2" t="s">
        <v>657</v>
      </c>
      <c r="H545" s="7" t="s">
        <v>1151</v>
      </c>
      <c r="I545" s="2" t="s">
        <v>483</v>
      </c>
      <c r="J545" s="2" t="s">
        <v>536</v>
      </c>
      <c r="K545" s="2" t="s">
        <v>304</v>
      </c>
      <c r="L545" s="2" t="s">
        <v>119</v>
      </c>
      <c r="M545" s="8" t="str">
        <f>HYPERLINK("http://slimages.macys.com/is/image/MCY/13987628 ")</f>
        <v xml:space="preserve">http://slimages.macys.com/is/image/MCY/13987628 </v>
      </c>
    </row>
    <row r="546" spans="1:13" ht="60" x14ac:dyDescent="0.25">
      <c r="A546" s="7" t="s">
        <v>5765</v>
      </c>
      <c r="B546" s="2" t="s">
        <v>2353</v>
      </c>
      <c r="C546" s="4">
        <v>1</v>
      </c>
      <c r="D546" s="5">
        <v>2.31</v>
      </c>
      <c r="E546" s="5">
        <v>7.99</v>
      </c>
      <c r="F546" s="4" t="s">
        <v>2354</v>
      </c>
      <c r="G546" s="2" t="s">
        <v>657</v>
      </c>
      <c r="H546" s="7" t="s">
        <v>514</v>
      </c>
      <c r="I546" s="2" t="s">
        <v>483</v>
      </c>
      <c r="J546" s="2" t="s">
        <v>536</v>
      </c>
      <c r="K546" s="2" t="s">
        <v>304</v>
      </c>
      <c r="L546" s="2" t="s">
        <v>119</v>
      </c>
      <c r="M546" s="8" t="str">
        <f>HYPERLINK("http://slimages.macys.com/is/image/MCY/13987628 ")</f>
        <v xml:space="preserve">http://slimages.macys.com/is/image/MCY/13987628 </v>
      </c>
    </row>
    <row r="547" spans="1:13" ht="60" x14ac:dyDescent="0.25">
      <c r="A547" s="7" t="s">
        <v>5764</v>
      </c>
      <c r="B547" s="2" t="s">
        <v>4579</v>
      </c>
      <c r="C547" s="4">
        <v>6</v>
      </c>
      <c r="D547" s="5">
        <v>2.31</v>
      </c>
      <c r="E547" s="5">
        <v>7.99</v>
      </c>
      <c r="F547" s="4">
        <v>10004192100</v>
      </c>
      <c r="G547" s="2" t="s">
        <v>171</v>
      </c>
      <c r="H547" s="7" t="s">
        <v>531</v>
      </c>
      <c r="I547" s="2" t="s">
        <v>483</v>
      </c>
      <c r="J547" s="2" t="s">
        <v>536</v>
      </c>
      <c r="K547" s="2" t="s">
        <v>304</v>
      </c>
      <c r="L547" s="2" t="s">
        <v>75</v>
      </c>
      <c r="M547" s="8" t="str">
        <f>HYPERLINK("http://slimages.macys.com/is/image/MCY/11519987 ")</f>
        <v xml:space="preserve">http://slimages.macys.com/is/image/MCY/11519987 </v>
      </c>
    </row>
    <row r="548" spans="1:13" ht="60" x14ac:dyDescent="0.25">
      <c r="A548" s="7" t="s">
        <v>2361</v>
      </c>
      <c r="B548" s="2" t="s">
        <v>1365</v>
      </c>
      <c r="C548" s="4">
        <v>1</v>
      </c>
      <c r="D548" s="5">
        <v>2.29</v>
      </c>
      <c r="E548" s="5">
        <v>5.99</v>
      </c>
      <c r="F548" s="4" t="s">
        <v>1366</v>
      </c>
      <c r="G548" s="2" t="s">
        <v>62</v>
      </c>
      <c r="H548" s="7" t="s">
        <v>149</v>
      </c>
      <c r="I548" s="2" t="s">
        <v>483</v>
      </c>
      <c r="J548" s="2" t="s">
        <v>536</v>
      </c>
      <c r="K548" s="2" t="s">
        <v>304</v>
      </c>
      <c r="L548" s="2" t="s">
        <v>206</v>
      </c>
      <c r="M548" s="8" t="str">
        <f>HYPERLINK("http://slimages.macys.com/is/image/MCY/12463166 ")</f>
        <v xml:space="preserve">http://slimages.macys.com/is/image/MCY/12463166 </v>
      </c>
    </row>
    <row r="549" spans="1:13" ht="60" x14ac:dyDescent="0.25">
      <c r="A549" s="7" t="s">
        <v>4585</v>
      </c>
      <c r="B549" s="2" t="s">
        <v>2359</v>
      </c>
      <c r="C549" s="4">
        <v>1</v>
      </c>
      <c r="D549" s="5">
        <v>2.29</v>
      </c>
      <c r="E549" s="5">
        <v>5.99</v>
      </c>
      <c r="F549" s="4" t="s">
        <v>2360</v>
      </c>
      <c r="G549" s="2" t="s">
        <v>28</v>
      </c>
      <c r="H549" s="7" t="s">
        <v>590</v>
      </c>
      <c r="I549" s="2" t="s">
        <v>483</v>
      </c>
      <c r="J549" s="2" t="s">
        <v>536</v>
      </c>
      <c r="K549" s="2" t="s">
        <v>304</v>
      </c>
      <c r="L549" s="2" t="s">
        <v>119</v>
      </c>
      <c r="M549" s="8" t="str">
        <f>HYPERLINK("http://slimages.macys.com/is/image/MCY/12644507 ")</f>
        <v xml:space="preserve">http://slimages.macys.com/is/image/MCY/12644507 </v>
      </c>
    </row>
    <row r="550" spans="1:13" ht="60" x14ac:dyDescent="0.25">
      <c r="A550" s="7" t="s">
        <v>2362</v>
      </c>
      <c r="B550" s="2" t="s">
        <v>2359</v>
      </c>
      <c r="C550" s="4">
        <v>1</v>
      </c>
      <c r="D550" s="5">
        <v>2.29</v>
      </c>
      <c r="E550" s="5">
        <v>5.99</v>
      </c>
      <c r="F550" s="4" t="s">
        <v>2360</v>
      </c>
      <c r="G550" s="2" t="s">
        <v>28</v>
      </c>
      <c r="H550" s="7" t="s">
        <v>442</v>
      </c>
      <c r="I550" s="2" t="s">
        <v>483</v>
      </c>
      <c r="J550" s="2" t="s">
        <v>536</v>
      </c>
      <c r="K550" s="2" t="s">
        <v>304</v>
      </c>
      <c r="L550" s="2" t="s">
        <v>119</v>
      </c>
      <c r="M550" s="8" t="str">
        <f>HYPERLINK("http://slimages.macys.com/is/image/MCY/12644507 ")</f>
        <v xml:space="preserve">http://slimages.macys.com/is/image/MCY/12644507 </v>
      </c>
    </row>
    <row r="551" spans="1:13" ht="60" x14ac:dyDescent="0.25">
      <c r="A551" s="7" t="s">
        <v>6626</v>
      </c>
      <c r="B551" s="2" t="s">
        <v>2359</v>
      </c>
      <c r="C551" s="4">
        <v>1</v>
      </c>
      <c r="D551" s="5">
        <v>2.29</v>
      </c>
      <c r="E551" s="5">
        <v>5.99</v>
      </c>
      <c r="F551" s="4" t="s">
        <v>2360</v>
      </c>
      <c r="G551" s="2" t="s">
        <v>28</v>
      </c>
      <c r="H551" s="7" t="s">
        <v>91</v>
      </c>
      <c r="I551" s="2" t="s">
        <v>483</v>
      </c>
      <c r="J551" s="2" t="s">
        <v>536</v>
      </c>
      <c r="K551" s="2" t="s">
        <v>304</v>
      </c>
      <c r="L551" s="2" t="s">
        <v>119</v>
      </c>
      <c r="M551" s="8" t="str">
        <f>HYPERLINK("http://slimages.macys.com/is/image/MCY/12644507 ")</f>
        <v xml:space="preserve">http://slimages.macys.com/is/image/MCY/12644507 </v>
      </c>
    </row>
    <row r="552" spans="1:13" ht="60" x14ac:dyDescent="0.25">
      <c r="A552" s="7" t="s">
        <v>1364</v>
      </c>
      <c r="B552" s="2" t="s">
        <v>1365</v>
      </c>
      <c r="C552" s="4">
        <v>2</v>
      </c>
      <c r="D552" s="5">
        <v>2.29</v>
      </c>
      <c r="E552" s="5">
        <v>5.99</v>
      </c>
      <c r="F552" s="4" t="s">
        <v>1366</v>
      </c>
      <c r="G552" s="2" t="s">
        <v>62</v>
      </c>
      <c r="H552" s="7" t="s">
        <v>590</v>
      </c>
      <c r="I552" s="2" t="s">
        <v>483</v>
      </c>
      <c r="J552" s="2" t="s">
        <v>536</v>
      </c>
      <c r="K552" s="2" t="s">
        <v>304</v>
      </c>
      <c r="L552" s="2" t="s">
        <v>206</v>
      </c>
      <c r="M552" s="8" t="str">
        <f>HYPERLINK("http://slimages.macys.com/is/image/MCY/12463166 ")</f>
        <v xml:space="preserve">http://slimages.macys.com/is/image/MCY/12463166 </v>
      </c>
    </row>
    <row r="553" spans="1:13" ht="60" x14ac:dyDescent="0.25">
      <c r="A553" s="7" t="s">
        <v>7243</v>
      </c>
      <c r="B553" s="2" t="s">
        <v>7244</v>
      </c>
      <c r="C553" s="4">
        <v>1</v>
      </c>
      <c r="D553" s="5">
        <v>2.29</v>
      </c>
      <c r="E553" s="5">
        <v>5.99</v>
      </c>
      <c r="F553" s="4" t="s">
        <v>7245</v>
      </c>
      <c r="G553" s="2" t="s">
        <v>41</v>
      </c>
      <c r="H553" s="7" t="s">
        <v>442</v>
      </c>
      <c r="I553" s="2" t="s">
        <v>483</v>
      </c>
      <c r="J553" s="2" t="s">
        <v>536</v>
      </c>
      <c r="K553" s="2" t="s">
        <v>304</v>
      </c>
      <c r="L553" s="2" t="s">
        <v>206</v>
      </c>
      <c r="M553" s="8" t="str">
        <f>HYPERLINK("http://slimages.macys.com/is/image/MCY/11857585 ")</f>
        <v xml:space="preserve">http://slimages.macys.com/is/image/MCY/11857585 </v>
      </c>
    </row>
    <row r="554" spans="1:13" ht="60" x14ac:dyDescent="0.25">
      <c r="A554" s="7" t="s">
        <v>6624</v>
      </c>
      <c r="B554" s="2" t="s">
        <v>1365</v>
      </c>
      <c r="C554" s="4">
        <v>1</v>
      </c>
      <c r="D554" s="5">
        <v>2.29</v>
      </c>
      <c r="E554" s="5">
        <v>5.99</v>
      </c>
      <c r="F554" s="4" t="s">
        <v>1366</v>
      </c>
      <c r="G554" s="2" t="s">
        <v>62</v>
      </c>
      <c r="H554" s="7" t="s">
        <v>442</v>
      </c>
      <c r="I554" s="2" t="s">
        <v>483</v>
      </c>
      <c r="J554" s="2" t="s">
        <v>536</v>
      </c>
      <c r="K554" s="2" t="s">
        <v>304</v>
      </c>
      <c r="L554" s="2" t="s">
        <v>206</v>
      </c>
      <c r="M554" s="8" t="str">
        <f>HYPERLINK("http://slimages.macys.com/is/image/MCY/12463166 ")</f>
        <v xml:space="preserve">http://slimages.macys.com/is/image/MCY/12463166 </v>
      </c>
    </row>
    <row r="555" spans="1:13" ht="60" x14ac:dyDescent="0.25">
      <c r="A555" s="7" t="s">
        <v>2358</v>
      </c>
      <c r="B555" s="2" t="s">
        <v>2359</v>
      </c>
      <c r="C555" s="4">
        <v>1</v>
      </c>
      <c r="D555" s="5">
        <v>2.29</v>
      </c>
      <c r="E555" s="5">
        <v>5.99</v>
      </c>
      <c r="F555" s="4" t="s">
        <v>2360</v>
      </c>
      <c r="G555" s="2" t="s">
        <v>28</v>
      </c>
      <c r="H555" s="7" t="s">
        <v>42</v>
      </c>
      <c r="I555" s="2" t="s">
        <v>483</v>
      </c>
      <c r="J555" s="2" t="s">
        <v>536</v>
      </c>
      <c r="K555" s="2" t="s">
        <v>304</v>
      </c>
      <c r="L555" s="2" t="s">
        <v>119</v>
      </c>
      <c r="M555" s="8" t="str">
        <f>HYPERLINK("http://slimages.macys.com/is/image/MCY/12644507 ")</f>
        <v xml:space="preserve">http://slimages.macys.com/is/image/MCY/12644507 </v>
      </c>
    </row>
    <row r="556" spans="1:13" ht="60" x14ac:dyDescent="0.25">
      <c r="A556" s="7" t="s">
        <v>1370</v>
      </c>
      <c r="B556" s="2" t="s">
        <v>1368</v>
      </c>
      <c r="C556" s="4">
        <v>2</v>
      </c>
      <c r="D556" s="5">
        <v>2.2799999999999998</v>
      </c>
      <c r="E556" s="5">
        <v>5.99</v>
      </c>
      <c r="F556" s="4" t="s">
        <v>1369</v>
      </c>
      <c r="G556" s="2" t="s">
        <v>41</v>
      </c>
      <c r="H556" s="7" t="s">
        <v>42</v>
      </c>
      <c r="I556" s="2" t="s">
        <v>483</v>
      </c>
      <c r="J556" s="2" t="s">
        <v>536</v>
      </c>
      <c r="K556" s="2" t="s">
        <v>304</v>
      </c>
      <c r="L556" s="2" t="s">
        <v>38</v>
      </c>
      <c r="M556" s="8" t="str">
        <f>HYPERLINK("http://slimages.macys.com/is/image/MCY/13987603 ")</f>
        <v xml:space="preserve">http://slimages.macys.com/is/image/MCY/13987603 </v>
      </c>
    </row>
    <row r="557" spans="1:13" ht="60" x14ac:dyDescent="0.25">
      <c r="A557" s="7" t="s">
        <v>2368</v>
      </c>
      <c r="B557" s="2" t="s">
        <v>1368</v>
      </c>
      <c r="C557" s="4">
        <v>1</v>
      </c>
      <c r="D557" s="5">
        <v>2.2799999999999998</v>
      </c>
      <c r="E557" s="5">
        <v>5.99</v>
      </c>
      <c r="F557" s="4" t="s">
        <v>1369</v>
      </c>
      <c r="G557" s="2" t="s">
        <v>41</v>
      </c>
      <c r="H557" s="7" t="s">
        <v>590</v>
      </c>
      <c r="I557" s="2" t="s">
        <v>483</v>
      </c>
      <c r="J557" s="2" t="s">
        <v>536</v>
      </c>
      <c r="K557" s="2" t="s">
        <v>304</v>
      </c>
      <c r="L557" s="2" t="s">
        <v>38</v>
      </c>
      <c r="M557" s="8" t="str">
        <f>HYPERLINK("http://slimages.macys.com/is/image/MCY/13987603 ")</f>
        <v xml:space="preserve">http://slimages.macys.com/is/image/MCY/13987603 </v>
      </c>
    </row>
    <row r="558" spans="1:13" ht="60" x14ac:dyDescent="0.25">
      <c r="A558" s="7" t="s">
        <v>2367</v>
      </c>
      <c r="B558" s="2" t="s">
        <v>1368</v>
      </c>
      <c r="C558" s="4">
        <v>1</v>
      </c>
      <c r="D558" s="5">
        <v>2.2799999999999998</v>
      </c>
      <c r="E558" s="5">
        <v>5.99</v>
      </c>
      <c r="F558" s="4" t="s">
        <v>1369</v>
      </c>
      <c r="G558" s="2" t="s">
        <v>41</v>
      </c>
      <c r="H558" s="7" t="s">
        <v>91</v>
      </c>
      <c r="I558" s="2" t="s">
        <v>483</v>
      </c>
      <c r="J558" s="2" t="s">
        <v>536</v>
      </c>
      <c r="K558" s="2" t="s">
        <v>304</v>
      </c>
      <c r="L558" s="2" t="s">
        <v>38</v>
      </c>
      <c r="M558" s="8" t="str">
        <f>HYPERLINK("http://slimages.macys.com/is/image/MCY/13987603 ")</f>
        <v xml:space="preserve">http://slimages.macys.com/is/image/MCY/13987603 </v>
      </c>
    </row>
    <row r="559" spans="1:13" ht="60" x14ac:dyDescent="0.25">
      <c r="A559" s="7" t="s">
        <v>4596</v>
      </c>
      <c r="B559" s="2" t="s">
        <v>4594</v>
      </c>
      <c r="C559" s="4">
        <v>2</v>
      </c>
      <c r="D559" s="5">
        <v>2.27</v>
      </c>
      <c r="E559" s="5">
        <v>5.99</v>
      </c>
      <c r="F559" s="4" t="s">
        <v>4595</v>
      </c>
      <c r="G559" s="2" t="s">
        <v>41</v>
      </c>
      <c r="H559" s="7" t="s">
        <v>149</v>
      </c>
      <c r="I559" s="2" t="s">
        <v>483</v>
      </c>
      <c r="J559" s="2" t="s">
        <v>536</v>
      </c>
      <c r="K559" s="2" t="s">
        <v>304</v>
      </c>
      <c r="L559" s="2" t="s">
        <v>87</v>
      </c>
      <c r="M559" s="8" t="str">
        <f>HYPERLINK("http://slimages.macys.com/is/image/MCY/12466281 ")</f>
        <v xml:space="preserve">http://slimages.macys.com/is/image/MCY/12466281 </v>
      </c>
    </row>
    <row r="560" spans="1:13" ht="60" x14ac:dyDescent="0.25">
      <c r="A560" s="7" t="s">
        <v>7246</v>
      </c>
      <c r="B560" s="2" t="s">
        <v>4594</v>
      </c>
      <c r="C560" s="4">
        <v>1</v>
      </c>
      <c r="D560" s="5">
        <v>2.27</v>
      </c>
      <c r="E560" s="5">
        <v>5.99</v>
      </c>
      <c r="F560" s="4" t="s">
        <v>4595</v>
      </c>
      <c r="G560" s="2" t="s">
        <v>41</v>
      </c>
      <c r="H560" s="7" t="s">
        <v>91</v>
      </c>
      <c r="I560" s="2" t="s">
        <v>483</v>
      </c>
      <c r="J560" s="2" t="s">
        <v>536</v>
      </c>
      <c r="K560" s="2" t="s">
        <v>304</v>
      </c>
      <c r="L560" s="2" t="s">
        <v>87</v>
      </c>
      <c r="M560" s="8" t="str">
        <f>HYPERLINK("http://slimages.macys.com/is/image/MCY/12466281 ")</f>
        <v xml:space="preserve">http://slimages.macys.com/is/image/MCY/12466281 </v>
      </c>
    </row>
    <row r="561" spans="1:13" ht="60" x14ac:dyDescent="0.25">
      <c r="A561" s="7" t="s">
        <v>4586</v>
      </c>
      <c r="B561" s="2" t="s">
        <v>4587</v>
      </c>
      <c r="C561" s="4">
        <v>1</v>
      </c>
      <c r="D561" s="5">
        <v>2.27</v>
      </c>
      <c r="E561" s="5">
        <v>5.99</v>
      </c>
      <c r="F561" s="4" t="s">
        <v>4588</v>
      </c>
      <c r="G561" s="2" t="s">
        <v>129</v>
      </c>
      <c r="H561" s="7" t="s">
        <v>42</v>
      </c>
      <c r="I561" s="2" t="s">
        <v>483</v>
      </c>
      <c r="J561" s="2" t="s">
        <v>536</v>
      </c>
      <c r="K561" s="2" t="s">
        <v>304</v>
      </c>
      <c r="L561" s="2" t="s">
        <v>38</v>
      </c>
      <c r="M561" s="8" t="str">
        <f>HYPERLINK("http://slimages.macys.com/is/image/MCY/11857357 ")</f>
        <v xml:space="preserve">http://slimages.macys.com/is/image/MCY/11857357 </v>
      </c>
    </row>
    <row r="562" spans="1:13" ht="60" x14ac:dyDescent="0.25">
      <c r="A562" s="7" t="s">
        <v>4589</v>
      </c>
      <c r="B562" s="2" t="s">
        <v>4590</v>
      </c>
      <c r="C562" s="4">
        <v>3</v>
      </c>
      <c r="D562" s="5">
        <v>2.27</v>
      </c>
      <c r="E562" s="5">
        <v>5.99</v>
      </c>
      <c r="F562" s="4" t="s">
        <v>4591</v>
      </c>
      <c r="G562" s="2" t="s">
        <v>353</v>
      </c>
      <c r="H562" s="7" t="s">
        <v>42</v>
      </c>
      <c r="I562" s="2" t="s">
        <v>483</v>
      </c>
      <c r="J562" s="2" t="s">
        <v>536</v>
      </c>
      <c r="K562" s="2" t="s">
        <v>304</v>
      </c>
      <c r="L562" s="2" t="s">
        <v>206</v>
      </c>
      <c r="M562" s="8" t="str">
        <f>HYPERLINK("http://slimages.macys.com/is/image/MCY/12239826 ")</f>
        <v xml:space="preserve">http://slimages.macys.com/is/image/MCY/12239826 </v>
      </c>
    </row>
    <row r="563" spans="1:13" ht="60" x14ac:dyDescent="0.25">
      <c r="A563" s="7" t="s">
        <v>7247</v>
      </c>
      <c r="B563" s="2" t="s">
        <v>5718</v>
      </c>
      <c r="C563" s="4">
        <v>1</v>
      </c>
      <c r="D563" s="5">
        <v>2.27</v>
      </c>
      <c r="E563" s="5">
        <v>5.99</v>
      </c>
      <c r="F563" s="4" t="s">
        <v>7248</v>
      </c>
      <c r="G563" s="2" t="s">
        <v>41</v>
      </c>
      <c r="H563" s="7" t="s">
        <v>91</v>
      </c>
      <c r="I563" s="2" t="s">
        <v>483</v>
      </c>
      <c r="J563" s="2" t="s">
        <v>536</v>
      </c>
      <c r="K563" s="2" t="s">
        <v>304</v>
      </c>
      <c r="L563" s="2" t="s">
        <v>87</v>
      </c>
      <c r="M563" s="8" t="str">
        <f>HYPERLINK("http://slimages.macys.com/is/image/MCY/12466263 ")</f>
        <v xml:space="preserve">http://slimages.macys.com/is/image/MCY/12466263 </v>
      </c>
    </row>
    <row r="564" spans="1:13" ht="60" x14ac:dyDescent="0.25">
      <c r="A564" s="7" t="s">
        <v>4592</v>
      </c>
      <c r="B564" s="2" t="s">
        <v>4590</v>
      </c>
      <c r="C564" s="4">
        <v>1</v>
      </c>
      <c r="D564" s="5">
        <v>2.27</v>
      </c>
      <c r="E564" s="5">
        <v>5.99</v>
      </c>
      <c r="F564" s="4" t="s">
        <v>4591</v>
      </c>
      <c r="G564" s="2" t="s">
        <v>353</v>
      </c>
      <c r="H564" s="7" t="s">
        <v>91</v>
      </c>
      <c r="I564" s="2" t="s">
        <v>483</v>
      </c>
      <c r="J564" s="2" t="s">
        <v>536</v>
      </c>
      <c r="K564" s="2" t="s">
        <v>304</v>
      </c>
      <c r="L564" s="2" t="s">
        <v>206</v>
      </c>
      <c r="M564" s="8" t="str">
        <f>HYPERLINK("http://slimages.macys.com/is/image/MCY/12239826 ")</f>
        <v xml:space="preserve">http://slimages.macys.com/is/image/MCY/12239826 </v>
      </c>
    </row>
    <row r="565" spans="1:13" ht="60" x14ac:dyDescent="0.25">
      <c r="A565" s="7" t="s">
        <v>7249</v>
      </c>
      <c r="B565" s="2" t="s">
        <v>4590</v>
      </c>
      <c r="C565" s="4">
        <v>1</v>
      </c>
      <c r="D565" s="5">
        <v>2.27</v>
      </c>
      <c r="E565" s="5">
        <v>5.99</v>
      </c>
      <c r="F565" s="4" t="s">
        <v>4591</v>
      </c>
      <c r="G565" s="2" t="s">
        <v>353</v>
      </c>
      <c r="H565" s="7" t="s">
        <v>442</v>
      </c>
      <c r="I565" s="2" t="s">
        <v>483</v>
      </c>
      <c r="J565" s="2" t="s">
        <v>536</v>
      </c>
      <c r="K565" s="2" t="s">
        <v>304</v>
      </c>
      <c r="L565" s="2" t="s">
        <v>206</v>
      </c>
      <c r="M565" s="8" t="str">
        <f>HYPERLINK("http://slimages.macys.com/is/image/MCY/12239826 ")</f>
        <v xml:space="preserve">http://slimages.macys.com/is/image/MCY/12239826 </v>
      </c>
    </row>
    <row r="566" spans="1:13" ht="60" x14ac:dyDescent="0.25">
      <c r="A566" s="7" t="s">
        <v>7250</v>
      </c>
      <c r="B566" s="2" t="s">
        <v>5718</v>
      </c>
      <c r="C566" s="4">
        <v>2</v>
      </c>
      <c r="D566" s="5">
        <v>2.27</v>
      </c>
      <c r="E566" s="5">
        <v>5.99</v>
      </c>
      <c r="F566" s="4" t="s">
        <v>7248</v>
      </c>
      <c r="G566" s="2" t="s">
        <v>41</v>
      </c>
      <c r="H566" s="7" t="s">
        <v>42</v>
      </c>
      <c r="I566" s="2" t="s">
        <v>483</v>
      </c>
      <c r="J566" s="2" t="s">
        <v>536</v>
      </c>
      <c r="K566" s="2" t="s">
        <v>304</v>
      </c>
      <c r="L566" s="2" t="s">
        <v>87</v>
      </c>
      <c r="M566" s="8" t="str">
        <f>HYPERLINK("http://slimages.macys.com/is/image/MCY/12466263 ")</f>
        <v xml:space="preserve">http://slimages.macys.com/is/image/MCY/12466263 </v>
      </c>
    </row>
    <row r="567" spans="1:13" ht="60" x14ac:dyDescent="0.25">
      <c r="A567" s="7" t="s">
        <v>7251</v>
      </c>
      <c r="B567" s="2" t="s">
        <v>1391</v>
      </c>
      <c r="C567" s="4">
        <v>1</v>
      </c>
      <c r="D567" s="5">
        <v>2.27</v>
      </c>
      <c r="E567" s="5">
        <v>5.99</v>
      </c>
      <c r="F567" s="4" t="s">
        <v>7252</v>
      </c>
      <c r="G567" s="2" t="s">
        <v>1147</v>
      </c>
      <c r="H567" s="7" t="s">
        <v>590</v>
      </c>
      <c r="I567" s="2" t="s">
        <v>483</v>
      </c>
      <c r="J567" s="2" t="s">
        <v>536</v>
      </c>
      <c r="K567" s="2" t="s">
        <v>304</v>
      </c>
      <c r="L567" s="2" t="s">
        <v>206</v>
      </c>
      <c r="M567" s="8" t="str">
        <f>HYPERLINK("http://slimages.macys.com/is/image/MCY/11855627 ")</f>
        <v xml:space="preserve">http://slimages.macys.com/is/image/MCY/11855627 </v>
      </c>
    </row>
    <row r="568" spans="1:13" ht="60" x14ac:dyDescent="0.25">
      <c r="A568" s="7" t="s">
        <v>7253</v>
      </c>
      <c r="B568" s="2" t="s">
        <v>7254</v>
      </c>
      <c r="C568" s="4">
        <v>1</v>
      </c>
      <c r="D568" s="5">
        <v>2.25</v>
      </c>
      <c r="E568" s="5">
        <v>4.99</v>
      </c>
      <c r="F568" s="4" t="s">
        <v>1384</v>
      </c>
      <c r="G568" s="2" t="s">
        <v>41</v>
      </c>
      <c r="H568" s="7" t="s">
        <v>228</v>
      </c>
      <c r="I568" s="2" t="s">
        <v>523</v>
      </c>
      <c r="J568" s="2" t="s">
        <v>921</v>
      </c>
      <c r="K568" s="2" t="s">
        <v>304</v>
      </c>
      <c r="L568" s="2" t="s">
        <v>358</v>
      </c>
      <c r="M568" s="8" t="str">
        <f>HYPERLINK("http://slimages.macys.com/is/image/MCY/9356496 ")</f>
        <v xml:space="preserve">http://slimages.macys.com/is/image/MCY/9356496 </v>
      </c>
    </row>
    <row r="569" spans="1:13" ht="60" x14ac:dyDescent="0.25">
      <c r="A569" s="7" t="s">
        <v>1381</v>
      </c>
      <c r="B569" s="2" t="s">
        <v>1379</v>
      </c>
      <c r="C569" s="4">
        <v>1</v>
      </c>
      <c r="D569" s="5">
        <v>2.25</v>
      </c>
      <c r="E569" s="5">
        <v>5.99</v>
      </c>
      <c r="F569" s="4" t="s">
        <v>1380</v>
      </c>
      <c r="G569" s="2" t="s">
        <v>41</v>
      </c>
      <c r="H569" s="7" t="s">
        <v>42</v>
      </c>
      <c r="I569" s="2" t="s">
        <v>483</v>
      </c>
      <c r="J569" s="2" t="s">
        <v>536</v>
      </c>
      <c r="K569" s="2" t="s">
        <v>304</v>
      </c>
      <c r="L569" s="2" t="s">
        <v>206</v>
      </c>
      <c r="M569" s="8" t="str">
        <f>HYPERLINK("http://slimages.macys.com/is/image/MCY/13386152 ")</f>
        <v xml:space="preserve">http://slimages.macys.com/is/image/MCY/13386152 </v>
      </c>
    </row>
    <row r="570" spans="1:13" ht="60" x14ac:dyDescent="0.25">
      <c r="A570" s="7" t="s">
        <v>1382</v>
      </c>
      <c r="B570" s="2" t="s">
        <v>1383</v>
      </c>
      <c r="C570" s="4">
        <v>1</v>
      </c>
      <c r="D570" s="5">
        <v>2.25</v>
      </c>
      <c r="E570" s="5">
        <v>4.99</v>
      </c>
      <c r="F570" s="4" t="s">
        <v>1384</v>
      </c>
      <c r="G570" s="2" t="s">
        <v>28</v>
      </c>
      <c r="H570" s="7" t="s">
        <v>228</v>
      </c>
      <c r="I570" s="2" t="s">
        <v>523</v>
      </c>
      <c r="J570" s="2" t="s">
        <v>921</v>
      </c>
      <c r="K570" s="2" t="s">
        <v>304</v>
      </c>
      <c r="L570" s="2" t="s">
        <v>358</v>
      </c>
      <c r="M570" s="8" t="str">
        <f>HYPERLINK("http://slimages.macys.com/is/image/MCY/9356496 ")</f>
        <v xml:space="preserve">http://slimages.macys.com/is/image/MCY/9356496 </v>
      </c>
    </row>
    <row r="571" spans="1:13" ht="60" x14ac:dyDescent="0.25">
      <c r="A571" s="7" t="s">
        <v>7255</v>
      </c>
      <c r="B571" s="2" t="s">
        <v>1383</v>
      </c>
      <c r="C571" s="4">
        <v>2</v>
      </c>
      <c r="D571" s="5">
        <v>2.25</v>
      </c>
      <c r="E571" s="5">
        <v>4.99</v>
      </c>
      <c r="F571" s="4" t="s">
        <v>1384</v>
      </c>
      <c r="G571" s="2" t="s">
        <v>28</v>
      </c>
      <c r="H571" s="7" t="s">
        <v>196</v>
      </c>
      <c r="I571" s="2" t="s">
        <v>523</v>
      </c>
      <c r="J571" s="2" t="s">
        <v>921</v>
      </c>
      <c r="K571" s="2" t="s">
        <v>304</v>
      </c>
      <c r="L571" s="2" t="s">
        <v>358</v>
      </c>
      <c r="M571" s="8" t="str">
        <f>HYPERLINK("http://slimages.macys.com/is/image/MCY/9356496 ")</f>
        <v xml:space="preserve">http://slimages.macys.com/is/image/MCY/9356496 </v>
      </c>
    </row>
    <row r="572" spans="1:13" ht="60" x14ac:dyDescent="0.25">
      <c r="A572" s="7" t="s">
        <v>7256</v>
      </c>
      <c r="B572" s="2" t="s">
        <v>1383</v>
      </c>
      <c r="C572" s="4">
        <v>3</v>
      </c>
      <c r="D572" s="5">
        <v>2.25</v>
      </c>
      <c r="E572" s="5">
        <v>4.99</v>
      </c>
      <c r="F572" s="4" t="s">
        <v>1384</v>
      </c>
      <c r="G572" s="2" t="s">
        <v>653</v>
      </c>
      <c r="H572" s="7" t="s">
        <v>196</v>
      </c>
      <c r="I572" s="2" t="s">
        <v>523</v>
      </c>
      <c r="J572" s="2" t="s">
        <v>921</v>
      </c>
      <c r="K572" s="2" t="s">
        <v>304</v>
      </c>
      <c r="L572" s="2" t="s">
        <v>358</v>
      </c>
      <c r="M572" s="8" t="str">
        <f>HYPERLINK("http://slimages.macys.com/is/image/MCY/9356496 ")</f>
        <v xml:space="preserve">http://slimages.macys.com/is/image/MCY/9356496 </v>
      </c>
    </row>
    <row r="573" spans="1:13" ht="60" x14ac:dyDescent="0.25">
      <c r="A573" s="7" t="s">
        <v>7257</v>
      </c>
      <c r="B573" s="2" t="s">
        <v>7254</v>
      </c>
      <c r="C573" s="4">
        <v>2</v>
      </c>
      <c r="D573" s="5">
        <v>2.25</v>
      </c>
      <c r="E573" s="5">
        <v>4.99</v>
      </c>
      <c r="F573" s="4" t="s">
        <v>1384</v>
      </c>
      <c r="G573" s="2" t="s">
        <v>41</v>
      </c>
      <c r="H573" s="7" t="s">
        <v>196</v>
      </c>
      <c r="I573" s="2" t="s">
        <v>523</v>
      </c>
      <c r="J573" s="2" t="s">
        <v>921</v>
      </c>
      <c r="K573" s="2" t="s">
        <v>304</v>
      </c>
      <c r="L573" s="2" t="s">
        <v>358</v>
      </c>
      <c r="M573" s="8" t="str">
        <f>HYPERLINK("http://slimages.macys.com/is/image/MCY/9356496 ")</f>
        <v xml:space="preserve">http://slimages.macys.com/is/image/MCY/9356496 </v>
      </c>
    </row>
    <row r="574" spans="1:13" ht="60" x14ac:dyDescent="0.25">
      <c r="A574" s="7" t="s">
        <v>7258</v>
      </c>
      <c r="B574" s="2" t="s">
        <v>7259</v>
      </c>
      <c r="C574" s="4">
        <v>1</v>
      </c>
      <c r="D574" s="5">
        <v>2.2400000000000002</v>
      </c>
      <c r="E574" s="5">
        <v>5.99</v>
      </c>
      <c r="F574" s="4" t="s">
        <v>7260</v>
      </c>
      <c r="G574" s="2" t="s">
        <v>353</v>
      </c>
      <c r="H574" s="7" t="s">
        <v>442</v>
      </c>
      <c r="I574" s="2" t="s">
        <v>483</v>
      </c>
      <c r="J574" s="2" t="s">
        <v>536</v>
      </c>
      <c r="K574" s="2" t="s">
        <v>304</v>
      </c>
      <c r="L574" s="2" t="s">
        <v>206</v>
      </c>
      <c r="M574" s="8" t="str">
        <f>HYPERLINK("http://slimages.macys.com/is/image/MCY/12644528 ")</f>
        <v xml:space="preserve">http://slimages.macys.com/is/image/MCY/12644528 </v>
      </c>
    </row>
    <row r="575" spans="1:13" ht="60" x14ac:dyDescent="0.25">
      <c r="A575" s="7" t="s">
        <v>7261</v>
      </c>
      <c r="B575" s="2" t="s">
        <v>2377</v>
      </c>
      <c r="C575" s="4">
        <v>1</v>
      </c>
      <c r="D575" s="5">
        <v>2.2400000000000002</v>
      </c>
      <c r="E575" s="5">
        <v>5.99</v>
      </c>
      <c r="F575" s="4" t="s">
        <v>2378</v>
      </c>
      <c r="G575" s="2" t="s">
        <v>643</v>
      </c>
      <c r="H575" s="7" t="s">
        <v>590</v>
      </c>
      <c r="I575" s="2" t="s">
        <v>483</v>
      </c>
      <c r="J575" s="2" t="s">
        <v>536</v>
      </c>
      <c r="K575" s="2" t="s">
        <v>304</v>
      </c>
      <c r="L575" s="2" t="s">
        <v>206</v>
      </c>
      <c r="M575" s="8" t="str">
        <f>HYPERLINK("http://slimages.macys.com/is/image/MCY/13386674 ")</f>
        <v xml:space="preserve">http://slimages.macys.com/is/image/MCY/13386674 </v>
      </c>
    </row>
    <row r="576" spans="1:13" ht="60" x14ac:dyDescent="0.25">
      <c r="A576" s="7" t="s">
        <v>7262</v>
      </c>
      <c r="B576" s="2" t="s">
        <v>7259</v>
      </c>
      <c r="C576" s="4">
        <v>1</v>
      </c>
      <c r="D576" s="5">
        <v>2.2400000000000002</v>
      </c>
      <c r="E576" s="5">
        <v>5.99</v>
      </c>
      <c r="F576" s="4" t="s">
        <v>7260</v>
      </c>
      <c r="G576" s="2" t="s">
        <v>353</v>
      </c>
      <c r="H576" s="7" t="s">
        <v>42</v>
      </c>
      <c r="I576" s="2" t="s">
        <v>483</v>
      </c>
      <c r="J576" s="2" t="s">
        <v>536</v>
      </c>
      <c r="K576" s="2" t="s">
        <v>304</v>
      </c>
      <c r="L576" s="2" t="s">
        <v>206</v>
      </c>
      <c r="M576" s="8" t="str">
        <f>HYPERLINK("http://slimages.macys.com/is/image/MCY/12644528 ")</f>
        <v xml:space="preserve">http://slimages.macys.com/is/image/MCY/12644528 </v>
      </c>
    </row>
    <row r="577" spans="1:13" ht="60" x14ac:dyDescent="0.25">
      <c r="A577" s="7" t="s">
        <v>3551</v>
      </c>
      <c r="B577" s="2" t="s">
        <v>2377</v>
      </c>
      <c r="C577" s="4">
        <v>2</v>
      </c>
      <c r="D577" s="5">
        <v>2.2400000000000002</v>
      </c>
      <c r="E577" s="5">
        <v>5.99</v>
      </c>
      <c r="F577" s="4" t="s">
        <v>2378</v>
      </c>
      <c r="G577" s="2" t="s">
        <v>643</v>
      </c>
      <c r="H577" s="7" t="s">
        <v>149</v>
      </c>
      <c r="I577" s="2" t="s">
        <v>483</v>
      </c>
      <c r="J577" s="2" t="s">
        <v>536</v>
      </c>
      <c r="K577" s="2" t="s">
        <v>304</v>
      </c>
      <c r="L577" s="2" t="s">
        <v>206</v>
      </c>
      <c r="M577" s="8" t="str">
        <f>HYPERLINK("http://slimages.macys.com/is/image/MCY/13386674 ")</f>
        <v xml:space="preserve">http://slimages.macys.com/is/image/MCY/13386674 </v>
      </c>
    </row>
    <row r="578" spans="1:13" ht="60" x14ac:dyDescent="0.25">
      <c r="A578" s="7" t="s">
        <v>2382</v>
      </c>
      <c r="B578" s="2" t="s">
        <v>2383</v>
      </c>
      <c r="C578" s="4">
        <v>6</v>
      </c>
      <c r="D578" s="5">
        <v>2.2200000000000002</v>
      </c>
      <c r="E578" s="5">
        <v>4.99</v>
      </c>
      <c r="F578" s="4">
        <v>10004193500</v>
      </c>
      <c r="G578" s="2" t="s">
        <v>1360</v>
      </c>
      <c r="H578" s="7" t="s">
        <v>531</v>
      </c>
      <c r="I578" s="2" t="s">
        <v>483</v>
      </c>
      <c r="J578" s="2" t="s">
        <v>536</v>
      </c>
      <c r="K578" s="2" t="s">
        <v>304</v>
      </c>
      <c r="L578" s="2" t="s">
        <v>87</v>
      </c>
      <c r="M578" s="8" t="str">
        <f>HYPERLINK("http://slimages.macys.com/is/image/MCY/11520388 ")</f>
        <v xml:space="preserve">http://slimages.macys.com/is/image/MCY/11520388 </v>
      </c>
    </row>
    <row r="579" spans="1:13" ht="60" x14ac:dyDescent="0.25">
      <c r="A579" s="7" t="s">
        <v>7263</v>
      </c>
      <c r="B579" s="2" t="s">
        <v>2388</v>
      </c>
      <c r="C579" s="4">
        <v>1</v>
      </c>
      <c r="D579" s="5">
        <v>2.2200000000000002</v>
      </c>
      <c r="E579" s="5">
        <v>5.99</v>
      </c>
      <c r="F579" s="4" t="s">
        <v>2389</v>
      </c>
      <c r="G579" s="2" t="s">
        <v>41</v>
      </c>
      <c r="H579" s="7" t="s">
        <v>42</v>
      </c>
      <c r="I579" s="2" t="s">
        <v>483</v>
      </c>
      <c r="J579" s="2" t="s">
        <v>536</v>
      </c>
      <c r="K579" s="2" t="s">
        <v>304</v>
      </c>
      <c r="L579" s="2" t="s">
        <v>206</v>
      </c>
      <c r="M579" s="8" t="str">
        <f>HYPERLINK("http://slimages.macys.com/is/image/MCY/13987622 ")</f>
        <v xml:space="preserve">http://slimages.macys.com/is/image/MCY/13987622 </v>
      </c>
    </row>
    <row r="580" spans="1:13" ht="60" x14ac:dyDescent="0.25">
      <c r="A580" s="7" t="s">
        <v>7264</v>
      </c>
      <c r="B580" s="2" t="s">
        <v>5773</v>
      </c>
      <c r="C580" s="4">
        <v>1</v>
      </c>
      <c r="D580" s="5">
        <v>2.2200000000000002</v>
      </c>
      <c r="E580" s="5">
        <v>5.99</v>
      </c>
      <c r="F580" s="4" t="s">
        <v>5774</v>
      </c>
      <c r="G580" s="2" t="s">
        <v>28</v>
      </c>
      <c r="H580" s="7" t="s">
        <v>590</v>
      </c>
      <c r="I580" s="2" t="s">
        <v>483</v>
      </c>
      <c r="J580" s="2" t="s">
        <v>536</v>
      </c>
      <c r="K580" s="2" t="s">
        <v>304</v>
      </c>
      <c r="L580" s="2" t="s">
        <v>119</v>
      </c>
      <c r="M580" s="8" t="str">
        <f>HYPERLINK("http://slimages.macys.com/is/image/MCY/13987620 ")</f>
        <v xml:space="preserve">http://slimages.macys.com/is/image/MCY/13987620 </v>
      </c>
    </row>
    <row r="581" spans="1:13" ht="60" x14ac:dyDescent="0.25">
      <c r="A581" s="7" t="s">
        <v>5772</v>
      </c>
      <c r="B581" s="2" t="s">
        <v>5773</v>
      </c>
      <c r="C581" s="4">
        <v>1</v>
      </c>
      <c r="D581" s="5">
        <v>2.2200000000000002</v>
      </c>
      <c r="E581" s="5">
        <v>5.99</v>
      </c>
      <c r="F581" s="4" t="s">
        <v>5774</v>
      </c>
      <c r="G581" s="2" t="s">
        <v>28</v>
      </c>
      <c r="H581" s="7" t="s">
        <v>442</v>
      </c>
      <c r="I581" s="2" t="s">
        <v>483</v>
      </c>
      <c r="J581" s="2" t="s">
        <v>536</v>
      </c>
      <c r="K581" s="2" t="s">
        <v>304</v>
      </c>
      <c r="L581" s="2" t="s">
        <v>119</v>
      </c>
      <c r="M581" s="8" t="str">
        <f>HYPERLINK("http://slimages.macys.com/is/image/MCY/13987620 ")</f>
        <v xml:space="preserve">http://slimages.macys.com/is/image/MCY/13987620 </v>
      </c>
    </row>
    <row r="582" spans="1:13" ht="60" x14ac:dyDescent="0.25">
      <c r="A582" s="7" t="s">
        <v>7265</v>
      </c>
      <c r="B582" s="2" t="s">
        <v>5773</v>
      </c>
      <c r="C582" s="4">
        <v>1</v>
      </c>
      <c r="D582" s="5">
        <v>2.2200000000000002</v>
      </c>
      <c r="E582" s="5">
        <v>5.99</v>
      </c>
      <c r="F582" s="4" t="s">
        <v>5774</v>
      </c>
      <c r="G582" s="2" t="s">
        <v>28</v>
      </c>
      <c r="H582" s="7" t="s">
        <v>91</v>
      </c>
      <c r="I582" s="2" t="s">
        <v>483</v>
      </c>
      <c r="J582" s="2" t="s">
        <v>536</v>
      </c>
      <c r="K582" s="2" t="s">
        <v>304</v>
      </c>
      <c r="L582" s="2" t="s">
        <v>119</v>
      </c>
      <c r="M582" s="8" t="str">
        <f>HYPERLINK("http://slimages.macys.com/is/image/MCY/13987620 ")</f>
        <v xml:space="preserve">http://slimages.macys.com/is/image/MCY/13987620 </v>
      </c>
    </row>
    <row r="583" spans="1:13" ht="60" x14ac:dyDescent="0.25">
      <c r="A583" s="7" t="s">
        <v>7266</v>
      </c>
      <c r="B583" s="2" t="s">
        <v>5773</v>
      </c>
      <c r="C583" s="4">
        <v>1</v>
      </c>
      <c r="D583" s="5">
        <v>2.2200000000000002</v>
      </c>
      <c r="E583" s="5">
        <v>5.99</v>
      </c>
      <c r="F583" s="4" t="s">
        <v>5774</v>
      </c>
      <c r="G583" s="2" t="s">
        <v>28</v>
      </c>
      <c r="H583" s="7" t="s">
        <v>42</v>
      </c>
      <c r="I583" s="2" t="s">
        <v>483</v>
      </c>
      <c r="J583" s="2" t="s">
        <v>536</v>
      </c>
      <c r="K583" s="2" t="s">
        <v>304</v>
      </c>
      <c r="L583" s="2" t="s">
        <v>119</v>
      </c>
      <c r="M583" s="8" t="str">
        <f>HYPERLINK("http://slimages.macys.com/is/image/MCY/13987620 ")</f>
        <v xml:space="preserve">http://slimages.macys.com/is/image/MCY/13987620 </v>
      </c>
    </row>
    <row r="584" spans="1:13" ht="60" x14ac:dyDescent="0.25">
      <c r="A584" s="7" t="s">
        <v>5099</v>
      </c>
      <c r="B584" s="2" t="s">
        <v>5100</v>
      </c>
      <c r="C584" s="4">
        <v>2</v>
      </c>
      <c r="D584" s="5">
        <v>2.2200000000000002</v>
      </c>
      <c r="E584" s="5">
        <v>5.99</v>
      </c>
      <c r="F584" s="4" t="s">
        <v>5101</v>
      </c>
      <c r="G584" s="2" t="s">
        <v>657</v>
      </c>
      <c r="H584" s="7" t="s">
        <v>590</v>
      </c>
      <c r="I584" s="2" t="s">
        <v>483</v>
      </c>
      <c r="J584" s="2" t="s">
        <v>536</v>
      </c>
      <c r="K584" s="2" t="s">
        <v>304</v>
      </c>
      <c r="L584" s="2" t="s">
        <v>119</v>
      </c>
      <c r="M584" s="8" t="str">
        <f>HYPERLINK("http://slimages.macys.com/is/image/MCY/13987611 ")</f>
        <v xml:space="preserve">http://slimages.macys.com/is/image/MCY/13987611 </v>
      </c>
    </row>
    <row r="585" spans="1:13" ht="60" x14ac:dyDescent="0.25">
      <c r="A585" s="7" t="s">
        <v>7267</v>
      </c>
      <c r="B585" s="2" t="s">
        <v>7268</v>
      </c>
      <c r="C585" s="4">
        <v>1</v>
      </c>
      <c r="D585" s="5">
        <v>2.2200000000000002</v>
      </c>
      <c r="E585" s="5">
        <v>5.99</v>
      </c>
      <c r="F585" s="4" t="s">
        <v>7269</v>
      </c>
      <c r="G585" s="2" t="s">
        <v>129</v>
      </c>
      <c r="H585" s="7" t="s">
        <v>149</v>
      </c>
      <c r="I585" s="2" t="s">
        <v>483</v>
      </c>
      <c r="J585" s="2" t="s">
        <v>536</v>
      </c>
      <c r="K585" s="2" t="s">
        <v>304</v>
      </c>
      <c r="L585" s="2" t="s">
        <v>100</v>
      </c>
      <c r="M585" s="8" t="str">
        <f>HYPERLINK("http://slimages.macys.com/is/image/MCY/11523857 ")</f>
        <v xml:space="preserve">http://slimages.macys.com/is/image/MCY/11523857 </v>
      </c>
    </row>
    <row r="586" spans="1:13" ht="60" x14ac:dyDescent="0.25">
      <c r="A586" s="7" t="s">
        <v>7270</v>
      </c>
      <c r="B586" s="2" t="s">
        <v>2380</v>
      </c>
      <c r="C586" s="4">
        <v>1</v>
      </c>
      <c r="D586" s="5">
        <v>2.2200000000000002</v>
      </c>
      <c r="E586" s="5">
        <v>5.99</v>
      </c>
      <c r="F586" s="4" t="s">
        <v>2381</v>
      </c>
      <c r="G586" s="2" t="s">
        <v>28</v>
      </c>
      <c r="H586" s="7" t="s">
        <v>442</v>
      </c>
      <c r="I586" s="2" t="s">
        <v>483</v>
      </c>
      <c r="J586" s="2" t="s">
        <v>536</v>
      </c>
      <c r="K586" s="2" t="s">
        <v>304</v>
      </c>
      <c r="L586" s="2" t="s">
        <v>119</v>
      </c>
      <c r="M586" s="8" t="str">
        <f>HYPERLINK("http://slimages.macys.com/is/image/MCY/12462743 ")</f>
        <v xml:space="preserve">http://slimages.macys.com/is/image/MCY/12462743 </v>
      </c>
    </row>
    <row r="587" spans="1:13" ht="60" x14ac:dyDescent="0.25">
      <c r="A587" s="7" t="s">
        <v>7271</v>
      </c>
      <c r="B587" s="2" t="s">
        <v>2380</v>
      </c>
      <c r="C587" s="4">
        <v>1</v>
      </c>
      <c r="D587" s="5">
        <v>2.2200000000000002</v>
      </c>
      <c r="E587" s="5">
        <v>5.99</v>
      </c>
      <c r="F587" s="4" t="s">
        <v>2381</v>
      </c>
      <c r="G587" s="2" t="s">
        <v>28</v>
      </c>
      <c r="H587" s="7" t="s">
        <v>590</v>
      </c>
      <c r="I587" s="2" t="s">
        <v>483</v>
      </c>
      <c r="J587" s="2" t="s">
        <v>536</v>
      </c>
      <c r="K587" s="2" t="s">
        <v>304</v>
      </c>
      <c r="L587" s="2" t="s">
        <v>119</v>
      </c>
      <c r="M587" s="8" t="str">
        <f>HYPERLINK("http://slimages.macys.com/is/image/MCY/12462743 ")</f>
        <v xml:space="preserve">http://slimages.macys.com/is/image/MCY/12462743 </v>
      </c>
    </row>
    <row r="588" spans="1:13" ht="60" x14ac:dyDescent="0.25">
      <c r="A588" s="7" t="s">
        <v>7272</v>
      </c>
      <c r="B588" s="2" t="s">
        <v>5100</v>
      </c>
      <c r="C588" s="4">
        <v>1</v>
      </c>
      <c r="D588" s="5">
        <v>2.2200000000000002</v>
      </c>
      <c r="E588" s="5">
        <v>5.99</v>
      </c>
      <c r="F588" s="4" t="s">
        <v>5101</v>
      </c>
      <c r="G588" s="2" t="s">
        <v>657</v>
      </c>
      <c r="H588" s="7" t="s">
        <v>442</v>
      </c>
      <c r="I588" s="2" t="s">
        <v>483</v>
      </c>
      <c r="J588" s="2" t="s">
        <v>536</v>
      </c>
      <c r="K588" s="2" t="s">
        <v>304</v>
      </c>
      <c r="L588" s="2" t="s">
        <v>119</v>
      </c>
      <c r="M588" s="8" t="str">
        <f>HYPERLINK("http://slimages.macys.com/is/image/MCY/13987611 ")</f>
        <v xml:space="preserve">http://slimages.macys.com/is/image/MCY/13987611 </v>
      </c>
    </row>
    <row r="589" spans="1:13" ht="60" x14ac:dyDescent="0.25">
      <c r="A589" s="7" t="s">
        <v>7273</v>
      </c>
      <c r="B589" s="2" t="s">
        <v>5100</v>
      </c>
      <c r="C589" s="4">
        <v>1</v>
      </c>
      <c r="D589" s="5">
        <v>2.2200000000000002</v>
      </c>
      <c r="E589" s="5">
        <v>5.99</v>
      </c>
      <c r="F589" s="4" t="s">
        <v>5101</v>
      </c>
      <c r="G589" s="2" t="s">
        <v>657</v>
      </c>
      <c r="H589" s="7" t="s">
        <v>149</v>
      </c>
      <c r="I589" s="2" t="s">
        <v>483</v>
      </c>
      <c r="J589" s="2" t="s">
        <v>536</v>
      </c>
      <c r="K589" s="2" t="s">
        <v>304</v>
      </c>
      <c r="L589" s="2" t="s">
        <v>119</v>
      </c>
      <c r="M589" s="8" t="str">
        <f>HYPERLINK("http://slimages.macys.com/is/image/MCY/13987611 ")</f>
        <v xml:space="preserve">http://slimages.macys.com/is/image/MCY/13987611 </v>
      </c>
    </row>
    <row r="590" spans="1:13" ht="60" x14ac:dyDescent="0.25">
      <c r="A590" s="7" t="s">
        <v>7274</v>
      </c>
      <c r="B590" s="2" t="s">
        <v>634</v>
      </c>
      <c r="C590" s="4">
        <v>2</v>
      </c>
      <c r="D590" s="5">
        <v>2.2200000000000002</v>
      </c>
      <c r="E590" s="5">
        <v>5.99</v>
      </c>
      <c r="F590" s="4" t="s">
        <v>635</v>
      </c>
      <c r="G590" s="2" t="s">
        <v>28</v>
      </c>
      <c r="H590" s="7" t="s">
        <v>91</v>
      </c>
      <c r="I590" s="2" t="s">
        <v>483</v>
      </c>
      <c r="J590" s="2" t="s">
        <v>536</v>
      </c>
      <c r="K590" s="2" t="s">
        <v>304</v>
      </c>
      <c r="L590" s="2" t="s">
        <v>100</v>
      </c>
      <c r="M590" s="8" t="str">
        <f>HYPERLINK("http://slimages.macys.com/is/image/MCY/11856941 ")</f>
        <v xml:space="preserve">http://slimages.macys.com/is/image/MCY/11856941 </v>
      </c>
    </row>
    <row r="591" spans="1:13" ht="60" x14ac:dyDescent="0.25">
      <c r="A591" s="7" t="s">
        <v>7275</v>
      </c>
      <c r="B591" s="2" t="s">
        <v>1388</v>
      </c>
      <c r="C591" s="4">
        <v>1</v>
      </c>
      <c r="D591" s="5">
        <v>2.21</v>
      </c>
      <c r="E591" s="5">
        <v>5.99</v>
      </c>
      <c r="F591" s="4" t="s">
        <v>1389</v>
      </c>
      <c r="G591" s="2" t="s">
        <v>129</v>
      </c>
      <c r="H591" s="7" t="s">
        <v>149</v>
      </c>
      <c r="I591" s="2" t="s">
        <v>483</v>
      </c>
      <c r="J591" s="2" t="s">
        <v>536</v>
      </c>
      <c r="K591" s="2" t="s">
        <v>304</v>
      </c>
      <c r="L591" s="2" t="s">
        <v>38</v>
      </c>
      <c r="M591" s="8" t="str">
        <f>HYPERLINK("http://slimages.macys.com/is/image/MCY/13987618 ")</f>
        <v xml:space="preserve">http://slimages.macys.com/is/image/MCY/13987618 </v>
      </c>
    </row>
    <row r="592" spans="1:13" ht="72" x14ac:dyDescent="0.25">
      <c r="A592" s="7" t="s">
        <v>4610</v>
      </c>
      <c r="B592" s="2" t="s">
        <v>4607</v>
      </c>
      <c r="C592" s="4">
        <v>6</v>
      </c>
      <c r="D592" s="5">
        <v>2.21</v>
      </c>
      <c r="E592" s="5">
        <v>6.99</v>
      </c>
      <c r="F592" s="4" t="s">
        <v>4608</v>
      </c>
      <c r="G592" s="2" t="s">
        <v>41</v>
      </c>
      <c r="H592" s="7" t="s">
        <v>586</v>
      </c>
      <c r="I592" s="2" t="s">
        <v>483</v>
      </c>
      <c r="J592" s="2" t="s">
        <v>536</v>
      </c>
      <c r="K592" s="2" t="s">
        <v>304</v>
      </c>
      <c r="L592" s="2" t="s">
        <v>4609</v>
      </c>
      <c r="M592" s="8" t="str">
        <f>HYPERLINK("http://slimages.macys.com/is/image/MCY/13987511 ")</f>
        <v xml:space="preserve">http://slimages.macys.com/is/image/MCY/13987511 </v>
      </c>
    </row>
    <row r="593" spans="1:13" ht="60" x14ac:dyDescent="0.25">
      <c r="A593" s="7" t="s">
        <v>7276</v>
      </c>
      <c r="B593" s="2" t="s">
        <v>1388</v>
      </c>
      <c r="C593" s="4">
        <v>1</v>
      </c>
      <c r="D593" s="5">
        <v>2.21</v>
      </c>
      <c r="E593" s="5">
        <v>5.99</v>
      </c>
      <c r="F593" s="4" t="s">
        <v>1389</v>
      </c>
      <c r="G593" s="2" t="s">
        <v>129</v>
      </c>
      <c r="H593" s="7" t="s">
        <v>442</v>
      </c>
      <c r="I593" s="2" t="s">
        <v>483</v>
      </c>
      <c r="J593" s="2" t="s">
        <v>536</v>
      </c>
      <c r="K593" s="2" t="s">
        <v>304</v>
      </c>
      <c r="L593" s="2" t="s">
        <v>38</v>
      </c>
      <c r="M593" s="8" t="str">
        <f>HYPERLINK("http://slimages.macys.com/is/image/MCY/13987618 ")</f>
        <v xml:space="preserve">http://slimages.macys.com/is/image/MCY/13987618 </v>
      </c>
    </row>
    <row r="594" spans="1:13" ht="60" x14ac:dyDescent="0.25">
      <c r="A594" s="7" t="s">
        <v>7277</v>
      </c>
      <c r="B594" s="2" t="s">
        <v>1391</v>
      </c>
      <c r="C594" s="4">
        <v>1</v>
      </c>
      <c r="D594" s="5">
        <v>2.21</v>
      </c>
      <c r="E594" s="5">
        <v>5.99</v>
      </c>
      <c r="F594" s="4" t="s">
        <v>1392</v>
      </c>
      <c r="G594" s="2" t="s">
        <v>41</v>
      </c>
      <c r="H594" s="7" t="s">
        <v>91</v>
      </c>
      <c r="I594" s="2" t="s">
        <v>483</v>
      </c>
      <c r="J594" s="2" t="s">
        <v>536</v>
      </c>
      <c r="K594" s="2" t="s">
        <v>304</v>
      </c>
      <c r="L594" s="2" t="s">
        <v>100</v>
      </c>
      <c r="M594" s="8" t="str">
        <f>HYPERLINK("http://slimages.macys.com/is/image/MCY/12466361 ")</f>
        <v xml:space="preserve">http://slimages.macys.com/is/image/MCY/12466361 </v>
      </c>
    </row>
    <row r="595" spans="1:13" ht="60" x14ac:dyDescent="0.25">
      <c r="A595" s="7" t="s">
        <v>7278</v>
      </c>
      <c r="B595" s="2" t="s">
        <v>641</v>
      </c>
      <c r="C595" s="4">
        <v>1</v>
      </c>
      <c r="D595" s="5">
        <v>2.21</v>
      </c>
      <c r="E595" s="5">
        <v>5.99</v>
      </c>
      <c r="F595" s="4" t="s">
        <v>642</v>
      </c>
      <c r="G595" s="2" t="s">
        <v>643</v>
      </c>
      <c r="H595" s="7" t="s">
        <v>91</v>
      </c>
      <c r="I595" s="2" t="s">
        <v>483</v>
      </c>
      <c r="J595" s="2" t="s">
        <v>536</v>
      </c>
      <c r="K595" s="2" t="s">
        <v>304</v>
      </c>
      <c r="L595" s="2" t="s">
        <v>38</v>
      </c>
      <c r="M595" s="8" t="str">
        <f>HYPERLINK("http://slimages.macys.com/is/image/MCY/13987601 ")</f>
        <v xml:space="preserve">http://slimages.macys.com/is/image/MCY/13987601 </v>
      </c>
    </row>
    <row r="596" spans="1:13" ht="84" x14ac:dyDescent="0.25">
      <c r="A596" s="7" t="s">
        <v>2733</v>
      </c>
      <c r="B596" s="2" t="s">
        <v>637</v>
      </c>
      <c r="C596" s="4">
        <v>8</v>
      </c>
      <c r="D596" s="5">
        <v>2.21</v>
      </c>
      <c r="E596" s="5">
        <v>6.99</v>
      </c>
      <c r="F596" s="4" t="s">
        <v>638</v>
      </c>
      <c r="G596" s="2" t="s">
        <v>171</v>
      </c>
      <c r="H596" s="7" t="s">
        <v>586</v>
      </c>
      <c r="I596" s="2" t="s">
        <v>483</v>
      </c>
      <c r="J596" s="2" t="s">
        <v>536</v>
      </c>
      <c r="K596" s="2" t="s">
        <v>304</v>
      </c>
      <c r="L596" s="2" t="s">
        <v>639</v>
      </c>
      <c r="M596" s="8" t="str">
        <f>HYPERLINK("http://slimages.macys.com/is/image/MCY/13987507 ")</f>
        <v xml:space="preserve">http://slimages.macys.com/is/image/MCY/13987507 </v>
      </c>
    </row>
    <row r="597" spans="1:13" ht="84" x14ac:dyDescent="0.25">
      <c r="A597" s="7" t="s">
        <v>636</v>
      </c>
      <c r="B597" s="2" t="s">
        <v>637</v>
      </c>
      <c r="C597" s="4">
        <v>3</v>
      </c>
      <c r="D597" s="5">
        <v>2.21</v>
      </c>
      <c r="E597" s="5">
        <v>6.99</v>
      </c>
      <c r="F597" s="4" t="s">
        <v>638</v>
      </c>
      <c r="G597" s="2" t="s">
        <v>171</v>
      </c>
      <c r="H597" s="7" t="s">
        <v>604</v>
      </c>
      <c r="I597" s="2" t="s">
        <v>483</v>
      </c>
      <c r="J597" s="2" t="s">
        <v>536</v>
      </c>
      <c r="K597" s="2" t="s">
        <v>304</v>
      </c>
      <c r="L597" s="2" t="s">
        <v>639</v>
      </c>
      <c r="M597" s="8" t="str">
        <f>HYPERLINK("http://slimages.macys.com/is/image/MCY/13987507 ")</f>
        <v xml:space="preserve">http://slimages.macys.com/is/image/MCY/13987507 </v>
      </c>
    </row>
    <row r="598" spans="1:13" ht="60" x14ac:dyDescent="0.25">
      <c r="A598" s="7" t="s">
        <v>7279</v>
      </c>
      <c r="B598" s="2" t="s">
        <v>3556</v>
      </c>
      <c r="C598" s="4">
        <v>1</v>
      </c>
      <c r="D598" s="5">
        <v>2.19</v>
      </c>
      <c r="E598" s="5">
        <v>5.99</v>
      </c>
      <c r="F598" s="4" t="s">
        <v>3557</v>
      </c>
      <c r="G598" s="2" t="s">
        <v>41</v>
      </c>
      <c r="H598" s="7" t="s">
        <v>442</v>
      </c>
      <c r="I598" s="2" t="s">
        <v>483</v>
      </c>
      <c r="J598" s="2" t="s">
        <v>536</v>
      </c>
      <c r="K598" s="2" t="s">
        <v>304</v>
      </c>
      <c r="L598" s="2" t="s">
        <v>100</v>
      </c>
      <c r="M598" s="8" t="str">
        <f>HYPERLINK("http://slimages.macys.com/is/image/MCY/11855683 ")</f>
        <v xml:space="preserve">http://slimages.macys.com/is/image/MCY/11855683 </v>
      </c>
    </row>
    <row r="599" spans="1:13" ht="60" x14ac:dyDescent="0.25">
      <c r="A599" s="7" t="s">
        <v>5775</v>
      </c>
      <c r="B599" s="2" t="s">
        <v>5776</v>
      </c>
      <c r="C599" s="4">
        <v>3</v>
      </c>
      <c r="D599" s="5">
        <v>2.19</v>
      </c>
      <c r="E599" s="5">
        <v>5.99</v>
      </c>
      <c r="F599" s="4" t="s">
        <v>5777</v>
      </c>
      <c r="G599" s="2" t="s">
        <v>28</v>
      </c>
      <c r="H599" s="7" t="s">
        <v>91</v>
      </c>
      <c r="I599" s="2" t="s">
        <v>483</v>
      </c>
      <c r="J599" s="2" t="s">
        <v>536</v>
      </c>
      <c r="K599" s="2" t="s">
        <v>304</v>
      </c>
      <c r="L599" s="2" t="s">
        <v>38</v>
      </c>
      <c r="M599" s="8" t="str">
        <f>HYPERLINK("http://slimages.macys.com/is/image/MCY/13987609 ")</f>
        <v xml:space="preserve">http://slimages.macys.com/is/image/MCY/13987609 </v>
      </c>
    </row>
    <row r="600" spans="1:13" ht="60" x14ac:dyDescent="0.25">
      <c r="A600" s="7" t="s">
        <v>7280</v>
      </c>
      <c r="B600" s="2" t="s">
        <v>7281</v>
      </c>
      <c r="C600" s="4">
        <v>1</v>
      </c>
      <c r="D600" s="5">
        <v>2.19</v>
      </c>
      <c r="E600" s="5">
        <v>5.99</v>
      </c>
      <c r="F600" s="4" t="s">
        <v>7282</v>
      </c>
      <c r="G600" s="2" t="s">
        <v>41</v>
      </c>
      <c r="H600" s="7" t="s">
        <v>91</v>
      </c>
      <c r="I600" s="2" t="s">
        <v>483</v>
      </c>
      <c r="J600" s="2" t="s">
        <v>536</v>
      </c>
      <c r="K600" s="2" t="s">
        <v>304</v>
      </c>
      <c r="L600" s="2" t="s">
        <v>100</v>
      </c>
      <c r="M600" s="8" t="str">
        <f>HYPERLINK("http://slimages.macys.com/is/image/MCY/11390143 ")</f>
        <v xml:space="preserve">http://slimages.macys.com/is/image/MCY/11390143 </v>
      </c>
    </row>
    <row r="601" spans="1:13" ht="60" x14ac:dyDescent="0.25">
      <c r="A601" s="7" t="s">
        <v>7283</v>
      </c>
      <c r="B601" s="2" t="s">
        <v>3556</v>
      </c>
      <c r="C601" s="4">
        <v>1</v>
      </c>
      <c r="D601" s="5">
        <v>2.19</v>
      </c>
      <c r="E601" s="5">
        <v>5.99</v>
      </c>
      <c r="F601" s="4" t="s">
        <v>3557</v>
      </c>
      <c r="G601" s="2" t="s">
        <v>41</v>
      </c>
      <c r="H601" s="7" t="s">
        <v>91</v>
      </c>
      <c r="I601" s="2" t="s">
        <v>483</v>
      </c>
      <c r="J601" s="2" t="s">
        <v>536</v>
      </c>
      <c r="K601" s="2" t="s">
        <v>304</v>
      </c>
      <c r="L601" s="2" t="s">
        <v>100</v>
      </c>
      <c r="M601" s="8" t="str">
        <f>HYPERLINK("http://slimages.macys.com/is/image/MCY/11855683 ")</f>
        <v xml:space="preserve">http://slimages.macys.com/is/image/MCY/11855683 </v>
      </c>
    </row>
    <row r="602" spans="1:13" ht="60" x14ac:dyDescent="0.25">
      <c r="A602" s="7" t="s">
        <v>7284</v>
      </c>
      <c r="B602" s="2" t="s">
        <v>5776</v>
      </c>
      <c r="C602" s="4">
        <v>2</v>
      </c>
      <c r="D602" s="5">
        <v>2.19</v>
      </c>
      <c r="E602" s="5">
        <v>5.99</v>
      </c>
      <c r="F602" s="4" t="s">
        <v>5777</v>
      </c>
      <c r="G602" s="2" t="s">
        <v>28</v>
      </c>
      <c r="H602" s="7" t="s">
        <v>590</v>
      </c>
      <c r="I602" s="2" t="s">
        <v>483</v>
      </c>
      <c r="J602" s="2" t="s">
        <v>536</v>
      </c>
      <c r="K602" s="2" t="s">
        <v>304</v>
      </c>
      <c r="L602" s="2" t="s">
        <v>38</v>
      </c>
      <c r="M602" s="8" t="str">
        <f>HYPERLINK("http://slimages.macys.com/is/image/MCY/13987609 ")</f>
        <v xml:space="preserve">http://slimages.macys.com/is/image/MCY/13987609 </v>
      </c>
    </row>
    <row r="603" spans="1:13" ht="60" x14ac:dyDescent="0.25">
      <c r="A603" s="7" t="s">
        <v>7285</v>
      </c>
      <c r="B603" s="2" t="s">
        <v>7286</v>
      </c>
      <c r="C603" s="4">
        <v>1</v>
      </c>
      <c r="D603" s="5">
        <v>2.19</v>
      </c>
      <c r="E603" s="5">
        <v>5.99</v>
      </c>
      <c r="F603" s="4" t="s">
        <v>7287</v>
      </c>
      <c r="G603" s="2" t="s">
        <v>476</v>
      </c>
      <c r="H603" s="7" t="s">
        <v>42</v>
      </c>
      <c r="I603" s="2" t="s">
        <v>483</v>
      </c>
      <c r="J603" s="2" t="s">
        <v>536</v>
      </c>
      <c r="K603" s="2" t="s">
        <v>304</v>
      </c>
      <c r="L603" s="2" t="s">
        <v>206</v>
      </c>
      <c r="M603" s="8" t="str">
        <f>HYPERLINK("http://slimages.macys.com/is/image/MCY/12464674 ")</f>
        <v xml:space="preserve">http://slimages.macys.com/is/image/MCY/12464674 </v>
      </c>
    </row>
    <row r="604" spans="1:13" ht="60" x14ac:dyDescent="0.25">
      <c r="A604" s="7" t="s">
        <v>7288</v>
      </c>
      <c r="B604" s="2" t="s">
        <v>2398</v>
      </c>
      <c r="C604" s="4">
        <v>1</v>
      </c>
      <c r="D604" s="5">
        <v>2.17</v>
      </c>
      <c r="E604" s="5">
        <v>5.99</v>
      </c>
      <c r="F604" s="4" t="s">
        <v>2399</v>
      </c>
      <c r="G604" s="2" t="s">
        <v>41</v>
      </c>
      <c r="H604" s="7" t="s">
        <v>590</v>
      </c>
      <c r="I604" s="2" t="s">
        <v>483</v>
      </c>
      <c r="J604" s="2" t="s">
        <v>536</v>
      </c>
      <c r="K604" s="2" t="s">
        <v>304</v>
      </c>
      <c r="L604" s="2" t="s">
        <v>87</v>
      </c>
      <c r="M604" s="8" t="str">
        <f>HYPERLINK("http://slimages.macys.com/is/image/MCY/12644613 ")</f>
        <v xml:space="preserve">http://slimages.macys.com/is/image/MCY/12644613 </v>
      </c>
    </row>
    <row r="605" spans="1:13" ht="60" x14ac:dyDescent="0.25">
      <c r="A605" s="7" t="s">
        <v>7289</v>
      </c>
      <c r="B605" s="2" t="s">
        <v>2395</v>
      </c>
      <c r="C605" s="4">
        <v>1</v>
      </c>
      <c r="D605" s="5">
        <v>2.17</v>
      </c>
      <c r="E605" s="5">
        <v>5.99</v>
      </c>
      <c r="F605" s="4" t="s">
        <v>2396</v>
      </c>
      <c r="G605" s="2" t="s">
        <v>41</v>
      </c>
      <c r="H605" s="7" t="s">
        <v>42</v>
      </c>
      <c r="I605" s="2" t="s">
        <v>483</v>
      </c>
      <c r="J605" s="2" t="s">
        <v>536</v>
      </c>
      <c r="K605" s="2" t="s">
        <v>304</v>
      </c>
      <c r="L605" s="2" t="s">
        <v>38</v>
      </c>
      <c r="M605" s="8" t="str">
        <f>HYPERLINK("http://slimages.macys.com/is/image/MCY/13987582 ")</f>
        <v xml:space="preserve">http://slimages.macys.com/is/image/MCY/13987582 </v>
      </c>
    </row>
    <row r="606" spans="1:13" ht="60" x14ac:dyDescent="0.25">
      <c r="A606" s="7" t="s">
        <v>7290</v>
      </c>
      <c r="B606" s="2" t="s">
        <v>6647</v>
      </c>
      <c r="C606" s="4">
        <v>1</v>
      </c>
      <c r="D606" s="5">
        <v>2.16</v>
      </c>
      <c r="E606" s="5">
        <v>5.99</v>
      </c>
      <c r="F606" s="4" t="s">
        <v>6648</v>
      </c>
      <c r="G606" s="2" t="s">
        <v>657</v>
      </c>
      <c r="H606" s="7" t="s">
        <v>442</v>
      </c>
      <c r="I606" s="2" t="s">
        <v>483</v>
      </c>
      <c r="J606" s="2" t="s">
        <v>536</v>
      </c>
      <c r="K606" s="2" t="s">
        <v>304</v>
      </c>
      <c r="L606" s="2" t="s">
        <v>119</v>
      </c>
      <c r="M606" s="8" t="str">
        <f>HYPERLINK("http://slimages.macys.com/is/image/MCY/12644371 ")</f>
        <v xml:space="preserve">http://slimages.macys.com/is/image/MCY/12644371 </v>
      </c>
    </row>
    <row r="607" spans="1:13" ht="60" x14ac:dyDescent="0.25">
      <c r="A607" s="7" t="s">
        <v>7291</v>
      </c>
      <c r="B607" s="2" t="s">
        <v>7292</v>
      </c>
      <c r="C607" s="4">
        <v>1</v>
      </c>
      <c r="D607" s="5">
        <v>2.14</v>
      </c>
      <c r="E607" s="5">
        <v>5.99</v>
      </c>
      <c r="F607" s="4" t="s">
        <v>7293</v>
      </c>
      <c r="G607" s="2" t="s">
        <v>28</v>
      </c>
      <c r="H607" s="7" t="s">
        <v>42</v>
      </c>
      <c r="I607" s="2" t="s">
        <v>483</v>
      </c>
      <c r="J607" s="2" t="s">
        <v>536</v>
      </c>
      <c r="K607" s="2" t="s">
        <v>304</v>
      </c>
      <c r="L607" s="2" t="s">
        <v>87</v>
      </c>
      <c r="M607" s="8" t="str">
        <f>HYPERLINK("http://slimages.macys.com/is/image/MCY/11855913 ")</f>
        <v xml:space="preserve">http://slimages.macys.com/is/image/MCY/11855913 </v>
      </c>
    </row>
    <row r="608" spans="1:13" ht="60" x14ac:dyDescent="0.25">
      <c r="A608" s="7" t="s">
        <v>7294</v>
      </c>
      <c r="B608" s="2" t="s">
        <v>5109</v>
      </c>
      <c r="C608" s="4">
        <v>1</v>
      </c>
      <c r="D608" s="5">
        <v>2.11</v>
      </c>
      <c r="E608" s="5">
        <v>5.99</v>
      </c>
      <c r="F608" s="4" t="s">
        <v>5110</v>
      </c>
      <c r="G608" s="2" t="s">
        <v>793</v>
      </c>
      <c r="H608" s="7" t="s">
        <v>590</v>
      </c>
      <c r="I608" s="2" t="s">
        <v>483</v>
      </c>
      <c r="J608" s="2" t="s">
        <v>536</v>
      </c>
      <c r="K608" s="2" t="s">
        <v>304</v>
      </c>
      <c r="L608" s="2" t="s">
        <v>119</v>
      </c>
      <c r="M608" s="8" t="str">
        <f>HYPERLINK("http://slimages.macys.com/is/image/MCY/13987430 ")</f>
        <v xml:space="preserve">http://slimages.macys.com/is/image/MCY/13987430 </v>
      </c>
    </row>
    <row r="609" spans="1:13" ht="60" x14ac:dyDescent="0.25">
      <c r="A609" s="7" t="s">
        <v>6653</v>
      </c>
      <c r="B609" s="2" t="s">
        <v>1333</v>
      </c>
      <c r="C609" s="4">
        <v>1</v>
      </c>
      <c r="D609" s="5">
        <v>2.0299999999999998</v>
      </c>
      <c r="E609" s="5">
        <v>4.99</v>
      </c>
      <c r="F609" s="4" t="s">
        <v>1325</v>
      </c>
      <c r="G609" s="2" t="s">
        <v>28</v>
      </c>
      <c r="H609" s="7" t="s">
        <v>159</v>
      </c>
      <c r="I609" s="2" t="s">
        <v>523</v>
      </c>
      <c r="J609" s="2" t="s">
        <v>921</v>
      </c>
      <c r="K609" s="2" t="s">
        <v>304</v>
      </c>
      <c r="L609" s="2" t="s">
        <v>323</v>
      </c>
      <c r="M609" s="8" t="str">
        <f>HYPERLINK("http://slimages.macys.com/is/image/MCY/8345548 ")</f>
        <v xml:space="preserve">http://slimages.macys.com/is/image/MCY/8345548 </v>
      </c>
    </row>
    <row r="610" spans="1:13" ht="60" x14ac:dyDescent="0.25">
      <c r="A610" s="7" t="s">
        <v>7295</v>
      </c>
      <c r="B610" s="2" t="s">
        <v>2407</v>
      </c>
      <c r="C610" s="4">
        <v>1</v>
      </c>
      <c r="D610" s="5">
        <v>2.02</v>
      </c>
      <c r="E610" s="5">
        <v>5.99</v>
      </c>
      <c r="F610" s="4" t="s">
        <v>2408</v>
      </c>
      <c r="G610" s="2" t="s">
        <v>657</v>
      </c>
      <c r="H610" s="7" t="s">
        <v>42</v>
      </c>
      <c r="I610" s="2" t="s">
        <v>483</v>
      </c>
      <c r="J610" s="2" t="s">
        <v>536</v>
      </c>
      <c r="K610" s="2" t="s">
        <v>304</v>
      </c>
      <c r="L610" s="2" t="s">
        <v>206</v>
      </c>
      <c r="M610" s="8" t="str">
        <f>HYPERLINK("http://slimages.macys.com/is/image/MCY/12464674 ")</f>
        <v xml:space="preserve">http://slimages.macys.com/is/image/MCY/12464674 </v>
      </c>
    </row>
    <row r="611" spans="1:13" ht="60" x14ac:dyDescent="0.25">
      <c r="A611" s="7" t="s">
        <v>7296</v>
      </c>
      <c r="B611" s="2" t="s">
        <v>7297</v>
      </c>
      <c r="C611" s="4">
        <v>1</v>
      </c>
      <c r="D611" s="5">
        <v>1.97</v>
      </c>
      <c r="E611" s="5">
        <v>5.99</v>
      </c>
      <c r="F611" s="4" t="s">
        <v>7298</v>
      </c>
      <c r="G611" s="2" t="s">
        <v>657</v>
      </c>
      <c r="H611" s="7" t="s">
        <v>442</v>
      </c>
      <c r="I611" s="2" t="s">
        <v>483</v>
      </c>
      <c r="J611" s="2" t="s">
        <v>536</v>
      </c>
      <c r="K611" s="2" t="s">
        <v>304</v>
      </c>
      <c r="L611" s="2" t="s">
        <v>119</v>
      </c>
      <c r="M611" s="8" t="str">
        <f>HYPERLINK("http://slimages.macys.com/is/image/MCY/12636887 ")</f>
        <v xml:space="preserve">http://slimages.macys.com/is/image/MCY/12636887 </v>
      </c>
    </row>
    <row r="612" spans="1:13" ht="60" x14ac:dyDescent="0.25">
      <c r="A612" s="7" t="s">
        <v>7299</v>
      </c>
      <c r="B612" s="2" t="s">
        <v>1399</v>
      </c>
      <c r="C612" s="4">
        <v>2</v>
      </c>
      <c r="D612" s="5">
        <v>1.97</v>
      </c>
      <c r="E612" s="5">
        <v>5.99</v>
      </c>
      <c r="F612" s="4" t="s">
        <v>1400</v>
      </c>
      <c r="G612" s="2" t="s">
        <v>657</v>
      </c>
      <c r="H612" s="7" t="s">
        <v>42</v>
      </c>
      <c r="I612" s="2" t="s">
        <v>483</v>
      </c>
      <c r="J612" s="2" t="s">
        <v>536</v>
      </c>
      <c r="K612" s="2" t="s">
        <v>304</v>
      </c>
      <c r="L612" s="2" t="s">
        <v>119</v>
      </c>
      <c r="M612" s="8" t="str">
        <f>HYPERLINK("http://slimages.macys.com/is/image/MCY/13987628 ")</f>
        <v xml:space="preserve">http://slimages.macys.com/is/image/MCY/13987628 </v>
      </c>
    </row>
    <row r="613" spans="1:13" ht="60" x14ac:dyDescent="0.25">
      <c r="A613" s="7" t="s">
        <v>6656</v>
      </c>
      <c r="B613" s="2" t="s">
        <v>1399</v>
      </c>
      <c r="C613" s="4">
        <v>1</v>
      </c>
      <c r="D613" s="5">
        <v>1.97</v>
      </c>
      <c r="E613" s="5">
        <v>5.99</v>
      </c>
      <c r="F613" s="4" t="s">
        <v>1400</v>
      </c>
      <c r="G613" s="2" t="s">
        <v>657</v>
      </c>
      <c r="H613" s="7" t="s">
        <v>149</v>
      </c>
      <c r="I613" s="2" t="s">
        <v>483</v>
      </c>
      <c r="J613" s="2" t="s">
        <v>536</v>
      </c>
      <c r="K613" s="2" t="s">
        <v>304</v>
      </c>
      <c r="L613" s="2" t="s">
        <v>119</v>
      </c>
      <c r="M613" s="8" t="str">
        <f>HYPERLINK("http://slimages.macys.com/is/image/MCY/13987628 ")</f>
        <v xml:space="preserve">http://slimages.macys.com/is/image/MCY/13987628 </v>
      </c>
    </row>
    <row r="614" spans="1:13" ht="60" x14ac:dyDescent="0.25">
      <c r="A614" s="7" t="s">
        <v>1398</v>
      </c>
      <c r="B614" s="2" t="s">
        <v>1399</v>
      </c>
      <c r="C614" s="4">
        <v>3</v>
      </c>
      <c r="D614" s="5">
        <v>1.97</v>
      </c>
      <c r="E614" s="5">
        <v>5.99</v>
      </c>
      <c r="F614" s="4" t="s">
        <v>1400</v>
      </c>
      <c r="G614" s="2" t="s">
        <v>657</v>
      </c>
      <c r="H614" s="7" t="s">
        <v>590</v>
      </c>
      <c r="I614" s="2" t="s">
        <v>483</v>
      </c>
      <c r="J614" s="2" t="s">
        <v>536</v>
      </c>
      <c r="K614" s="2" t="s">
        <v>304</v>
      </c>
      <c r="L614" s="2" t="s">
        <v>119</v>
      </c>
      <c r="M614" s="8" t="str">
        <f>HYPERLINK("http://slimages.macys.com/is/image/MCY/13987628 ")</f>
        <v xml:space="preserve">http://slimages.macys.com/is/image/MCY/13987628 </v>
      </c>
    </row>
    <row r="615" spans="1:13" ht="60" x14ac:dyDescent="0.25">
      <c r="A615" s="7" t="s">
        <v>7300</v>
      </c>
      <c r="B615" s="2" t="s">
        <v>1399</v>
      </c>
      <c r="C615" s="4">
        <v>2</v>
      </c>
      <c r="D615" s="5">
        <v>1.97</v>
      </c>
      <c r="E615" s="5">
        <v>5.99</v>
      </c>
      <c r="F615" s="4" t="s">
        <v>1400</v>
      </c>
      <c r="G615" s="2" t="s">
        <v>657</v>
      </c>
      <c r="H615" s="7" t="s">
        <v>91</v>
      </c>
      <c r="I615" s="2" t="s">
        <v>483</v>
      </c>
      <c r="J615" s="2" t="s">
        <v>536</v>
      </c>
      <c r="K615" s="2" t="s">
        <v>304</v>
      </c>
      <c r="L615" s="2" t="s">
        <v>119</v>
      </c>
      <c r="M615" s="8" t="str">
        <f>HYPERLINK("http://slimages.macys.com/is/image/MCY/13987628 ")</f>
        <v xml:space="preserve">http://slimages.macys.com/is/image/MCY/13987628 </v>
      </c>
    </row>
    <row r="616" spans="1:13" ht="60" x14ac:dyDescent="0.25">
      <c r="A616" s="7" t="s">
        <v>7301</v>
      </c>
      <c r="B616" s="2" t="s">
        <v>7297</v>
      </c>
      <c r="C616" s="4">
        <v>1</v>
      </c>
      <c r="D616" s="5">
        <v>1.97</v>
      </c>
      <c r="E616" s="5">
        <v>5.99</v>
      </c>
      <c r="F616" s="4" t="s">
        <v>7298</v>
      </c>
      <c r="G616" s="2" t="s">
        <v>657</v>
      </c>
      <c r="H616" s="7" t="s">
        <v>42</v>
      </c>
      <c r="I616" s="2" t="s">
        <v>483</v>
      </c>
      <c r="J616" s="2" t="s">
        <v>536</v>
      </c>
      <c r="K616" s="2" t="s">
        <v>304</v>
      </c>
      <c r="L616" s="2" t="s">
        <v>119</v>
      </c>
      <c r="M616" s="8" t="str">
        <f>HYPERLINK("http://slimages.macys.com/is/image/MCY/12636887 ")</f>
        <v xml:space="preserve">http://slimages.macys.com/is/image/MCY/12636887 </v>
      </c>
    </row>
    <row r="617" spans="1:13" ht="60" x14ac:dyDescent="0.25">
      <c r="A617" s="7" t="s">
        <v>7302</v>
      </c>
      <c r="B617" s="2" t="s">
        <v>2410</v>
      </c>
      <c r="C617" s="4">
        <v>1</v>
      </c>
      <c r="D617" s="5">
        <v>1.97</v>
      </c>
      <c r="E617" s="5">
        <v>5.99</v>
      </c>
      <c r="F617" s="4" t="s">
        <v>2411</v>
      </c>
      <c r="G617" s="2" t="s">
        <v>41</v>
      </c>
      <c r="H617" s="7" t="s">
        <v>42</v>
      </c>
      <c r="I617" s="2" t="s">
        <v>483</v>
      </c>
      <c r="J617" s="2" t="s">
        <v>536</v>
      </c>
      <c r="K617" s="2" t="s">
        <v>304</v>
      </c>
      <c r="L617" s="2" t="s">
        <v>206</v>
      </c>
      <c r="M617" s="8" t="str">
        <f>HYPERLINK("http://slimages.macys.com/is/image/MCY/12644612 ")</f>
        <v xml:space="preserve">http://slimages.macys.com/is/image/MCY/12644612 </v>
      </c>
    </row>
    <row r="618" spans="1:13" ht="60" x14ac:dyDescent="0.25">
      <c r="A618" s="7" t="s">
        <v>2415</v>
      </c>
      <c r="B618" s="2" t="s">
        <v>2416</v>
      </c>
      <c r="C618" s="4">
        <v>5</v>
      </c>
      <c r="D618" s="5">
        <v>1.47</v>
      </c>
      <c r="E618" s="5">
        <v>3.99</v>
      </c>
      <c r="F618" s="4" t="s">
        <v>2417</v>
      </c>
      <c r="G618" s="2" t="s">
        <v>297</v>
      </c>
      <c r="H618" s="7" t="s">
        <v>531</v>
      </c>
      <c r="I618" s="2" t="s">
        <v>483</v>
      </c>
      <c r="J618" s="2" t="s">
        <v>536</v>
      </c>
      <c r="K618" s="2" t="s">
        <v>304</v>
      </c>
      <c r="L618" s="2" t="s">
        <v>206</v>
      </c>
      <c r="M618" s="8" t="str">
        <f>HYPERLINK("http://slimages.macys.com/is/image/MCY/13987503 ")</f>
        <v xml:space="preserve">http://slimages.macys.com/is/image/MCY/13987503 </v>
      </c>
    </row>
    <row r="619" spans="1:13" ht="60" x14ac:dyDescent="0.25">
      <c r="A619" s="7" t="s">
        <v>2418</v>
      </c>
      <c r="B619" s="2" t="s">
        <v>2419</v>
      </c>
      <c r="C619" s="4">
        <v>11</v>
      </c>
      <c r="D619" s="5">
        <v>1.42</v>
      </c>
      <c r="E619" s="5">
        <v>3.99</v>
      </c>
      <c r="F619" s="4" t="s">
        <v>2420</v>
      </c>
      <c r="G619" s="2" t="s">
        <v>134</v>
      </c>
      <c r="H619" s="7" t="s">
        <v>531</v>
      </c>
      <c r="I619" s="2" t="s">
        <v>483</v>
      </c>
      <c r="J619" s="2" t="s">
        <v>536</v>
      </c>
      <c r="K619" s="2" t="s">
        <v>304</v>
      </c>
      <c r="L619" s="2" t="s">
        <v>2421</v>
      </c>
      <c r="M619" s="8" t="str">
        <f>HYPERLINK("http://slimages.macys.com/is/image/MCY/13987505 ")</f>
        <v xml:space="preserve">http://slimages.macys.com/is/image/MCY/13987505 </v>
      </c>
    </row>
    <row r="620" spans="1:13" ht="24" x14ac:dyDescent="0.25">
      <c r="A620" s="7" t="s">
        <v>7303</v>
      </c>
      <c r="B620" s="2" t="s">
        <v>7304</v>
      </c>
      <c r="C620" s="4">
        <v>1</v>
      </c>
      <c r="D620" s="5">
        <v>8.01</v>
      </c>
      <c r="E620" s="5">
        <v>17.989999999999998</v>
      </c>
      <c r="F620" s="4" t="s">
        <v>7305</v>
      </c>
      <c r="G620" s="2" t="s">
        <v>527</v>
      </c>
      <c r="H620" s="7" t="s">
        <v>228</v>
      </c>
      <c r="I620" s="2" t="s">
        <v>80</v>
      </c>
      <c r="J620" s="2" t="s">
        <v>160</v>
      </c>
      <c r="K620" s="2"/>
      <c r="L620" s="2"/>
      <c r="M620" s="8"/>
    </row>
    <row r="621" spans="1:13" ht="36" x14ac:dyDescent="0.25">
      <c r="A621" s="7" t="s">
        <v>7306</v>
      </c>
      <c r="B621" s="2" t="s">
        <v>4624</v>
      </c>
      <c r="C621" s="4">
        <v>2</v>
      </c>
      <c r="D621" s="5">
        <v>6.4</v>
      </c>
      <c r="E621" s="5">
        <v>14.55</v>
      </c>
      <c r="F621" s="4">
        <v>17890810</v>
      </c>
      <c r="G621" s="2" t="s">
        <v>653</v>
      </c>
      <c r="H621" s="7" t="s">
        <v>42</v>
      </c>
      <c r="I621" s="2" t="s">
        <v>153</v>
      </c>
      <c r="J621" s="2" t="s">
        <v>154</v>
      </c>
      <c r="K621" s="2"/>
      <c r="L621" s="2"/>
      <c r="M621" s="8"/>
    </row>
  </sheetData>
  <pageMargins left="0.5" right="0.5" top="0.25" bottom="0.25" header="0.3" footer="0.3"/>
  <pageSetup scale="65" orientation="landscape" horizontalDpi="0" verticalDpi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68"/>
  <sheetViews>
    <sheetView workbookViewId="0">
      <selection activeCell="O7" sqref="O7"/>
    </sheetView>
  </sheetViews>
  <sheetFormatPr defaultRowHeight="15" x14ac:dyDescent="0.25"/>
  <cols>
    <col min="1" max="1" width="14.28515625" customWidth="1"/>
    <col min="2" max="2" width="40.28515625" customWidth="1"/>
    <col min="3" max="3" width="15" customWidth="1"/>
    <col min="4" max="4" width="10.85546875" customWidth="1"/>
    <col min="5" max="6" width="15" customWidth="1"/>
    <col min="7" max="7" width="10.28515625" customWidth="1"/>
    <col min="8" max="8" width="13.7109375" customWidth="1"/>
    <col min="9" max="11" width="11.42578125" customWidth="1"/>
    <col min="12" max="12" width="8" customWidth="1"/>
    <col min="13" max="13" width="10.85546875" customWidth="1"/>
    <col min="14" max="14" width="12.140625" customWidth="1"/>
    <col min="15" max="15" width="36.5703125" bestFit="1" customWidth="1"/>
    <col min="16" max="17" width="20.7109375" customWidth="1"/>
    <col min="18" max="18" width="64.28515625" customWidth="1"/>
  </cols>
  <sheetData>
    <row r="1" spans="1:13" ht="36" x14ac:dyDescent="0.25">
      <c r="A1" s="18" t="s">
        <v>0</v>
      </c>
      <c r="B1" s="18" t="s">
        <v>1</v>
      </c>
      <c r="C1" s="18" t="s">
        <v>2</v>
      </c>
      <c r="D1" s="18" t="s">
        <v>3</v>
      </c>
      <c r="E1" s="18" t="s">
        <v>4</v>
      </c>
      <c r="F1" s="18" t="s">
        <v>5</v>
      </c>
      <c r="G1" s="18" t="s">
        <v>6</v>
      </c>
      <c r="H1" s="18" t="s">
        <v>7</v>
      </c>
      <c r="I1" s="18" t="s">
        <v>8</v>
      </c>
      <c r="J1" s="18" t="s">
        <v>9</v>
      </c>
    </row>
    <row r="2" spans="1:13" ht="36" x14ac:dyDescent="0.25">
      <c r="A2" s="2" t="s">
        <v>654</v>
      </c>
      <c r="B2" s="3">
        <v>12448790</v>
      </c>
      <c r="C2" s="2" t="s">
        <v>11</v>
      </c>
      <c r="D2" s="2" t="s">
        <v>12</v>
      </c>
      <c r="E2" s="4">
        <v>1</v>
      </c>
      <c r="F2" s="4">
        <v>25</v>
      </c>
      <c r="G2" s="2">
        <v>244</v>
      </c>
      <c r="H2" s="5">
        <v>4535.41</v>
      </c>
      <c r="I2" s="5">
        <v>11344.45</v>
      </c>
      <c r="J2" s="2">
        <v>1066</v>
      </c>
    </row>
    <row r="4" spans="1:13" s="6" customFormat="1" x14ac:dyDescent="0.25"/>
    <row r="7" spans="1:13" s="6" customFormat="1" x14ac:dyDescent="0.25"/>
    <row r="8" spans="1:13" ht="36" x14ac:dyDescent="0.25">
      <c r="A8" s="18" t="s">
        <v>13</v>
      </c>
      <c r="B8" s="18" t="s">
        <v>14</v>
      </c>
      <c r="C8" s="18" t="s">
        <v>15</v>
      </c>
      <c r="D8" s="18" t="s">
        <v>16</v>
      </c>
      <c r="E8" s="18" t="s">
        <v>17</v>
      </c>
      <c r="F8" s="18" t="s">
        <v>18</v>
      </c>
      <c r="G8" s="18" t="s">
        <v>19</v>
      </c>
      <c r="H8" s="18" t="s">
        <v>20</v>
      </c>
      <c r="I8" s="18" t="s">
        <v>21</v>
      </c>
      <c r="J8" s="18" t="s">
        <v>22</v>
      </c>
      <c r="K8" s="18" t="s">
        <v>2737</v>
      </c>
      <c r="L8" s="18" t="s">
        <v>23</v>
      </c>
      <c r="M8" s="18" t="s">
        <v>24</v>
      </c>
    </row>
    <row r="9" spans="1:13" ht="60" x14ac:dyDescent="0.25">
      <c r="A9" s="7" t="s">
        <v>6104</v>
      </c>
      <c r="B9" s="2" t="s">
        <v>2799</v>
      </c>
      <c r="C9" s="4">
        <v>1</v>
      </c>
      <c r="D9" s="5">
        <v>27.8</v>
      </c>
      <c r="E9" s="5">
        <v>69.5</v>
      </c>
      <c r="F9" s="4" t="s">
        <v>2800</v>
      </c>
      <c r="G9" s="2"/>
      <c r="H9" s="7"/>
      <c r="I9" s="2" t="s">
        <v>98</v>
      </c>
      <c r="J9" s="2" t="s">
        <v>99</v>
      </c>
      <c r="K9" s="2" t="s">
        <v>304</v>
      </c>
      <c r="L9" s="2" t="s">
        <v>596</v>
      </c>
      <c r="M9" s="8" t="str">
        <f>HYPERLINK("http://slimages.macys.com/is/image/MCY/11502889 ")</f>
        <v xml:space="preserve">http://slimages.macys.com/is/image/MCY/11502889 </v>
      </c>
    </row>
    <row r="10" spans="1:13" ht="168" x14ac:dyDescent="0.25">
      <c r="A10" s="7" t="s">
        <v>6105</v>
      </c>
      <c r="B10" s="2" t="s">
        <v>6106</v>
      </c>
      <c r="C10" s="4">
        <v>1</v>
      </c>
      <c r="D10" s="5">
        <v>24.47</v>
      </c>
      <c r="E10" s="5">
        <v>49.99</v>
      </c>
      <c r="F10" s="4" t="s">
        <v>6107</v>
      </c>
      <c r="G10" s="2" t="s">
        <v>892</v>
      </c>
      <c r="H10" s="7" t="s">
        <v>228</v>
      </c>
      <c r="I10" s="2" t="s">
        <v>73</v>
      </c>
      <c r="J10" s="2" t="s">
        <v>160</v>
      </c>
      <c r="K10" s="2" t="s">
        <v>304</v>
      </c>
      <c r="L10" s="2" t="s">
        <v>6108</v>
      </c>
      <c r="M10" s="8" t="str">
        <f>HYPERLINK("http://slimages.macys.com/is/image/MCY/11484998 ")</f>
        <v xml:space="preserve">http://slimages.macys.com/is/image/MCY/11484998 </v>
      </c>
    </row>
    <row r="11" spans="1:13" ht="60" x14ac:dyDescent="0.25">
      <c r="A11" s="7" t="s">
        <v>6109</v>
      </c>
      <c r="B11" s="2" t="s">
        <v>6110</v>
      </c>
      <c r="C11" s="4">
        <v>1</v>
      </c>
      <c r="D11" s="5">
        <v>23.5</v>
      </c>
      <c r="E11" s="5">
        <v>49</v>
      </c>
      <c r="F11" s="4" t="s">
        <v>6111</v>
      </c>
      <c r="G11" s="2" t="s">
        <v>62</v>
      </c>
      <c r="H11" s="7" t="s">
        <v>6112</v>
      </c>
      <c r="I11" s="2" t="s">
        <v>50</v>
      </c>
      <c r="J11" s="2" t="s">
        <v>6113</v>
      </c>
      <c r="K11" s="2" t="s">
        <v>304</v>
      </c>
      <c r="L11" s="2" t="s">
        <v>6114</v>
      </c>
      <c r="M11" s="8" t="str">
        <f>HYPERLINK("http://slimages.macys.com/is/image/MCY/1121939 ")</f>
        <v xml:space="preserve">http://slimages.macys.com/is/image/MCY/1121939 </v>
      </c>
    </row>
    <row r="12" spans="1:13" ht="72" x14ac:dyDescent="0.25">
      <c r="A12" s="7" t="s">
        <v>6115</v>
      </c>
      <c r="B12" s="2" t="s">
        <v>6116</v>
      </c>
      <c r="C12" s="4">
        <v>1</v>
      </c>
      <c r="D12" s="5">
        <v>20.83</v>
      </c>
      <c r="E12" s="5">
        <v>59.5</v>
      </c>
      <c r="F12" s="4" t="s">
        <v>6117</v>
      </c>
      <c r="G12" s="2" t="s">
        <v>353</v>
      </c>
      <c r="H12" s="7" t="s">
        <v>172</v>
      </c>
      <c r="I12" s="2" t="s">
        <v>298</v>
      </c>
      <c r="J12" s="2" t="s">
        <v>99</v>
      </c>
      <c r="K12" s="2" t="s">
        <v>304</v>
      </c>
      <c r="L12" s="2" t="s">
        <v>6118</v>
      </c>
      <c r="M12" s="8" t="str">
        <f>HYPERLINK("http://slimages.macys.com/is/image/MCY/13801727 ")</f>
        <v xml:space="preserve">http://slimages.macys.com/is/image/MCY/13801727 </v>
      </c>
    </row>
    <row r="13" spans="1:13" ht="60" x14ac:dyDescent="0.25">
      <c r="A13" s="7" t="s">
        <v>6119</v>
      </c>
      <c r="B13" s="2" t="s">
        <v>2448</v>
      </c>
      <c r="C13" s="4">
        <v>1</v>
      </c>
      <c r="D13" s="5">
        <v>20.25</v>
      </c>
      <c r="E13" s="5">
        <v>45</v>
      </c>
      <c r="F13" s="4">
        <v>322767529002</v>
      </c>
      <c r="G13" s="2" t="s">
        <v>28</v>
      </c>
      <c r="H13" s="7" t="s">
        <v>166</v>
      </c>
      <c r="I13" s="2" t="s">
        <v>204</v>
      </c>
      <c r="J13" s="2" t="s">
        <v>205</v>
      </c>
      <c r="K13" s="2" t="s">
        <v>304</v>
      </c>
      <c r="L13" s="2" t="s">
        <v>119</v>
      </c>
      <c r="M13" s="8" t="str">
        <f>HYPERLINK("http://slimages.macys.com/is/image/MCY/13745323 ")</f>
        <v xml:space="preserve">http://slimages.macys.com/is/image/MCY/13745323 </v>
      </c>
    </row>
    <row r="14" spans="1:13" ht="72" x14ac:dyDescent="0.25">
      <c r="A14" s="7" t="s">
        <v>6120</v>
      </c>
      <c r="B14" s="2" t="s">
        <v>6121</v>
      </c>
      <c r="C14" s="4">
        <v>1</v>
      </c>
      <c r="D14" s="5">
        <v>19.5</v>
      </c>
      <c r="E14" s="5">
        <v>39</v>
      </c>
      <c r="F14" s="4">
        <v>265694</v>
      </c>
      <c r="G14" s="2" t="s">
        <v>41</v>
      </c>
      <c r="H14" s="7" t="s">
        <v>850</v>
      </c>
      <c r="I14" s="2" t="s">
        <v>50</v>
      </c>
      <c r="J14" s="2" t="s">
        <v>787</v>
      </c>
      <c r="K14" s="2" t="s">
        <v>304</v>
      </c>
      <c r="L14" s="2" t="s">
        <v>1448</v>
      </c>
      <c r="M14" s="8" t="str">
        <f>HYPERLINK("http://slimages.macys.com/is/image/MCY/8640337 ")</f>
        <v xml:space="preserve">http://slimages.macys.com/is/image/MCY/8640337 </v>
      </c>
    </row>
    <row r="15" spans="1:13" ht="60" x14ac:dyDescent="0.25">
      <c r="A15" s="7" t="s">
        <v>6122</v>
      </c>
      <c r="B15" s="2" t="s">
        <v>6123</v>
      </c>
      <c r="C15" s="4">
        <v>1</v>
      </c>
      <c r="D15" s="5">
        <v>17</v>
      </c>
      <c r="E15" s="5">
        <v>38.99</v>
      </c>
      <c r="F15" s="4" t="s">
        <v>6124</v>
      </c>
      <c r="G15" s="2" t="s">
        <v>62</v>
      </c>
      <c r="H15" s="7" t="s">
        <v>284</v>
      </c>
      <c r="I15" s="2" t="s">
        <v>73</v>
      </c>
      <c r="J15" s="2" t="s">
        <v>223</v>
      </c>
      <c r="K15" s="2" t="s">
        <v>304</v>
      </c>
      <c r="L15" s="2" t="s">
        <v>125</v>
      </c>
      <c r="M15" s="8" t="str">
        <f>HYPERLINK("http://slimages.macys.com/is/image/MCY/13581643 ")</f>
        <v xml:space="preserve">http://slimages.macys.com/is/image/MCY/13581643 </v>
      </c>
    </row>
    <row r="16" spans="1:13" ht="60" x14ac:dyDescent="0.25">
      <c r="A16" s="7" t="s">
        <v>6125</v>
      </c>
      <c r="B16" s="2" t="s">
        <v>6126</v>
      </c>
      <c r="C16" s="4">
        <v>1</v>
      </c>
      <c r="D16" s="5">
        <v>16.5</v>
      </c>
      <c r="E16" s="5">
        <v>44.99</v>
      </c>
      <c r="F16" s="4" t="s">
        <v>6127</v>
      </c>
      <c r="G16" s="2" t="s">
        <v>171</v>
      </c>
      <c r="H16" s="7" t="s">
        <v>97</v>
      </c>
      <c r="I16" s="2" t="s">
        <v>668</v>
      </c>
      <c r="J16" s="2" t="s">
        <v>239</v>
      </c>
      <c r="K16" s="2" t="s">
        <v>304</v>
      </c>
      <c r="L16" s="2" t="s">
        <v>125</v>
      </c>
      <c r="M16" s="8" t="str">
        <f>HYPERLINK("http://slimages.macys.com/is/image/MCY/11975996 ")</f>
        <v xml:space="preserve">http://slimages.macys.com/is/image/MCY/11975996 </v>
      </c>
    </row>
    <row r="17" spans="1:13" ht="60" x14ac:dyDescent="0.25">
      <c r="A17" s="7" t="s">
        <v>101</v>
      </c>
      <c r="B17" s="2" t="s">
        <v>102</v>
      </c>
      <c r="C17" s="4">
        <v>2</v>
      </c>
      <c r="D17" s="5">
        <v>16.2</v>
      </c>
      <c r="E17" s="5">
        <v>54</v>
      </c>
      <c r="F17" s="4">
        <v>328374</v>
      </c>
      <c r="G17" s="2" t="s">
        <v>103</v>
      </c>
      <c r="H17" s="7" t="s">
        <v>104</v>
      </c>
      <c r="I17" s="2" t="s">
        <v>50</v>
      </c>
      <c r="J17" s="2" t="s">
        <v>105</v>
      </c>
      <c r="K17" s="2" t="s">
        <v>304</v>
      </c>
      <c r="L17" s="2"/>
      <c r="M17" s="8" t="str">
        <f>HYPERLINK("http://slimages.macys.com/is/image/MCY/10476758 ")</f>
        <v xml:space="preserve">http://slimages.macys.com/is/image/MCY/10476758 </v>
      </c>
    </row>
    <row r="18" spans="1:13" ht="60" x14ac:dyDescent="0.25">
      <c r="A18" s="7" t="s">
        <v>6128</v>
      </c>
      <c r="B18" s="2" t="s">
        <v>2965</v>
      </c>
      <c r="C18" s="4">
        <v>1</v>
      </c>
      <c r="D18" s="5">
        <v>15.75</v>
      </c>
      <c r="E18" s="5">
        <v>36.99</v>
      </c>
      <c r="F18" s="4" t="s">
        <v>2966</v>
      </c>
      <c r="G18" s="2" t="s">
        <v>698</v>
      </c>
      <c r="H18" s="7" t="s">
        <v>159</v>
      </c>
      <c r="I18" s="2" t="s">
        <v>80</v>
      </c>
      <c r="J18" s="2" t="s">
        <v>2967</v>
      </c>
      <c r="K18" s="2" t="s">
        <v>304</v>
      </c>
      <c r="L18" s="2" t="s">
        <v>125</v>
      </c>
      <c r="M18" s="8" t="str">
        <f>HYPERLINK("http://slimages.macys.com/is/image/MCY/13759711 ")</f>
        <v xml:space="preserve">http://slimages.macys.com/is/image/MCY/13759711 </v>
      </c>
    </row>
    <row r="19" spans="1:13" ht="60" x14ac:dyDescent="0.25">
      <c r="A19" s="7" t="s">
        <v>6129</v>
      </c>
      <c r="B19" s="2" t="s">
        <v>2965</v>
      </c>
      <c r="C19" s="4">
        <v>1</v>
      </c>
      <c r="D19" s="5">
        <v>15.75</v>
      </c>
      <c r="E19" s="5">
        <v>36.99</v>
      </c>
      <c r="F19" s="4" t="s">
        <v>2966</v>
      </c>
      <c r="G19" s="2" t="s">
        <v>165</v>
      </c>
      <c r="H19" s="7" t="s">
        <v>159</v>
      </c>
      <c r="I19" s="2" t="s">
        <v>80</v>
      </c>
      <c r="J19" s="2" t="s">
        <v>2967</v>
      </c>
      <c r="K19" s="2" t="s">
        <v>304</v>
      </c>
      <c r="L19" s="2" t="s">
        <v>125</v>
      </c>
      <c r="M19" s="8" t="str">
        <f>HYPERLINK("http://slimages.macys.com/is/image/MCY/13759711 ")</f>
        <v xml:space="preserve">http://slimages.macys.com/is/image/MCY/13759711 </v>
      </c>
    </row>
    <row r="20" spans="1:13" ht="60" x14ac:dyDescent="0.25">
      <c r="A20" s="7" t="s">
        <v>6130</v>
      </c>
      <c r="B20" s="2" t="s">
        <v>1477</v>
      </c>
      <c r="C20" s="4">
        <v>1</v>
      </c>
      <c r="D20" s="5">
        <v>15</v>
      </c>
      <c r="E20" s="5">
        <v>39.99</v>
      </c>
      <c r="F20" s="4" t="s">
        <v>1478</v>
      </c>
      <c r="G20" s="2" t="s">
        <v>36</v>
      </c>
      <c r="H20" s="7" t="s">
        <v>91</v>
      </c>
      <c r="I20" s="2" t="s">
        <v>92</v>
      </c>
      <c r="J20" s="2" t="s">
        <v>187</v>
      </c>
      <c r="K20" s="2" t="s">
        <v>304</v>
      </c>
      <c r="L20" s="2" t="s">
        <v>1479</v>
      </c>
      <c r="M20" s="8" t="str">
        <f>HYPERLINK("http://slimages.macys.com/is/image/MCY/13310887 ")</f>
        <v xml:space="preserve">http://slimages.macys.com/is/image/MCY/13310887 </v>
      </c>
    </row>
    <row r="21" spans="1:13" ht="60" x14ac:dyDescent="0.25">
      <c r="A21" s="7" t="s">
        <v>6131</v>
      </c>
      <c r="B21" s="2" t="s">
        <v>6132</v>
      </c>
      <c r="C21" s="4">
        <v>2</v>
      </c>
      <c r="D21" s="5">
        <v>14.88</v>
      </c>
      <c r="E21" s="5">
        <v>42.5</v>
      </c>
      <c r="F21" s="4" t="s">
        <v>6133</v>
      </c>
      <c r="G21" s="2" t="s">
        <v>62</v>
      </c>
      <c r="H21" s="7"/>
      <c r="I21" s="2" t="s">
        <v>298</v>
      </c>
      <c r="J21" s="2" t="s">
        <v>99</v>
      </c>
      <c r="K21" s="2" t="s">
        <v>304</v>
      </c>
      <c r="L21" s="2" t="s">
        <v>596</v>
      </c>
      <c r="M21" s="8" t="str">
        <f>HYPERLINK("http://slimages.macys.com/is/image/MCY/13742631 ")</f>
        <v xml:space="preserve">http://slimages.macys.com/is/image/MCY/13742631 </v>
      </c>
    </row>
    <row r="22" spans="1:13" ht="60" x14ac:dyDescent="0.25">
      <c r="A22" s="7" t="s">
        <v>6134</v>
      </c>
      <c r="B22" s="2" t="s">
        <v>6132</v>
      </c>
      <c r="C22" s="4">
        <v>1</v>
      </c>
      <c r="D22" s="5">
        <v>14.88</v>
      </c>
      <c r="E22" s="5">
        <v>42.5</v>
      </c>
      <c r="F22" s="4" t="s">
        <v>6133</v>
      </c>
      <c r="G22" s="2" t="s">
        <v>62</v>
      </c>
      <c r="H22" s="7" t="s">
        <v>177</v>
      </c>
      <c r="I22" s="2" t="s">
        <v>298</v>
      </c>
      <c r="J22" s="2" t="s">
        <v>99</v>
      </c>
      <c r="K22" s="2" t="s">
        <v>304</v>
      </c>
      <c r="L22" s="2" t="s">
        <v>596</v>
      </c>
      <c r="M22" s="8" t="str">
        <f>HYPERLINK("http://slimages.macys.com/is/image/MCY/13742631 ")</f>
        <v xml:space="preserve">http://slimages.macys.com/is/image/MCY/13742631 </v>
      </c>
    </row>
    <row r="23" spans="1:13" ht="60" x14ac:dyDescent="0.25">
      <c r="A23" s="7" t="s">
        <v>6135</v>
      </c>
      <c r="B23" s="2" t="s">
        <v>6136</v>
      </c>
      <c r="C23" s="4">
        <v>1</v>
      </c>
      <c r="D23" s="5">
        <v>14.62</v>
      </c>
      <c r="E23" s="5">
        <v>39.5</v>
      </c>
      <c r="F23" s="4" t="s">
        <v>6137</v>
      </c>
      <c r="G23" s="2" t="s">
        <v>48</v>
      </c>
      <c r="H23" s="7" t="s">
        <v>266</v>
      </c>
      <c r="I23" s="2" t="s">
        <v>880</v>
      </c>
      <c r="J23" s="2" t="s">
        <v>881</v>
      </c>
      <c r="K23" s="2" t="s">
        <v>304</v>
      </c>
      <c r="L23" s="2" t="s">
        <v>119</v>
      </c>
      <c r="M23" s="8" t="str">
        <f>HYPERLINK("http://slimages.macys.com/is/image/MCY/13357355 ")</f>
        <v xml:space="preserve">http://slimages.macys.com/is/image/MCY/13357355 </v>
      </c>
    </row>
    <row r="24" spans="1:13" ht="60" x14ac:dyDescent="0.25">
      <c r="A24" s="7" t="s">
        <v>6138</v>
      </c>
      <c r="B24" s="2" t="s">
        <v>6139</v>
      </c>
      <c r="C24" s="4">
        <v>1</v>
      </c>
      <c r="D24" s="5">
        <v>14.24</v>
      </c>
      <c r="E24" s="5">
        <v>28.99</v>
      </c>
      <c r="F24" s="4" t="s">
        <v>6140</v>
      </c>
      <c r="G24" s="2" t="s">
        <v>814</v>
      </c>
      <c r="H24" s="7" t="s">
        <v>228</v>
      </c>
      <c r="I24" s="2" t="s">
        <v>80</v>
      </c>
      <c r="J24" s="2" t="s">
        <v>160</v>
      </c>
      <c r="K24" s="2" t="s">
        <v>304</v>
      </c>
      <c r="L24" s="2" t="s">
        <v>125</v>
      </c>
      <c r="M24" s="8" t="str">
        <f>HYPERLINK("http://slimages.macys.com/is/image/MCY/11231024 ")</f>
        <v xml:space="preserve">http://slimages.macys.com/is/image/MCY/11231024 </v>
      </c>
    </row>
    <row r="25" spans="1:13" ht="60" x14ac:dyDescent="0.25">
      <c r="A25" s="7" t="s">
        <v>6141</v>
      </c>
      <c r="B25" s="2" t="s">
        <v>6142</v>
      </c>
      <c r="C25" s="4">
        <v>1</v>
      </c>
      <c r="D25" s="5">
        <v>14</v>
      </c>
      <c r="E25" s="5">
        <v>35</v>
      </c>
      <c r="F25" s="4">
        <v>310676237001</v>
      </c>
      <c r="G25" s="2" t="s">
        <v>36</v>
      </c>
      <c r="H25" s="7" t="s">
        <v>675</v>
      </c>
      <c r="I25" s="2" t="s">
        <v>676</v>
      </c>
      <c r="J25" s="2" t="s">
        <v>205</v>
      </c>
      <c r="K25" s="2" t="s">
        <v>304</v>
      </c>
      <c r="L25" s="2" t="s">
        <v>87</v>
      </c>
      <c r="M25" s="8" t="str">
        <f>HYPERLINK("http://slimages.macys.com/is/image/MCY/8948122 ")</f>
        <v xml:space="preserve">http://slimages.macys.com/is/image/MCY/8948122 </v>
      </c>
    </row>
    <row r="26" spans="1:13" ht="84" x14ac:dyDescent="0.25">
      <c r="A26" s="7" t="s">
        <v>6143</v>
      </c>
      <c r="B26" s="2" t="s">
        <v>4793</v>
      </c>
      <c r="C26" s="4">
        <v>1</v>
      </c>
      <c r="D26" s="5">
        <v>13.6</v>
      </c>
      <c r="E26" s="5">
        <v>34</v>
      </c>
      <c r="F26" s="4">
        <v>333564</v>
      </c>
      <c r="G26" s="2" t="s">
        <v>1463</v>
      </c>
      <c r="H26" s="7" t="s">
        <v>104</v>
      </c>
      <c r="I26" s="2" t="s">
        <v>50</v>
      </c>
      <c r="J26" s="2" t="s">
        <v>51</v>
      </c>
      <c r="K26" s="2" t="s">
        <v>304</v>
      </c>
      <c r="L26" s="2" t="s">
        <v>4794</v>
      </c>
      <c r="M26" s="8" t="str">
        <f t="shared" ref="M26:M31" si="0">HYPERLINK("http://slimages.macys.com/is/image/MCY/12341767 ")</f>
        <v xml:space="preserve">http://slimages.macys.com/is/image/MCY/12341767 </v>
      </c>
    </row>
    <row r="27" spans="1:13" ht="84" x14ac:dyDescent="0.25">
      <c r="A27" s="7" t="s">
        <v>6144</v>
      </c>
      <c r="B27" s="2" t="s">
        <v>4793</v>
      </c>
      <c r="C27" s="4">
        <v>1</v>
      </c>
      <c r="D27" s="5">
        <v>13.6</v>
      </c>
      <c r="E27" s="5">
        <v>34</v>
      </c>
      <c r="F27" s="4">
        <v>333564</v>
      </c>
      <c r="G27" s="2" t="s">
        <v>1463</v>
      </c>
      <c r="H27" s="7" t="s">
        <v>708</v>
      </c>
      <c r="I27" s="2" t="s">
        <v>50</v>
      </c>
      <c r="J27" s="2" t="s">
        <v>51</v>
      </c>
      <c r="K27" s="2" t="s">
        <v>304</v>
      </c>
      <c r="L27" s="2" t="s">
        <v>4794</v>
      </c>
      <c r="M27" s="8" t="str">
        <f t="shared" si="0"/>
        <v xml:space="preserve">http://slimages.macys.com/is/image/MCY/12341767 </v>
      </c>
    </row>
    <row r="28" spans="1:13" ht="84" x14ac:dyDescent="0.25">
      <c r="A28" s="7" t="s">
        <v>6145</v>
      </c>
      <c r="B28" s="2" t="s">
        <v>4793</v>
      </c>
      <c r="C28" s="4">
        <v>1</v>
      </c>
      <c r="D28" s="5">
        <v>13.6</v>
      </c>
      <c r="E28" s="5">
        <v>34</v>
      </c>
      <c r="F28" s="4">
        <v>333564</v>
      </c>
      <c r="G28" s="2" t="s">
        <v>1463</v>
      </c>
      <c r="H28" s="7" t="s">
        <v>850</v>
      </c>
      <c r="I28" s="2" t="s">
        <v>50</v>
      </c>
      <c r="J28" s="2" t="s">
        <v>51</v>
      </c>
      <c r="K28" s="2" t="s">
        <v>304</v>
      </c>
      <c r="L28" s="2" t="s">
        <v>4794</v>
      </c>
      <c r="M28" s="8" t="str">
        <f t="shared" si="0"/>
        <v xml:space="preserve">http://slimages.macys.com/is/image/MCY/12341767 </v>
      </c>
    </row>
    <row r="29" spans="1:13" ht="84" x14ac:dyDescent="0.25">
      <c r="A29" s="7" t="s">
        <v>6146</v>
      </c>
      <c r="B29" s="2" t="s">
        <v>4793</v>
      </c>
      <c r="C29" s="4">
        <v>1</v>
      </c>
      <c r="D29" s="5">
        <v>13.6</v>
      </c>
      <c r="E29" s="5">
        <v>34</v>
      </c>
      <c r="F29" s="4">
        <v>333564</v>
      </c>
      <c r="G29" s="2" t="s">
        <v>1463</v>
      </c>
      <c r="H29" s="7" t="s">
        <v>49</v>
      </c>
      <c r="I29" s="2" t="s">
        <v>50</v>
      </c>
      <c r="J29" s="2" t="s">
        <v>51</v>
      </c>
      <c r="K29" s="2" t="s">
        <v>304</v>
      </c>
      <c r="L29" s="2" t="s">
        <v>4794</v>
      </c>
      <c r="M29" s="8" t="str">
        <f t="shared" si="0"/>
        <v xml:space="preserve">http://slimages.macys.com/is/image/MCY/12341767 </v>
      </c>
    </row>
    <row r="30" spans="1:13" ht="84" x14ac:dyDescent="0.25">
      <c r="A30" s="7" t="s">
        <v>4792</v>
      </c>
      <c r="B30" s="2" t="s">
        <v>4793</v>
      </c>
      <c r="C30" s="4">
        <v>2</v>
      </c>
      <c r="D30" s="5">
        <v>13.6</v>
      </c>
      <c r="E30" s="5">
        <v>34</v>
      </c>
      <c r="F30" s="4">
        <v>333564</v>
      </c>
      <c r="G30" s="2" t="s">
        <v>1463</v>
      </c>
      <c r="H30" s="7" t="s">
        <v>786</v>
      </c>
      <c r="I30" s="2" t="s">
        <v>50</v>
      </c>
      <c r="J30" s="2" t="s">
        <v>51</v>
      </c>
      <c r="K30" s="2" t="s">
        <v>304</v>
      </c>
      <c r="L30" s="2" t="s">
        <v>4794</v>
      </c>
      <c r="M30" s="8" t="str">
        <f t="shared" si="0"/>
        <v xml:space="preserve">http://slimages.macys.com/is/image/MCY/12341767 </v>
      </c>
    </row>
    <row r="31" spans="1:13" ht="84" x14ac:dyDescent="0.25">
      <c r="A31" s="7" t="s">
        <v>6147</v>
      </c>
      <c r="B31" s="2" t="s">
        <v>4793</v>
      </c>
      <c r="C31" s="4">
        <v>1</v>
      </c>
      <c r="D31" s="5">
        <v>13.6</v>
      </c>
      <c r="E31" s="5">
        <v>34</v>
      </c>
      <c r="F31" s="4">
        <v>333564</v>
      </c>
      <c r="G31" s="2" t="s">
        <v>1463</v>
      </c>
      <c r="H31" s="7" t="s">
        <v>4804</v>
      </c>
      <c r="I31" s="2" t="s">
        <v>50</v>
      </c>
      <c r="J31" s="2" t="s">
        <v>51</v>
      </c>
      <c r="K31" s="2" t="s">
        <v>304</v>
      </c>
      <c r="L31" s="2" t="s">
        <v>4794</v>
      </c>
      <c r="M31" s="8" t="str">
        <f t="shared" si="0"/>
        <v xml:space="preserve">http://slimages.macys.com/is/image/MCY/12341767 </v>
      </c>
    </row>
    <row r="32" spans="1:13" ht="60" x14ac:dyDescent="0.25">
      <c r="A32" s="7" t="s">
        <v>6148</v>
      </c>
      <c r="B32" s="2" t="s">
        <v>3760</v>
      </c>
      <c r="C32" s="4">
        <v>1</v>
      </c>
      <c r="D32" s="5">
        <v>12.92</v>
      </c>
      <c r="E32" s="5">
        <v>34.99</v>
      </c>
      <c r="F32" s="4" t="s">
        <v>3761</v>
      </c>
      <c r="G32" s="2" t="s">
        <v>62</v>
      </c>
      <c r="H32" s="7" t="s">
        <v>159</v>
      </c>
      <c r="I32" s="2" t="s">
        <v>218</v>
      </c>
      <c r="J32" s="2" t="s">
        <v>1740</v>
      </c>
      <c r="K32" s="2" t="s">
        <v>304</v>
      </c>
      <c r="L32" s="2" t="s">
        <v>3452</v>
      </c>
      <c r="M32" s="8" t="str">
        <f>HYPERLINK("http://slimages.macys.com/is/image/MCY/11946901 ")</f>
        <v xml:space="preserve">http://slimages.macys.com/is/image/MCY/11946901 </v>
      </c>
    </row>
    <row r="33" spans="1:13" ht="60" x14ac:dyDescent="0.25">
      <c r="A33" s="7" t="s">
        <v>3759</v>
      </c>
      <c r="B33" s="2" t="s">
        <v>3760</v>
      </c>
      <c r="C33" s="4">
        <v>1</v>
      </c>
      <c r="D33" s="5">
        <v>12.92</v>
      </c>
      <c r="E33" s="5">
        <v>34.99</v>
      </c>
      <c r="F33" s="4" t="s">
        <v>3761</v>
      </c>
      <c r="G33" s="2" t="s">
        <v>62</v>
      </c>
      <c r="H33" s="7" t="s">
        <v>228</v>
      </c>
      <c r="I33" s="2" t="s">
        <v>218</v>
      </c>
      <c r="J33" s="2" t="s">
        <v>1740</v>
      </c>
      <c r="K33" s="2" t="s">
        <v>304</v>
      </c>
      <c r="L33" s="2" t="s">
        <v>3452</v>
      </c>
      <c r="M33" s="8" t="str">
        <f>HYPERLINK("http://slimages.macys.com/is/image/MCY/11946901 ")</f>
        <v xml:space="preserve">http://slimages.macys.com/is/image/MCY/11946901 </v>
      </c>
    </row>
    <row r="34" spans="1:13" ht="60" x14ac:dyDescent="0.25">
      <c r="A34" s="7" t="s">
        <v>6149</v>
      </c>
      <c r="B34" s="2" t="s">
        <v>6150</v>
      </c>
      <c r="C34" s="4">
        <v>1</v>
      </c>
      <c r="D34" s="5">
        <v>12.44</v>
      </c>
      <c r="E34" s="5">
        <v>32.99</v>
      </c>
      <c r="F34" s="4" t="s">
        <v>6151</v>
      </c>
      <c r="G34" s="2" t="s">
        <v>62</v>
      </c>
      <c r="H34" s="7" t="s">
        <v>228</v>
      </c>
      <c r="I34" s="2" t="s">
        <v>218</v>
      </c>
      <c r="J34" s="2" t="s">
        <v>219</v>
      </c>
      <c r="K34" s="2" t="s">
        <v>304</v>
      </c>
      <c r="L34" s="2" t="s">
        <v>125</v>
      </c>
      <c r="M34" s="8" t="str">
        <f>HYPERLINK("http://slimages.macys.com/is/image/MCY/12688044 ")</f>
        <v xml:space="preserve">http://slimages.macys.com/is/image/MCY/12688044 </v>
      </c>
    </row>
    <row r="35" spans="1:13" ht="60" x14ac:dyDescent="0.25">
      <c r="A35" s="7" t="s">
        <v>6152</v>
      </c>
      <c r="B35" s="2" t="s">
        <v>6150</v>
      </c>
      <c r="C35" s="4">
        <v>1</v>
      </c>
      <c r="D35" s="5">
        <v>12.44</v>
      </c>
      <c r="E35" s="5">
        <v>32.99</v>
      </c>
      <c r="F35" s="4" t="s">
        <v>6151</v>
      </c>
      <c r="G35" s="2" t="s">
        <v>62</v>
      </c>
      <c r="H35" s="7" t="s">
        <v>217</v>
      </c>
      <c r="I35" s="2" t="s">
        <v>218</v>
      </c>
      <c r="J35" s="2" t="s">
        <v>219</v>
      </c>
      <c r="K35" s="2" t="s">
        <v>304</v>
      </c>
      <c r="L35" s="2" t="s">
        <v>125</v>
      </c>
      <c r="M35" s="8" t="str">
        <f>HYPERLINK("http://slimages.macys.com/is/image/MCY/12688044 ")</f>
        <v xml:space="preserve">http://slimages.macys.com/is/image/MCY/12688044 </v>
      </c>
    </row>
    <row r="36" spans="1:13" ht="60" x14ac:dyDescent="0.25">
      <c r="A36" s="7" t="s">
        <v>202</v>
      </c>
      <c r="B36" s="2" t="s">
        <v>203</v>
      </c>
      <c r="C36" s="4">
        <v>1</v>
      </c>
      <c r="D36" s="5">
        <v>12.38</v>
      </c>
      <c r="E36" s="5">
        <v>27.5</v>
      </c>
      <c r="F36" s="4">
        <v>323750958002</v>
      </c>
      <c r="G36" s="2" t="s">
        <v>41</v>
      </c>
      <c r="H36" s="7" t="s">
        <v>159</v>
      </c>
      <c r="I36" s="2" t="s">
        <v>204</v>
      </c>
      <c r="J36" s="2" t="s">
        <v>205</v>
      </c>
      <c r="K36" s="2" t="s">
        <v>304</v>
      </c>
      <c r="L36" s="2" t="s">
        <v>206</v>
      </c>
      <c r="M36" s="8" t="str">
        <f>HYPERLINK("http://slimages.macys.com/is/image/MCY/14356492 ")</f>
        <v xml:space="preserve">http://slimages.macys.com/is/image/MCY/14356492 </v>
      </c>
    </row>
    <row r="37" spans="1:13" ht="60" x14ac:dyDescent="0.25">
      <c r="A37" s="7" t="s">
        <v>6153</v>
      </c>
      <c r="B37" s="2" t="s">
        <v>3787</v>
      </c>
      <c r="C37" s="4">
        <v>1</v>
      </c>
      <c r="D37" s="5">
        <v>12.15</v>
      </c>
      <c r="E37" s="5">
        <v>28.99</v>
      </c>
      <c r="F37" s="4" t="s">
        <v>3788</v>
      </c>
      <c r="G37" s="2" t="s">
        <v>28</v>
      </c>
      <c r="H37" s="7"/>
      <c r="I37" s="2" t="s">
        <v>312</v>
      </c>
      <c r="J37" s="2" t="s">
        <v>1545</v>
      </c>
      <c r="K37" s="2" t="s">
        <v>304</v>
      </c>
      <c r="L37" s="2" t="s">
        <v>125</v>
      </c>
      <c r="M37" s="8" t="str">
        <f>HYPERLINK("http://slimages.macys.com/is/image/MCY/11647063 ")</f>
        <v xml:space="preserve">http://slimages.macys.com/is/image/MCY/11647063 </v>
      </c>
    </row>
    <row r="38" spans="1:13" ht="60" x14ac:dyDescent="0.25">
      <c r="A38" s="7" t="s">
        <v>6154</v>
      </c>
      <c r="B38" s="2" t="s">
        <v>6155</v>
      </c>
      <c r="C38" s="4">
        <v>1</v>
      </c>
      <c r="D38" s="5">
        <v>12.05</v>
      </c>
      <c r="E38" s="5">
        <v>24.1</v>
      </c>
      <c r="F38" s="4">
        <v>34959016</v>
      </c>
      <c r="G38" s="2"/>
      <c r="H38" s="7" t="s">
        <v>177</v>
      </c>
      <c r="I38" s="2" t="s">
        <v>487</v>
      </c>
      <c r="J38" s="2" t="s">
        <v>2424</v>
      </c>
      <c r="K38" s="2" t="s">
        <v>304</v>
      </c>
      <c r="L38" s="2" t="s">
        <v>206</v>
      </c>
      <c r="M38" s="8" t="str">
        <f>HYPERLINK("http://slimages.macys.com/is/image/MCY/10067287 ")</f>
        <v xml:space="preserve">http://slimages.macys.com/is/image/MCY/10067287 </v>
      </c>
    </row>
    <row r="39" spans="1:13" ht="60" x14ac:dyDescent="0.25">
      <c r="A39" s="7" t="s">
        <v>6156</v>
      </c>
      <c r="B39" s="2" t="s">
        <v>6157</v>
      </c>
      <c r="C39" s="4">
        <v>2</v>
      </c>
      <c r="D39" s="5">
        <v>12</v>
      </c>
      <c r="E39" s="5">
        <v>24.99</v>
      </c>
      <c r="F39" s="4" t="s">
        <v>6158</v>
      </c>
      <c r="G39" s="2" t="s">
        <v>28</v>
      </c>
      <c r="H39" s="7" t="s">
        <v>6159</v>
      </c>
      <c r="I39" s="2" t="s">
        <v>257</v>
      </c>
      <c r="J39" s="2" t="s">
        <v>258</v>
      </c>
      <c r="K39" s="2" t="s">
        <v>304</v>
      </c>
      <c r="L39" s="2" t="s">
        <v>87</v>
      </c>
      <c r="M39" s="8" t="str">
        <f>HYPERLINK("http://slimages.macys.com/is/image/MCY/1653082 ")</f>
        <v xml:space="preserve">http://slimages.macys.com/is/image/MCY/1653082 </v>
      </c>
    </row>
    <row r="40" spans="1:13" ht="60" x14ac:dyDescent="0.25">
      <c r="A40" s="7" t="s">
        <v>6160</v>
      </c>
      <c r="B40" s="2" t="s">
        <v>6161</v>
      </c>
      <c r="C40" s="4">
        <v>1</v>
      </c>
      <c r="D40" s="5">
        <v>12</v>
      </c>
      <c r="E40" s="5">
        <v>27.99</v>
      </c>
      <c r="F40" s="4" t="s">
        <v>6162</v>
      </c>
      <c r="G40" s="2" t="s">
        <v>62</v>
      </c>
      <c r="H40" s="7" t="s">
        <v>284</v>
      </c>
      <c r="I40" s="2" t="s">
        <v>73</v>
      </c>
      <c r="J40" s="2" t="s">
        <v>223</v>
      </c>
      <c r="K40" s="2" t="s">
        <v>304</v>
      </c>
      <c r="L40" s="2" t="s">
        <v>125</v>
      </c>
      <c r="M40" s="8" t="str">
        <f>HYPERLINK("http://slimages.macys.com/is/image/MCY/13285779 ")</f>
        <v xml:space="preserve">http://slimages.macys.com/is/image/MCY/13285779 </v>
      </c>
    </row>
    <row r="41" spans="1:13" ht="72" x14ac:dyDescent="0.25">
      <c r="A41" s="7" t="s">
        <v>6163</v>
      </c>
      <c r="B41" s="2" t="s">
        <v>6164</v>
      </c>
      <c r="C41" s="4">
        <v>1</v>
      </c>
      <c r="D41" s="5">
        <v>11.88</v>
      </c>
      <c r="E41" s="5">
        <v>30.99</v>
      </c>
      <c r="F41" s="4" t="s">
        <v>6165</v>
      </c>
      <c r="G41" s="2" t="s">
        <v>755</v>
      </c>
      <c r="H41" s="7" t="s">
        <v>228</v>
      </c>
      <c r="I41" s="2" t="s">
        <v>389</v>
      </c>
      <c r="J41" s="2" t="s">
        <v>354</v>
      </c>
      <c r="K41" s="2" t="s">
        <v>304</v>
      </c>
      <c r="L41" s="2" t="s">
        <v>6118</v>
      </c>
      <c r="M41" s="8" t="str">
        <f>HYPERLINK("http://slimages.macys.com/is/image/MCY/12938532 ")</f>
        <v xml:space="preserve">http://slimages.macys.com/is/image/MCY/12938532 </v>
      </c>
    </row>
    <row r="42" spans="1:13" ht="60" x14ac:dyDescent="0.25">
      <c r="A42" s="7" t="s">
        <v>6166</v>
      </c>
      <c r="B42" s="2" t="s">
        <v>203</v>
      </c>
      <c r="C42" s="4">
        <v>1</v>
      </c>
      <c r="D42" s="5">
        <v>11.25</v>
      </c>
      <c r="E42" s="5">
        <v>25</v>
      </c>
      <c r="F42" s="4">
        <v>323767900004</v>
      </c>
      <c r="G42" s="2" t="s">
        <v>129</v>
      </c>
      <c r="H42" s="7" t="s">
        <v>228</v>
      </c>
      <c r="I42" s="2" t="s">
        <v>204</v>
      </c>
      <c r="J42" s="2" t="s">
        <v>205</v>
      </c>
      <c r="K42" s="2" t="s">
        <v>304</v>
      </c>
      <c r="L42" s="2" t="s">
        <v>206</v>
      </c>
      <c r="M42" s="8" t="str">
        <f>HYPERLINK("http://slimages.macys.com/is/image/MCY/13745806 ")</f>
        <v xml:space="preserve">http://slimages.macys.com/is/image/MCY/13745806 </v>
      </c>
    </row>
    <row r="43" spans="1:13" ht="60" x14ac:dyDescent="0.25">
      <c r="A43" s="7" t="s">
        <v>6167</v>
      </c>
      <c r="B43" s="2" t="s">
        <v>203</v>
      </c>
      <c r="C43" s="4">
        <v>1</v>
      </c>
      <c r="D43" s="5">
        <v>11.25</v>
      </c>
      <c r="E43" s="5">
        <v>25</v>
      </c>
      <c r="F43" s="4">
        <v>323767900004</v>
      </c>
      <c r="G43" s="2" t="s">
        <v>129</v>
      </c>
      <c r="H43" s="7" t="s">
        <v>159</v>
      </c>
      <c r="I43" s="2" t="s">
        <v>204</v>
      </c>
      <c r="J43" s="2" t="s">
        <v>205</v>
      </c>
      <c r="K43" s="2" t="s">
        <v>304</v>
      </c>
      <c r="L43" s="2" t="s">
        <v>206</v>
      </c>
      <c r="M43" s="8" t="str">
        <f>HYPERLINK("http://slimages.macys.com/is/image/MCY/13745806 ")</f>
        <v xml:space="preserve">http://slimages.macys.com/is/image/MCY/13745806 </v>
      </c>
    </row>
    <row r="44" spans="1:13" ht="60" x14ac:dyDescent="0.25">
      <c r="A44" s="7" t="s">
        <v>6168</v>
      </c>
      <c r="B44" s="2" t="s">
        <v>203</v>
      </c>
      <c r="C44" s="4">
        <v>1</v>
      </c>
      <c r="D44" s="5">
        <v>11.25</v>
      </c>
      <c r="E44" s="5">
        <v>25</v>
      </c>
      <c r="F44" s="4">
        <v>323767900001</v>
      </c>
      <c r="G44" s="2" t="s">
        <v>657</v>
      </c>
      <c r="H44" s="7" t="s">
        <v>228</v>
      </c>
      <c r="I44" s="2" t="s">
        <v>204</v>
      </c>
      <c r="J44" s="2" t="s">
        <v>205</v>
      </c>
      <c r="K44" s="2" t="s">
        <v>304</v>
      </c>
      <c r="L44" s="2" t="s">
        <v>206</v>
      </c>
      <c r="M44" s="8" t="str">
        <f>HYPERLINK("http://slimages.macys.com/is/image/MCY/13745806 ")</f>
        <v xml:space="preserve">http://slimages.macys.com/is/image/MCY/13745806 </v>
      </c>
    </row>
    <row r="45" spans="1:13" ht="60" x14ac:dyDescent="0.25">
      <c r="A45" s="7" t="s">
        <v>6169</v>
      </c>
      <c r="B45" s="2" t="s">
        <v>6170</v>
      </c>
      <c r="C45" s="4">
        <v>2</v>
      </c>
      <c r="D45" s="5">
        <v>11.25</v>
      </c>
      <c r="E45" s="5">
        <v>19.989999999999998</v>
      </c>
      <c r="F45" s="4" t="s">
        <v>6171</v>
      </c>
      <c r="G45" s="2" t="s">
        <v>48</v>
      </c>
      <c r="H45" s="7" t="s">
        <v>159</v>
      </c>
      <c r="I45" s="2" t="s">
        <v>153</v>
      </c>
      <c r="J45" s="2" t="s">
        <v>154</v>
      </c>
      <c r="K45" s="2" t="s">
        <v>304</v>
      </c>
      <c r="L45" s="2" t="s">
        <v>206</v>
      </c>
      <c r="M45" s="8" t="str">
        <f>HYPERLINK("http://slimages.macys.com/is/image/MCY/9644699 ")</f>
        <v xml:space="preserve">http://slimages.macys.com/is/image/MCY/9644699 </v>
      </c>
    </row>
    <row r="46" spans="1:13" ht="60" x14ac:dyDescent="0.25">
      <c r="A46" s="7" t="s">
        <v>6172</v>
      </c>
      <c r="B46" s="2" t="s">
        <v>6173</v>
      </c>
      <c r="C46" s="4">
        <v>1</v>
      </c>
      <c r="D46" s="5">
        <v>11.2</v>
      </c>
      <c r="E46" s="5">
        <v>32.99</v>
      </c>
      <c r="F46" s="4" t="s">
        <v>6174</v>
      </c>
      <c r="G46" s="2" t="s">
        <v>698</v>
      </c>
      <c r="H46" s="7" t="s">
        <v>68</v>
      </c>
      <c r="I46" s="2" t="s">
        <v>80</v>
      </c>
      <c r="J46" s="2" t="s">
        <v>145</v>
      </c>
      <c r="K46" s="2" t="s">
        <v>304</v>
      </c>
      <c r="L46" s="2" t="s">
        <v>125</v>
      </c>
      <c r="M46" s="8" t="str">
        <f>HYPERLINK("http://slimages.macys.com/is/image/MCY/13726721 ")</f>
        <v xml:space="preserve">http://slimages.macys.com/is/image/MCY/13726721 </v>
      </c>
    </row>
    <row r="47" spans="1:13" ht="60" x14ac:dyDescent="0.25">
      <c r="A47" s="7" t="s">
        <v>6175</v>
      </c>
      <c r="B47" s="2" t="s">
        <v>6176</v>
      </c>
      <c r="C47" s="4">
        <v>2</v>
      </c>
      <c r="D47" s="5">
        <v>11.13</v>
      </c>
      <c r="E47" s="5">
        <v>22.99</v>
      </c>
      <c r="F47" s="4">
        <v>892362</v>
      </c>
      <c r="G47" s="2" t="s">
        <v>814</v>
      </c>
      <c r="H47" s="7" t="s">
        <v>159</v>
      </c>
      <c r="I47" s="2" t="s">
        <v>80</v>
      </c>
      <c r="J47" s="2" t="s">
        <v>160</v>
      </c>
      <c r="K47" s="2" t="s">
        <v>304</v>
      </c>
      <c r="L47" s="2" t="s">
        <v>125</v>
      </c>
      <c r="M47" s="8" t="str">
        <f>HYPERLINK("http://slimages.macys.com/is/image/MCY/15860651 ")</f>
        <v xml:space="preserve">http://slimages.macys.com/is/image/MCY/15860651 </v>
      </c>
    </row>
    <row r="48" spans="1:13" ht="60" x14ac:dyDescent="0.25">
      <c r="A48" s="7" t="s">
        <v>6177</v>
      </c>
      <c r="B48" s="2" t="s">
        <v>6178</v>
      </c>
      <c r="C48" s="4">
        <v>1</v>
      </c>
      <c r="D48" s="5">
        <v>11.11</v>
      </c>
      <c r="E48" s="5">
        <v>29.99</v>
      </c>
      <c r="F48" s="4" t="s">
        <v>6179</v>
      </c>
      <c r="G48" s="2" t="s">
        <v>48</v>
      </c>
      <c r="H48" s="7" t="s">
        <v>228</v>
      </c>
      <c r="I48" s="2" t="s">
        <v>218</v>
      </c>
      <c r="J48" s="2" t="s">
        <v>1740</v>
      </c>
      <c r="K48" s="2" t="s">
        <v>304</v>
      </c>
      <c r="L48" s="2" t="s">
        <v>623</v>
      </c>
      <c r="M48" s="8" t="str">
        <f>HYPERLINK("http://slimages.macys.com/is/image/MCY/13585718 ")</f>
        <v xml:space="preserve">http://slimages.macys.com/is/image/MCY/13585718 </v>
      </c>
    </row>
    <row r="49" spans="1:13" ht="60" x14ac:dyDescent="0.25">
      <c r="A49" s="7" t="s">
        <v>6180</v>
      </c>
      <c r="B49" s="2" t="s">
        <v>6181</v>
      </c>
      <c r="C49" s="4">
        <v>1</v>
      </c>
      <c r="D49" s="5">
        <v>11</v>
      </c>
      <c r="E49" s="5">
        <v>25</v>
      </c>
      <c r="F49" s="4">
        <v>1329113</v>
      </c>
      <c r="G49" s="2" t="s">
        <v>28</v>
      </c>
      <c r="H49" s="7" t="s">
        <v>284</v>
      </c>
      <c r="I49" s="2" t="s">
        <v>80</v>
      </c>
      <c r="J49" s="2" t="s">
        <v>280</v>
      </c>
      <c r="K49" s="2" t="s">
        <v>304</v>
      </c>
      <c r="L49" s="2" t="s">
        <v>119</v>
      </c>
      <c r="M49" s="8" t="str">
        <f>HYPERLINK("http://slimages.macys.com/is/image/MCY/11951010 ")</f>
        <v xml:space="preserve">http://slimages.macys.com/is/image/MCY/11951010 </v>
      </c>
    </row>
    <row r="50" spans="1:13" ht="60" x14ac:dyDescent="0.25">
      <c r="A50" s="7" t="s">
        <v>6182</v>
      </c>
      <c r="B50" s="2" t="s">
        <v>6183</v>
      </c>
      <c r="C50" s="4">
        <v>1</v>
      </c>
      <c r="D50" s="5">
        <v>10.68</v>
      </c>
      <c r="E50" s="5">
        <v>29.99</v>
      </c>
      <c r="F50" s="4" t="s">
        <v>6184</v>
      </c>
      <c r="G50" s="2" t="s">
        <v>36</v>
      </c>
      <c r="H50" s="7" t="s">
        <v>159</v>
      </c>
      <c r="I50" s="2" t="s">
        <v>389</v>
      </c>
      <c r="J50" s="2" t="s">
        <v>354</v>
      </c>
      <c r="K50" s="2" t="s">
        <v>304</v>
      </c>
      <c r="L50" s="2" t="s">
        <v>596</v>
      </c>
      <c r="M50" s="8" t="str">
        <f>HYPERLINK("http://slimages.macys.com/is/image/MCY/12938556 ")</f>
        <v xml:space="preserve">http://slimages.macys.com/is/image/MCY/12938556 </v>
      </c>
    </row>
    <row r="51" spans="1:13" ht="60" x14ac:dyDescent="0.25">
      <c r="A51" s="7" t="s">
        <v>5261</v>
      </c>
      <c r="B51" s="2" t="s">
        <v>5262</v>
      </c>
      <c r="C51" s="4">
        <v>1</v>
      </c>
      <c r="D51" s="5">
        <v>10.6</v>
      </c>
      <c r="E51" s="5">
        <v>26.5</v>
      </c>
      <c r="F51" s="4" t="s">
        <v>5263</v>
      </c>
      <c r="G51" s="2" t="s">
        <v>62</v>
      </c>
      <c r="H51" s="7" t="s">
        <v>68</v>
      </c>
      <c r="I51" s="2" t="s">
        <v>690</v>
      </c>
      <c r="J51" s="2" t="s">
        <v>58</v>
      </c>
      <c r="K51" s="2" t="s">
        <v>304</v>
      </c>
      <c r="L51" s="2" t="s">
        <v>38</v>
      </c>
      <c r="M51" s="8" t="str">
        <f>HYPERLINK("http://slimages.macys.com/is/image/MCY/13787149 ")</f>
        <v xml:space="preserve">http://slimages.macys.com/is/image/MCY/13787149 </v>
      </c>
    </row>
    <row r="52" spans="1:13" ht="60" x14ac:dyDescent="0.25">
      <c r="A52" s="7" t="s">
        <v>819</v>
      </c>
      <c r="B52" s="2" t="s">
        <v>255</v>
      </c>
      <c r="C52" s="4">
        <v>3</v>
      </c>
      <c r="D52" s="5">
        <v>10.5</v>
      </c>
      <c r="E52" s="5">
        <v>24.99</v>
      </c>
      <c r="F52" s="4" t="s">
        <v>256</v>
      </c>
      <c r="G52" s="2" t="s">
        <v>262</v>
      </c>
      <c r="H52" s="7" t="s">
        <v>172</v>
      </c>
      <c r="I52" s="2" t="s">
        <v>257</v>
      </c>
      <c r="J52" s="2" t="s">
        <v>258</v>
      </c>
      <c r="K52" s="2" t="s">
        <v>304</v>
      </c>
      <c r="L52" s="2" t="s">
        <v>206</v>
      </c>
      <c r="M52" s="8" t="str">
        <f>HYPERLINK("http://slimages.macys.com/is/image/MCY/11722982 ")</f>
        <v xml:space="preserve">http://slimages.macys.com/is/image/MCY/11722982 </v>
      </c>
    </row>
    <row r="53" spans="1:13" ht="60" x14ac:dyDescent="0.25">
      <c r="A53" s="7" t="s">
        <v>6185</v>
      </c>
      <c r="B53" s="2" t="s">
        <v>6186</v>
      </c>
      <c r="C53" s="4">
        <v>1</v>
      </c>
      <c r="D53" s="5">
        <v>9.86</v>
      </c>
      <c r="E53" s="5">
        <v>25.99</v>
      </c>
      <c r="F53" s="4" t="s">
        <v>6187</v>
      </c>
      <c r="G53" s="2" t="s">
        <v>36</v>
      </c>
      <c r="H53" s="7" t="s">
        <v>514</v>
      </c>
      <c r="I53" s="2" t="s">
        <v>1689</v>
      </c>
      <c r="J53" s="2" t="s">
        <v>354</v>
      </c>
      <c r="K53" s="2" t="s">
        <v>304</v>
      </c>
      <c r="L53" s="2" t="s">
        <v>100</v>
      </c>
      <c r="M53" s="8" t="str">
        <f>HYPERLINK("http://slimages.macys.com/is/image/MCY/12850667 ")</f>
        <v xml:space="preserve">http://slimages.macys.com/is/image/MCY/12850667 </v>
      </c>
    </row>
    <row r="54" spans="1:13" ht="84" x14ac:dyDescent="0.25">
      <c r="A54" s="7" t="s">
        <v>6188</v>
      </c>
      <c r="B54" s="2" t="s">
        <v>6189</v>
      </c>
      <c r="C54" s="4">
        <v>1</v>
      </c>
      <c r="D54" s="5">
        <v>9.76</v>
      </c>
      <c r="E54" s="5">
        <v>21.99</v>
      </c>
      <c r="F54" s="4" t="s">
        <v>6190</v>
      </c>
      <c r="G54" s="2" t="s">
        <v>36</v>
      </c>
      <c r="H54" s="7" t="s">
        <v>228</v>
      </c>
      <c r="I54" s="2" t="s">
        <v>515</v>
      </c>
      <c r="J54" s="2" t="s">
        <v>827</v>
      </c>
      <c r="K54" s="2" t="s">
        <v>304</v>
      </c>
      <c r="L54" s="2" t="s">
        <v>6191</v>
      </c>
      <c r="M54" s="8" t="str">
        <f>HYPERLINK("http://slimages.macys.com/is/image/MCY/12508250 ")</f>
        <v xml:space="preserve">http://slimages.macys.com/is/image/MCY/12508250 </v>
      </c>
    </row>
    <row r="55" spans="1:13" ht="60" x14ac:dyDescent="0.25">
      <c r="A55" s="7" t="s">
        <v>6192</v>
      </c>
      <c r="B55" s="2" t="s">
        <v>2423</v>
      </c>
      <c r="C55" s="4">
        <v>1</v>
      </c>
      <c r="D55" s="5">
        <v>9.75</v>
      </c>
      <c r="E55" s="5">
        <v>19.5</v>
      </c>
      <c r="F55" s="4">
        <v>25944214</v>
      </c>
      <c r="G55" s="2"/>
      <c r="H55" s="7"/>
      <c r="I55" s="2" t="s">
        <v>487</v>
      </c>
      <c r="J55" s="2" t="s">
        <v>2424</v>
      </c>
      <c r="K55" s="2" t="s">
        <v>304</v>
      </c>
      <c r="L55" s="2" t="s">
        <v>206</v>
      </c>
      <c r="M55" s="8" t="str">
        <f>HYPERLINK("http://slimages.macys.com/is/image/MCY/11546662 ")</f>
        <v xml:space="preserve">http://slimages.macys.com/is/image/MCY/11546662 </v>
      </c>
    </row>
    <row r="56" spans="1:13" ht="120" x14ac:dyDescent="0.25">
      <c r="A56" s="7" t="s">
        <v>6193</v>
      </c>
      <c r="B56" s="2" t="s">
        <v>6194</v>
      </c>
      <c r="C56" s="4">
        <v>1</v>
      </c>
      <c r="D56" s="5">
        <v>9.65</v>
      </c>
      <c r="E56" s="5">
        <v>19.3</v>
      </c>
      <c r="F56" s="4" t="s">
        <v>6195</v>
      </c>
      <c r="G56" s="2"/>
      <c r="H56" s="7" t="s">
        <v>179</v>
      </c>
      <c r="I56" s="2" t="s">
        <v>487</v>
      </c>
      <c r="J56" s="2" t="s">
        <v>488</v>
      </c>
      <c r="K56" s="2" t="s">
        <v>304</v>
      </c>
      <c r="L56" s="2" t="s">
        <v>6196</v>
      </c>
      <c r="M56" s="8" t="str">
        <f>HYPERLINK("http://slimages.macys.com/is/image/MCY/11867930 ")</f>
        <v xml:space="preserve">http://slimages.macys.com/is/image/MCY/11867930 </v>
      </c>
    </row>
    <row r="57" spans="1:13" ht="108" x14ac:dyDescent="0.25">
      <c r="A57" s="7" t="s">
        <v>6197</v>
      </c>
      <c r="B57" s="2" t="s">
        <v>2529</v>
      </c>
      <c r="C57" s="4">
        <v>1</v>
      </c>
      <c r="D57" s="5">
        <v>9.65</v>
      </c>
      <c r="E57" s="5">
        <v>19.3</v>
      </c>
      <c r="F57" s="4" t="s">
        <v>2530</v>
      </c>
      <c r="G57" s="2" t="s">
        <v>36</v>
      </c>
      <c r="H57" s="7" t="s">
        <v>179</v>
      </c>
      <c r="I57" s="2" t="s">
        <v>487</v>
      </c>
      <c r="J57" s="2" t="s">
        <v>488</v>
      </c>
      <c r="K57" s="2" t="s">
        <v>304</v>
      </c>
      <c r="L57" s="2" t="s">
        <v>2532</v>
      </c>
      <c r="M57" s="8" t="str">
        <f>HYPERLINK("http://slimages.macys.com/is/image/MCY/11867502 ")</f>
        <v xml:space="preserve">http://slimages.macys.com/is/image/MCY/11867502 </v>
      </c>
    </row>
    <row r="58" spans="1:13" ht="60" x14ac:dyDescent="0.25">
      <c r="A58" s="7" t="s">
        <v>6198</v>
      </c>
      <c r="B58" s="2" t="s">
        <v>6199</v>
      </c>
      <c r="C58" s="4">
        <v>1</v>
      </c>
      <c r="D58" s="5">
        <v>9.6</v>
      </c>
      <c r="E58" s="5">
        <v>23.99</v>
      </c>
      <c r="F58" s="4" t="s">
        <v>6200</v>
      </c>
      <c r="G58" s="2" t="s">
        <v>86</v>
      </c>
      <c r="H58" s="7" t="s">
        <v>177</v>
      </c>
      <c r="I58" s="2" t="s">
        <v>173</v>
      </c>
      <c r="J58" s="2" t="s">
        <v>174</v>
      </c>
      <c r="K58" s="2" t="s">
        <v>304</v>
      </c>
      <c r="L58" s="2" t="s">
        <v>75</v>
      </c>
      <c r="M58" s="8" t="str">
        <f>HYPERLINK("http://slimages.macys.com/is/image/MCY/12726103 ")</f>
        <v xml:space="preserve">http://slimages.macys.com/is/image/MCY/12726103 </v>
      </c>
    </row>
    <row r="59" spans="1:13" ht="60" x14ac:dyDescent="0.25">
      <c r="A59" s="7" t="s">
        <v>6201</v>
      </c>
      <c r="B59" s="2" t="s">
        <v>6202</v>
      </c>
      <c r="C59" s="4">
        <v>1</v>
      </c>
      <c r="D59" s="5">
        <v>9.5299999999999994</v>
      </c>
      <c r="E59" s="5">
        <v>29.99</v>
      </c>
      <c r="F59" s="4" t="s">
        <v>6203</v>
      </c>
      <c r="G59" s="2" t="s">
        <v>86</v>
      </c>
      <c r="H59" s="7" t="s">
        <v>228</v>
      </c>
      <c r="I59" s="2" t="s">
        <v>218</v>
      </c>
      <c r="J59" s="2" t="s">
        <v>1740</v>
      </c>
      <c r="K59" s="2" t="s">
        <v>304</v>
      </c>
      <c r="L59" s="2" t="s">
        <v>119</v>
      </c>
      <c r="M59" s="8" t="str">
        <f>HYPERLINK("http://slimages.macys.com/is/image/MCY/11952827 ")</f>
        <v xml:space="preserve">http://slimages.macys.com/is/image/MCY/11952827 </v>
      </c>
    </row>
    <row r="60" spans="1:13" ht="60" x14ac:dyDescent="0.25">
      <c r="A60" s="7" t="s">
        <v>6204</v>
      </c>
      <c r="B60" s="2" t="s">
        <v>6205</v>
      </c>
      <c r="C60" s="4">
        <v>1</v>
      </c>
      <c r="D60" s="5">
        <v>9.09</v>
      </c>
      <c r="E60" s="5">
        <v>26.99</v>
      </c>
      <c r="F60" s="4" t="s">
        <v>6206</v>
      </c>
      <c r="G60" s="2" t="s">
        <v>86</v>
      </c>
      <c r="H60" s="7" t="s">
        <v>284</v>
      </c>
      <c r="I60" s="2" t="s">
        <v>389</v>
      </c>
      <c r="J60" s="2" t="s">
        <v>354</v>
      </c>
      <c r="K60" s="2" t="s">
        <v>304</v>
      </c>
      <c r="L60" s="2" t="s">
        <v>6207</v>
      </c>
      <c r="M60" s="8" t="str">
        <f>HYPERLINK("http://slimages.macys.com/is/image/MCY/13079495 ")</f>
        <v xml:space="preserve">http://slimages.macys.com/is/image/MCY/13079495 </v>
      </c>
    </row>
    <row r="61" spans="1:13" ht="96" x14ac:dyDescent="0.25">
      <c r="A61" s="7" t="s">
        <v>6208</v>
      </c>
      <c r="B61" s="2" t="s">
        <v>6209</v>
      </c>
      <c r="C61" s="4">
        <v>1</v>
      </c>
      <c r="D61" s="5">
        <v>9</v>
      </c>
      <c r="E61" s="5">
        <v>21.99</v>
      </c>
      <c r="F61" s="4" t="s">
        <v>6210</v>
      </c>
      <c r="G61" s="2" t="s">
        <v>41</v>
      </c>
      <c r="H61" s="7" t="s">
        <v>317</v>
      </c>
      <c r="I61" s="2" t="s">
        <v>342</v>
      </c>
      <c r="J61" s="2" t="s">
        <v>343</v>
      </c>
      <c r="K61" s="2" t="s">
        <v>304</v>
      </c>
      <c r="L61" s="2" t="s">
        <v>6211</v>
      </c>
      <c r="M61" s="8" t="str">
        <f>HYPERLINK("http://slimages.macys.com/is/image/MCY/12237641 ")</f>
        <v xml:space="preserve">http://slimages.macys.com/is/image/MCY/12237641 </v>
      </c>
    </row>
    <row r="62" spans="1:13" ht="60" x14ac:dyDescent="0.25">
      <c r="A62" s="7" t="s">
        <v>6212</v>
      </c>
      <c r="B62" s="2" t="s">
        <v>6213</v>
      </c>
      <c r="C62" s="4">
        <v>1</v>
      </c>
      <c r="D62" s="5">
        <v>8.92</v>
      </c>
      <c r="E62" s="5">
        <v>21.99</v>
      </c>
      <c r="F62" s="4" t="s">
        <v>6214</v>
      </c>
      <c r="G62" s="2" t="s">
        <v>86</v>
      </c>
      <c r="H62" s="7" t="s">
        <v>284</v>
      </c>
      <c r="I62" s="2" t="s">
        <v>389</v>
      </c>
      <c r="J62" s="2" t="s">
        <v>354</v>
      </c>
      <c r="K62" s="2" t="s">
        <v>304</v>
      </c>
      <c r="L62" s="2" t="s">
        <v>6215</v>
      </c>
      <c r="M62" s="8" t="str">
        <f>HYPERLINK("http://slimages.macys.com/is/image/MCY/11499908 ")</f>
        <v xml:space="preserve">http://slimages.macys.com/is/image/MCY/11499908 </v>
      </c>
    </row>
    <row r="63" spans="1:13" ht="60" x14ac:dyDescent="0.25">
      <c r="A63" s="7" t="s">
        <v>6216</v>
      </c>
      <c r="B63" s="2" t="s">
        <v>6217</v>
      </c>
      <c r="C63" s="4">
        <v>1</v>
      </c>
      <c r="D63" s="5">
        <v>8.9</v>
      </c>
      <c r="E63" s="5">
        <v>17.989999999999998</v>
      </c>
      <c r="F63" s="4" t="s">
        <v>6218</v>
      </c>
      <c r="G63" s="2" t="s">
        <v>814</v>
      </c>
      <c r="H63" s="7" t="s">
        <v>284</v>
      </c>
      <c r="I63" s="2" t="s">
        <v>80</v>
      </c>
      <c r="J63" s="2" t="s">
        <v>160</v>
      </c>
      <c r="K63" s="2" t="s">
        <v>304</v>
      </c>
      <c r="L63" s="2" t="s">
        <v>125</v>
      </c>
      <c r="M63" s="8" t="str">
        <f>HYPERLINK("http://slimages.macys.com/is/image/MCY/11486931 ")</f>
        <v xml:space="preserve">http://slimages.macys.com/is/image/MCY/11486931 </v>
      </c>
    </row>
    <row r="64" spans="1:13" ht="60" x14ac:dyDescent="0.25">
      <c r="A64" s="7" t="s">
        <v>6219</v>
      </c>
      <c r="B64" s="2" t="s">
        <v>3954</v>
      </c>
      <c r="C64" s="4">
        <v>1</v>
      </c>
      <c r="D64" s="5">
        <v>8.7799999999999994</v>
      </c>
      <c r="E64" s="5">
        <v>19.5</v>
      </c>
      <c r="F64" s="4">
        <v>323703638036</v>
      </c>
      <c r="G64" s="2" t="s">
        <v>129</v>
      </c>
      <c r="H64" s="7" t="s">
        <v>228</v>
      </c>
      <c r="I64" s="2" t="s">
        <v>204</v>
      </c>
      <c r="J64" s="2" t="s">
        <v>205</v>
      </c>
      <c r="K64" s="2" t="s">
        <v>304</v>
      </c>
      <c r="L64" s="2" t="s">
        <v>206</v>
      </c>
      <c r="M64" s="8" t="str">
        <f>HYPERLINK("http://slimages.macys.com/is/image/MCY/13746048 ")</f>
        <v xml:space="preserve">http://slimages.macys.com/is/image/MCY/13746048 </v>
      </c>
    </row>
    <row r="65" spans="1:13" ht="60" x14ac:dyDescent="0.25">
      <c r="A65" s="7" t="s">
        <v>6220</v>
      </c>
      <c r="B65" s="2" t="s">
        <v>3954</v>
      </c>
      <c r="C65" s="4">
        <v>1</v>
      </c>
      <c r="D65" s="5">
        <v>8.7799999999999994</v>
      </c>
      <c r="E65" s="5">
        <v>19.5</v>
      </c>
      <c r="F65" s="4">
        <v>323703638038</v>
      </c>
      <c r="G65" s="2" t="s">
        <v>107</v>
      </c>
      <c r="H65" s="7" t="s">
        <v>228</v>
      </c>
      <c r="I65" s="2" t="s">
        <v>204</v>
      </c>
      <c r="J65" s="2" t="s">
        <v>205</v>
      </c>
      <c r="K65" s="2" t="s">
        <v>304</v>
      </c>
      <c r="L65" s="2" t="s">
        <v>206</v>
      </c>
      <c r="M65" s="8" t="str">
        <f>HYPERLINK("http://slimages.macys.com/is/image/MCY/13746048 ")</f>
        <v xml:space="preserve">http://slimages.macys.com/is/image/MCY/13746048 </v>
      </c>
    </row>
    <row r="66" spans="1:13" ht="60" x14ac:dyDescent="0.25">
      <c r="A66" s="7" t="s">
        <v>5353</v>
      </c>
      <c r="B66" s="2" t="s">
        <v>5354</v>
      </c>
      <c r="C66" s="4">
        <v>1</v>
      </c>
      <c r="D66" s="5">
        <v>8.6</v>
      </c>
      <c r="E66" s="5">
        <v>22.99</v>
      </c>
      <c r="F66" s="4" t="s">
        <v>5355</v>
      </c>
      <c r="G66" s="2" t="s">
        <v>785</v>
      </c>
      <c r="H66" s="7" t="s">
        <v>196</v>
      </c>
      <c r="I66" s="2" t="s">
        <v>389</v>
      </c>
      <c r="J66" s="2" t="s">
        <v>354</v>
      </c>
      <c r="K66" s="2" t="s">
        <v>304</v>
      </c>
      <c r="L66" s="2" t="s">
        <v>596</v>
      </c>
      <c r="M66" s="8" t="str">
        <f>HYPERLINK("http://slimages.macys.com/is/image/MCY/12938530 ")</f>
        <v xml:space="preserve">http://slimages.macys.com/is/image/MCY/12938530 </v>
      </c>
    </row>
    <row r="67" spans="1:13" ht="72" x14ac:dyDescent="0.25">
      <c r="A67" s="7" t="s">
        <v>6221</v>
      </c>
      <c r="B67" s="2" t="s">
        <v>3925</v>
      </c>
      <c r="C67" s="4">
        <v>1</v>
      </c>
      <c r="D67" s="5">
        <v>8.5</v>
      </c>
      <c r="E67" s="5">
        <v>20</v>
      </c>
      <c r="F67" s="4" t="s">
        <v>3926</v>
      </c>
      <c r="G67" s="2" t="s">
        <v>171</v>
      </c>
      <c r="H67" s="7" t="s">
        <v>379</v>
      </c>
      <c r="I67" s="2" t="s">
        <v>380</v>
      </c>
      <c r="J67" s="2" t="s">
        <v>381</v>
      </c>
      <c r="K67" s="2" t="s">
        <v>304</v>
      </c>
      <c r="L67" s="2" t="s">
        <v>382</v>
      </c>
      <c r="M67" s="8" t="str">
        <f>HYPERLINK("http://slimages.macys.com/is/image/MCY/12550115 ")</f>
        <v xml:space="preserve">http://slimages.macys.com/is/image/MCY/12550115 </v>
      </c>
    </row>
    <row r="68" spans="1:13" ht="60" x14ac:dyDescent="0.25">
      <c r="A68" s="7" t="s">
        <v>1672</v>
      </c>
      <c r="B68" s="2" t="s">
        <v>1673</v>
      </c>
      <c r="C68" s="4">
        <v>1</v>
      </c>
      <c r="D68" s="5">
        <v>8.4499999999999993</v>
      </c>
      <c r="E68" s="5">
        <v>16.989999999999998</v>
      </c>
      <c r="F68" s="4" t="s">
        <v>1674</v>
      </c>
      <c r="G68" s="2" t="s">
        <v>62</v>
      </c>
      <c r="H68" s="7" t="s">
        <v>196</v>
      </c>
      <c r="I68" s="2" t="s">
        <v>515</v>
      </c>
      <c r="J68" s="2" t="s">
        <v>827</v>
      </c>
      <c r="K68" s="2" t="s">
        <v>304</v>
      </c>
      <c r="L68" s="2" t="s">
        <v>358</v>
      </c>
      <c r="M68" s="8" t="str">
        <f>HYPERLINK("http://slimages.macys.com/is/image/MCY/12688126 ")</f>
        <v xml:space="preserve">http://slimages.macys.com/is/image/MCY/12688126 </v>
      </c>
    </row>
    <row r="69" spans="1:13" ht="60" x14ac:dyDescent="0.25">
      <c r="A69" s="7" t="s">
        <v>6222</v>
      </c>
      <c r="B69" s="2" t="s">
        <v>1673</v>
      </c>
      <c r="C69" s="4">
        <v>1</v>
      </c>
      <c r="D69" s="5">
        <v>8.4499999999999993</v>
      </c>
      <c r="E69" s="5">
        <v>16.989999999999998</v>
      </c>
      <c r="F69" s="4" t="s">
        <v>1674</v>
      </c>
      <c r="G69" s="2" t="s">
        <v>48</v>
      </c>
      <c r="H69" s="7" t="s">
        <v>228</v>
      </c>
      <c r="I69" s="2" t="s">
        <v>515</v>
      </c>
      <c r="J69" s="2" t="s">
        <v>827</v>
      </c>
      <c r="K69" s="2" t="s">
        <v>304</v>
      </c>
      <c r="L69" s="2" t="s">
        <v>358</v>
      </c>
      <c r="M69" s="8" t="str">
        <f>HYPERLINK("http://slimages.macys.com/is/image/MCY/12688126 ")</f>
        <v xml:space="preserve">http://slimages.macys.com/is/image/MCY/12688126 </v>
      </c>
    </row>
    <row r="70" spans="1:13" ht="60" x14ac:dyDescent="0.25">
      <c r="A70" s="7" t="s">
        <v>6223</v>
      </c>
      <c r="B70" s="2" t="s">
        <v>3928</v>
      </c>
      <c r="C70" s="4">
        <v>1</v>
      </c>
      <c r="D70" s="5">
        <v>8.4499999999999993</v>
      </c>
      <c r="E70" s="5">
        <v>17.98</v>
      </c>
      <c r="F70" s="4" t="s">
        <v>6224</v>
      </c>
      <c r="G70" s="2" t="s">
        <v>262</v>
      </c>
      <c r="H70" s="7" t="s">
        <v>6225</v>
      </c>
      <c r="I70" s="2" t="s">
        <v>523</v>
      </c>
      <c r="J70" s="2" t="s">
        <v>3930</v>
      </c>
      <c r="K70" s="2" t="s">
        <v>304</v>
      </c>
      <c r="L70" s="2" t="s">
        <v>206</v>
      </c>
      <c r="M70" s="8" t="str">
        <f>HYPERLINK("http://slimages.macys.com/is/image/MCY/11671060 ")</f>
        <v xml:space="preserve">http://slimages.macys.com/is/image/MCY/11671060 </v>
      </c>
    </row>
    <row r="71" spans="1:13" ht="60" x14ac:dyDescent="0.25">
      <c r="A71" s="7" t="s">
        <v>6226</v>
      </c>
      <c r="B71" s="2" t="s">
        <v>3928</v>
      </c>
      <c r="C71" s="4">
        <v>1</v>
      </c>
      <c r="D71" s="5">
        <v>8.4499999999999993</v>
      </c>
      <c r="E71" s="5">
        <v>17.98</v>
      </c>
      <c r="F71" s="4" t="s">
        <v>6224</v>
      </c>
      <c r="G71" s="2" t="s">
        <v>262</v>
      </c>
      <c r="H71" s="7"/>
      <c r="I71" s="2" t="s">
        <v>523</v>
      </c>
      <c r="J71" s="2" t="s">
        <v>3930</v>
      </c>
      <c r="K71" s="2" t="s">
        <v>304</v>
      </c>
      <c r="L71" s="2" t="s">
        <v>206</v>
      </c>
      <c r="M71" s="8" t="str">
        <f>HYPERLINK("http://slimages.macys.com/is/image/MCY/11671060 ")</f>
        <v xml:space="preserve">http://slimages.macys.com/is/image/MCY/11671060 </v>
      </c>
    </row>
    <row r="72" spans="1:13" ht="60" x14ac:dyDescent="0.25">
      <c r="A72" s="7" t="s">
        <v>1678</v>
      </c>
      <c r="B72" s="2" t="s">
        <v>1673</v>
      </c>
      <c r="C72" s="4">
        <v>4</v>
      </c>
      <c r="D72" s="5">
        <v>8.4499999999999993</v>
      </c>
      <c r="E72" s="5">
        <v>16.989999999999998</v>
      </c>
      <c r="F72" s="4" t="s">
        <v>1674</v>
      </c>
      <c r="G72" s="2" t="s">
        <v>62</v>
      </c>
      <c r="H72" s="7" t="s">
        <v>228</v>
      </c>
      <c r="I72" s="2" t="s">
        <v>515</v>
      </c>
      <c r="J72" s="2" t="s">
        <v>827</v>
      </c>
      <c r="K72" s="2" t="s">
        <v>304</v>
      </c>
      <c r="L72" s="2" t="s">
        <v>358</v>
      </c>
      <c r="M72" s="8" t="str">
        <f>HYPERLINK("http://slimages.macys.com/is/image/MCY/12688126 ")</f>
        <v xml:space="preserve">http://slimages.macys.com/is/image/MCY/12688126 </v>
      </c>
    </row>
    <row r="73" spans="1:13" ht="60" x14ac:dyDescent="0.25">
      <c r="A73" s="7" t="s">
        <v>1676</v>
      </c>
      <c r="B73" s="2" t="s">
        <v>1673</v>
      </c>
      <c r="C73" s="4">
        <v>11</v>
      </c>
      <c r="D73" s="5">
        <v>8.4499999999999993</v>
      </c>
      <c r="E73" s="5">
        <v>16.989999999999998</v>
      </c>
      <c r="F73" s="4" t="s">
        <v>1674</v>
      </c>
      <c r="G73" s="2" t="s">
        <v>62</v>
      </c>
      <c r="H73" s="7" t="s">
        <v>159</v>
      </c>
      <c r="I73" s="2" t="s">
        <v>515</v>
      </c>
      <c r="J73" s="2" t="s">
        <v>827</v>
      </c>
      <c r="K73" s="2" t="s">
        <v>304</v>
      </c>
      <c r="L73" s="2" t="s">
        <v>358</v>
      </c>
      <c r="M73" s="8" t="str">
        <f>HYPERLINK("http://slimages.macys.com/is/image/MCY/12688126 ")</f>
        <v xml:space="preserve">http://slimages.macys.com/is/image/MCY/12688126 </v>
      </c>
    </row>
    <row r="74" spans="1:13" ht="60" x14ac:dyDescent="0.25">
      <c r="A74" s="7" t="s">
        <v>1677</v>
      </c>
      <c r="B74" s="2" t="s">
        <v>1673</v>
      </c>
      <c r="C74" s="4">
        <v>1</v>
      </c>
      <c r="D74" s="5">
        <v>8.4499999999999993</v>
      </c>
      <c r="E74" s="5">
        <v>16.989999999999998</v>
      </c>
      <c r="F74" s="4" t="s">
        <v>1674</v>
      </c>
      <c r="G74" s="2" t="s">
        <v>48</v>
      </c>
      <c r="H74" s="7" t="s">
        <v>159</v>
      </c>
      <c r="I74" s="2" t="s">
        <v>515</v>
      </c>
      <c r="J74" s="2" t="s">
        <v>827</v>
      </c>
      <c r="K74" s="2" t="s">
        <v>304</v>
      </c>
      <c r="L74" s="2" t="s">
        <v>358</v>
      </c>
      <c r="M74" s="8" t="str">
        <f>HYPERLINK("http://slimages.macys.com/is/image/MCY/12688126 ")</f>
        <v xml:space="preserve">http://slimages.macys.com/is/image/MCY/12688126 </v>
      </c>
    </row>
    <row r="75" spans="1:13" ht="60" x14ac:dyDescent="0.25">
      <c r="A75" s="7" t="s">
        <v>1679</v>
      </c>
      <c r="B75" s="2" t="s">
        <v>1673</v>
      </c>
      <c r="C75" s="4">
        <v>5</v>
      </c>
      <c r="D75" s="5">
        <v>8.4499999999999993</v>
      </c>
      <c r="E75" s="5">
        <v>16.989999999999998</v>
      </c>
      <c r="F75" s="4" t="s">
        <v>1674</v>
      </c>
      <c r="G75" s="2" t="s">
        <v>62</v>
      </c>
      <c r="H75" s="7" t="s">
        <v>284</v>
      </c>
      <c r="I75" s="2" t="s">
        <v>515</v>
      </c>
      <c r="J75" s="2" t="s">
        <v>827</v>
      </c>
      <c r="K75" s="2" t="s">
        <v>304</v>
      </c>
      <c r="L75" s="2" t="s">
        <v>358</v>
      </c>
      <c r="M75" s="8" t="str">
        <f>HYPERLINK("http://slimages.macys.com/is/image/MCY/12688126 ")</f>
        <v xml:space="preserve">http://slimages.macys.com/is/image/MCY/12688126 </v>
      </c>
    </row>
    <row r="76" spans="1:13" ht="60" x14ac:dyDescent="0.25">
      <c r="A76" s="7" t="s">
        <v>6227</v>
      </c>
      <c r="B76" s="2" t="s">
        <v>6228</v>
      </c>
      <c r="C76" s="4">
        <v>1</v>
      </c>
      <c r="D76" s="5">
        <v>8.35</v>
      </c>
      <c r="E76" s="5">
        <v>24.99</v>
      </c>
      <c r="F76" s="4" t="s">
        <v>6229</v>
      </c>
      <c r="G76" s="2" t="s">
        <v>310</v>
      </c>
      <c r="H76" s="7" t="s">
        <v>442</v>
      </c>
      <c r="I76" s="2" t="s">
        <v>92</v>
      </c>
      <c r="J76" s="2" t="s">
        <v>58</v>
      </c>
      <c r="K76" s="2" t="s">
        <v>304</v>
      </c>
      <c r="L76" s="2" t="s">
        <v>119</v>
      </c>
      <c r="M76" s="8" t="str">
        <f>HYPERLINK("http://slimages.macys.com/is/image/MCY/12738420 ")</f>
        <v xml:space="preserve">http://slimages.macys.com/is/image/MCY/12738420 </v>
      </c>
    </row>
    <row r="77" spans="1:13" ht="60" x14ac:dyDescent="0.25">
      <c r="A77" s="7" t="s">
        <v>6230</v>
      </c>
      <c r="B77" s="2" t="s">
        <v>878</v>
      </c>
      <c r="C77" s="4">
        <v>1</v>
      </c>
      <c r="D77" s="5">
        <v>8.33</v>
      </c>
      <c r="E77" s="5">
        <v>22.5</v>
      </c>
      <c r="F77" s="4" t="s">
        <v>879</v>
      </c>
      <c r="G77" s="2" t="s">
        <v>41</v>
      </c>
      <c r="H77" s="7" t="s">
        <v>209</v>
      </c>
      <c r="I77" s="2" t="s">
        <v>880</v>
      </c>
      <c r="J77" s="2" t="s">
        <v>881</v>
      </c>
      <c r="K77" s="2" t="s">
        <v>304</v>
      </c>
      <c r="L77" s="2" t="s">
        <v>38</v>
      </c>
      <c r="M77" s="8" t="str">
        <f>HYPERLINK("http://slimages.macys.com/is/image/MCY/12239555 ")</f>
        <v xml:space="preserve">http://slimages.macys.com/is/image/MCY/12239555 </v>
      </c>
    </row>
    <row r="78" spans="1:13" ht="60" x14ac:dyDescent="0.25">
      <c r="A78" s="7" t="s">
        <v>5905</v>
      </c>
      <c r="B78" s="2" t="s">
        <v>883</v>
      </c>
      <c r="C78" s="4">
        <v>1</v>
      </c>
      <c r="D78" s="5">
        <v>8.3000000000000007</v>
      </c>
      <c r="E78" s="5">
        <v>19.989999999999998</v>
      </c>
      <c r="F78" s="4">
        <v>10005486000</v>
      </c>
      <c r="G78" s="2" t="s">
        <v>171</v>
      </c>
      <c r="H78" s="7" t="s">
        <v>590</v>
      </c>
      <c r="I78" s="2" t="s">
        <v>483</v>
      </c>
      <c r="J78" s="2" t="s">
        <v>536</v>
      </c>
      <c r="K78" s="2" t="s">
        <v>304</v>
      </c>
      <c r="L78" s="2" t="s">
        <v>87</v>
      </c>
      <c r="M78" s="8" t="str">
        <f>HYPERLINK("http://slimages.macys.com/is/image/MCY/12466147 ")</f>
        <v xml:space="preserve">http://slimages.macys.com/is/image/MCY/12466147 </v>
      </c>
    </row>
    <row r="79" spans="1:13" ht="60" x14ac:dyDescent="0.25">
      <c r="A79" s="7" t="s">
        <v>3939</v>
      </c>
      <c r="B79" s="2" t="s">
        <v>3940</v>
      </c>
      <c r="C79" s="4">
        <v>1</v>
      </c>
      <c r="D79" s="5">
        <v>8.2100000000000009</v>
      </c>
      <c r="E79" s="5">
        <v>19.989999999999998</v>
      </c>
      <c r="F79" s="4" t="s">
        <v>3941</v>
      </c>
      <c r="G79" s="2" t="s">
        <v>657</v>
      </c>
      <c r="H79" s="7" t="s">
        <v>159</v>
      </c>
      <c r="I79" s="2" t="s">
        <v>292</v>
      </c>
      <c r="J79" s="2" t="s">
        <v>293</v>
      </c>
      <c r="K79" s="2" t="s">
        <v>304</v>
      </c>
      <c r="L79" s="2" t="s">
        <v>119</v>
      </c>
      <c r="M79" s="8" t="str">
        <f>HYPERLINK("http://slimages.macys.com/is/image/MCY/15197620 ")</f>
        <v xml:space="preserve">http://slimages.macys.com/is/image/MCY/15197620 </v>
      </c>
    </row>
    <row r="80" spans="1:13" ht="60" x14ac:dyDescent="0.25">
      <c r="A80" s="7" t="s">
        <v>6231</v>
      </c>
      <c r="B80" s="2" t="s">
        <v>6232</v>
      </c>
      <c r="C80" s="4">
        <v>2</v>
      </c>
      <c r="D80" s="5">
        <v>8.16</v>
      </c>
      <c r="E80" s="5">
        <v>16.989999999999998</v>
      </c>
      <c r="F80" s="4" t="s">
        <v>6233</v>
      </c>
      <c r="G80" s="2" t="s">
        <v>48</v>
      </c>
      <c r="H80" s="7" t="s">
        <v>159</v>
      </c>
      <c r="I80" s="2" t="s">
        <v>515</v>
      </c>
      <c r="J80" s="2" t="s">
        <v>827</v>
      </c>
      <c r="K80" s="2" t="s">
        <v>304</v>
      </c>
      <c r="L80" s="2" t="s">
        <v>358</v>
      </c>
      <c r="M80" s="8" t="str">
        <f>HYPERLINK("http://slimages.macys.com/is/image/MCY/12507579 ")</f>
        <v xml:space="preserve">http://slimages.macys.com/is/image/MCY/12507579 </v>
      </c>
    </row>
    <row r="81" spans="1:13" ht="96" x14ac:dyDescent="0.25">
      <c r="A81" s="7" t="s">
        <v>6234</v>
      </c>
      <c r="B81" s="2" t="s">
        <v>6235</v>
      </c>
      <c r="C81" s="4">
        <v>1</v>
      </c>
      <c r="D81" s="5">
        <v>8.1</v>
      </c>
      <c r="E81" s="5">
        <v>16.2</v>
      </c>
      <c r="F81" s="4" t="s">
        <v>6236</v>
      </c>
      <c r="G81" s="2" t="s">
        <v>297</v>
      </c>
      <c r="H81" s="7" t="s">
        <v>209</v>
      </c>
      <c r="I81" s="2" t="s">
        <v>487</v>
      </c>
      <c r="J81" s="2" t="s">
        <v>488</v>
      </c>
      <c r="K81" s="2" t="s">
        <v>304</v>
      </c>
      <c r="L81" s="2" t="s">
        <v>6237</v>
      </c>
      <c r="M81" s="8" t="str">
        <f>HYPERLINK("http://slimages.macys.com/is/image/MCY/10078448 ")</f>
        <v xml:space="preserve">http://slimages.macys.com/is/image/MCY/10078448 </v>
      </c>
    </row>
    <row r="82" spans="1:13" ht="60" x14ac:dyDescent="0.25">
      <c r="A82" s="7" t="s">
        <v>6238</v>
      </c>
      <c r="B82" s="2" t="s">
        <v>885</v>
      </c>
      <c r="C82" s="4">
        <v>3</v>
      </c>
      <c r="D82" s="5">
        <v>8.1</v>
      </c>
      <c r="E82" s="5">
        <v>16.2</v>
      </c>
      <c r="F82" s="4">
        <v>27879410</v>
      </c>
      <c r="G82" s="2"/>
      <c r="H82" s="7" t="s">
        <v>68</v>
      </c>
      <c r="I82" s="2" t="s">
        <v>487</v>
      </c>
      <c r="J82" s="2" t="s">
        <v>488</v>
      </c>
      <c r="K82" s="2" t="s">
        <v>304</v>
      </c>
      <c r="L82" s="2" t="s">
        <v>38</v>
      </c>
      <c r="M82" s="8" t="str">
        <f>HYPERLINK("http://slimages.macys.com/is/image/MCY/13791568 ")</f>
        <v xml:space="preserve">http://slimages.macys.com/is/image/MCY/13791568 </v>
      </c>
    </row>
    <row r="83" spans="1:13" ht="60" x14ac:dyDescent="0.25">
      <c r="A83" s="7" t="s">
        <v>6239</v>
      </c>
      <c r="B83" s="2" t="s">
        <v>1694</v>
      </c>
      <c r="C83" s="4">
        <v>1</v>
      </c>
      <c r="D83" s="5">
        <v>8.02</v>
      </c>
      <c r="E83" s="5">
        <v>21.99</v>
      </c>
      <c r="F83" s="4" t="s">
        <v>1695</v>
      </c>
      <c r="G83" s="2" t="s">
        <v>62</v>
      </c>
      <c r="H83" s="7" t="s">
        <v>159</v>
      </c>
      <c r="I83" s="2" t="s">
        <v>515</v>
      </c>
      <c r="J83" s="2" t="s">
        <v>827</v>
      </c>
      <c r="K83" s="2" t="s">
        <v>304</v>
      </c>
      <c r="L83" s="2" t="s">
        <v>125</v>
      </c>
      <c r="M83" s="8" t="str">
        <f>HYPERLINK("http://slimages.macys.com/is/image/MCY/12052339 ")</f>
        <v xml:space="preserve">http://slimages.macys.com/is/image/MCY/12052339 </v>
      </c>
    </row>
    <row r="84" spans="1:13" ht="60" x14ac:dyDescent="0.25">
      <c r="A84" s="7" t="s">
        <v>6240</v>
      </c>
      <c r="B84" s="2" t="s">
        <v>6241</v>
      </c>
      <c r="C84" s="4">
        <v>1</v>
      </c>
      <c r="D84" s="5">
        <v>8</v>
      </c>
      <c r="E84" s="5">
        <v>19.989999999999998</v>
      </c>
      <c r="F84" s="4">
        <v>91193374</v>
      </c>
      <c r="G84" s="2" t="s">
        <v>657</v>
      </c>
      <c r="H84" s="7" t="s">
        <v>228</v>
      </c>
      <c r="I84" s="2" t="s">
        <v>80</v>
      </c>
      <c r="J84" s="2" t="s">
        <v>519</v>
      </c>
      <c r="K84" s="2" t="s">
        <v>304</v>
      </c>
      <c r="L84" s="2" t="s">
        <v>119</v>
      </c>
      <c r="M84" s="8" t="str">
        <f>HYPERLINK("http://slimages.macys.com/is/image/MCY/11606308 ")</f>
        <v xml:space="preserve">http://slimages.macys.com/is/image/MCY/11606308 </v>
      </c>
    </row>
    <row r="85" spans="1:13" ht="60" x14ac:dyDescent="0.25">
      <c r="A85" s="7" t="s">
        <v>1711</v>
      </c>
      <c r="B85" s="2" t="s">
        <v>1712</v>
      </c>
      <c r="C85" s="4">
        <v>1</v>
      </c>
      <c r="D85" s="5">
        <v>8</v>
      </c>
      <c r="E85" s="5">
        <v>17.989999999999998</v>
      </c>
      <c r="F85" s="4" t="s">
        <v>1713</v>
      </c>
      <c r="G85" s="2" t="s">
        <v>41</v>
      </c>
      <c r="H85" s="7" t="s">
        <v>196</v>
      </c>
      <c r="I85" s="2" t="s">
        <v>73</v>
      </c>
      <c r="J85" s="2" t="s">
        <v>223</v>
      </c>
      <c r="K85" s="2" t="s">
        <v>304</v>
      </c>
      <c r="L85" s="2" t="s">
        <v>125</v>
      </c>
      <c r="M85" s="8" t="str">
        <f>HYPERLINK("http://slimages.macys.com/is/image/MCY/12667231 ")</f>
        <v xml:space="preserve">http://slimages.macys.com/is/image/MCY/12667231 </v>
      </c>
    </row>
    <row r="86" spans="1:13" ht="60" x14ac:dyDescent="0.25">
      <c r="A86" s="7" t="s">
        <v>6242</v>
      </c>
      <c r="B86" s="2" t="s">
        <v>6243</v>
      </c>
      <c r="C86" s="4">
        <v>1</v>
      </c>
      <c r="D86" s="5">
        <v>7.99</v>
      </c>
      <c r="E86" s="5">
        <v>16.989999999999998</v>
      </c>
      <c r="F86" s="4" t="s">
        <v>6244</v>
      </c>
      <c r="G86" s="2" t="s">
        <v>41</v>
      </c>
      <c r="H86" s="7" t="s">
        <v>166</v>
      </c>
      <c r="I86" s="2" t="s">
        <v>292</v>
      </c>
      <c r="J86" s="2" t="s">
        <v>354</v>
      </c>
      <c r="K86" s="2" t="s">
        <v>304</v>
      </c>
      <c r="L86" s="2" t="s">
        <v>38</v>
      </c>
      <c r="M86" s="8" t="str">
        <f>HYPERLINK("http://slimages.macys.com/is/image/MCY/10746449 ")</f>
        <v xml:space="preserve">http://slimages.macys.com/is/image/MCY/10746449 </v>
      </c>
    </row>
    <row r="87" spans="1:13" ht="60" x14ac:dyDescent="0.25">
      <c r="A87" s="7" t="s">
        <v>6245</v>
      </c>
      <c r="B87" s="2" t="s">
        <v>6246</v>
      </c>
      <c r="C87" s="4">
        <v>1</v>
      </c>
      <c r="D87" s="5">
        <v>7.81</v>
      </c>
      <c r="E87" s="5">
        <v>26.99</v>
      </c>
      <c r="F87" s="4" t="s">
        <v>6247</v>
      </c>
      <c r="G87" s="2" t="s">
        <v>297</v>
      </c>
      <c r="H87" s="7" t="s">
        <v>42</v>
      </c>
      <c r="I87" s="2" t="s">
        <v>483</v>
      </c>
      <c r="J87" s="2" t="s">
        <v>536</v>
      </c>
      <c r="K87" s="2" t="s">
        <v>304</v>
      </c>
      <c r="L87" s="2" t="s">
        <v>596</v>
      </c>
      <c r="M87" s="8" t="str">
        <f>HYPERLINK("http://slimages.macys.com/is/image/MCY/11520390 ")</f>
        <v xml:space="preserve">http://slimages.macys.com/is/image/MCY/11520390 </v>
      </c>
    </row>
    <row r="88" spans="1:13" ht="72" x14ac:dyDescent="0.25">
      <c r="A88" s="7" t="s">
        <v>6248</v>
      </c>
      <c r="B88" s="2" t="s">
        <v>4025</v>
      </c>
      <c r="C88" s="4">
        <v>1</v>
      </c>
      <c r="D88" s="5">
        <v>7.75</v>
      </c>
      <c r="E88" s="5">
        <v>25</v>
      </c>
      <c r="F88" s="4" t="s">
        <v>6249</v>
      </c>
      <c r="G88" s="2" t="s">
        <v>62</v>
      </c>
      <c r="H88" s="7" t="s">
        <v>786</v>
      </c>
      <c r="I88" s="2" t="s">
        <v>50</v>
      </c>
      <c r="J88" s="2" t="s">
        <v>901</v>
      </c>
      <c r="K88" s="2" t="s">
        <v>304</v>
      </c>
      <c r="L88" s="2" t="s">
        <v>5455</v>
      </c>
      <c r="M88" s="8" t="str">
        <f>HYPERLINK("http://slimages.macys.com/is/image/MCY/13438907 ")</f>
        <v xml:space="preserve">http://slimages.macys.com/is/image/MCY/13438907 </v>
      </c>
    </row>
    <row r="89" spans="1:13" ht="60" x14ac:dyDescent="0.25">
      <c r="A89" s="7" t="s">
        <v>908</v>
      </c>
      <c r="B89" s="2" t="s">
        <v>904</v>
      </c>
      <c r="C89" s="4">
        <v>1</v>
      </c>
      <c r="D89" s="5">
        <v>7.75</v>
      </c>
      <c r="E89" s="5">
        <v>20</v>
      </c>
      <c r="F89" s="4" t="s">
        <v>905</v>
      </c>
      <c r="G89" s="2" t="s">
        <v>36</v>
      </c>
      <c r="H89" s="7" t="s">
        <v>786</v>
      </c>
      <c r="I89" s="2" t="s">
        <v>50</v>
      </c>
      <c r="J89" s="2" t="s">
        <v>901</v>
      </c>
      <c r="K89" s="2" t="s">
        <v>304</v>
      </c>
      <c r="L89" s="2" t="s">
        <v>906</v>
      </c>
      <c r="M89" s="8" t="str">
        <f>HYPERLINK("http://slimages.macys.com/is/image/MCY/11722128 ")</f>
        <v xml:space="preserve">http://slimages.macys.com/is/image/MCY/11722128 </v>
      </c>
    </row>
    <row r="90" spans="1:13" ht="72" x14ac:dyDescent="0.25">
      <c r="A90" s="7" t="s">
        <v>6250</v>
      </c>
      <c r="B90" s="2" t="s">
        <v>4025</v>
      </c>
      <c r="C90" s="4">
        <v>1</v>
      </c>
      <c r="D90" s="5">
        <v>7.75</v>
      </c>
      <c r="E90" s="5">
        <v>25</v>
      </c>
      <c r="F90" s="4" t="s">
        <v>6251</v>
      </c>
      <c r="G90" s="2" t="s">
        <v>455</v>
      </c>
      <c r="H90" s="7" t="s">
        <v>108</v>
      </c>
      <c r="I90" s="2" t="s">
        <v>50</v>
      </c>
      <c r="J90" s="2" t="s">
        <v>901</v>
      </c>
      <c r="K90" s="2" t="s">
        <v>304</v>
      </c>
      <c r="L90" s="2" t="s">
        <v>5455</v>
      </c>
      <c r="M90" s="8" t="str">
        <f>HYPERLINK("http://slimages.macys.com/is/image/MCY/13438907 ")</f>
        <v xml:space="preserve">http://slimages.macys.com/is/image/MCY/13438907 </v>
      </c>
    </row>
    <row r="91" spans="1:13" ht="60" x14ac:dyDescent="0.25">
      <c r="A91" s="7" t="s">
        <v>915</v>
      </c>
      <c r="B91" s="2" t="s">
        <v>904</v>
      </c>
      <c r="C91" s="4">
        <v>5</v>
      </c>
      <c r="D91" s="5">
        <v>7.75</v>
      </c>
      <c r="E91" s="5">
        <v>20</v>
      </c>
      <c r="F91" s="4" t="s">
        <v>905</v>
      </c>
      <c r="G91" s="2" t="s">
        <v>36</v>
      </c>
      <c r="H91" s="7" t="s">
        <v>850</v>
      </c>
      <c r="I91" s="2" t="s">
        <v>50</v>
      </c>
      <c r="J91" s="2" t="s">
        <v>901</v>
      </c>
      <c r="K91" s="2" t="s">
        <v>304</v>
      </c>
      <c r="L91" s="2" t="s">
        <v>906</v>
      </c>
      <c r="M91" s="8" t="str">
        <f>HYPERLINK("http://slimages.macys.com/is/image/MCY/11722128 ")</f>
        <v xml:space="preserve">http://slimages.macys.com/is/image/MCY/11722128 </v>
      </c>
    </row>
    <row r="92" spans="1:13" ht="60" x14ac:dyDescent="0.25">
      <c r="A92" s="7" t="s">
        <v>6252</v>
      </c>
      <c r="B92" s="2" t="s">
        <v>3986</v>
      </c>
      <c r="C92" s="4">
        <v>1</v>
      </c>
      <c r="D92" s="5">
        <v>7.6</v>
      </c>
      <c r="E92" s="5">
        <v>17.28</v>
      </c>
      <c r="F92" s="4">
        <v>18389710</v>
      </c>
      <c r="G92" s="2" t="s">
        <v>48</v>
      </c>
      <c r="H92" s="7" t="s">
        <v>233</v>
      </c>
      <c r="I92" s="2" t="s">
        <v>153</v>
      </c>
      <c r="J92" s="2" t="s">
        <v>154</v>
      </c>
      <c r="K92" s="2" t="s">
        <v>304</v>
      </c>
      <c r="L92" s="2" t="s">
        <v>38</v>
      </c>
      <c r="M92" s="8" t="str">
        <f>HYPERLINK("http://slimages.macys.com/is/image/MCY/14608342 ")</f>
        <v xml:space="preserve">http://slimages.macys.com/is/image/MCY/14608342 </v>
      </c>
    </row>
    <row r="93" spans="1:13" ht="120" x14ac:dyDescent="0.25">
      <c r="A93" s="7" t="s">
        <v>6253</v>
      </c>
      <c r="B93" s="2" t="s">
        <v>6254</v>
      </c>
      <c r="C93" s="4">
        <v>1</v>
      </c>
      <c r="D93" s="5">
        <v>7.6</v>
      </c>
      <c r="E93" s="5">
        <v>17.28</v>
      </c>
      <c r="F93" s="4">
        <v>18374010</v>
      </c>
      <c r="G93" s="2"/>
      <c r="H93" s="7" t="s">
        <v>675</v>
      </c>
      <c r="I93" s="2" t="s">
        <v>153</v>
      </c>
      <c r="J93" s="2" t="s">
        <v>154</v>
      </c>
      <c r="K93" s="2" t="s">
        <v>304</v>
      </c>
      <c r="L93" s="2" t="s">
        <v>6255</v>
      </c>
      <c r="M93" s="8" t="str">
        <f>HYPERLINK("http://slimages.macys.com/is/image/MCY/14608284 ")</f>
        <v xml:space="preserve">http://slimages.macys.com/is/image/MCY/14608284 </v>
      </c>
    </row>
    <row r="94" spans="1:13" ht="108" x14ac:dyDescent="0.25">
      <c r="A94" s="7" t="s">
        <v>5919</v>
      </c>
      <c r="B94" s="2" t="s">
        <v>5920</v>
      </c>
      <c r="C94" s="4">
        <v>1</v>
      </c>
      <c r="D94" s="5">
        <v>7.6</v>
      </c>
      <c r="E94" s="5">
        <v>17.28</v>
      </c>
      <c r="F94" s="4">
        <v>18821210</v>
      </c>
      <c r="G94" s="2" t="s">
        <v>353</v>
      </c>
      <c r="H94" s="7" t="s">
        <v>438</v>
      </c>
      <c r="I94" s="2" t="s">
        <v>153</v>
      </c>
      <c r="J94" s="2" t="s">
        <v>154</v>
      </c>
      <c r="K94" s="2" t="s">
        <v>304</v>
      </c>
      <c r="L94" s="2" t="s">
        <v>5921</v>
      </c>
      <c r="M94" s="8" t="str">
        <f>HYPERLINK("http://slimages.macys.com/is/image/MCY/13382581 ")</f>
        <v xml:space="preserve">http://slimages.macys.com/is/image/MCY/13382581 </v>
      </c>
    </row>
    <row r="95" spans="1:13" ht="108" x14ac:dyDescent="0.25">
      <c r="A95" s="7" t="s">
        <v>6256</v>
      </c>
      <c r="B95" s="2" t="s">
        <v>5920</v>
      </c>
      <c r="C95" s="4">
        <v>1</v>
      </c>
      <c r="D95" s="5">
        <v>7.6</v>
      </c>
      <c r="E95" s="5">
        <v>17.28</v>
      </c>
      <c r="F95" s="4">
        <v>18821210</v>
      </c>
      <c r="G95" s="2" t="s">
        <v>353</v>
      </c>
      <c r="H95" s="7" t="s">
        <v>675</v>
      </c>
      <c r="I95" s="2" t="s">
        <v>153</v>
      </c>
      <c r="J95" s="2" t="s">
        <v>154</v>
      </c>
      <c r="K95" s="2" t="s">
        <v>304</v>
      </c>
      <c r="L95" s="2" t="s">
        <v>5921</v>
      </c>
      <c r="M95" s="8" t="str">
        <f>HYPERLINK("http://slimages.macys.com/is/image/MCY/13382581 ")</f>
        <v xml:space="preserve">http://slimages.macys.com/is/image/MCY/13382581 </v>
      </c>
    </row>
    <row r="96" spans="1:13" ht="132" x14ac:dyDescent="0.25">
      <c r="A96" s="7" t="s">
        <v>6257</v>
      </c>
      <c r="B96" s="2" t="s">
        <v>4002</v>
      </c>
      <c r="C96" s="4">
        <v>1</v>
      </c>
      <c r="D96" s="5">
        <v>7.55</v>
      </c>
      <c r="E96" s="5">
        <v>12.99</v>
      </c>
      <c r="F96" s="4" t="s">
        <v>6258</v>
      </c>
      <c r="G96" s="2" t="s">
        <v>41</v>
      </c>
      <c r="H96" s="7" t="s">
        <v>438</v>
      </c>
      <c r="I96" s="2" t="s">
        <v>153</v>
      </c>
      <c r="J96" s="2" t="s">
        <v>154</v>
      </c>
      <c r="K96" s="2" t="s">
        <v>304</v>
      </c>
      <c r="L96" s="2" t="s">
        <v>6259</v>
      </c>
      <c r="M96" s="8" t="str">
        <f>HYPERLINK("http://slimages.macys.com/is/image/MCY/9644666 ")</f>
        <v xml:space="preserve">http://slimages.macys.com/is/image/MCY/9644666 </v>
      </c>
    </row>
    <row r="97" spans="1:13" ht="72" x14ac:dyDescent="0.25">
      <c r="A97" s="7" t="s">
        <v>6260</v>
      </c>
      <c r="B97" s="2" t="s">
        <v>6261</v>
      </c>
      <c r="C97" s="4">
        <v>1</v>
      </c>
      <c r="D97" s="5">
        <v>7.25</v>
      </c>
      <c r="E97" s="5">
        <v>15.99</v>
      </c>
      <c r="F97" s="4" t="s">
        <v>6262</v>
      </c>
      <c r="G97" s="2" t="s">
        <v>107</v>
      </c>
      <c r="H97" s="7" t="s">
        <v>123</v>
      </c>
      <c r="I97" s="2" t="s">
        <v>80</v>
      </c>
      <c r="J97" s="2" t="s">
        <v>124</v>
      </c>
      <c r="K97" s="2" t="s">
        <v>304</v>
      </c>
      <c r="L97" s="2" t="s">
        <v>6263</v>
      </c>
      <c r="M97" s="8" t="str">
        <f>HYPERLINK("http://slimages.macys.com/is/image/MCY/13581394 ")</f>
        <v xml:space="preserve">http://slimages.macys.com/is/image/MCY/13581394 </v>
      </c>
    </row>
    <row r="98" spans="1:13" ht="72" x14ac:dyDescent="0.25">
      <c r="A98" s="7" t="s">
        <v>6264</v>
      </c>
      <c r="B98" s="2" t="s">
        <v>6265</v>
      </c>
      <c r="C98" s="4">
        <v>3</v>
      </c>
      <c r="D98" s="5">
        <v>7.25</v>
      </c>
      <c r="E98" s="5">
        <v>20</v>
      </c>
      <c r="F98" s="4" t="s">
        <v>6266</v>
      </c>
      <c r="G98" s="2" t="s">
        <v>28</v>
      </c>
      <c r="H98" s="7" t="s">
        <v>786</v>
      </c>
      <c r="I98" s="2" t="s">
        <v>50</v>
      </c>
      <c r="J98" s="2" t="s">
        <v>901</v>
      </c>
      <c r="K98" s="2" t="s">
        <v>304</v>
      </c>
      <c r="L98" s="2" t="s">
        <v>5455</v>
      </c>
      <c r="M98" s="8" t="str">
        <f>HYPERLINK("http://slimages.macys.com/is/image/MCY/11722010 ")</f>
        <v xml:space="preserve">http://slimages.macys.com/is/image/MCY/11722010 </v>
      </c>
    </row>
    <row r="99" spans="1:13" ht="72" x14ac:dyDescent="0.25">
      <c r="A99" s="7" t="s">
        <v>6267</v>
      </c>
      <c r="B99" s="2" t="s">
        <v>6265</v>
      </c>
      <c r="C99" s="4">
        <v>6</v>
      </c>
      <c r="D99" s="5">
        <v>7.25</v>
      </c>
      <c r="E99" s="5">
        <v>20</v>
      </c>
      <c r="F99" s="4" t="s">
        <v>6266</v>
      </c>
      <c r="G99" s="2" t="s">
        <v>28</v>
      </c>
      <c r="H99" s="7" t="s">
        <v>850</v>
      </c>
      <c r="I99" s="2" t="s">
        <v>50</v>
      </c>
      <c r="J99" s="2" t="s">
        <v>901</v>
      </c>
      <c r="K99" s="2" t="s">
        <v>304</v>
      </c>
      <c r="L99" s="2" t="s">
        <v>5455</v>
      </c>
      <c r="M99" s="8" t="str">
        <f>HYPERLINK("http://slimages.macys.com/is/image/MCY/11722010 ")</f>
        <v xml:space="preserve">http://slimages.macys.com/is/image/MCY/11722010 </v>
      </c>
    </row>
    <row r="100" spans="1:13" ht="72" x14ac:dyDescent="0.25">
      <c r="A100" s="7" t="s">
        <v>6268</v>
      </c>
      <c r="B100" s="2" t="s">
        <v>6265</v>
      </c>
      <c r="C100" s="4">
        <v>1</v>
      </c>
      <c r="D100" s="5">
        <v>7.25</v>
      </c>
      <c r="E100" s="5">
        <v>20</v>
      </c>
      <c r="F100" s="4" t="s">
        <v>6266</v>
      </c>
      <c r="G100" s="2" t="s">
        <v>28</v>
      </c>
      <c r="H100" s="7" t="s">
        <v>917</v>
      </c>
      <c r="I100" s="2" t="s">
        <v>50</v>
      </c>
      <c r="J100" s="2" t="s">
        <v>901</v>
      </c>
      <c r="K100" s="2" t="s">
        <v>304</v>
      </c>
      <c r="L100" s="2" t="s">
        <v>5455</v>
      </c>
      <c r="M100" s="8" t="str">
        <f>HYPERLINK("http://slimages.macys.com/is/image/MCY/11722010 ")</f>
        <v xml:space="preserve">http://slimages.macys.com/is/image/MCY/11722010 </v>
      </c>
    </row>
    <row r="101" spans="1:13" ht="60" x14ac:dyDescent="0.25">
      <c r="A101" s="7" t="s">
        <v>6269</v>
      </c>
      <c r="B101" s="2" t="s">
        <v>6270</v>
      </c>
      <c r="C101" s="4">
        <v>1</v>
      </c>
      <c r="D101" s="5">
        <v>7.23</v>
      </c>
      <c r="E101" s="5">
        <v>16.989999999999998</v>
      </c>
      <c r="F101" s="4" t="s">
        <v>6271</v>
      </c>
      <c r="G101" s="2" t="s">
        <v>892</v>
      </c>
      <c r="H101" s="7" t="s">
        <v>442</v>
      </c>
      <c r="I101" s="2" t="s">
        <v>483</v>
      </c>
      <c r="J101" s="2" t="s">
        <v>4176</v>
      </c>
      <c r="K101" s="2" t="s">
        <v>304</v>
      </c>
      <c r="L101" s="2" t="s">
        <v>596</v>
      </c>
      <c r="M101" s="8" t="str">
        <f>HYPERLINK("http://slimages.macys.com/is/image/MCY/11954965 ")</f>
        <v xml:space="preserve">http://slimages.macys.com/is/image/MCY/11954965 </v>
      </c>
    </row>
    <row r="102" spans="1:13" ht="96" x14ac:dyDescent="0.25">
      <c r="A102" s="7" t="s">
        <v>6272</v>
      </c>
      <c r="B102" s="2" t="s">
        <v>6273</v>
      </c>
      <c r="C102" s="4">
        <v>1</v>
      </c>
      <c r="D102" s="5">
        <v>7.15</v>
      </c>
      <c r="E102" s="5">
        <v>20.99</v>
      </c>
      <c r="F102" s="4" t="s">
        <v>6274</v>
      </c>
      <c r="G102" s="2" t="s">
        <v>28</v>
      </c>
      <c r="H102" s="7" t="s">
        <v>442</v>
      </c>
      <c r="I102" s="2" t="s">
        <v>92</v>
      </c>
      <c r="J102" s="2" t="s">
        <v>239</v>
      </c>
      <c r="K102" s="2" t="s">
        <v>304</v>
      </c>
      <c r="L102" s="2" t="s">
        <v>6275</v>
      </c>
      <c r="M102" s="8" t="str">
        <f>HYPERLINK("http://slimages.macys.com/is/image/MCY/12674103 ")</f>
        <v xml:space="preserve">http://slimages.macys.com/is/image/MCY/12674103 </v>
      </c>
    </row>
    <row r="103" spans="1:13" ht="96" x14ac:dyDescent="0.25">
      <c r="A103" s="7" t="s">
        <v>6276</v>
      </c>
      <c r="B103" s="2" t="s">
        <v>6277</v>
      </c>
      <c r="C103" s="4">
        <v>1</v>
      </c>
      <c r="D103" s="5">
        <v>7.11</v>
      </c>
      <c r="E103" s="5">
        <v>17.989999999999998</v>
      </c>
      <c r="F103" s="4" t="s">
        <v>6278</v>
      </c>
      <c r="G103" s="2" t="s">
        <v>171</v>
      </c>
      <c r="H103" s="7" t="s">
        <v>590</v>
      </c>
      <c r="I103" s="2" t="s">
        <v>483</v>
      </c>
      <c r="J103" s="2" t="s">
        <v>536</v>
      </c>
      <c r="K103" s="2" t="s">
        <v>304</v>
      </c>
      <c r="L103" s="2" t="s">
        <v>6279</v>
      </c>
      <c r="M103" s="8" t="str">
        <f>HYPERLINK("http://slimages.macys.com/is/image/MCY/11792311 ")</f>
        <v xml:space="preserve">http://slimages.macys.com/is/image/MCY/11792311 </v>
      </c>
    </row>
    <row r="104" spans="1:13" ht="60" x14ac:dyDescent="0.25">
      <c r="A104" s="7" t="s">
        <v>6280</v>
      </c>
      <c r="B104" s="2" t="s">
        <v>1742</v>
      </c>
      <c r="C104" s="4">
        <v>2</v>
      </c>
      <c r="D104" s="5">
        <v>7.05</v>
      </c>
      <c r="E104" s="5">
        <v>16.989999999999998</v>
      </c>
      <c r="F104" s="4" t="s">
        <v>1743</v>
      </c>
      <c r="G104" s="2" t="s">
        <v>62</v>
      </c>
      <c r="H104" s="7" t="s">
        <v>159</v>
      </c>
      <c r="I104" s="2" t="s">
        <v>515</v>
      </c>
      <c r="J104" s="2" t="s">
        <v>827</v>
      </c>
      <c r="K104" s="2" t="s">
        <v>304</v>
      </c>
      <c r="L104" s="2" t="s">
        <v>358</v>
      </c>
      <c r="M104" s="8" t="str">
        <f>HYPERLINK("http://slimages.macys.com/is/image/MCY/12507572 ")</f>
        <v xml:space="preserve">http://slimages.macys.com/is/image/MCY/12507572 </v>
      </c>
    </row>
    <row r="105" spans="1:13" ht="60" x14ac:dyDescent="0.25">
      <c r="A105" s="7" t="s">
        <v>6281</v>
      </c>
      <c r="B105" s="2" t="s">
        <v>1742</v>
      </c>
      <c r="C105" s="4">
        <v>1</v>
      </c>
      <c r="D105" s="5">
        <v>7.05</v>
      </c>
      <c r="E105" s="5">
        <v>16.989999999999998</v>
      </c>
      <c r="F105" s="4" t="s">
        <v>1743</v>
      </c>
      <c r="G105" s="2" t="s">
        <v>103</v>
      </c>
      <c r="H105" s="7" t="s">
        <v>159</v>
      </c>
      <c r="I105" s="2" t="s">
        <v>515</v>
      </c>
      <c r="J105" s="2" t="s">
        <v>827</v>
      </c>
      <c r="K105" s="2" t="s">
        <v>304</v>
      </c>
      <c r="L105" s="2" t="s">
        <v>358</v>
      </c>
      <c r="M105" s="8" t="str">
        <f>HYPERLINK("http://slimages.macys.com/is/image/MCY/12507572 ")</f>
        <v xml:space="preserve">http://slimages.macys.com/is/image/MCY/12507572 </v>
      </c>
    </row>
    <row r="106" spans="1:13" ht="60" x14ac:dyDescent="0.25">
      <c r="A106" s="7" t="s">
        <v>6282</v>
      </c>
      <c r="B106" s="2" t="s">
        <v>6283</v>
      </c>
      <c r="C106" s="4">
        <v>1</v>
      </c>
      <c r="D106" s="5">
        <v>6.98</v>
      </c>
      <c r="E106" s="5">
        <v>16.989999999999998</v>
      </c>
      <c r="F106" s="4" t="s">
        <v>6284</v>
      </c>
      <c r="G106" s="2" t="s">
        <v>62</v>
      </c>
      <c r="H106" s="7" t="s">
        <v>284</v>
      </c>
      <c r="I106" s="2" t="s">
        <v>515</v>
      </c>
      <c r="J106" s="2" t="s">
        <v>827</v>
      </c>
      <c r="K106" s="2" t="s">
        <v>304</v>
      </c>
      <c r="L106" s="2" t="s">
        <v>358</v>
      </c>
      <c r="M106" s="8" t="str">
        <f>HYPERLINK("http://slimages.macys.com/is/image/MCY/12687347 ")</f>
        <v xml:space="preserve">http://slimages.macys.com/is/image/MCY/12687347 </v>
      </c>
    </row>
    <row r="107" spans="1:13" ht="60" x14ac:dyDescent="0.25">
      <c r="A107" s="7" t="s">
        <v>4932</v>
      </c>
      <c r="B107" s="2" t="s">
        <v>4933</v>
      </c>
      <c r="C107" s="4">
        <v>2</v>
      </c>
      <c r="D107" s="5">
        <v>6.9</v>
      </c>
      <c r="E107" s="5">
        <v>16.989999999999998</v>
      </c>
      <c r="F107" s="4" t="s">
        <v>4934</v>
      </c>
      <c r="G107" s="2" t="s">
        <v>103</v>
      </c>
      <c r="H107" s="7" t="s">
        <v>514</v>
      </c>
      <c r="I107" s="2" t="s">
        <v>1689</v>
      </c>
      <c r="J107" s="2" t="s">
        <v>354</v>
      </c>
      <c r="K107" s="2" t="s">
        <v>304</v>
      </c>
      <c r="L107" s="2" t="s">
        <v>390</v>
      </c>
      <c r="M107" s="8" t="str">
        <f>HYPERLINK("http://slimages.macys.com/is/image/MCY/12495539 ")</f>
        <v xml:space="preserve">http://slimages.macys.com/is/image/MCY/12495539 </v>
      </c>
    </row>
    <row r="108" spans="1:13" ht="60" x14ac:dyDescent="0.25">
      <c r="A108" s="7" t="s">
        <v>5402</v>
      </c>
      <c r="B108" s="2" t="s">
        <v>5403</v>
      </c>
      <c r="C108" s="4">
        <v>1</v>
      </c>
      <c r="D108" s="5">
        <v>6.88</v>
      </c>
      <c r="E108" s="5">
        <v>16.989999999999998</v>
      </c>
      <c r="F108" s="4" t="s">
        <v>5404</v>
      </c>
      <c r="G108" s="2" t="s">
        <v>62</v>
      </c>
      <c r="H108" s="7" t="s">
        <v>284</v>
      </c>
      <c r="I108" s="2" t="s">
        <v>515</v>
      </c>
      <c r="J108" s="2" t="s">
        <v>827</v>
      </c>
      <c r="K108" s="2" t="s">
        <v>304</v>
      </c>
      <c r="L108" s="2" t="s">
        <v>5405</v>
      </c>
      <c r="M108" s="8" t="str">
        <f>HYPERLINK("http://slimages.macys.com/is/image/MCY/12507660 ")</f>
        <v xml:space="preserve">http://slimages.macys.com/is/image/MCY/12507660 </v>
      </c>
    </row>
    <row r="109" spans="1:13" ht="60" x14ac:dyDescent="0.25">
      <c r="A109" s="7" t="s">
        <v>6285</v>
      </c>
      <c r="B109" s="2" t="s">
        <v>1765</v>
      </c>
      <c r="C109" s="4">
        <v>2</v>
      </c>
      <c r="D109" s="5">
        <v>6.85</v>
      </c>
      <c r="E109" s="5">
        <v>18</v>
      </c>
      <c r="F109" s="4" t="s">
        <v>1766</v>
      </c>
      <c r="G109" s="2" t="s">
        <v>62</v>
      </c>
      <c r="H109" s="7" t="s">
        <v>228</v>
      </c>
      <c r="I109" s="2" t="s">
        <v>468</v>
      </c>
      <c r="J109" s="2" t="s">
        <v>469</v>
      </c>
      <c r="K109" s="2" t="s">
        <v>304</v>
      </c>
      <c r="L109" s="2" t="s">
        <v>119</v>
      </c>
      <c r="M109" s="8" t="str">
        <f>HYPERLINK("http://slimages.macys.com/is/image/MCY/11958538 ")</f>
        <v xml:space="preserve">http://slimages.macys.com/is/image/MCY/11958538 </v>
      </c>
    </row>
    <row r="110" spans="1:13" ht="60" x14ac:dyDescent="0.25">
      <c r="A110" s="7" t="s">
        <v>5407</v>
      </c>
      <c r="B110" s="2" t="s">
        <v>1768</v>
      </c>
      <c r="C110" s="4">
        <v>1</v>
      </c>
      <c r="D110" s="5">
        <v>6.85</v>
      </c>
      <c r="E110" s="5">
        <v>18</v>
      </c>
      <c r="F110" s="4" t="s">
        <v>1769</v>
      </c>
      <c r="G110" s="2" t="s">
        <v>48</v>
      </c>
      <c r="H110" s="7" t="s">
        <v>159</v>
      </c>
      <c r="I110" s="2" t="s">
        <v>468</v>
      </c>
      <c r="J110" s="2" t="s">
        <v>469</v>
      </c>
      <c r="K110" s="2" t="s">
        <v>304</v>
      </c>
      <c r="L110" s="2" t="s">
        <v>100</v>
      </c>
      <c r="M110" s="8" t="str">
        <f>HYPERLINK("http://slimages.macys.com/is/image/MCY/12809150 ")</f>
        <v xml:space="preserve">http://slimages.macys.com/is/image/MCY/12809150 </v>
      </c>
    </row>
    <row r="111" spans="1:13" ht="60" x14ac:dyDescent="0.25">
      <c r="A111" s="7" t="s">
        <v>6286</v>
      </c>
      <c r="B111" s="2" t="s">
        <v>5410</v>
      </c>
      <c r="C111" s="4">
        <v>1</v>
      </c>
      <c r="D111" s="5">
        <v>6.85</v>
      </c>
      <c r="E111" s="5">
        <v>18</v>
      </c>
      <c r="F111" s="4" t="s">
        <v>5411</v>
      </c>
      <c r="G111" s="2" t="s">
        <v>262</v>
      </c>
      <c r="H111" s="7" t="s">
        <v>217</v>
      </c>
      <c r="I111" s="2" t="s">
        <v>468</v>
      </c>
      <c r="J111" s="2" t="s">
        <v>469</v>
      </c>
      <c r="K111" s="2" t="s">
        <v>304</v>
      </c>
      <c r="L111" s="2" t="s">
        <v>119</v>
      </c>
      <c r="M111" s="8" t="str">
        <f>HYPERLINK("http://slimages.macys.com/is/image/MCY/12809166 ")</f>
        <v xml:space="preserve">http://slimages.macys.com/is/image/MCY/12809166 </v>
      </c>
    </row>
    <row r="112" spans="1:13" ht="60" x14ac:dyDescent="0.25">
      <c r="A112" s="7" t="s">
        <v>1767</v>
      </c>
      <c r="B112" s="2" t="s">
        <v>1768</v>
      </c>
      <c r="C112" s="4">
        <v>1</v>
      </c>
      <c r="D112" s="5">
        <v>6.85</v>
      </c>
      <c r="E112" s="5">
        <v>18</v>
      </c>
      <c r="F112" s="4" t="s">
        <v>1769</v>
      </c>
      <c r="G112" s="2" t="s">
        <v>48</v>
      </c>
      <c r="H112" s="7" t="s">
        <v>217</v>
      </c>
      <c r="I112" s="2" t="s">
        <v>468</v>
      </c>
      <c r="J112" s="2" t="s">
        <v>469</v>
      </c>
      <c r="K112" s="2" t="s">
        <v>304</v>
      </c>
      <c r="L112" s="2" t="s">
        <v>100</v>
      </c>
      <c r="M112" s="8" t="str">
        <f>HYPERLINK("http://slimages.macys.com/is/image/MCY/12809150 ")</f>
        <v xml:space="preserve">http://slimages.macys.com/is/image/MCY/12809150 </v>
      </c>
    </row>
    <row r="113" spans="1:13" ht="60" x14ac:dyDescent="0.25">
      <c r="A113" s="7" t="s">
        <v>1779</v>
      </c>
      <c r="B113" s="2" t="s">
        <v>1776</v>
      </c>
      <c r="C113" s="4">
        <v>3</v>
      </c>
      <c r="D113" s="5">
        <v>6.84</v>
      </c>
      <c r="E113" s="5">
        <v>19.989999999999998</v>
      </c>
      <c r="F113" s="4" t="s">
        <v>1777</v>
      </c>
      <c r="G113" s="2" t="s">
        <v>388</v>
      </c>
      <c r="H113" s="7" t="s">
        <v>311</v>
      </c>
      <c r="I113" s="2" t="s">
        <v>1689</v>
      </c>
      <c r="J113" s="2" t="s">
        <v>354</v>
      </c>
      <c r="K113" s="2" t="s">
        <v>304</v>
      </c>
      <c r="L113" s="2" t="s">
        <v>390</v>
      </c>
      <c r="M113" s="8" t="str">
        <f t="shared" ref="M113:M118" si="1">HYPERLINK("http://slimages.macys.com/is/image/MCY/12890114 ")</f>
        <v xml:space="preserve">http://slimages.macys.com/is/image/MCY/12890114 </v>
      </c>
    </row>
    <row r="114" spans="1:13" ht="60" x14ac:dyDescent="0.25">
      <c r="A114" s="7" t="s">
        <v>1780</v>
      </c>
      <c r="B114" s="2" t="s">
        <v>1776</v>
      </c>
      <c r="C114" s="4">
        <v>3</v>
      </c>
      <c r="D114" s="5">
        <v>6.84</v>
      </c>
      <c r="E114" s="5">
        <v>19.989999999999998</v>
      </c>
      <c r="F114" s="4" t="s">
        <v>1777</v>
      </c>
      <c r="G114" s="2" t="s">
        <v>388</v>
      </c>
      <c r="H114" s="7" t="s">
        <v>123</v>
      </c>
      <c r="I114" s="2" t="s">
        <v>1689</v>
      </c>
      <c r="J114" s="2" t="s">
        <v>354</v>
      </c>
      <c r="K114" s="2" t="s">
        <v>304</v>
      </c>
      <c r="L114" s="2" t="s">
        <v>390</v>
      </c>
      <c r="M114" s="8" t="str">
        <f t="shared" si="1"/>
        <v xml:space="preserve">http://slimages.macys.com/is/image/MCY/12890114 </v>
      </c>
    </row>
    <row r="115" spans="1:13" ht="60" x14ac:dyDescent="0.25">
      <c r="A115" s="7" t="s">
        <v>1778</v>
      </c>
      <c r="B115" s="2" t="s">
        <v>1776</v>
      </c>
      <c r="C115" s="4">
        <v>2</v>
      </c>
      <c r="D115" s="5">
        <v>6.84</v>
      </c>
      <c r="E115" s="5">
        <v>19.989999999999998</v>
      </c>
      <c r="F115" s="4" t="s">
        <v>1777</v>
      </c>
      <c r="G115" s="2" t="s">
        <v>388</v>
      </c>
      <c r="H115" s="7" t="s">
        <v>1151</v>
      </c>
      <c r="I115" s="2" t="s">
        <v>1689</v>
      </c>
      <c r="J115" s="2" t="s">
        <v>354</v>
      </c>
      <c r="K115" s="2" t="s">
        <v>304</v>
      </c>
      <c r="L115" s="2" t="s">
        <v>390</v>
      </c>
      <c r="M115" s="8" t="str">
        <f t="shared" si="1"/>
        <v xml:space="preserve">http://slimages.macys.com/is/image/MCY/12890114 </v>
      </c>
    </row>
    <row r="116" spans="1:13" ht="60" x14ac:dyDescent="0.25">
      <c r="A116" s="7" t="s">
        <v>3329</v>
      </c>
      <c r="B116" s="2" t="s">
        <v>1776</v>
      </c>
      <c r="C116" s="4">
        <v>3</v>
      </c>
      <c r="D116" s="5">
        <v>6.84</v>
      </c>
      <c r="E116" s="5">
        <v>19.989999999999998</v>
      </c>
      <c r="F116" s="4" t="s">
        <v>1777</v>
      </c>
      <c r="G116" s="2" t="s">
        <v>388</v>
      </c>
      <c r="H116" s="7" t="s">
        <v>63</v>
      </c>
      <c r="I116" s="2" t="s">
        <v>1689</v>
      </c>
      <c r="J116" s="2" t="s">
        <v>354</v>
      </c>
      <c r="K116" s="2" t="s">
        <v>304</v>
      </c>
      <c r="L116" s="2" t="s">
        <v>390</v>
      </c>
      <c r="M116" s="8" t="str">
        <f t="shared" si="1"/>
        <v xml:space="preserve">http://slimages.macys.com/is/image/MCY/12890114 </v>
      </c>
    </row>
    <row r="117" spans="1:13" ht="60" x14ac:dyDescent="0.25">
      <c r="A117" s="7" t="s">
        <v>1775</v>
      </c>
      <c r="B117" s="2" t="s">
        <v>1776</v>
      </c>
      <c r="C117" s="4">
        <v>1</v>
      </c>
      <c r="D117" s="5">
        <v>6.84</v>
      </c>
      <c r="E117" s="5">
        <v>19.989999999999998</v>
      </c>
      <c r="F117" s="4" t="s">
        <v>1777</v>
      </c>
      <c r="G117" s="2" t="s">
        <v>388</v>
      </c>
      <c r="H117" s="7" t="s">
        <v>514</v>
      </c>
      <c r="I117" s="2" t="s">
        <v>1689</v>
      </c>
      <c r="J117" s="2" t="s">
        <v>354</v>
      </c>
      <c r="K117" s="2" t="s">
        <v>304</v>
      </c>
      <c r="L117" s="2" t="s">
        <v>390</v>
      </c>
      <c r="M117" s="8" t="str">
        <f t="shared" si="1"/>
        <v xml:space="preserve">http://slimages.macys.com/is/image/MCY/12890114 </v>
      </c>
    </row>
    <row r="118" spans="1:13" ht="60" x14ac:dyDescent="0.25">
      <c r="A118" s="7" t="s">
        <v>6287</v>
      </c>
      <c r="B118" s="2" t="s">
        <v>1776</v>
      </c>
      <c r="C118" s="4">
        <v>4</v>
      </c>
      <c r="D118" s="5">
        <v>6.84</v>
      </c>
      <c r="E118" s="5">
        <v>19.989999999999998</v>
      </c>
      <c r="F118" s="4" t="s">
        <v>1777</v>
      </c>
      <c r="G118" s="2" t="s">
        <v>388</v>
      </c>
      <c r="H118" s="7" t="s">
        <v>578</v>
      </c>
      <c r="I118" s="2" t="s">
        <v>1689</v>
      </c>
      <c r="J118" s="2" t="s">
        <v>354</v>
      </c>
      <c r="K118" s="2" t="s">
        <v>304</v>
      </c>
      <c r="L118" s="2" t="s">
        <v>390</v>
      </c>
      <c r="M118" s="8" t="str">
        <f t="shared" si="1"/>
        <v xml:space="preserve">http://slimages.macys.com/is/image/MCY/12890114 </v>
      </c>
    </row>
    <row r="119" spans="1:13" ht="60" x14ac:dyDescent="0.25">
      <c r="A119" s="7" t="s">
        <v>6288</v>
      </c>
      <c r="B119" s="2" t="s">
        <v>5419</v>
      </c>
      <c r="C119" s="4">
        <v>1</v>
      </c>
      <c r="D119" s="5">
        <v>6.83</v>
      </c>
      <c r="E119" s="5">
        <v>13.99</v>
      </c>
      <c r="F119" s="4" t="s">
        <v>5420</v>
      </c>
      <c r="G119" s="2" t="s">
        <v>310</v>
      </c>
      <c r="H119" s="7" t="s">
        <v>284</v>
      </c>
      <c r="I119" s="2" t="s">
        <v>523</v>
      </c>
      <c r="J119" s="2" t="s">
        <v>4102</v>
      </c>
      <c r="K119" s="2" t="s">
        <v>304</v>
      </c>
      <c r="L119" s="2" t="s">
        <v>125</v>
      </c>
      <c r="M119" s="8" t="str">
        <f>HYPERLINK("http://slimages.macys.com/is/image/MCY/9687514 ")</f>
        <v xml:space="preserve">http://slimages.macys.com/is/image/MCY/9687514 </v>
      </c>
    </row>
    <row r="120" spans="1:13" ht="60" x14ac:dyDescent="0.25">
      <c r="A120" s="7" t="s">
        <v>6289</v>
      </c>
      <c r="B120" s="2" t="s">
        <v>2589</v>
      </c>
      <c r="C120" s="4">
        <v>3</v>
      </c>
      <c r="D120" s="5">
        <v>6.81</v>
      </c>
      <c r="E120" s="5">
        <v>16.989999999999998</v>
      </c>
      <c r="F120" s="4" t="s">
        <v>2590</v>
      </c>
      <c r="G120" s="2" t="s">
        <v>353</v>
      </c>
      <c r="H120" s="7" t="s">
        <v>159</v>
      </c>
      <c r="I120" s="2" t="s">
        <v>515</v>
      </c>
      <c r="J120" s="2" t="s">
        <v>827</v>
      </c>
      <c r="K120" s="2" t="s">
        <v>304</v>
      </c>
      <c r="L120" s="2" t="s">
        <v>358</v>
      </c>
      <c r="M120" s="8" t="str">
        <f>HYPERLINK("http://slimages.macys.com/is/image/MCY/12507563 ")</f>
        <v xml:space="preserve">http://slimages.macys.com/is/image/MCY/12507563 </v>
      </c>
    </row>
    <row r="121" spans="1:13" ht="60" x14ac:dyDescent="0.25">
      <c r="A121" s="7" t="s">
        <v>6290</v>
      </c>
      <c r="B121" s="2" t="s">
        <v>2589</v>
      </c>
      <c r="C121" s="4">
        <v>1</v>
      </c>
      <c r="D121" s="5">
        <v>6.81</v>
      </c>
      <c r="E121" s="5">
        <v>16.989999999999998</v>
      </c>
      <c r="F121" s="4" t="s">
        <v>2590</v>
      </c>
      <c r="G121" s="2" t="s">
        <v>353</v>
      </c>
      <c r="H121" s="7" t="s">
        <v>228</v>
      </c>
      <c r="I121" s="2" t="s">
        <v>515</v>
      </c>
      <c r="J121" s="2" t="s">
        <v>827</v>
      </c>
      <c r="K121" s="2" t="s">
        <v>304</v>
      </c>
      <c r="L121" s="2" t="s">
        <v>358</v>
      </c>
      <c r="M121" s="8" t="str">
        <f>HYPERLINK("http://slimages.macys.com/is/image/MCY/12507563 ")</f>
        <v xml:space="preserve">http://slimages.macys.com/is/image/MCY/12507563 </v>
      </c>
    </row>
    <row r="122" spans="1:13" ht="60" x14ac:dyDescent="0.25">
      <c r="A122" s="7" t="s">
        <v>6291</v>
      </c>
      <c r="B122" s="2" t="s">
        <v>2589</v>
      </c>
      <c r="C122" s="4">
        <v>2</v>
      </c>
      <c r="D122" s="5">
        <v>6.81</v>
      </c>
      <c r="E122" s="5">
        <v>16.989999999999998</v>
      </c>
      <c r="F122" s="4" t="s">
        <v>2590</v>
      </c>
      <c r="G122" s="2" t="s">
        <v>353</v>
      </c>
      <c r="H122" s="7" t="s">
        <v>284</v>
      </c>
      <c r="I122" s="2" t="s">
        <v>515</v>
      </c>
      <c r="J122" s="2" t="s">
        <v>827</v>
      </c>
      <c r="K122" s="2" t="s">
        <v>304</v>
      </c>
      <c r="L122" s="2" t="s">
        <v>358</v>
      </c>
      <c r="M122" s="8" t="str">
        <f>HYPERLINK("http://slimages.macys.com/is/image/MCY/12507563 ")</f>
        <v xml:space="preserve">http://slimages.macys.com/is/image/MCY/12507563 </v>
      </c>
    </row>
    <row r="123" spans="1:13" ht="120" x14ac:dyDescent="0.25">
      <c r="A123" s="7" t="s">
        <v>1781</v>
      </c>
      <c r="B123" s="2" t="s">
        <v>1782</v>
      </c>
      <c r="C123" s="4">
        <v>1</v>
      </c>
      <c r="D123" s="5">
        <v>6.8</v>
      </c>
      <c r="E123" s="5">
        <v>14.99</v>
      </c>
      <c r="F123" s="4" t="s">
        <v>1783</v>
      </c>
      <c r="G123" s="2" t="s">
        <v>62</v>
      </c>
      <c r="H123" s="7" t="s">
        <v>159</v>
      </c>
      <c r="I123" s="2" t="s">
        <v>515</v>
      </c>
      <c r="J123" s="2" t="s">
        <v>827</v>
      </c>
      <c r="K123" s="2" t="s">
        <v>304</v>
      </c>
      <c r="L123" s="2" t="s">
        <v>1784</v>
      </c>
      <c r="M123" s="8" t="str">
        <f>HYPERLINK("http://slimages.macys.com/is/image/MCY/13119046 ")</f>
        <v xml:space="preserve">http://slimages.macys.com/is/image/MCY/13119046 </v>
      </c>
    </row>
    <row r="124" spans="1:13" ht="60" x14ac:dyDescent="0.25">
      <c r="A124" s="7" t="s">
        <v>6292</v>
      </c>
      <c r="B124" s="2" t="s">
        <v>1025</v>
      </c>
      <c r="C124" s="4">
        <v>1</v>
      </c>
      <c r="D124" s="5">
        <v>6.67</v>
      </c>
      <c r="E124" s="5">
        <v>16.989999999999998</v>
      </c>
      <c r="F124" s="4" t="s">
        <v>1804</v>
      </c>
      <c r="G124" s="2" t="s">
        <v>62</v>
      </c>
      <c r="H124" s="7" t="s">
        <v>228</v>
      </c>
      <c r="I124" s="2" t="s">
        <v>515</v>
      </c>
      <c r="J124" s="2" t="s">
        <v>827</v>
      </c>
      <c r="K124" s="2" t="s">
        <v>304</v>
      </c>
      <c r="L124" s="2" t="s">
        <v>358</v>
      </c>
      <c r="M124" s="8" t="str">
        <f>HYPERLINK("http://slimages.macys.com/is/image/MCY/12687279 ")</f>
        <v xml:space="preserve">http://slimages.macys.com/is/image/MCY/12687279 </v>
      </c>
    </row>
    <row r="125" spans="1:13" ht="60" x14ac:dyDescent="0.25">
      <c r="A125" s="7" t="s">
        <v>2602</v>
      </c>
      <c r="B125" s="2" t="s">
        <v>1025</v>
      </c>
      <c r="C125" s="4">
        <v>1</v>
      </c>
      <c r="D125" s="5">
        <v>6.67</v>
      </c>
      <c r="E125" s="5">
        <v>16.989999999999998</v>
      </c>
      <c r="F125" s="4" t="s">
        <v>1804</v>
      </c>
      <c r="G125" s="2" t="s">
        <v>62</v>
      </c>
      <c r="H125" s="7" t="s">
        <v>159</v>
      </c>
      <c r="I125" s="2" t="s">
        <v>515</v>
      </c>
      <c r="J125" s="2" t="s">
        <v>827</v>
      </c>
      <c r="K125" s="2" t="s">
        <v>304</v>
      </c>
      <c r="L125" s="2" t="s">
        <v>358</v>
      </c>
      <c r="M125" s="8" t="str">
        <f>HYPERLINK("http://slimages.macys.com/is/image/MCY/12687279 ")</f>
        <v xml:space="preserve">http://slimages.macys.com/is/image/MCY/12687279 </v>
      </c>
    </row>
    <row r="126" spans="1:13" ht="60" x14ac:dyDescent="0.25">
      <c r="A126" s="7" t="s">
        <v>6293</v>
      </c>
      <c r="B126" s="2" t="s">
        <v>1006</v>
      </c>
      <c r="C126" s="4">
        <v>2</v>
      </c>
      <c r="D126" s="5">
        <v>6.52</v>
      </c>
      <c r="E126" s="5">
        <v>14.99</v>
      </c>
      <c r="F126" s="4" t="s">
        <v>1007</v>
      </c>
      <c r="G126" s="2" t="s">
        <v>28</v>
      </c>
      <c r="H126" s="7" t="s">
        <v>618</v>
      </c>
      <c r="I126" s="2" t="s">
        <v>292</v>
      </c>
      <c r="J126" s="2" t="s">
        <v>354</v>
      </c>
      <c r="K126" s="2" t="s">
        <v>304</v>
      </c>
      <c r="L126" s="2" t="s">
        <v>119</v>
      </c>
      <c r="M126" s="8" t="str">
        <f>HYPERLINK("http://slimages.macys.com/is/image/MCY/11776479 ")</f>
        <v xml:space="preserve">http://slimages.macys.com/is/image/MCY/11776479 </v>
      </c>
    </row>
    <row r="127" spans="1:13" ht="60" x14ac:dyDescent="0.25">
      <c r="A127" s="7" t="s">
        <v>6294</v>
      </c>
      <c r="B127" s="2" t="s">
        <v>1006</v>
      </c>
      <c r="C127" s="4">
        <v>1</v>
      </c>
      <c r="D127" s="5">
        <v>6.52</v>
      </c>
      <c r="E127" s="5">
        <v>14.99</v>
      </c>
      <c r="F127" s="4" t="s">
        <v>1007</v>
      </c>
      <c r="G127" s="2" t="s">
        <v>28</v>
      </c>
      <c r="H127" s="7" t="s">
        <v>317</v>
      </c>
      <c r="I127" s="2" t="s">
        <v>292</v>
      </c>
      <c r="J127" s="2" t="s">
        <v>354</v>
      </c>
      <c r="K127" s="2" t="s">
        <v>304</v>
      </c>
      <c r="L127" s="2" t="s">
        <v>119</v>
      </c>
      <c r="M127" s="8" t="str">
        <f>HYPERLINK("http://slimages.macys.com/is/image/MCY/11776479 ")</f>
        <v xml:space="preserve">http://slimages.macys.com/is/image/MCY/11776479 </v>
      </c>
    </row>
    <row r="128" spans="1:13" ht="60" x14ac:dyDescent="0.25">
      <c r="A128" s="7" t="s">
        <v>3359</v>
      </c>
      <c r="B128" s="2" t="s">
        <v>3360</v>
      </c>
      <c r="C128" s="4">
        <v>1</v>
      </c>
      <c r="D128" s="5">
        <v>6.52</v>
      </c>
      <c r="E128" s="5">
        <v>16.989999999999998</v>
      </c>
      <c r="F128" s="4" t="s">
        <v>3361</v>
      </c>
      <c r="G128" s="2" t="s">
        <v>353</v>
      </c>
      <c r="H128" s="7" t="s">
        <v>228</v>
      </c>
      <c r="I128" s="2" t="s">
        <v>218</v>
      </c>
      <c r="J128" s="2" t="s">
        <v>1740</v>
      </c>
      <c r="K128" s="2" t="s">
        <v>304</v>
      </c>
      <c r="L128" s="2" t="s">
        <v>125</v>
      </c>
      <c r="M128" s="8" t="str">
        <f>HYPERLINK("http://slimages.macys.com/is/image/MCY/12688507 ")</f>
        <v xml:space="preserve">http://slimages.macys.com/is/image/MCY/12688507 </v>
      </c>
    </row>
    <row r="129" spans="1:13" ht="60" x14ac:dyDescent="0.25">
      <c r="A129" s="7" t="s">
        <v>1005</v>
      </c>
      <c r="B129" s="2" t="s">
        <v>1006</v>
      </c>
      <c r="C129" s="4">
        <v>2</v>
      </c>
      <c r="D129" s="5">
        <v>6.52</v>
      </c>
      <c r="E129" s="5">
        <v>14.99</v>
      </c>
      <c r="F129" s="4" t="s">
        <v>1007</v>
      </c>
      <c r="G129" s="2" t="s">
        <v>28</v>
      </c>
      <c r="H129" s="7" t="s">
        <v>123</v>
      </c>
      <c r="I129" s="2" t="s">
        <v>292</v>
      </c>
      <c r="J129" s="2" t="s">
        <v>354</v>
      </c>
      <c r="K129" s="2" t="s">
        <v>304</v>
      </c>
      <c r="L129" s="2" t="s">
        <v>119</v>
      </c>
      <c r="M129" s="8" t="str">
        <f>HYPERLINK("http://slimages.macys.com/is/image/MCY/11776479 ")</f>
        <v xml:space="preserve">http://slimages.macys.com/is/image/MCY/11776479 </v>
      </c>
    </row>
    <row r="130" spans="1:13" ht="60" x14ac:dyDescent="0.25">
      <c r="A130" s="7" t="s">
        <v>5442</v>
      </c>
      <c r="B130" s="2" t="s">
        <v>1006</v>
      </c>
      <c r="C130" s="4">
        <v>2</v>
      </c>
      <c r="D130" s="5">
        <v>6.52</v>
      </c>
      <c r="E130" s="5">
        <v>14.99</v>
      </c>
      <c r="F130" s="4" t="s">
        <v>1007</v>
      </c>
      <c r="G130" s="2" t="s">
        <v>28</v>
      </c>
      <c r="H130" s="7" t="s">
        <v>311</v>
      </c>
      <c r="I130" s="2" t="s">
        <v>292</v>
      </c>
      <c r="J130" s="2" t="s">
        <v>354</v>
      </c>
      <c r="K130" s="2" t="s">
        <v>304</v>
      </c>
      <c r="L130" s="2" t="s">
        <v>119</v>
      </c>
      <c r="M130" s="8" t="str">
        <f>HYPERLINK("http://slimages.macys.com/is/image/MCY/11776479 ")</f>
        <v xml:space="preserve">http://slimages.macys.com/is/image/MCY/11776479 </v>
      </c>
    </row>
    <row r="131" spans="1:13" ht="60" x14ac:dyDescent="0.25">
      <c r="A131" s="7" t="s">
        <v>1809</v>
      </c>
      <c r="B131" s="2" t="s">
        <v>1006</v>
      </c>
      <c r="C131" s="4">
        <v>2</v>
      </c>
      <c r="D131" s="5">
        <v>6.52</v>
      </c>
      <c r="E131" s="5">
        <v>14.99</v>
      </c>
      <c r="F131" s="4" t="s">
        <v>1007</v>
      </c>
      <c r="G131" s="2" t="s">
        <v>28</v>
      </c>
      <c r="H131" s="7" t="s">
        <v>166</v>
      </c>
      <c r="I131" s="2" t="s">
        <v>292</v>
      </c>
      <c r="J131" s="2" t="s">
        <v>354</v>
      </c>
      <c r="K131" s="2" t="s">
        <v>304</v>
      </c>
      <c r="L131" s="2" t="s">
        <v>119</v>
      </c>
      <c r="M131" s="8" t="str">
        <f>HYPERLINK("http://slimages.macys.com/is/image/MCY/11776479 ")</f>
        <v xml:space="preserve">http://slimages.macys.com/is/image/MCY/11776479 </v>
      </c>
    </row>
    <row r="132" spans="1:13" ht="60" x14ac:dyDescent="0.25">
      <c r="A132" s="7" t="s">
        <v>6295</v>
      </c>
      <c r="B132" s="2" t="s">
        <v>1815</v>
      </c>
      <c r="C132" s="4">
        <v>2</v>
      </c>
      <c r="D132" s="5">
        <v>6.43</v>
      </c>
      <c r="E132" s="5">
        <v>16.989999999999998</v>
      </c>
      <c r="F132" s="4" t="s">
        <v>1816</v>
      </c>
      <c r="G132" s="2" t="s">
        <v>262</v>
      </c>
      <c r="H132" s="7" t="s">
        <v>228</v>
      </c>
      <c r="I132" s="2" t="s">
        <v>515</v>
      </c>
      <c r="J132" s="2" t="s">
        <v>827</v>
      </c>
      <c r="K132" s="2" t="s">
        <v>304</v>
      </c>
      <c r="L132" s="2" t="s">
        <v>358</v>
      </c>
      <c r="M132" s="8" t="str">
        <f t="shared" ref="M132:M139" si="2">HYPERLINK("http://slimages.macys.com/is/image/MCY/13118981 ")</f>
        <v xml:space="preserve">http://slimages.macys.com/is/image/MCY/13118981 </v>
      </c>
    </row>
    <row r="133" spans="1:13" ht="60" x14ac:dyDescent="0.25">
      <c r="A133" s="7" t="s">
        <v>1814</v>
      </c>
      <c r="B133" s="2" t="s">
        <v>1815</v>
      </c>
      <c r="C133" s="4">
        <v>6</v>
      </c>
      <c r="D133" s="5">
        <v>6.43</v>
      </c>
      <c r="E133" s="5">
        <v>16.989999999999998</v>
      </c>
      <c r="F133" s="4" t="s">
        <v>1816</v>
      </c>
      <c r="G133" s="2" t="s">
        <v>262</v>
      </c>
      <c r="H133" s="7" t="s">
        <v>159</v>
      </c>
      <c r="I133" s="2" t="s">
        <v>515</v>
      </c>
      <c r="J133" s="2" t="s">
        <v>827</v>
      </c>
      <c r="K133" s="2" t="s">
        <v>304</v>
      </c>
      <c r="L133" s="2" t="s">
        <v>358</v>
      </c>
      <c r="M133" s="8" t="str">
        <f t="shared" si="2"/>
        <v xml:space="preserve">http://slimages.macys.com/is/image/MCY/13118981 </v>
      </c>
    </row>
    <row r="134" spans="1:13" ht="60" x14ac:dyDescent="0.25">
      <c r="A134" s="7" t="s">
        <v>6296</v>
      </c>
      <c r="B134" s="2" t="s">
        <v>1815</v>
      </c>
      <c r="C134" s="4">
        <v>8</v>
      </c>
      <c r="D134" s="5">
        <v>6.43</v>
      </c>
      <c r="E134" s="5">
        <v>16.989999999999998</v>
      </c>
      <c r="F134" s="4" t="s">
        <v>1816</v>
      </c>
      <c r="G134" s="2" t="s">
        <v>353</v>
      </c>
      <c r="H134" s="7" t="s">
        <v>159</v>
      </c>
      <c r="I134" s="2" t="s">
        <v>515</v>
      </c>
      <c r="J134" s="2" t="s">
        <v>827</v>
      </c>
      <c r="K134" s="2" t="s">
        <v>304</v>
      </c>
      <c r="L134" s="2" t="s">
        <v>358</v>
      </c>
      <c r="M134" s="8" t="str">
        <f t="shared" si="2"/>
        <v xml:space="preserve">http://slimages.macys.com/is/image/MCY/13118981 </v>
      </c>
    </row>
    <row r="135" spans="1:13" ht="60" x14ac:dyDescent="0.25">
      <c r="A135" s="7" t="s">
        <v>6297</v>
      </c>
      <c r="B135" s="2" t="s">
        <v>1815</v>
      </c>
      <c r="C135" s="4">
        <v>1</v>
      </c>
      <c r="D135" s="5">
        <v>6.43</v>
      </c>
      <c r="E135" s="5">
        <v>16.989999999999998</v>
      </c>
      <c r="F135" s="4" t="s">
        <v>1816</v>
      </c>
      <c r="G135" s="2" t="s">
        <v>353</v>
      </c>
      <c r="H135" s="7" t="s">
        <v>196</v>
      </c>
      <c r="I135" s="2" t="s">
        <v>515</v>
      </c>
      <c r="J135" s="2" t="s">
        <v>827</v>
      </c>
      <c r="K135" s="2" t="s">
        <v>304</v>
      </c>
      <c r="L135" s="2" t="s">
        <v>358</v>
      </c>
      <c r="M135" s="8" t="str">
        <f t="shared" si="2"/>
        <v xml:space="preserve">http://slimages.macys.com/is/image/MCY/13118981 </v>
      </c>
    </row>
    <row r="136" spans="1:13" ht="60" x14ac:dyDescent="0.25">
      <c r="A136" s="7" t="s">
        <v>6298</v>
      </c>
      <c r="B136" s="2" t="s">
        <v>1815</v>
      </c>
      <c r="C136" s="4">
        <v>4</v>
      </c>
      <c r="D136" s="5">
        <v>6.43</v>
      </c>
      <c r="E136" s="5">
        <v>16.989999999999998</v>
      </c>
      <c r="F136" s="4" t="s">
        <v>1816</v>
      </c>
      <c r="G136" s="2" t="s">
        <v>353</v>
      </c>
      <c r="H136" s="7" t="s">
        <v>228</v>
      </c>
      <c r="I136" s="2" t="s">
        <v>515</v>
      </c>
      <c r="J136" s="2" t="s">
        <v>827</v>
      </c>
      <c r="K136" s="2" t="s">
        <v>304</v>
      </c>
      <c r="L136" s="2" t="s">
        <v>358</v>
      </c>
      <c r="M136" s="8" t="str">
        <f t="shared" si="2"/>
        <v xml:space="preserve">http://slimages.macys.com/is/image/MCY/13118981 </v>
      </c>
    </row>
    <row r="137" spans="1:13" ht="60" x14ac:dyDescent="0.25">
      <c r="A137" s="7" t="s">
        <v>1817</v>
      </c>
      <c r="B137" s="2" t="s">
        <v>1815</v>
      </c>
      <c r="C137" s="4">
        <v>1</v>
      </c>
      <c r="D137" s="5">
        <v>6.43</v>
      </c>
      <c r="E137" s="5">
        <v>16.989999999999998</v>
      </c>
      <c r="F137" s="4" t="s">
        <v>1816</v>
      </c>
      <c r="G137" s="2" t="s">
        <v>262</v>
      </c>
      <c r="H137" s="7" t="s">
        <v>196</v>
      </c>
      <c r="I137" s="2" t="s">
        <v>515</v>
      </c>
      <c r="J137" s="2" t="s">
        <v>827</v>
      </c>
      <c r="K137" s="2" t="s">
        <v>304</v>
      </c>
      <c r="L137" s="2" t="s">
        <v>358</v>
      </c>
      <c r="M137" s="8" t="str">
        <f t="shared" si="2"/>
        <v xml:space="preserve">http://slimages.macys.com/is/image/MCY/13118981 </v>
      </c>
    </row>
    <row r="138" spans="1:13" ht="60" x14ac:dyDescent="0.25">
      <c r="A138" s="7" t="s">
        <v>5935</v>
      </c>
      <c r="B138" s="2" t="s">
        <v>1815</v>
      </c>
      <c r="C138" s="4">
        <v>5</v>
      </c>
      <c r="D138" s="5">
        <v>6.43</v>
      </c>
      <c r="E138" s="5">
        <v>16.989999999999998</v>
      </c>
      <c r="F138" s="4" t="s">
        <v>1816</v>
      </c>
      <c r="G138" s="2" t="s">
        <v>353</v>
      </c>
      <c r="H138" s="7" t="s">
        <v>284</v>
      </c>
      <c r="I138" s="2" t="s">
        <v>515</v>
      </c>
      <c r="J138" s="2" t="s">
        <v>827</v>
      </c>
      <c r="K138" s="2" t="s">
        <v>304</v>
      </c>
      <c r="L138" s="2" t="s">
        <v>358</v>
      </c>
      <c r="M138" s="8" t="str">
        <f t="shared" si="2"/>
        <v xml:space="preserve">http://slimages.macys.com/is/image/MCY/13118981 </v>
      </c>
    </row>
    <row r="139" spans="1:13" ht="60" x14ac:dyDescent="0.25">
      <c r="A139" s="7" t="s">
        <v>1818</v>
      </c>
      <c r="B139" s="2" t="s">
        <v>1815</v>
      </c>
      <c r="C139" s="4">
        <v>5</v>
      </c>
      <c r="D139" s="5">
        <v>6.43</v>
      </c>
      <c r="E139" s="5">
        <v>16.989999999999998</v>
      </c>
      <c r="F139" s="4" t="s">
        <v>1816</v>
      </c>
      <c r="G139" s="2" t="s">
        <v>262</v>
      </c>
      <c r="H139" s="7" t="s">
        <v>284</v>
      </c>
      <c r="I139" s="2" t="s">
        <v>515</v>
      </c>
      <c r="J139" s="2" t="s">
        <v>827</v>
      </c>
      <c r="K139" s="2" t="s">
        <v>304</v>
      </c>
      <c r="L139" s="2" t="s">
        <v>358</v>
      </c>
      <c r="M139" s="8" t="str">
        <f t="shared" si="2"/>
        <v xml:space="preserve">http://slimages.macys.com/is/image/MCY/13118981 </v>
      </c>
    </row>
    <row r="140" spans="1:13" ht="60" x14ac:dyDescent="0.25">
      <c r="A140" s="7" t="s">
        <v>6299</v>
      </c>
      <c r="B140" s="2" t="s">
        <v>1823</v>
      </c>
      <c r="C140" s="4">
        <v>1</v>
      </c>
      <c r="D140" s="5">
        <v>6.38</v>
      </c>
      <c r="E140" s="5">
        <v>14.99</v>
      </c>
      <c r="F140" s="4" t="s">
        <v>1824</v>
      </c>
      <c r="G140" s="2" t="s">
        <v>595</v>
      </c>
      <c r="H140" s="7" t="s">
        <v>228</v>
      </c>
      <c r="I140" s="2" t="s">
        <v>515</v>
      </c>
      <c r="J140" s="2" t="s">
        <v>827</v>
      </c>
      <c r="K140" s="2" t="s">
        <v>304</v>
      </c>
      <c r="L140" s="2" t="s">
        <v>125</v>
      </c>
      <c r="M140" s="8" t="str">
        <f>HYPERLINK("http://slimages.macys.com/is/image/MCY/11860844 ")</f>
        <v xml:space="preserve">http://slimages.macys.com/is/image/MCY/11860844 </v>
      </c>
    </row>
    <row r="141" spans="1:13" ht="60" x14ac:dyDescent="0.25">
      <c r="A141" s="7" t="s">
        <v>6300</v>
      </c>
      <c r="B141" s="2" t="s">
        <v>4952</v>
      </c>
      <c r="C141" s="4">
        <v>1</v>
      </c>
      <c r="D141" s="5">
        <v>6.35</v>
      </c>
      <c r="E141" s="5">
        <v>14.44</v>
      </c>
      <c r="F141" s="4">
        <v>18638410</v>
      </c>
      <c r="G141" s="2" t="s">
        <v>41</v>
      </c>
      <c r="H141" s="7" t="s">
        <v>42</v>
      </c>
      <c r="I141" s="2" t="s">
        <v>153</v>
      </c>
      <c r="J141" s="2" t="s">
        <v>154</v>
      </c>
      <c r="K141" s="2" t="s">
        <v>304</v>
      </c>
      <c r="L141" s="2" t="s">
        <v>125</v>
      </c>
      <c r="M141" s="8" t="str">
        <f>HYPERLINK("http://slimages.macys.com/is/image/MCY/14608365 ")</f>
        <v xml:space="preserve">http://slimages.macys.com/is/image/MCY/14608365 </v>
      </c>
    </row>
    <row r="142" spans="1:13" ht="60" x14ac:dyDescent="0.25">
      <c r="A142" s="7" t="s">
        <v>6301</v>
      </c>
      <c r="B142" s="2" t="s">
        <v>6302</v>
      </c>
      <c r="C142" s="4">
        <v>1</v>
      </c>
      <c r="D142" s="5">
        <v>6.26</v>
      </c>
      <c r="E142" s="5">
        <v>16.989999999999998</v>
      </c>
      <c r="F142" s="4" t="s">
        <v>6303</v>
      </c>
      <c r="G142" s="2" t="s">
        <v>48</v>
      </c>
      <c r="H142" s="7" t="s">
        <v>284</v>
      </c>
      <c r="I142" s="2" t="s">
        <v>515</v>
      </c>
      <c r="J142" s="2" t="s">
        <v>827</v>
      </c>
      <c r="K142" s="2" t="s">
        <v>304</v>
      </c>
      <c r="L142" s="2" t="s">
        <v>358</v>
      </c>
      <c r="M142" s="8" t="str">
        <f>HYPERLINK("http://slimages.macys.com/is/image/MCY/11860858 ")</f>
        <v xml:space="preserve">http://slimages.macys.com/is/image/MCY/11860858 </v>
      </c>
    </row>
    <row r="143" spans="1:13" ht="60" x14ac:dyDescent="0.25">
      <c r="A143" s="7" t="s">
        <v>6304</v>
      </c>
      <c r="B143" s="2" t="s">
        <v>6305</v>
      </c>
      <c r="C143" s="4">
        <v>1</v>
      </c>
      <c r="D143" s="5">
        <v>6.25</v>
      </c>
      <c r="E143" s="5">
        <v>16.989999999999998</v>
      </c>
      <c r="F143" s="4">
        <v>26506811</v>
      </c>
      <c r="G143" s="2"/>
      <c r="H143" s="7" t="s">
        <v>209</v>
      </c>
      <c r="I143" s="2" t="s">
        <v>321</v>
      </c>
      <c r="J143" s="2" t="s">
        <v>4958</v>
      </c>
      <c r="K143" s="2" t="s">
        <v>304</v>
      </c>
      <c r="L143" s="2" t="s">
        <v>1418</v>
      </c>
      <c r="M143" s="8" t="str">
        <f>HYPERLINK("http://slimages.macys.com/is/image/MCY/11954492 ")</f>
        <v xml:space="preserve">http://slimages.macys.com/is/image/MCY/11954492 </v>
      </c>
    </row>
    <row r="144" spans="1:13" ht="60" x14ac:dyDescent="0.25">
      <c r="A144" s="7" t="s">
        <v>6306</v>
      </c>
      <c r="B144" s="2" t="s">
        <v>2589</v>
      </c>
      <c r="C144" s="4">
        <v>1</v>
      </c>
      <c r="D144" s="5">
        <v>6.25</v>
      </c>
      <c r="E144" s="5">
        <v>12.99</v>
      </c>
      <c r="F144" s="4" t="s">
        <v>6307</v>
      </c>
      <c r="G144" s="2" t="s">
        <v>48</v>
      </c>
      <c r="H144" s="7" t="s">
        <v>311</v>
      </c>
      <c r="I144" s="2" t="s">
        <v>515</v>
      </c>
      <c r="J144" s="2" t="s">
        <v>516</v>
      </c>
      <c r="K144" s="2" t="s">
        <v>304</v>
      </c>
      <c r="L144" s="2" t="s">
        <v>358</v>
      </c>
      <c r="M144" s="8" t="str">
        <f>HYPERLINK("http://slimages.macys.com/is/image/MCY/12387450 ")</f>
        <v xml:space="preserve">http://slimages.macys.com/is/image/MCY/12387450 </v>
      </c>
    </row>
    <row r="145" spans="1:13" ht="60" x14ac:dyDescent="0.25">
      <c r="A145" s="7" t="s">
        <v>6308</v>
      </c>
      <c r="B145" s="2" t="s">
        <v>6305</v>
      </c>
      <c r="C145" s="4">
        <v>1</v>
      </c>
      <c r="D145" s="5">
        <v>6.25</v>
      </c>
      <c r="E145" s="5">
        <v>16.989999999999998</v>
      </c>
      <c r="F145" s="4">
        <v>26506811</v>
      </c>
      <c r="G145" s="2"/>
      <c r="H145" s="7" t="s">
        <v>144</v>
      </c>
      <c r="I145" s="2" t="s">
        <v>321</v>
      </c>
      <c r="J145" s="2" t="s">
        <v>4958</v>
      </c>
      <c r="K145" s="2" t="s">
        <v>304</v>
      </c>
      <c r="L145" s="2" t="s">
        <v>1418</v>
      </c>
      <c r="M145" s="8" t="str">
        <f>HYPERLINK("http://slimages.macys.com/is/image/MCY/11954492 ")</f>
        <v xml:space="preserve">http://slimages.macys.com/is/image/MCY/11954492 </v>
      </c>
    </row>
    <row r="146" spans="1:13" ht="60" x14ac:dyDescent="0.25">
      <c r="A146" s="7" t="s">
        <v>6309</v>
      </c>
      <c r="B146" s="2" t="s">
        <v>1028</v>
      </c>
      <c r="C146" s="4">
        <v>1</v>
      </c>
      <c r="D146" s="5">
        <v>6.19</v>
      </c>
      <c r="E146" s="5">
        <v>16.989999999999998</v>
      </c>
      <c r="F146" s="4" t="s">
        <v>1029</v>
      </c>
      <c r="G146" s="2" t="s">
        <v>62</v>
      </c>
      <c r="H146" s="7" t="s">
        <v>159</v>
      </c>
      <c r="I146" s="2" t="s">
        <v>515</v>
      </c>
      <c r="J146" s="2" t="s">
        <v>827</v>
      </c>
      <c r="K146" s="2" t="s">
        <v>304</v>
      </c>
      <c r="L146" s="2" t="s">
        <v>358</v>
      </c>
      <c r="M146" s="8" t="str">
        <f>HYPERLINK("http://slimages.macys.com/is/image/MCY/11530992 ")</f>
        <v xml:space="preserve">http://slimages.macys.com/is/image/MCY/11530992 </v>
      </c>
    </row>
    <row r="147" spans="1:13" ht="60" x14ac:dyDescent="0.25">
      <c r="A147" s="7" t="s">
        <v>4116</v>
      </c>
      <c r="B147" s="2" t="s">
        <v>4117</v>
      </c>
      <c r="C147" s="4">
        <v>1</v>
      </c>
      <c r="D147" s="5">
        <v>6</v>
      </c>
      <c r="E147" s="5">
        <v>11.99</v>
      </c>
      <c r="F147" s="4" t="s">
        <v>4118</v>
      </c>
      <c r="G147" s="2" t="s">
        <v>28</v>
      </c>
      <c r="H147" s="7" t="s">
        <v>311</v>
      </c>
      <c r="I147" s="2" t="s">
        <v>173</v>
      </c>
      <c r="J147" s="2" t="s">
        <v>1967</v>
      </c>
      <c r="K147" s="2" t="s">
        <v>304</v>
      </c>
      <c r="L147" s="2" t="s">
        <v>38</v>
      </c>
      <c r="M147" s="8" t="str">
        <f>HYPERLINK("http://slimages.macys.com/is/image/MCY/9906909 ")</f>
        <v xml:space="preserve">http://slimages.macys.com/is/image/MCY/9906909 </v>
      </c>
    </row>
    <row r="148" spans="1:13" ht="60" x14ac:dyDescent="0.25">
      <c r="A148" s="7" t="s">
        <v>6310</v>
      </c>
      <c r="B148" s="2" t="s">
        <v>6311</v>
      </c>
      <c r="C148" s="4">
        <v>1</v>
      </c>
      <c r="D148" s="5">
        <v>5.97</v>
      </c>
      <c r="E148" s="5">
        <v>12.99</v>
      </c>
      <c r="F148" s="4" t="s">
        <v>6312</v>
      </c>
      <c r="G148" s="2" t="s">
        <v>62</v>
      </c>
      <c r="H148" s="7" t="s">
        <v>1151</v>
      </c>
      <c r="I148" s="2" t="s">
        <v>515</v>
      </c>
      <c r="J148" s="2" t="s">
        <v>516</v>
      </c>
      <c r="K148" s="2" t="s">
        <v>304</v>
      </c>
      <c r="L148" s="2" t="s">
        <v>358</v>
      </c>
      <c r="M148" s="8" t="str">
        <f>HYPERLINK("http://slimages.macys.com/is/image/MCY/12387524 ")</f>
        <v xml:space="preserve">http://slimages.macys.com/is/image/MCY/12387524 </v>
      </c>
    </row>
    <row r="149" spans="1:13" ht="60" x14ac:dyDescent="0.25">
      <c r="A149" s="7" t="s">
        <v>4995</v>
      </c>
      <c r="B149" s="2" t="s">
        <v>4993</v>
      </c>
      <c r="C149" s="4">
        <v>1</v>
      </c>
      <c r="D149" s="5">
        <v>5.95</v>
      </c>
      <c r="E149" s="5">
        <v>14.99</v>
      </c>
      <c r="F149" s="4" t="s">
        <v>4994</v>
      </c>
      <c r="G149" s="2" t="s">
        <v>353</v>
      </c>
      <c r="H149" s="7"/>
      <c r="I149" s="2" t="s">
        <v>321</v>
      </c>
      <c r="J149" s="2" t="s">
        <v>492</v>
      </c>
      <c r="K149" s="2" t="s">
        <v>304</v>
      </c>
      <c r="L149" s="2" t="s">
        <v>125</v>
      </c>
      <c r="M149" s="8" t="str">
        <f>HYPERLINK("http://slimages.macys.com/is/image/MCY/10924171 ")</f>
        <v xml:space="preserve">http://slimages.macys.com/is/image/MCY/10924171 </v>
      </c>
    </row>
    <row r="150" spans="1:13" ht="60" x14ac:dyDescent="0.25">
      <c r="A150" s="7" t="s">
        <v>5956</v>
      </c>
      <c r="B150" s="2" t="s">
        <v>5957</v>
      </c>
      <c r="C150" s="4">
        <v>1</v>
      </c>
      <c r="D150" s="5">
        <v>5.87</v>
      </c>
      <c r="E150" s="5">
        <v>11.99</v>
      </c>
      <c r="F150" s="4" t="s">
        <v>5958</v>
      </c>
      <c r="G150" s="2" t="s">
        <v>785</v>
      </c>
      <c r="H150" s="7" t="s">
        <v>442</v>
      </c>
      <c r="I150" s="2" t="s">
        <v>483</v>
      </c>
      <c r="J150" s="2" t="s">
        <v>484</v>
      </c>
      <c r="K150" s="2" t="s">
        <v>304</v>
      </c>
      <c r="L150" s="2" t="s">
        <v>87</v>
      </c>
      <c r="M150" s="8" t="str">
        <f>HYPERLINK("http://slimages.macys.com/is/image/MCY/8018018 ")</f>
        <v xml:space="preserve">http://slimages.macys.com/is/image/MCY/8018018 </v>
      </c>
    </row>
    <row r="151" spans="1:13" ht="60" x14ac:dyDescent="0.25">
      <c r="A151" s="7" t="s">
        <v>6313</v>
      </c>
      <c r="B151" s="2" t="s">
        <v>1869</v>
      </c>
      <c r="C151" s="4">
        <v>1</v>
      </c>
      <c r="D151" s="5">
        <v>5.85</v>
      </c>
      <c r="E151" s="5">
        <v>15.99</v>
      </c>
      <c r="F151" s="4" t="s">
        <v>4128</v>
      </c>
      <c r="G151" s="2" t="s">
        <v>657</v>
      </c>
      <c r="H151" s="7" t="s">
        <v>5478</v>
      </c>
      <c r="I151" s="2" t="s">
        <v>342</v>
      </c>
      <c r="J151" s="2" t="s">
        <v>1872</v>
      </c>
      <c r="K151" s="2" t="s">
        <v>304</v>
      </c>
      <c r="L151" s="2" t="s">
        <v>390</v>
      </c>
      <c r="M151" s="8" t="str">
        <f>HYPERLINK("http://slimages.macys.com/is/image/MCY/11636027 ")</f>
        <v xml:space="preserve">http://slimages.macys.com/is/image/MCY/11636027 </v>
      </c>
    </row>
    <row r="152" spans="1:13" ht="60" x14ac:dyDescent="0.25">
      <c r="A152" s="7" t="s">
        <v>5479</v>
      </c>
      <c r="B152" s="2" t="s">
        <v>1869</v>
      </c>
      <c r="C152" s="4">
        <v>2</v>
      </c>
      <c r="D152" s="5">
        <v>5.85</v>
      </c>
      <c r="E152" s="5">
        <v>15.99</v>
      </c>
      <c r="F152" s="4" t="s">
        <v>4128</v>
      </c>
      <c r="G152" s="2" t="s">
        <v>657</v>
      </c>
      <c r="H152" s="7" t="s">
        <v>774</v>
      </c>
      <c r="I152" s="2" t="s">
        <v>342</v>
      </c>
      <c r="J152" s="2" t="s">
        <v>1872</v>
      </c>
      <c r="K152" s="2" t="s">
        <v>304</v>
      </c>
      <c r="L152" s="2" t="s">
        <v>390</v>
      </c>
      <c r="M152" s="8" t="str">
        <f>HYPERLINK("http://slimages.macys.com/is/image/MCY/11636027 ")</f>
        <v xml:space="preserve">http://slimages.macys.com/is/image/MCY/11636027 </v>
      </c>
    </row>
    <row r="153" spans="1:13" ht="60" x14ac:dyDescent="0.25">
      <c r="A153" s="7" t="s">
        <v>6314</v>
      </c>
      <c r="B153" s="2" t="s">
        <v>1869</v>
      </c>
      <c r="C153" s="4">
        <v>1</v>
      </c>
      <c r="D153" s="5">
        <v>5.85</v>
      </c>
      <c r="E153" s="5">
        <v>15.99</v>
      </c>
      <c r="F153" s="4" t="s">
        <v>4128</v>
      </c>
      <c r="G153" s="2" t="s">
        <v>657</v>
      </c>
      <c r="H153" s="7" t="s">
        <v>982</v>
      </c>
      <c r="I153" s="2" t="s">
        <v>342</v>
      </c>
      <c r="J153" s="2" t="s">
        <v>1872</v>
      </c>
      <c r="K153" s="2" t="s">
        <v>304</v>
      </c>
      <c r="L153" s="2" t="s">
        <v>390</v>
      </c>
      <c r="M153" s="8" t="str">
        <f>HYPERLINK("http://slimages.macys.com/is/image/MCY/11636027 ")</f>
        <v xml:space="preserve">http://slimages.macys.com/is/image/MCY/11636027 </v>
      </c>
    </row>
    <row r="154" spans="1:13" ht="60" x14ac:dyDescent="0.25">
      <c r="A154" s="7" t="s">
        <v>6315</v>
      </c>
      <c r="B154" s="2" t="s">
        <v>1869</v>
      </c>
      <c r="C154" s="4">
        <v>1</v>
      </c>
      <c r="D154" s="5">
        <v>5.85</v>
      </c>
      <c r="E154" s="5">
        <v>15.99</v>
      </c>
      <c r="F154" s="4" t="s">
        <v>1870</v>
      </c>
      <c r="G154" s="2" t="s">
        <v>262</v>
      </c>
      <c r="H154" s="7" t="s">
        <v>4129</v>
      </c>
      <c r="I154" s="2" t="s">
        <v>342</v>
      </c>
      <c r="J154" s="2" t="s">
        <v>1872</v>
      </c>
      <c r="K154" s="2" t="s">
        <v>304</v>
      </c>
      <c r="L154" s="2" t="s">
        <v>390</v>
      </c>
      <c r="M154" s="8" t="str">
        <f>HYPERLINK("http://slimages.macys.com/is/image/MCY/11636026 ")</f>
        <v xml:space="preserve">http://slimages.macys.com/is/image/MCY/11636026 </v>
      </c>
    </row>
    <row r="155" spans="1:13" ht="60" x14ac:dyDescent="0.25">
      <c r="A155" s="7" t="s">
        <v>6316</v>
      </c>
      <c r="B155" s="2" t="s">
        <v>1877</v>
      </c>
      <c r="C155" s="4">
        <v>1</v>
      </c>
      <c r="D155" s="5">
        <v>5.8</v>
      </c>
      <c r="E155" s="5">
        <v>13.19</v>
      </c>
      <c r="F155" s="4">
        <v>18634010</v>
      </c>
      <c r="G155" s="2" t="s">
        <v>28</v>
      </c>
      <c r="H155" s="7" t="s">
        <v>442</v>
      </c>
      <c r="I155" s="2" t="s">
        <v>153</v>
      </c>
      <c r="J155" s="2" t="s">
        <v>154</v>
      </c>
      <c r="K155" s="2" t="s">
        <v>304</v>
      </c>
      <c r="L155" s="2" t="s">
        <v>38</v>
      </c>
      <c r="M155" s="8" t="str">
        <f>HYPERLINK("http://slimages.macys.com/is/image/MCY/13941917 ")</f>
        <v xml:space="preserve">http://slimages.macys.com/is/image/MCY/13941917 </v>
      </c>
    </row>
    <row r="156" spans="1:13" ht="60" x14ac:dyDescent="0.25">
      <c r="A156" s="7" t="s">
        <v>6317</v>
      </c>
      <c r="B156" s="2" t="s">
        <v>1877</v>
      </c>
      <c r="C156" s="4">
        <v>1</v>
      </c>
      <c r="D156" s="5">
        <v>5.8</v>
      </c>
      <c r="E156" s="5">
        <v>13.19</v>
      </c>
      <c r="F156" s="4">
        <v>18633610</v>
      </c>
      <c r="G156" s="2" t="s">
        <v>48</v>
      </c>
      <c r="H156" s="7" t="s">
        <v>91</v>
      </c>
      <c r="I156" s="2" t="s">
        <v>153</v>
      </c>
      <c r="J156" s="2" t="s">
        <v>154</v>
      </c>
      <c r="K156" s="2" t="s">
        <v>304</v>
      </c>
      <c r="L156" s="2" t="s">
        <v>38</v>
      </c>
      <c r="M156" s="8" t="str">
        <f>HYPERLINK("http://slimages.macys.com/is/image/MCY/13941920 ")</f>
        <v xml:space="preserve">http://slimages.macys.com/is/image/MCY/13941920 </v>
      </c>
    </row>
    <row r="157" spans="1:13" ht="60" x14ac:dyDescent="0.25">
      <c r="A157" s="7" t="s">
        <v>6318</v>
      </c>
      <c r="B157" s="2" t="s">
        <v>1877</v>
      </c>
      <c r="C157" s="4">
        <v>1</v>
      </c>
      <c r="D157" s="5">
        <v>5.8</v>
      </c>
      <c r="E157" s="5">
        <v>13.19</v>
      </c>
      <c r="F157" s="4">
        <v>18634410</v>
      </c>
      <c r="G157" s="2"/>
      <c r="H157" s="7" t="s">
        <v>438</v>
      </c>
      <c r="I157" s="2" t="s">
        <v>153</v>
      </c>
      <c r="J157" s="2" t="s">
        <v>154</v>
      </c>
      <c r="K157" s="2" t="s">
        <v>304</v>
      </c>
      <c r="L157" s="2" t="s">
        <v>38</v>
      </c>
      <c r="M157" s="8" t="str">
        <f>HYPERLINK("http://slimages.macys.com/is/image/MCY/13941924 ")</f>
        <v xml:space="preserve">http://slimages.macys.com/is/image/MCY/13941924 </v>
      </c>
    </row>
    <row r="158" spans="1:13" ht="60" x14ac:dyDescent="0.25">
      <c r="A158" s="7" t="s">
        <v>6319</v>
      </c>
      <c r="B158" s="2" t="s">
        <v>6320</v>
      </c>
      <c r="C158" s="4">
        <v>1</v>
      </c>
      <c r="D158" s="5">
        <v>5.8</v>
      </c>
      <c r="E158" s="5">
        <v>10.99</v>
      </c>
      <c r="F158" s="4">
        <v>15966410</v>
      </c>
      <c r="G158" s="2" t="s">
        <v>353</v>
      </c>
      <c r="H158" s="7" t="s">
        <v>442</v>
      </c>
      <c r="I158" s="2" t="s">
        <v>153</v>
      </c>
      <c r="J158" s="2" t="s">
        <v>154</v>
      </c>
      <c r="K158" s="2" t="s">
        <v>304</v>
      </c>
      <c r="L158" s="2" t="s">
        <v>206</v>
      </c>
      <c r="M158" s="8" t="str">
        <f>HYPERLINK("http://slimages.macys.com/is/image/MCY/11387687 ")</f>
        <v xml:space="preserve">http://slimages.macys.com/is/image/MCY/11387687 </v>
      </c>
    </row>
    <row r="159" spans="1:13" ht="60" x14ac:dyDescent="0.25">
      <c r="A159" s="7" t="s">
        <v>3388</v>
      </c>
      <c r="B159" s="2" t="s">
        <v>3389</v>
      </c>
      <c r="C159" s="4">
        <v>1</v>
      </c>
      <c r="D159" s="5">
        <v>5.8</v>
      </c>
      <c r="E159" s="5">
        <v>13.19</v>
      </c>
      <c r="F159" s="4">
        <v>17892410</v>
      </c>
      <c r="G159" s="2" t="s">
        <v>48</v>
      </c>
      <c r="H159" s="7" t="s">
        <v>42</v>
      </c>
      <c r="I159" s="2" t="s">
        <v>153</v>
      </c>
      <c r="J159" s="2" t="s">
        <v>154</v>
      </c>
      <c r="K159" s="2" t="s">
        <v>304</v>
      </c>
      <c r="L159" s="2" t="s">
        <v>38</v>
      </c>
      <c r="M159" s="8" t="str">
        <f>HYPERLINK("http://slimages.macys.com/is/image/MCY/13341369 ")</f>
        <v xml:space="preserve">http://slimages.macys.com/is/image/MCY/13341369 </v>
      </c>
    </row>
    <row r="160" spans="1:13" ht="60" x14ac:dyDescent="0.25">
      <c r="A160" s="7" t="s">
        <v>6321</v>
      </c>
      <c r="B160" s="2" t="s">
        <v>6322</v>
      </c>
      <c r="C160" s="4">
        <v>1</v>
      </c>
      <c r="D160" s="5">
        <v>5.76</v>
      </c>
      <c r="E160" s="5">
        <v>24</v>
      </c>
      <c r="F160" s="4">
        <v>329524</v>
      </c>
      <c r="G160" s="2" t="s">
        <v>1463</v>
      </c>
      <c r="H160" s="7" t="s">
        <v>108</v>
      </c>
      <c r="I160" s="2" t="s">
        <v>50</v>
      </c>
      <c r="J160" s="2" t="s">
        <v>51</v>
      </c>
      <c r="K160" s="2" t="s">
        <v>304</v>
      </c>
      <c r="L160" s="2" t="s">
        <v>328</v>
      </c>
      <c r="M160" s="8" t="str">
        <f>HYPERLINK("http://slimages.macys.com/is/image/MCY/10277061 ")</f>
        <v xml:space="preserve">http://slimages.macys.com/is/image/MCY/10277061 </v>
      </c>
    </row>
    <row r="161" spans="1:13" ht="60" x14ac:dyDescent="0.25">
      <c r="A161" s="7" t="s">
        <v>6323</v>
      </c>
      <c r="B161" s="2" t="s">
        <v>5487</v>
      </c>
      <c r="C161" s="4">
        <v>1</v>
      </c>
      <c r="D161" s="5">
        <v>5.75</v>
      </c>
      <c r="E161" s="5">
        <v>16.989999999999998</v>
      </c>
      <c r="F161" s="4" t="s">
        <v>5488</v>
      </c>
      <c r="G161" s="2" t="s">
        <v>582</v>
      </c>
      <c r="H161" s="7" t="s">
        <v>159</v>
      </c>
      <c r="I161" s="2" t="s">
        <v>389</v>
      </c>
      <c r="J161" s="2" t="s">
        <v>354</v>
      </c>
      <c r="K161" s="2" t="s">
        <v>304</v>
      </c>
      <c r="L161" s="2" t="s">
        <v>596</v>
      </c>
      <c r="M161" s="8" t="str">
        <f>HYPERLINK("http://slimages.macys.com/is/image/MCY/12645395 ")</f>
        <v xml:space="preserve">http://slimages.macys.com/is/image/MCY/12645395 </v>
      </c>
    </row>
    <row r="162" spans="1:13" ht="60" x14ac:dyDescent="0.25">
      <c r="A162" s="7" t="s">
        <v>6324</v>
      </c>
      <c r="B162" s="2" t="s">
        <v>1893</v>
      </c>
      <c r="C162" s="4">
        <v>1</v>
      </c>
      <c r="D162" s="5">
        <v>5.73</v>
      </c>
      <c r="E162" s="5">
        <v>14.99</v>
      </c>
      <c r="F162" s="4" t="s">
        <v>1894</v>
      </c>
      <c r="G162" s="2" t="s">
        <v>297</v>
      </c>
      <c r="H162" s="7" t="s">
        <v>159</v>
      </c>
      <c r="I162" s="2" t="s">
        <v>515</v>
      </c>
      <c r="J162" s="2" t="s">
        <v>827</v>
      </c>
      <c r="K162" s="2" t="s">
        <v>304</v>
      </c>
      <c r="L162" s="2" t="s">
        <v>125</v>
      </c>
      <c r="M162" s="8" t="str">
        <f>HYPERLINK("http://slimages.macys.com/is/image/MCY/13119352 ")</f>
        <v xml:space="preserve">http://slimages.macys.com/is/image/MCY/13119352 </v>
      </c>
    </row>
    <row r="163" spans="1:13" ht="60" x14ac:dyDescent="0.25">
      <c r="A163" s="7" t="s">
        <v>6325</v>
      </c>
      <c r="B163" s="2" t="s">
        <v>6326</v>
      </c>
      <c r="C163" s="4">
        <v>1</v>
      </c>
      <c r="D163" s="5">
        <v>5.65</v>
      </c>
      <c r="E163" s="5">
        <v>19.989999999999998</v>
      </c>
      <c r="F163" s="4" t="s">
        <v>6327</v>
      </c>
      <c r="G163" s="2" t="s">
        <v>41</v>
      </c>
      <c r="H163" s="7" t="s">
        <v>91</v>
      </c>
      <c r="I163" s="2" t="s">
        <v>483</v>
      </c>
      <c r="J163" s="2" t="s">
        <v>536</v>
      </c>
      <c r="K163" s="2" t="s">
        <v>304</v>
      </c>
      <c r="L163" s="2" t="s">
        <v>119</v>
      </c>
      <c r="M163" s="8" t="str">
        <f>HYPERLINK("http://slimages.macys.com/is/image/MCY/11792336 ")</f>
        <v xml:space="preserve">http://slimages.macys.com/is/image/MCY/11792336 </v>
      </c>
    </row>
    <row r="164" spans="1:13" ht="60" x14ac:dyDescent="0.25">
      <c r="A164" s="7" t="s">
        <v>6328</v>
      </c>
      <c r="B164" s="2" t="s">
        <v>6329</v>
      </c>
      <c r="C164" s="4">
        <v>1</v>
      </c>
      <c r="D164" s="5">
        <v>5.58</v>
      </c>
      <c r="E164" s="5">
        <v>12.99</v>
      </c>
      <c r="F164" s="4" t="s">
        <v>6330</v>
      </c>
      <c r="G164" s="2" t="s">
        <v>62</v>
      </c>
      <c r="H164" s="7" t="s">
        <v>284</v>
      </c>
      <c r="I164" s="2" t="s">
        <v>515</v>
      </c>
      <c r="J164" s="2" t="s">
        <v>1971</v>
      </c>
      <c r="K164" s="2" t="s">
        <v>304</v>
      </c>
      <c r="L164" s="2" t="s">
        <v>119</v>
      </c>
      <c r="M164" s="8" t="str">
        <f>HYPERLINK("http://slimages.macys.com/is/image/MCY/11521879 ")</f>
        <v xml:space="preserve">http://slimages.macys.com/is/image/MCY/11521879 </v>
      </c>
    </row>
    <row r="165" spans="1:13" ht="84" x14ac:dyDescent="0.25">
      <c r="A165" s="7" t="s">
        <v>6331</v>
      </c>
      <c r="B165" s="2" t="s">
        <v>1909</v>
      </c>
      <c r="C165" s="4">
        <v>1</v>
      </c>
      <c r="D165" s="5">
        <v>5.57</v>
      </c>
      <c r="E165" s="5">
        <v>16.989999999999998</v>
      </c>
      <c r="F165" s="4" t="s">
        <v>1910</v>
      </c>
      <c r="G165" s="2" t="s">
        <v>171</v>
      </c>
      <c r="H165" s="7" t="s">
        <v>196</v>
      </c>
      <c r="I165" s="2" t="s">
        <v>515</v>
      </c>
      <c r="J165" s="2" t="s">
        <v>827</v>
      </c>
      <c r="K165" s="2" t="s">
        <v>304</v>
      </c>
      <c r="L165" s="2" t="s">
        <v>1911</v>
      </c>
      <c r="M165" s="8" t="str">
        <f>HYPERLINK("http://slimages.macys.com/is/image/MCY/11606037 ")</f>
        <v xml:space="preserve">http://slimages.macys.com/is/image/MCY/11606037 </v>
      </c>
    </row>
    <row r="166" spans="1:13" ht="60" x14ac:dyDescent="0.25">
      <c r="A166" s="7" t="s">
        <v>6332</v>
      </c>
      <c r="B166" s="2" t="s">
        <v>521</v>
      </c>
      <c r="C166" s="4">
        <v>5</v>
      </c>
      <c r="D166" s="5">
        <v>5.5</v>
      </c>
      <c r="E166" s="5">
        <v>14</v>
      </c>
      <c r="F166" s="4" t="s">
        <v>522</v>
      </c>
      <c r="G166" s="2" t="s">
        <v>62</v>
      </c>
      <c r="H166" s="7"/>
      <c r="I166" s="2" t="s">
        <v>523</v>
      </c>
      <c r="J166" s="2" t="s">
        <v>524</v>
      </c>
      <c r="K166" s="2" t="s">
        <v>304</v>
      </c>
      <c r="L166" s="2" t="s">
        <v>224</v>
      </c>
      <c r="M166" s="8" t="str">
        <f>HYPERLINK("http://slimages.macys.com/is/image/MCY/11797079 ")</f>
        <v xml:space="preserve">http://slimages.macys.com/is/image/MCY/11797079 </v>
      </c>
    </row>
    <row r="167" spans="1:13" ht="60" x14ac:dyDescent="0.25">
      <c r="A167" s="7" t="s">
        <v>6333</v>
      </c>
      <c r="B167" s="2" t="s">
        <v>521</v>
      </c>
      <c r="C167" s="4">
        <v>1</v>
      </c>
      <c r="D167" s="5">
        <v>5.5</v>
      </c>
      <c r="E167" s="5">
        <v>14</v>
      </c>
      <c r="F167" s="4" t="s">
        <v>522</v>
      </c>
      <c r="G167" s="2" t="s">
        <v>62</v>
      </c>
      <c r="H167" s="7"/>
      <c r="I167" s="2" t="s">
        <v>523</v>
      </c>
      <c r="J167" s="2" t="s">
        <v>524</v>
      </c>
      <c r="K167" s="2" t="s">
        <v>304</v>
      </c>
      <c r="L167" s="2" t="s">
        <v>224</v>
      </c>
      <c r="M167" s="8" t="str">
        <f>HYPERLINK("http://slimages.macys.com/is/image/MCY/11797079 ")</f>
        <v xml:space="preserve">http://slimages.macys.com/is/image/MCY/11797079 </v>
      </c>
    </row>
    <row r="168" spans="1:13" ht="60" x14ac:dyDescent="0.25">
      <c r="A168" s="7" t="s">
        <v>520</v>
      </c>
      <c r="B168" s="2" t="s">
        <v>521</v>
      </c>
      <c r="C168" s="4">
        <v>3</v>
      </c>
      <c r="D168" s="5">
        <v>5.5</v>
      </c>
      <c r="E168" s="5">
        <v>14</v>
      </c>
      <c r="F168" s="4" t="s">
        <v>522</v>
      </c>
      <c r="G168" s="2" t="s">
        <v>62</v>
      </c>
      <c r="H168" s="7"/>
      <c r="I168" s="2" t="s">
        <v>523</v>
      </c>
      <c r="J168" s="2" t="s">
        <v>524</v>
      </c>
      <c r="K168" s="2" t="s">
        <v>304</v>
      </c>
      <c r="L168" s="2" t="s">
        <v>224</v>
      </c>
      <c r="M168" s="8" t="str">
        <f>HYPERLINK("http://slimages.macys.com/is/image/MCY/11797079 ")</f>
        <v xml:space="preserve">http://slimages.macys.com/is/image/MCY/11797079 </v>
      </c>
    </row>
    <row r="169" spans="1:13" ht="60" x14ac:dyDescent="0.25">
      <c r="A169" s="7" t="s">
        <v>6334</v>
      </c>
      <c r="B169" s="2" t="s">
        <v>6335</v>
      </c>
      <c r="C169" s="4">
        <v>1</v>
      </c>
      <c r="D169" s="5">
        <v>5.26</v>
      </c>
      <c r="E169" s="5">
        <v>16.8</v>
      </c>
      <c r="F169" s="4" t="s">
        <v>6336</v>
      </c>
      <c r="G169" s="2" t="s">
        <v>297</v>
      </c>
      <c r="H169" s="7" t="s">
        <v>442</v>
      </c>
      <c r="I169" s="2" t="s">
        <v>483</v>
      </c>
      <c r="J169" s="2" t="s">
        <v>536</v>
      </c>
      <c r="K169" s="2" t="s">
        <v>304</v>
      </c>
      <c r="L169" s="2" t="s">
        <v>6337</v>
      </c>
      <c r="M169" s="8" t="str">
        <f>HYPERLINK("http://slimages.macys.com/is/image/MCY/12633341 ")</f>
        <v xml:space="preserve">http://slimages.macys.com/is/image/MCY/12633341 </v>
      </c>
    </row>
    <row r="170" spans="1:13" ht="96" x14ac:dyDescent="0.25">
      <c r="A170" s="7" t="s">
        <v>6338</v>
      </c>
      <c r="B170" s="2" t="s">
        <v>1950</v>
      </c>
      <c r="C170" s="4">
        <v>1</v>
      </c>
      <c r="D170" s="5">
        <v>5.25</v>
      </c>
      <c r="E170" s="5">
        <v>14.99</v>
      </c>
      <c r="F170" s="4" t="s">
        <v>1951</v>
      </c>
      <c r="G170" s="2" t="s">
        <v>129</v>
      </c>
      <c r="H170" s="7" t="s">
        <v>144</v>
      </c>
      <c r="I170" s="2" t="s">
        <v>92</v>
      </c>
      <c r="J170" s="2" t="s">
        <v>1076</v>
      </c>
      <c r="K170" s="2" t="s">
        <v>304</v>
      </c>
      <c r="L170" s="2" t="s">
        <v>1948</v>
      </c>
      <c r="M170" s="8" t="str">
        <f>HYPERLINK("http://slimages.macys.com/is/image/MCY/15654553 ")</f>
        <v xml:space="preserve">http://slimages.macys.com/is/image/MCY/15654553 </v>
      </c>
    </row>
    <row r="171" spans="1:13" ht="60" x14ac:dyDescent="0.25">
      <c r="A171" s="7" t="s">
        <v>6339</v>
      </c>
      <c r="B171" s="2" t="s">
        <v>6340</v>
      </c>
      <c r="C171" s="4">
        <v>1</v>
      </c>
      <c r="D171" s="5">
        <v>5.14</v>
      </c>
      <c r="E171" s="5">
        <v>12.99</v>
      </c>
      <c r="F171" s="4" t="s">
        <v>6341</v>
      </c>
      <c r="G171" s="2" t="s">
        <v>262</v>
      </c>
      <c r="H171" s="7" t="s">
        <v>590</v>
      </c>
      <c r="I171" s="2" t="s">
        <v>483</v>
      </c>
      <c r="J171" s="2" t="s">
        <v>536</v>
      </c>
      <c r="K171" s="2" t="s">
        <v>304</v>
      </c>
      <c r="L171" s="2" t="s">
        <v>119</v>
      </c>
      <c r="M171" s="8" t="str">
        <f>HYPERLINK("http://slimages.macys.com/is/image/MCY/11546972 ")</f>
        <v xml:space="preserve">http://slimages.macys.com/is/image/MCY/11546972 </v>
      </c>
    </row>
    <row r="172" spans="1:13" ht="60" x14ac:dyDescent="0.25">
      <c r="A172" s="7" t="s">
        <v>1088</v>
      </c>
      <c r="B172" s="2" t="s">
        <v>1089</v>
      </c>
      <c r="C172" s="4">
        <v>1</v>
      </c>
      <c r="D172" s="5">
        <v>5.13</v>
      </c>
      <c r="E172" s="5">
        <v>14.98</v>
      </c>
      <c r="F172" s="4" t="s">
        <v>1090</v>
      </c>
      <c r="G172" s="2" t="s">
        <v>1091</v>
      </c>
      <c r="H172" s="7" t="s">
        <v>531</v>
      </c>
      <c r="I172" s="2" t="s">
        <v>483</v>
      </c>
      <c r="J172" s="2" t="s">
        <v>536</v>
      </c>
      <c r="K172" s="2" t="s">
        <v>304</v>
      </c>
      <c r="L172" s="2" t="s">
        <v>125</v>
      </c>
      <c r="M172" s="8" t="str">
        <f>HYPERLINK("http://slimages.macys.com/is/image/MCY/12646584 ")</f>
        <v xml:space="preserve">http://slimages.macys.com/is/image/MCY/12646584 </v>
      </c>
    </row>
    <row r="173" spans="1:13" ht="60" x14ac:dyDescent="0.25">
      <c r="A173" s="7" t="s">
        <v>6342</v>
      </c>
      <c r="B173" s="2" t="s">
        <v>6343</v>
      </c>
      <c r="C173" s="4">
        <v>1</v>
      </c>
      <c r="D173" s="5">
        <v>5</v>
      </c>
      <c r="E173" s="5">
        <v>11.99</v>
      </c>
      <c r="F173" s="4" t="s">
        <v>6344</v>
      </c>
      <c r="G173" s="2" t="s">
        <v>310</v>
      </c>
      <c r="H173" s="7" t="s">
        <v>590</v>
      </c>
      <c r="I173" s="2" t="s">
        <v>92</v>
      </c>
      <c r="J173" s="2" t="s">
        <v>430</v>
      </c>
      <c r="K173" s="2" t="s">
        <v>304</v>
      </c>
      <c r="L173" s="2" t="s">
        <v>3935</v>
      </c>
      <c r="M173" s="8" t="str">
        <f>HYPERLINK("http://slimages.macys.com/is/image/MCY/13039862 ")</f>
        <v xml:space="preserve">http://slimages.macys.com/is/image/MCY/13039862 </v>
      </c>
    </row>
    <row r="174" spans="1:13" ht="60" x14ac:dyDescent="0.25">
      <c r="A174" s="7" t="s">
        <v>6345</v>
      </c>
      <c r="B174" s="2" t="s">
        <v>1969</v>
      </c>
      <c r="C174" s="4">
        <v>1</v>
      </c>
      <c r="D174" s="5">
        <v>4.9800000000000004</v>
      </c>
      <c r="E174" s="5">
        <v>12.99</v>
      </c>
      <c r="F174" s="4" t="s">
        <v>1970</v>
      </c>
      <c r="G174" s="2" t="s">
        <v>48</v>
      </c>
      <c r="H174" s="7" t="s">
        <v>228</v>
      </c>
      <c r="I174" s="2" t="s">
        <v>515</v>
      </c>
      <c r="J174" s="2" t="s">
        <v>1971</v>
      </c>
      <c r="K174" s="2" t="s">
        <v>304</v>
      </c>
      <c r="L174" s="2" t="s">
        <v>119</v>
      </c>
      <c r="M174" s="8" t="str">
        <f>HYPERLINK("http://slimages.macys.com/is/image/MCY/13586213 ")</f>
        <v xml:space="preserve">http://slimages.macys.com/is/image/MCY/13586213 </v>
      </c>
    </row>
    <row r="175" spans="1:13" ht="60" x14ac:dyDescent="0.25">
      <c r="A175" s="7" t="s">
        <v>6346</v>
      </c>
      <c r="B175" s="2" t="s">
        <v>6347</v>
      </c>
      <c r="C175" s="4">
        <v>1</v>
      </c>
      <c r="D175" s="5">
        <v>4.8</v>
      </c>
      <c r="E175" s="5">
        <v>9.99</v>
      </c>
      <c r="F175" s="4">
        <v>15953811</v>
      </c>
      <c r="G175" s="2"/>
      <c r="H175" s="7" t="s">
        <v>482</v>
      </c>
      <c r="I175" s="2" t="s">
        <v>153</v>
      </c>
      <c r="J175" s="2" t="s">
        <v>154</v>
      </c>
      <c r="K175" s="2" t="s">
        <v>304</v>
      </c>
      <c r="L175" s="2" t="s">
        <v>206</v>
      </c>
      <c r="M175" s="8" t="str">
        <f>HYPERLINK("http://slimages.macys.com/is/image/MCY/10705158 ")</f>
        <v xml:space="preserve">http://slimages.macys.com/is/image/MCY/10705158 </v>
      </c>
    </row>
    <row r="176" spans="1:13" ht="72" x14ac:dyDescent="0.25">
      <c r="A176" s="7" t="s">
        <v>6348</v>
      </c>
      <c r="B176" s="2" t="s">
        <v>6349</v>
      </c>
      <c r="C176" s="4">
        <v>1</v>
      </c>
      <c r="D176" s="5">
        <v>4.8</v>
      </c>
      <c r="E176" s="5">
        <v>9.99</v>
      </c>
      <c r="F176" s="4" t="s">
        <v>6350</v>
      </c>
      <c r="G176" s="2" t="s">
        <v>2107</v>
      </c>
      <c r="H176" s="7" t="s">
        <v>438</v>
      </c>
      <c r="I176" s="2" t="s">
        <v>153</v>
      </c>
      <c r="J176" s="2" t="s">
        <v>154</v>
      </c>
      <c r="K176" s="2" t="s">
        <v>304</v>
      </c>
      <c r="L176" s="2" t="s">
        <v>6351</v>
      </c>
      <c r="M176" s="8" t="str">
        <f>HYPERLINK("http://slimages.macys.com/is/image/MCY/9857364 ")</f>
        <v xml:space="preserve">http://slimages.macys.com/is/image/MCY/9857364 </v>
      </c>
    </row>
    <row r="177" spans="1:13" ht="60" x14ac:dyDescent="0.25">
      <c r="A177" s="7" t="s">
        <v>6352</v>
      </c>
      <c r="B177" s="2" t="s">
        <v>6353</v>
      </c>
      <c r="C177" s="4">
        <v>1</v>
      </c>
      <c r="D177" s="5">
        <v>4.8</v>
      </c>
      <c r="E177" s="5">
        <v>9.99</v>
      </c>
      <c r="F177" s="4" t="s">
        <v>6354</v>
      </c>
      <c r="G177" s="2" t="s">
        <v>28</v>
      </c>
      <c r="H177" s="7" t="s">
        <v>675</v>
      </c>
      <c r="I177" s="2" t="s">
        <v>153</v>
      </c>
      <c r="J177" s="2" t="s">
        <v>154</v>
      </c>
      <c r="K177" s="2" t="s">
        <v>304</v>
      </c>
      <c r="L177" s="2" t="s">
        <v>263</v>
      </c>
      <c r="M177" s="8" t="str">
        <f>HYPERLINK("http://slimages.macys.com/is/image/MCY/9857322 ")</f>
        <v xml:space="preserve">http://slimages.macys.com/is/image/MCY/9857322 </v>
      </c>
    </row>
    <row r="178" spans="1:13" ht="108" x14ac:dyDescent="0.25">
      <c r="A178" s="7" t="s">
        <v>1999</v>
      </c>
      <c r="B178" s="2" t="s">
        <v>1996</v>
      </c>
      <c r="C178" s="4">
        <v>2</v>
      </c>
      <c r="D178" s="5">
        <v>4.67</v>
      </c>
      <c r="E178" s="5">
        <v>12</v>
      </c>
      <c r="F178" s="4" t="s">
        <v>1997</v>
      </c>
      <c r="G178" s="2" t="s">
        <v>437</v>
      </c>
      <c r="H178" s="7" t="s">
        <v>482</v>
      </c>
      <c r="I178" s="2" t="s">
        <v>483</v>
      </c>
      <c r="J178" s="2" t="s">
        <v>536</v>
      </c>
      <c r="K178" s="2" t="s">
        <v>304</v>
      </c>
      <c r="L178" s="2" t="s">
        <v>1998</v>
      </c>
      <c r="M178" s="8" t="str">
        <f>HYPERLINK("http://slimages.macys.com/is/image/MCY/12466268 ")</f>
        <v xml:space="preserve">http://slimages.macys.com/is/image/MCY/12466268 </v>
      </c>
    </row>
    <row r="179" spans="1:13" ht="108" x14ac:dyDescent="0.25">
      <c r="A179" s="7" t="s">
        <v>2000</v>
      </c>
      <c r="B179" s="2" t="s">
        <v>1996</v>
      </c>
      <c r="C179" s="4">
        <v>3</v>
      </c>
      <c r="D179" s="5">
        <v>4.67</v>
      </c>
      <c r="E179" s="5">
        <v>12</v>
      </c>
      <c r="F179" s="4" t="s">
        <v>1997</v>
      </c>
      <c r="G179" s="2" t="s">
        <v>437</v>
      </c>
      <c r="H179" s="7"/>
      <c r="I179" s="2" t="s">
        <v>483</v>
      </c>
      <c r="J179" s="2" t="s">
        <v>536</v>
      </c>
      <c r="K179" s="2" t="s">
        <v>304</v>
      </c>
      <c r="L179" s="2" t="s">
        <v>1998</v>
      </c>
      <c r="M179" s="8" t="str">
        <f>HYPERLINK("http://slimages.macys.com/is/image/MCY/12466268 ")</f>
        <v xml:space="preserve">http://slimages.macys.com/is/image/MCY/12466268 </v>
      </c>
    </row>
    <row r="180" spans="1:13" ht="60" x14ac:dyDescent="0.25">
      <c r="A180" s="7" t="s">
        <v>5985</v>
      </c>
      <c r="B180" s="2" t="s">
        <v>2002</v>
      </c>
      <c r="C180" s="4">
        <v>1</v>
      </c>
      <c r="D180" s="5">
        <v>4.6500000000000004</v>
      </c>
      <c r="E180" s="5">
        <v>14.99</v>
      </c>
      <c r="F180" s="4" t="s">
        <v>2003</v>
      </c>
      <c r="G180" s="2" t="s">
        <v>657</v>
      </c>
      <c r="H180" s="7" t="s">
        <v>618</v>
      </c>
      <c r="I180" s="2" t="s">
        <v>292</v>
      </c>
      <c r="J180" s="2" t="s">
        <v>354</v>
      </c>
      <c r="K180" s="2" t="s">
        <v>304</v>
      </c>
      <c r="L180" s="2" t="s">
        <v>125</v>
      </c>
      <c r="M180" s="8" t="str">
        <f>HYPERLINK("http://slimages.macys.com/is/image/MCY/13893167 ")</f>
        <v xml:space="preserve">http://slimages.macys.com/is/image/MCY/13893167 </v>
      </c>
    </row>
    <row r="181" spans="1:13" ht="60" x14ac:dyDescent="0.25">
      <c r="A181" s="7" t="s">
        <v>5530</v>
      </c>
      <c r="B181" s="2" t="s">
        <v>2002</v>
      </c>
      <c r="C181" s="4">
        <v>1</v>
      </c>
      <c r="D181" s="5">
        <v>4.6500000000000004</v>
      </c>
      <c r="E181" s="5">
        <v>14.99</v>
      </c>
      <c r="F181" s="4" t="s">
        <v>2003</v>
      </c>
      <c r="G181" s="2" t="s">
        <v>657</v>
      </c>
      <c r="H181" s="7" t="s">
        <v>166</v>
      </c>
      <c r="I181" s="2" t="s">
        <v>292</v>
      </c>
      <c r="J181" s="2" t="s">
        <v>354</v>
      </c>
      <c r="K181" s="2" t="s">
        <v>304</v>
      </c>
      <c r="L181" s="2" t="s">
        <v>125</v>
      </c>
      <c r="M181" s="8" t="str">
        <f>HYPERLINK("http://slimages.macys.com/is/image/MCY/13893167 ")</f>
        <v xml:space="preserve">http://slimages.macys.com/is/image/MCY/13893167 </v>
      </c>
    </row>
    <row r="182" spans="1:13" ht="60" x14ac:dyDescent="0.25">
      <c r="A182" s="7" t="s">
        <v>6355</v>
      </c>
      <c r="B182" s="2" t="s">
        <v>6356</v>
      </c>
      <c r="C182" s="4">
        <v>1</v>
      </c>
      <c r="D182" s="5">
        <v>4.54</v>
      </c>
      <c r="E182" s="5">
        <v>10.99</v>
      </c>
      <c r="F182" s="4" t="s">
        <v>6357</v>
      </c>
      <c r="G182" s="2" t="s">
        <v>62</v>
      </c>
      <c r="H182" s="7" t="s">
        <v>1151</v>
      </c>
      <c r="I182" s="2" t="s">
        <v>218</v>
      </c>
      <c r="J182" s="2" t="s">
        <v>2008</v>
      </c>
      <c r="K182" s="2" t="s">
        <v>304</v>
      </c>
      <c r="L182" s="2" t="s">
        <v>358</v>
      </c>
      <c r="M182" s="8" t="str">
        <f>HYPERLINK("http://slimages.macys.com/is/image/MCY/12684315 ")</f>
        <v xml:space="preserve">http://slimages.macys.com/is/image/MCY/12684315 </v>
      </c>
    </row>
    <row r="183" spans="1:13" ht="60" x14ac:dyDescent="0.25">
      <c r="A183" s="7" t="s">
        <v>6358</v>
      </c>
      <c r="B183" s="2" t="s">
        <v>6359</v>
      </c>
      <c r="C183" s="4">
        <v>1</v>
      </c>
      <c r="D183" s="5">
        <v>4.53</v>
      </c>
      <c r="E183" s="5">
        <v>12</v>
      </c>
      <c r="F183" s="4" t="s">
        <v>6360</v>
      </c>
      <c r="G183" s="2" t="s">
        <v>297</v>
      </c>
      <c r="H183" s="7" t="s">
        <v>482</v>
      </c>
      <c r="I183" s="2" t="s">
        <v>483</v>
      </c>
      <c r="J183" s="2" t="s">
        <v>536</v>
      </c>
      <c r="K183" s="2" t="s">
        <v>304</v>
      </c>
      <c r="L183" s="2" t="s">
        <v>358</v>
      </c>
      <c r="M183" s="8" t="str">
        <f>HYPERLINK("http://slimages.macys.com/is/image/MCY/11533942 ")</f>
        <v xml:space="preserve">http://slimages.macys.com/is/image/MCY/11533942 </v>
      </c>
    </row>
    <row r="184" spans="1:13" ht="60" x14ac:dyDescent="0.25">
      <c r="A184" s="7" t="s">
        <v>2019</v>
      </c>
      <c r="B184" s="2" t="s">
        <v>2020</v>
      </c>
      <c r="C184" s="4">
        <v>1</v>
      </c>
      <c r="D184" s="5">
        <v>4.49</v>
      </c>
      <c r="E184" s="5">
        <v>12.99</v>
      </c>
      <c r="F184" s="4" t="s">
        <v>2021</v>
      </c>
      <c r="G184" s="2" t="s">
        <v>41</v>
      </c>
      <c r="H184" s="7" t="s">
        <v>228</v>
      </c>
      <c r="I184" s="2" t="s">
        <v>515</v>
      </c>
      <c r="J184" s="2" t="s">
        <v>1971</v>
      </c>
      <c r="K184" s="2" t="s">
        <v>304</v>
      </c>
      <c r="L184" s="2" t="s">
        <v>119</v>
      </c>
      <c r="M184" s="8" t="str">
        <f>HYPERLINK("http://slimages.macys.com/is/image/MCY/11860947 ")</f>
        <v xml:space="preserve">http://slimages.macys.com/is/image/MCY/11860947 </v>
      </c>
    </row>
    <row r="185" spans="1:13" ht="60" x14ac:dyDescent="0.25">
      <c r="A185" s="7" t="s">
        <v>2022</v>
      </c>
      <c r="B185" s="2" t="s">
        <v>2023</v>
      </c>
      <c r="C185" s="4">
        <v>20</v>
      </c>
      <c r="D185" s="5">
        <v>4.46</v>
      </c>
      <c r="E185" s="5">
        <v>12</v>
      </c>
      <c r="F185" s="4" t="s">
        <v>2024</v>
      </c>
      <c r="G185" s="2" t="s">
        <v>437</v>
      </c>
      <c r="H185" s="7" t="s">
        <v>586</v>
      </c>
      <c r="I185" s="2" t="s">
        <v>483</v>
      </c>
      <c r="J185" s="2" t="s">
        <v>536</v>
      </c>
      <c r="K185" s="2" t="s">
        <v>304</v>
      </c>
      <c r="L185" s="2" t="s">
        <v>1207</v>
      </c>
      <c r="M185" s="8" t="str">
        <f>HYPERLINK("http://slimages.macys.com/is/image/MCY/12466266 ")</f>
        <v xml:space="preserve">http://slimages.macys.com/is/image/MCY/12466266 </v>
      </c>
    </row>
    <row r="186" spans="1:13" ht="60" x14ac:dyDescent="0.25">
      <c r="A186" s="7" t="s">
        <v>2026</v>
      </c>
      <c r="B186" s="2" t="s">
        <v>2023</v>
      </c>
      <c r="C186" s="4">
        <v>20</v>
      </c>
      <c r="D186" s="5">
        <v>4.46</v>
      </c>
      <c r="E186" s="5">
        <v>12</v>
      </c>
      <c r="F186" s="4" t="s">
        <v>2024</v>
      </c>
      <c r="G186" s="2" t="s">
        <v>437</v>
      </c>
      <c r="H186" s="7" t="s">
        <v>604</v>
      </c>
      <c r="I186" s="2" t="s">
        <v>483</v>
      </c>
      <c r="J186" s="2" t="s">
        <v>536</v>
      </c>
      <c r="K186" s="2" t="s">
        <v>304</v>
      </c>
      <c r="L186" s="2" t="s">
        <v>1207</v>
      </c>
      <c r="M186" s="8" t="str">
        <f>HYPERLINK("http://slimages.macys.com/is/image/MCY/12466266 ")</f>
        <v xml:space="preserve">http://slimages.macys.com/is/image/MCY/12466266 </v>
      </c>
    </row>
    <row r="187" spans="1:13" ht="60" x14ac:dyDescent="0.25">
      <c r="A187" s="7" t="s">
        <v>2025</v>
      </c>
      <c r="B187" s="2" t="s">
        <v>2023</v>
      </c>
      <c r="C187" s="4">
        <v>12</v>
      </c>
      <c r="D187" s="5">
        <v>4.46</v>
      </c>
      <c r="E187" s="5">
        <v>12</v>
      </c>
      <c r="F187" s="4" t="s">
        <v>2024</v>
      </c>
      <c r="G187" s="2" t="s">
        <v>437</v>
      </c>
      <c r="H187" s="7"/>
      <c r="I187" s="2" t="s">
        <v>483</v>
      </c>
      <c r="J187" s="2" t="s">
        <v>536</v>
      </c>
      <c r="K187" s="2" t="s">
        <v>304</v>
      </c>
      <c r="L187" s="2" t="s">
        <v>1207</v>
      </c>
      <c r="M187" s="8" t="str">
        <f>HYPERLINK("http://slimages.macys.com/is/image/MCY/12466266 ")</f>
        <v xml:space="preserve">http://slimages.macys.com/is/image/MCY/12466266 </v>
      </c>
    </row>
    <row r="188" spans="1:13" ht="60" x14ac:dyDescent="0.25">
      <c r="A188" s="7" t="s">
        <v>1135</v>
      </c>
      <c r="B188" s="2" t="s">
        <v>1136</v>
      </c>
      <c r="C188" s="4">
        <v>2</v>
      </c>
      <c r="D188" s="5">
        <v>4.38</v>
      </c>
      <c r="E188" s="5">
        <v>11.98</v>
      </c>
      <c r="F188" s="4">
        <v>10006013400</v>
      </c>
      <c r="G188" s="2" t="s">
        <v>107</v>
      </c>
      <c r="H188" s="7" t="s">
        <v>531</v>
      </c>
      <c r="I188" s="2" t="s">
        <v>483</v>
      </c>
      <c r="J188" s="2" t="s">
        <v>536</v>
      </c>
      <c r="K188" s="2" t="s">
        <v>304</v>
      </c>
      <c r="L188" s="2" t="s">
        <v>125</v>
      </c>
      <c r="M188" s="8" t="str">
        <f>HYPERLINK("http://slimages.macys.com/is/image/MCY/12646586 ")</f>
        <v xml:space="preserve">http://slimages.macys.com/is/image/MCY/12646586 </v>
      </c>
    </row>
    <row r="189" spans="1:13" ht="60" x14ac:dyDescent="0.25">
      <c r="A189" s="7" t="s">
        <v>2043</v>
      </c>
      <c r="B189" s="2" t="s">
        <v>2044</v>
      </c>
      <c r="C189" s="4">
        <v>1</v>
      </c>
      <c r="D189" s="5">
        <v>4.37</v>
      </c>
      <c r="E189" s="5">
        <v>12.99</v>
      </c>
      <c r="F189" s="4" t="s">
        <v>2045</v>
      </c>
      <c r="G189" s="2" t="s">
        <v>41</v>
      </c>
      <c r="H189" s="7" t="s">
        <v>196</v>
      </c>
      <c r="I189" s="2" t="s">
        <v>515</v>
      </c>
      <c r="J189" s="2" t="s">
        <v>1971</v>
      </c>
      <c r="K189" s="2" t="s">
        <v>304</v>
      </c>
      <c r="L189" s="2" t="s">
        <v>119</v>
      </c>
      <c r="M189" s="8" t="str">
        <f>HYPERLINK("http://slimages.macys.com/is/image/MCY/12508210 ")</f>
        <v xml:space="preserve">http://slimages.macys.com/is/image/MCY/12508210 </v>
      </c>
    </row>
    <row r="190" spans="1:13" ht="60" x14ac:dyDescent="0.25">
      <c r="A190" s="7" t="s">
        <v>6361</v>
      </c>
      <c r="B190" s="2" t="s">
        <v>6362</v>
      </c>
      <c r="C190" s="4">
        <v>1</v>
      </c>
      <c r="D190" s="5">
        <v>4.25</v>
      </c>
      <c r="E190" s="5">
        <v>9.99</v>
      </c>
      <c r="F190" s="4" t="s">
        <v>6363</v>
      </c>
      <c r="G190" s="2" t="s">
        <v>262</v>
      </c>
      <c r="H190" s="7" t="s">
        <v>675</v>
      </c>
      <c r="I190" s="2" t="s">
        <v>135</v>
      </c>
      <c r="J190" s="2" t="s">
        <v>778</v>
      </c>
      <c r="K190" s="2" t="s">
        <v>304</v>
      </c>
      <c r="L190" s="2" t="s">
        <v>119</v>
      </c>
      <c r="M190" s="8" t="str">
        <f>HYPERLINK("http://slimages.macys.com/is/image/MCY/12339793 ")</f>
        <v xml:space="preserve">http://slimages.macys.com/is/image/MCY/12339793 </v>
      </c>
    </row>
    <row r="191" spans="1:13" ht="60" x14ac:dyDescent="0.25">
      <c r="A191" s="7" t="s">
        <v>6364</v>
      </c>
      <c r="B191" s="2" t="s">
        <v>2058</v>
      </c>
      <c r="C191" s="4">
        <v>1</v>
      </c>
      <c r="D191" s="5">
        <v>4.25</v>
      </c>
      <c r="E191" s="5">
        <v>7.99</v>
      </c>
      <c r="F191" s="4" t="s">
        <v>2059</v>
      </c>
      <c r="G191" s="2" t="s">
        <v>36</v>
      </c>
      <c r="H191" s="7" t="s">
        <v>311</v>
      </c>
      <c r="I191" s="2" t="s">
        <v>73</v>
      </c>
      <c r="J191" s="2" t="s">
        <v>1963</v>
      </c>
      <c r="K191" s="2" t="s">
        <v>304</v>
      </c>
      <c r="L191" s="2" t="s">
        <v>119</v>
      </c>
      <c r="M191" s="8" t="str">
        <f>HYPERLINK("http://slimages.macys.com/is/image/MCY/11272141 ")</f>
        <v xml:space="preserve">http://slimages.macys.com/is/image/MCY/11272141 </v>
      </c>
    </row>
    <row r="192" spans="1:13" ht="60" x14ac:dyDescent="0.25">
      <c r="A192" s="7" t="s">
        <v>6365</v>
      </c>
      <c r="B192" s="2" t="s">
        <v>2058</v>
      </c>
      <c r="C192" s="4">
        <v>1</v>
      </c>
      <c r="D192" s="5">
        <v>4.25</v>
      </c>
      <c r="E192" s="5">
        <v>7.99</v>
      </c>
      <c r="F192" s="4" t="s">
        <v>2059</v>
      </c>
      <c r="G192" s="2" t="s">
        <v>36</v>
      </c>
      <c r="H192" s="7" t="s">
        <v>123</v>
      </c>
      <c r="I192" s="2" t="s">
        <v>73</v>
      </c>
      <c r="J192" s="2" t="s">
        <v>1963</v>
      </c>
      <c r="K192" s="2" t="s">
        <v>304</v>
      </c>
      <c r="L192" s="2" t="s">
        <v>119</v>
      </c>
      <c r="M192" s="8" t="str">
        <f>HYPERLINK("http://slimages.macys.com/is/image/MCY/11272141 ")</f>
        <v xml:space="preserve">http://slimages.macys.com/is/image/MCY/11272141 </v>
      </c>
    </row>
    <row r="193" spans="1:13" ht="60" x14ac:dyDescent="0.25">
      <c r="A193" s="7" t="s">
        <v>6366</v>
      </c>
      <c r="B193" s="2" t="s">
        <v>6367</v>
      </c>
      <c r="C193" s="4">
        <v>1</v>
      </c>
      <c r="D193" s="5">
        <v>4.22</v>
      </c>
      <c r="E193" s="5">
        <v>9.99</v>
      </c>
      <c r="F193" s="4" t="s">
        <v>6368</v>
      </c>
      <c r="G193" s="2" t="s">
        <v>129</v>
      </c>
      <c r="H193" s="7" t="s">
        <v>123</v>
      </c>
      <c r="I193" s="2" t="s">
        <v>515</v>
      </c>
      <c r="J193" s="2" t="s">
        <v>875</v>
      </c>
      <c r="K193" s="2" t="s">
        <v>304</v>
      </c>
      <c r="L193" s="2" t="s">
        <v>119</v>
      </c>
      <c r="M193" s="8" t="str">
        <f>HYPERLINK("http://slimages.macys.com/is/image/MCY/12953207 ")</f>
        <v xml:space="preserve">http://slimages.macys.com/is/image/MCY/12953207 </v>
      </c>
    </row>
    <row r="194" spans="1:13" ht="60" x14ac:dyDescent="0.25">
      <c r="A194" s="7" t="s">
        <v>6369</v>
      </c>
      <c r="B194" s="2" t="s">
        <v>6370</v>
      </c>
      <c r="C194" s="4">
        <v>1</v>
      </c>
      <c r="D194" s="5">
        <v>4.1500000000000004</v>
      </c>
      <c r="E194" s="5">
        <v>9.99</v>
      </c>
      <c r="F194" s="4" t="s">
        <v>6371</v>
      </c>
      <c r="G194" s="2" t="s">
        <v>62</v>
      </c>
      <c r="H194" s="7" t="s">
        <v>228</v>
      </c>
      <c r="I194" s="2" t="s">
        <v>468</v>
      </c>
      <c r="J194" s="2" t="s">
        <v>469</v>
      </c>
      <c r="K194" s="2" t="s">
        <v>304</v>
      </c>
      <c r="L194" s="2" t="s">
        <v>119</v>
      </c>
      <c r="M194" s="8" t="str">
        <f>HYPERLINK("http://slimages.macys.com/is/image/MCY/12809145 ")</f>
        <v xml:space="preserve">http://slimages.macys.com/is/image/MCY/12809145 </v>
      </c>
    </row>
    <row r="195" spans="1:13" ht="60" x14ac:dyDescent="0.25">
      <c r="A195" s="7" t="s">
        <v>2081</v>
      </c>
      <c r="B195" s="2" t="s">
        <v>2075</v>
      </c>
      <c r="C195" s="4">
        <v>2</v>
      </c>
      <c r="D195" s="5">
        <v>4.1500000000000004</v>
      </c>
      <c r="E195" s="5">
        <v>10.99</v>
      </c>
      <c r="F195" s="4" t="s">
        <v>2076</v>
      </c>
      <c r="G195" s="2"/>
      <c r="H195" s="7"/>
      <c r="I195" s="2" t="s">
        <v>312</v>
      </c>
      <c r="J195" s="2" t="s">
        <v>2077</v>
      </c>
      <c r="K195" s="2" t="s">
        <v>304</v>
      </c>
      <c r="L195" s="2" t="s">
        <v>2078</v>
      </c>
      <c r="M195" s="8" t="str">
        <f>HYPERLINK("http://slimages.macys.com/is/image/MCY/12045142 ")</f>
        <v xml:space="preserve">http://slimages.macys.com/is/image/MCY/12045142 </v>
      </c>
    </row>
    <row r="196" spans="1:13" ht="60" x14ac:dyDescent="0.25">
      <c r="A196" s="7" t="s">
        <v>6372</v>
      </c>
      <c r="B196" s="2" t="s">
        <v>2020</v>
      </c>
      <c r="C196" s="4">
        <v>1</v>
      </c>
      <c r="D196" s="5">
        <v>4.1100000000000003</v>
      </c>
      <c r="E196" s="5">
        <v>9.99</v>
      </c>
      <c r="F196" s="4" t="s">
        <v>6373</v>
      </c>
      <c r="G196" s="2" t="s">
        <v>41</v>
      </c>
      <c r="H196" s="7" t="s">
        <v>311</v>
      </c>
      <c r="I196" s="2" t="s">
        <v>515</v>
      </c>
      <c r="J196" s="2" t="s">
        <v>875</v>
      </c>
      <c r="K196" s="2" t="s">
        <v>304</v>
      </c>
      <c r="L196" s="2" t="s">
        <v>119</v>
      </c>
      <c r="M196" s="8" t="str">
        <f>HYPERLINK("http://slimages.macys.com/is/image/MCY/11947316 ")</f>
        <v xml:space="preserve">http://slimages.macys.com/is/image/MCY/11947316 </v>
      </c>
    </row>
    <row r="197" spans="1:13" ht="168" x14ac:dyDescent="0.25">
      <c r="A197" s="7" t="s">
        <v>5572</v>
      </c>
      <c r="B197" s="2" t="s">
        <v>4254</v>
      </c>
      <c r="C197" s="4">
        <v>1</v>
      </c>
      <c r="D197" s="5">
        <v>4.0999999999999996</v>
      </c>
      <c r="E197" s="5">
        <v>10.99</v>
      </c>
      <c r="F197" s="4">
        <v>64784</v>
      </c>
      <c r="G197" s="2" t="s">
        <v>36</v>
      </c>
      <c r="H197" s="7" t="s">
        <v>5573</v>
      </c>
      <c r="I197" s="2" t="s">
        <v>523</v>
      </c>
      <c r="J197" s="2" t="s">
        <v>1227</v>
      </c>
      <c r="K197" s="2" t="s">
        <v>304</v>
      </c>
      <c r="L197" s="2" t="s">
        <v>4255</v>
      </c>
      <c r="M197" s="8" t="str">
        <f>HYPERLINK("http://slimages.macys.com/is/image/MCY/11869829 ")</f>
        <v xml:space="preserve">http://slimages.macys.com/is/image/MCY/11869829 </v>
      </c>
    </row>
    <row r="198" spans="1:13" ht="84" x14ac:dyDescent="0.25">
      <c r="A198" s="7" t="s">
        <v>6374</v>
      </c>
      <c r="B198" s="2" t="s">
        <v>6375</v>
      </c>
      <c r="C198" s="4">
        <v>1</v>
      </c>
      <c r="D198" s="5">
        <v>4.05</v>
      </c>
      <c r="E198" s="5">
        <v>9.99</v>
      </c>
      <c r="F198" s="4" t="s">
        <v>6376</v>
      </c>
      <c r="G198" s="2" t="s">
        <v>582</v>
      </c>
      <c r="H198" s="7" t="s">
        <v>514</v>
      </c>
      <c r="I198" s="2" t="s">
        <v>515</v>
      </c>
      <c r="J198" s="2" t="s">
        <v>875</v>
      </c>
      <c r="K198" s="2" t="s">
        <v>304</v>
      </c>
      <c r="L198" s="2" t="s">
        <v>6377</v>
      </c>
      <c r="M198" s="8" t="str">
        <f>HYPERLINK("http://slimages.macys.com/is/image/MCY/12953223 ")</f>
        <v xml:space="preserve">http://slimages.macys.com/is/image/MCY/12953223 </v>
      </c>
    </row>
    <row r="199" spans="1:13" ht="60" x14ac:dyDescent="0.25">
      <c r="A199" s="7" t="s">
        <v>1145</v>
      </c>
      <c r="B199" s="2" t="s">
        <v>1146</v>
      </c>
      <c r="C199" s="4">
        <v>6</v>
      </c>
      <c r="D199" s="5">
        <v>4.03</v>
      </c>
      <c r="E199" s="5">
        <v>11.98</v>
      </c>
      <c r="F199" s="4">
        <v>10006013300</v>
      </c>
      <c r="G199" s="2" t="s">
        <v>1147</v>
      </c>
      <c r="H199" s="7" t="s">
        <v>531</v>
      </c>
      <c r="I199" s="2" t="s">
        <v>483</v>
      </c>
      <c r="J199" s="2" t="s">
        <v>536</v>
      </c>
      <c r="K199" s="2" t="s">
        <v>304</v>
      </c>
      <c r="L199" s="2" t="s">
        <v>125</v>
      </c>
      <c r="M199" s="8" t="str">
        <f>HYPERLINK("http://slimages.macys.com/is/image/MCY/12465711 ")</f>
        <v xml:space="preserve">http://slimages.macys.com/is/image/MCY/12465711 </v>
      </c>
    </row>
    <row r="200" spans="1:13" ht="60" x14ac:dyDescent="0.25">
      <c r="A200" s="7" t="s">
        <v>6378</v>
      </c>
      <c r="B200" s="2" t="s">
        <v>2675</v>
      </c>
      <c r="C200" s="4">
        <v>1</v>
      </c>
      <c r="D200" s="5">
        <v>4</v>
      </c>
      <c r="E200" s="5">
        <v>10.99</v>
      </c>
      <c r="F200" s="4" t="s">
        <v>2676</v>
      </c>
      <c r="G200" s="2" t="s">
        <v>347</v>
      </c>
      <c r="H200" s="7" t="s">
        <v>196</v>
      </c>
      <c r="I200" s="2" t="s">
        <v>389</v>
      </c>
      <c r="J200" s="2" t="s">
        <v>354</v>
      </c>
      <c r="K200" s="2" t="s">
        <v>304</v>
      </c>
      <c r="L200" s="2" t="s">
        <v>390</v>
      </c>
      <c r="M200" s="8" t="str">
        <f>HYPERLINK("http://slimages.macys.com/is/image/MCY/12898616 ")</f>
        <v xml:space="preserve">http://slimages.macys.com/is/image/MCY/12898616 </v>
      </c>
    </row>
    <row r="201" spans="1:13" ht="60" x14ac:dyDescent="0.25">
      <c r="A201" s="7" t="s">
        <v>6379</v>
      </c>
      <c r="B201" s="2" t="s">
        <v>6380</v>
      </c>
      <c r="C201" s="4">
        <v>1</v>
      </c>
      <c r="D201" s="5">
        <v>4</v>
      </c>
      <c r="E201" s="5">
        <v>8</v>
      </c>
      <c r="F201" s="4" t="s">
        <v>6381</v>
      </c>
      <c r="G201" s="2" t="s">
        <v>48</v>
      </c>
      <c r="H201" s="7" t="s">
        <v>209</v>
      </c>
      <c r="I201" s="2" t="s">
        <v>487</v>
      </c>
      <c r="J201" s="2" t="s">
        <v>488</v>
      </c>
      <c r="K201" s="2" t="s">
        <v>304</v>
      </c>
      <c r="L201" s="2" t="s">
        <v>206</v>
      </c>
      <c r="M201" s="8" t="str">
        <f>HYPERLINK("http://slimages.macys.com/is/image/MCY/12338634 ")</f>
        <v xml:space="preserve">http://slimages.macys.com/is/image/MCY/12338634 </v>
      </c>
    </row>
    <row r="202" spans="1:13" ht="60" x14ac:dyDescent="0.25">
      <c r="A202" s="7" t="s">
        <v>6382</v>
      </c>
      <c r="B202" s="2" t="s">
        <v>6380</v>
      </c>
      <c r="C202" s="4">
        <v>1</v>
      </c>
      <c r="D202" s="5">
        <v>4</v>
      </c>
      <c r="E202" s="5">
        <v>8</v>
      </c>
      <c r="F202" s="4" t="s">
        <v>6381</v>
      </c>
      <c r="G202" s="2" t="s">
        <v>48</v>
      </c>
      <c r="H202" s="7" t="s">
        <v>68</v>
      </c>
      <c r="I202" s="2" t="s">
        <v>487</v>
      </c>
      <c r="J202" s="2" t="s">
        <v>488</v>
      </c>
      <c r="K202" s="2" t="s">
        <v>304</v>
      </c>
      <c r="L202" s="2" t="s">
        <v>206</v>
      </c>
      <c r="M202" s="8" t="str">
        <f>HYPERLINK("http://slimages.macys.com/is/image/MCY/12338634 ")</f>
        <v xml:space="preserve">http://slimages.macys.com/is/image/MCY/12338634 </v>
      </c>
    </row>
    <row r="203" spans="1:13" ht="60" x14ac:dyDescent="0.25">
      <c r="A203" s="7" t="s">
        <v>6383</v>
      </c>
      <c r="B203" s="2" t="s">
        <v>6384</v>
      </c>
      <c r="C203" s="4">
        <v>1</v>
      </c>
      <c r="D203" s="5">
        <v>4</v>
      </c>
      <c r="E203" s="5">
        <v>8.99</v>
      </c>
      <c r="F203" s="4" t="s">
        <v>6385</v>
      </c>
      <c r="G203" s="2" t="s">
        <v>643</v>
      </c>
      <c r="H203" s="7" t="s">
        <v>91</v>
      </c>
      <c r="I203" s="2" t="s">
        <v>153</v>
      </c>
      <c r="J203" s="2" t="s">
        <v>154</v>
      </c>
      <c r="K203" s="2"/>
      <c r="L203" s="2"/>
      <c r="M203" s="8" t="str">
        <f>HYPERLINK("http://slimages.macys.com/is/image/MCY/9469107 ")</f>
        <v xml:space="preserve">http://slimages.macys.com/is/image/MCY/9469107 </v>
      </c>
    </row>
    <row r="204" spans="1:13" ht="60" x14ac:dyDescent="0.25">
      <c r="A204" s="7" t="s">
        <v>6386</v>
      </c>
      <c r="B204" s="2" t="s">
        <v>6387</v>
      </c>
      <c r="C204" s="4">
        <v>1</v>
      </c>
      <c r="D204" s="5">
        <v>4</v>
      </c>
      <c r="E204" s="5">
        <v>8</v>
      </c>
      <c r="F204" s="4" t="s">
        <v>6388</v>
      </c>
      <c r="G204" s="2" t="s">
        <v>41</v>
      </c>
      <c r="H204" s="7"/>
      <c r="I204" s="2" t="s">
        <v>487</v>
      </c>
      <c r="J204" s="2" t="s">
        <v>488</v>
      </c>
      <c r="K204" s="2" t="s">
        <v>304</v>
      </c>
      <c r="L204" s="2" t="s">
        <v>206</v>
      </c>
      <c r="M204" s="8" t="str">
        <f>HYPERLINK("http://slimages.macys.com/is/image/MCY/12338634 ")</f>
        <v xml:space="preserve">http://slimages.macys.com/is/image/MCY/12338634 </v>
      </c>
    </row>
    <row r="205" spans="1:13" ht="60" x14ac:dyDescent="0.25">
      <c r="A205" s="7" t="s">
        <v>5053</v>
      </c>
      <c r="B205" s="2" t="s">
        <v>5054</v>
      </c>
      <c r="C205" s="4">
        <v>1</v>
      </c>
      <c r="D205" s="5">
        <v>3.9</v>
      </c>
      <c r="E205" s="5">
        <v>7.99</v>
      </c>
      <c r="F205" s="4" t="s">
        <v>5055</v>
      </c>
      <c r="G205" s="2" t="s">
        <v>1047</v>
      </c>
      <c r="H205" s="7"/>
      <c r="I205" s="2" t="s">
        <v>523</v>
      </c>
      <c r="J205" s="2" t="s">
        <v>5056</v>
      </c>
      <c r="K205" s="2" t="s">
        <v>304</v>
      </c>
      <c r="L205" s="2" t="s">
        <v>358</v>
      </c>
      <c r="M205" s="8" t="str">
        <f>HYPERLINK("http://slimages.macys.com/is/image/MCY/3254673 ")</f>
        <v xml:space="preserve">http://slimages.macys.com/is/image/MCY/3254673 </v>
      </c>
    </row>
    <row r="206" spans="1:13" ht="60" x14ac:dyDescent="0.25">
      <c r="A206" s="7" t="s">
        <v>2101</v>
      </c>
      <c r="B206" s="2" t="s">
        <v>2102</v>
      </c>
      <c r="C206" s="4">
        <v>1</v>
      </c>
      <c r="D206" s="5">
        <v>3.82</v>
      </c>
      <c r="E206" s="5">
        <v>16.8</v>
      </c>
      <c r="F206" s="4" t="s">
        <v>2103</v>
      </c>
      <c r="G206" s="2" t="s">
        <v>437</v>
      </c>
      <c r="H206" s="7" t="s">
        <v>531</v>
      </c>
      <c r="I206" s="2" t="s">
        <v>483</v>
      </c>
      <c r="J206" s="2" t="s">
        <v>536</v>
      </c>
      <c r="K206" s="2" t="s">
        <v>304</v>
      </c>
      <c r="L206" s="2"/>
      <c r="M206" s="8" t="str">
        <f>HYPERLINK("http://slimages.macys.com/is/image/MCY/12466269 ")</f>
        <v xml:space="preserve">http://slimages.macys.com/is/image/MCY/12466269 </v>
      </c>
    </row>
    <row r="207" spans="1:13" ht="60" x14ac:dyDescent="0.25">
      <c r="A207" s="7" t="s">
        <v>6389</v>
      </c>
      <c r="B207" s="2" t="s">
        <v>6390</v>
      </c>
      <c r="C207" s="4">
        <v>1</v>
      </c>
      <c r="D207" s="5">
        <v>3.77</v>
      </c>
      <c r="E207" s="5">
        <v>10.99</v>
      </c>
      <c r="F207" s="4" t="s">
        <v>6391</v>
      </c>
      <c r="G207" s="2" t="s">
        <v>41</v>
      </c>
      <c r="H207" s="7" t="s">
        <v>196</v>
      </c>
      <c r="I207" s="2" t="s">
        <v>389</v>
      </c>
      <c r="J207" s="2" t="s">
        <v>354</v>
      </c>
      <c r="K207" s="2" t="s">
        <v>304</v>
      </c>
      <c r="L207" s="2" t="s">
        <v>119</v>
      </c>
      <c r="M207" s="8" t="str">
        <f>HYPERLINK("http://slimages.macys.com/is/image/MCY/11499714 ")</f>
        <v xml:space="preserve">http://slimages.macys.com/is/image/MCY/11499714 </v>
      </c>
    </row>
    <row r="208" spans="1:13" ht="60" x14ac:dyDescent="0.25">
      <c r="A208" s="7" t="s">
        <v>6392</v>
      </c>
      <c r="B208" s="2" t="s">
        <v>6393</v>
      </c>
      <c r="C208" s="4">
        <v>1</v>
      </c>
      <c r="D208" s="5">
        <v>3.74</v>
      </c>
      <c r="E208" s="5">
        <v>10.99</v>
      </c>
      <c r="F208" s="4" t="s">
        <v>6394</v>
      </c>
      <c r="G208" s="2" t="s">
        <v>86</v>
      </c>
      <c r="H208" s="7" t="s">
        <v>149</v>
      </c>
      <c r="I208" s="2" t="s">
        <v>483</v>
      </c>
      <c r="J208" s="2" t="s">
        <v>536</v>
      </c>
      <c r="K208" s="2" t="s">
        <v>304</v>
      </c>
      <c r="L208" s="2" t="s">
        <v>87</v>
      </c>
      <c r="M208" s="8" t="str">
        <f>HYPERLINK("http://slimages.macys.com/is/image/MCY/11710598 ")</f>
        <v xml:space="preserve">http://slimages.macys.com/is/image/MCY/11710598 </v>
      </c>
    </row>
    <row r="209" spans="1:13" ht="60" x14ac:dyDescent="0.25">
      <c r="A209" s="7" t="s">
        <v>6395</v>
      </c>
      <c r="B209" s="2" t="s">
        <v>6396</v>
      </c>
      <c r="C209" s="4">
        <v>1</v>
      </c>
      <c r="D209" s="5">
        <v>3.74</v>
      </c>
      <c r="E209" s="5">
        <v>10.99</v>
      </c>
      <c r="F209" s="4" t="s">
        <v>6397</v>
      </c>
      <c r="G209" s="2" t="s">
        <v>86</v>
      </c>
      <c r="H209" s="7" t="s">
        <v>590</v>
      </c>
      <c r="I209" s="2" t="s">
        <v>483</v>
      </c>
      <c r="J209" s="2" t="s">
        <v>536</v>
      </c>
      <c r="K209" s="2" t="s">
        <v>304</v>
      </c>
      <c r="L209" s="2" t="s">
        <v>38</v>
      </c>
      <c r="M209" s="8" t="str">
        <f>HYPERLINK("http://slimages.macys.com/is/image/MCY/11710325 ")</f>
        <v xml:space="preserve">http://slimages.macys.com/is/image/MCY/11710325 </v>
      </c>
    </row>
    <row r="210" spans="1:13" ht="60" x14ac:dyDescent="0.25">
      <c r="A210" s="7" t="s">
        <v>6398</v>
      </c>
      <c r="B210" s="2" t="s">
        <v>6399</v>
      </c>
      <c r="C210" s="4">
        <v>1</v>
      </c>
      <c r="D210" s="5">
        <v>3.74</v>
      </c>
      <c r="E210" s="5">
        <v>10.99</v>
      </c>
      <c r="F210" s="4" t="s">
        <v>6400</v>
      </c>
      <c r="G210" s="2" t="s">
        <v>874</v>
      </c>
      <c r="H210" s="7" t="s">
        <v>149</v>
      </c>
      <c r="I210" s="2" t="s">
        <v>483</v>
      </c>
      <c r="J210" s="2" t="s">
        <v>536</v>
      </c>
      <c r="K210" s="2" t="s">
        <v>304</v>
      </c>
      <c r="L210" s="2" t="s">
        <v>38</v>
      </c>
      <c r="M210" s="8" t="str">
        <f>HYPERLINK("http://slimages.macys.com/is/image/MCY/11710357 ")</f>
        <v xml:space="preserve">http://slimages.macys.com/is/image/MCY/11710357 </v>
      </c>
    </row>
    <row r="211" spans="1:13" ht="60" x14ac:dyDescent="0.25">
      <c r="A211" s="7" t="s">
        <v>6401</v>
      </c>
      <c r="B211" s="2" t="s">
        <v>5595</v>
      </c>
      <c r="C211" s="4">
        <v>1</v>
      </c>
      <c r="D211" s="5">
        <v>3.7</v>
      </c>
      <c r="E211" s="5">
        <v>7.99</v>
      </c>
      <c r="F211" s="4" t="s">
        <v>5596</v>
      </c>
      <c r="G211" s="2" t="s">
        <v>41</v>
      </c>
      <c r="H211" s="7" t="s">
        <v>317</v>
      </c>
      <c r="I211" s="2" t="s">
        <v>292</v>
      </c>
      <c r="J211" s="2" t="s">
        <v>354</v>
      </c>
      <c r="K211" s="2" t="s">
        <v>304</v>
      </c>
      <c r="L211" s="2" t="s">
        <v>119</v>
      </c>
      <c r="M211" s="8" t="str">
        <f>HYPERLINK("http://slimages.macys.com/is/image/MCY/11279619 ")</f>
        <v xml:space="preserve">http://slimages.macys.com/is/image/MCY/11279619 </v>
      </c>
    </row>
    <row r="212" spans="1:13" ht="60" x14ac:dyDescent="0.25">
      <c r="A212" s="7" t="s">
        <v>6402</v>
      </c>
      <c r="B212" s="2" t="s">
        <v>3484</v>
      </c>
      <c r="C212" s="4">
        <v>1</v>
      </c>
      <c r="D212" s="5">
        <v>3.66</v>
      </c>
      <c r="E212" s="5">
        <v>7.99</v>
      </c>
      <c r="F212" s="4" t="s">
        <v>3485</v>
      </c>
      <c r="G212" s="2" t="s">
        <v>129</v>
      </c>
      <c r="H212" s="7" t="s">
        <v>317</v>
      </c>
      <c r="I212" s="2" t="s">
        <v>292</v>
      </c>
      <c r="J212" s="2" t="s">
        <v>354</v>
      </c>
      <c r="K212" s="2" t="s">
        <v>304</v>
      </c>
      <c r="L212" s="2" t="s">
        <v>119</v>
      </c>
      <c r="M212" s="8" t="str">
        <f>HYPERLINK("http://slimages.macys.com/is/image/MCY/11525969 ")</f>
        <v xml:space="preserve">http://slimages.macys.com/is/image/MCY/11525969 </v>
      </c>
    </row>
    <row r="213" spans="1:13" ht="60" x14ac:dyDescent="0.25">
      <c r="A213" s="7" t="s">
        <v>3483</v>
      </c>
      <c r="B213" s="2" t="s">
        <v>3484</v>
      </c>
      <c r="C213" s="4">
        <v>1</v>
      </c>
      <c r="D213" s="5">
        <v>3.66</v>
      </c>
      <c r="E213" s="5">
        <v>7.99</v>
      </c>
      <c r="F213" s="4" t="s">
        <v>3485</v>
      </c>
      <c r="G213" s="2" t="s">
        <v>129</v>
      </c>
      <c r="H213" s="7" t="s">
        <v>618</v>
      </c>
      <c r="I213" s="2" t="s">
        <v>292</v>
      </c>
      <c r="J213" s="2" t="s">
        <v>354</v>
      </c>
      <c r="K213" s="2" t="s">
        <v>304</v>
      </c>
      <c r="L213" s="2" t="s">
        <v>119</v>
      </c>
      <c r="M213" s="8" t="str">
        <f>HYPERLINK("http://slimages.macys.com/is/image/MCY/11525969 ")</f>
        <v xml:space="preserve">http://slimages.macys.com/is/image/MCY/11525969 </v>
      </c>
    </row>
    <row r="214" spans="1:13" ht="60" x14ac:dyDescent="0.25">
      <c r="A214" s="7" t="s">
        <v>6403</v>
      </c>
      <c r="B214" s="2" t="s">
        <v>6404</v>
      </c>
      <c r="C214" s="4">
        <v>1</v>
      </c>
      <c r="D214" s="5">
        <v>3.64</v>
      </c>
      <c r="E214" s="5">
        <v>9.99</v>
      </c>
      <c r="F214" s="4" t="s">
        <v>6405</v>
      </c>
      <c r="G214" s="2" t="s">
        <v>41</v>
      </c>
      <c r="H214" s="7" t="s">
        <v>149</v>
      </c>
      <c r="I214" s="2" t="s">
        <v>483</v>
      </c>
      <c r="J214" s="2" t="s">
        <v>536</v>
      </c>
      <c r="K214" s="2" t="s">
        <v>304</v>
      </c>
      <c r="L214" s="2" t="s">
        <v>119</v>
      </c>
      <c r="M214" s="8" t="str">
        <f>HYPERLINK("http://slimages.macys.com/is/image/MCY/12641470 ")</f>
        <v xml:space="preserve">http://slimages.macys.com/is/image/MCY/12641470 </v>
      </c>
    </row>
    <row r="215" spans="1:13" ht="60" x14ac:dyDescent="0.25">
      <c r="A215" s="7" t="s">
        <v>6406</v>
      </c>
      <c r="B215" s="2" t="s">
        <v>6407</v>
      </c>
      <c r="C215" s="4">
        <v>1</v>
      </c>
      <c r="D215" s="5">
        <v>3.61</v>
      </c>
      <c r="E215" s="5">
        <v>10.99</v>
      </c>
      <c r="F215" s="4" t="s">
        <v>6408</v>
      </c>
      <c r="G215" s="2" t="s">
        <v>297</v>
      </c>
      <c r="H215" s="7" t="s">
        <v>590</v>
      </c>
      <c r="I215" s="2" t="s">
        <v>483</v>
      </c>
      <c r="J215" s="2" t="s">
        <v>536</v>
      </c>
      <c r="K215" s="2" t="s">
        <v>304</v>
      </c>
      <c r="L215" s="2" t="s">
        <v>206</v>
      </c>
      <c r="M215" s="8" t="str">
        <f>HYPERLINK("http://slimages.macys.com/is/image/MCY/11447826 ")</f>
        <v xml:space="preserve">http://slimages.macys.com/is/image/MCY/11447826 </v>
      </c>
    </row>
    <row r="216" spans="1:13" ht="60" x14ac:dyDescent="0.25">
      <c r="A216" s="7" t="s">
        <v>2115</v>
      </c>
      <c r="B216" s="2" t="s">
        <v>2113</v>
      </c>
      <c r="C216" s="4">
        <v>3</v>
      </c>
      <c r="D216" s="5">
        <v>3.58</v>
      </c>
      <c r="E216" s="5">
        <v>8.99</v>
      </c>
      <c r="F216" s="4" t="s">
        <v>2114</v>
      </c>
      <c r="G216" s="2" t="s">
        <v>297</v>
      </c>
      <c r="H216" s="7" t="s">
        <v>149</v>
      </c>
      <c r="I216" s="2" t="s">
        <v>483</v>
      </c>
      <c r="J216" s="2" t="s">
        <v>536</v>
      </c>
      <c r="K216" s="2" t="s">
        <v>304</v>
      </c>
      <c r="L216" s="2" t="s">
        <v>119</v>
      </c>
      <c r="M216" s="8" t="str">
        <f>HYPERLINK("http://slimages.macys.com/is/image/MCY/13987501 ")</f>
        <v xml:space="preserve">http://slimages.macys.com/is/image/MCY/13987501 </v>
      </c>
    </row>
    <row r="217" spans="1:13" ht="60" x14ac:dyDescent="0.25">
      <c r="A217" s="7" t="s">
        <v>6409</v>
      </c>
      <c r="B217" s="2" t="s">
        <v>5601</v>
      </c>
      <c r="C217" s="4">
        <v>1</v>
      </c>
      <c r="D217" s="5">
        <v>3.58</v>
      </c>
      <c r="E217" s="5">
        <v>7.99</v>
      </c>
      <c r="F217" s="4" t="s">
        <v>5602</v>
      </c>
      <c r="G217" s="2" t="s">
        <v>657</v>
      </c>
      <c r="H217" s="7" t="s">
        <v>578</v>
      </c>
      <c r="I217" s="2" t="s">
        <v>483</v>
      </c>
      <c r="J217" s="2" t="s">
        <v>536</v>
      </c>
      <c r="K217" s="2" t="s">
        <v>304</v>
      </c>
      <c r="L217" s="2" t="s">
        <v>119</v>
      </c>
      <c r="M217" s="8" t="str">
        <f>HYPERLINK("http://slimages.macys.com/is/image/MCY/13531944 ")</f>
        <v xml:space="preserve">http://slimages.macys.com/is/image/MCY/13531944 </v>
      </c>
    </row>
    <row r="218" spans="1:13" ht="60" x14ac:dyDescent="0.25">
      <c r="A218" s="7" t="s">
        <v>2681</v>
      </c>
      <c r="B218" s="2" t="s">
        <v>2113</v>
      </c>
      <c r="C218" s="4">
        <v>1</v>
      </c>
      <c r="D218" s="5">
        <v>3.58</v>
      </c>
      <c r="E218" s="5">
        <v>8.99</v>
      </c>
      <c r="F218" s="4" t="s">
        <v>2114</v>
      </c>
      <c r="G218" s="2" t="s">
        <v>297</v>
      </c>
      <c r="H218" s="7" t="s">
        <v>590</v>
      </c>
      <c r="I218" s="2" t="s">
        <v>483</v>
      </c>
      <c r="J218" s="2" t="s">
        <v>536</v>
      </c>
      <c r="K218" s="2" t="s">
        <v>304</v>
      </c>
      <c r="L218" s="2" t="s">
        <v>119</v>
      </c>
      <c r="M218" s="8" t="str">
        <f>HYPERLINK("http://slimages.macys.com/is/image/MCY/13987501 ")</f>
        <v xml:space="preserve">http://slimages.macys.com/is/image/MCY/13987501 </v>
      </c>
    </row>
    <row r="219" spans="1:13" ht="60" x14ac:dyDescent="0.25">
      <c r="A219" s="7" t="s">
        <v>6410</v>
      </c>
      <c r="B219" s="2" t="s">
        <v>6411</v>
      </c>
      <c r="C219" s="4">
        <v>1</v>
      </c>
      <c r="D219" s="5">
        <v>3.5</v>
      </c>
      <c r="E219" s="5">
        <v>7.99</v>
      </c>
      <c r="F219" s="4">
        <v>16597210</v>
      </c>
      <c r="G219" s="2" t="s">
        <v>28</v>
      </c>
      <c r="H219" s="7" t="s">
        <v>233</v>
      </c>
      <c r="I219" s="2" t="s">
        <v>153</v>
      </c>
      <c r="J219" s="2" t="s">
        <v>154</v>
      </c>
      <c r="K219" s="2" t="s">
        <v>304</v>
      </c>
      <c r="L219" s="2" t="s">
        <v>206</v>
      </c>
      <c r="M219" s="8" t="str">
        <f>HYPERLINK("http://slimages.macys.com/is/image/MCY/12236026 ")</f>
        <v xml:space="preserve">http://slimages.macys.com/is/image/MCY/12236026 </v>
      </c>
    </row>
    <row r="220" spans="1:13" ht="60" x14ac:dyDescent="0.25">
      <c r="A220" s="7" t="s">
        <v>6412</v>
      </c>
      <c r="B220" s="2" t="s">
        <v>3487</v>
      </c>
      <c r="C220" s="4">
        <v>1</v>
      </c>
      <c r="D220" s="5">
        <v>3.5</v>
      </c>
      <c r="E220" s="5">
        <v>7.99</v>
      </c>
      <c r="F220" s="4">
        <v>18182710</v>
      </c>
      <c r="G220" s="2" t="s">
        <v>28</v>
      </c>
      <c r="H220" s="7" t="s">
        <v>482</v>
      </c>
      <c r="I220" s="2" t="s">
        <v>153</v>
      </c>
      <c r="J220" s="2" t="s">
        <v>154</v>
      </c>
      <c r="K220" s="2" t="s">
        <v>304</v>
      </c>
      <c r="L220" s="2" t="s">
        <v>38</v>
      </c>
      <c r="M220" s="8" t="str">
        <f>HYPERLINK("http://slimages.macys.com/is/image/MCY/13727498 ")</f>
        <v xml:space="preserve">http://slimages.macys.com/is/image/MCY/13727498 </v>
      </c>
    </row>
    <row r="221" spans="1:13" ht="60" x14ac:dyDescent="0.25">
      <c r="A221" s="7" t="s">
        <v>6413</v>
      </c>
      <c r="B221" s="2" t="s">
        <v>6414</v>
      </c>
      <c r="C221" s="4">
        <v>1</v>
      </c>
      <c r="D221" s="5">
        <v>3.49</v>
      </c>
      <c r="E221" s="5">
        <v>7.99</v>
      </c>
      <c r="F221" s="4" t="s">
        <v>6415</v>
      </c>
      <c r="G221" s="2" t="s">
        <v>48</v>
      </c>
      <c r="H221" s="7" t="s">
        <v>1151</v>
      </c>
      <c r="I221" s="2" t="s">
        <v>483</v>
      </c>
      <c r="J221" s="2" t="s">
        <v>536</v>
      </c>
      <c r="K221" s="2" t="s">
        <v>304</v>
      </c>
      <c r="L221" s="2" t="s">
        <v>119</v>
      </c>
      <c r="M221" s="8" t="str">
        <f>HYPERLINK("http://slimages.macys.com/is/image/MCY/11436908 ")</f>
        <v xml:space="preserve">http://slimages.macys.com/is/image/MCY/11436908 </v>
      </c>
    </row>
    <row r="222" spans="1:13" ht="60" x14ac:dyDescent="0.25">
      <c r="A222" s="7" t="s">
        <v>6416</v>
      </c>
      <c r="B222" s="2" t="s">
        <v>6414</v>
      </c>
      <c r="C222" s="4">
        <v>1</v>
      </c>
      <c r="D222" s="5">
        <v>3.49</v>
      </c>
      <c r="E222" s="5">
        <v>7.99</v>
      </c>
      <c r="F222" s="4" t="s">
        <v>6415</v>
      </c>
      <c r="G222" s="2" t="s">
        <v>48</v>
      </c>
      <c r="H222" s="7" t="s">
        <v>514</v>
      </c>
      <c r="I222" s="2" t="s">
        <v>483</v>
      </c>
      <c r="J222" s="2" t="s">
        <v>536</v>
      </c>
      <c r="K222" s="2" t="s">
        <v>304</v>
      </c>
      <c r="L222" s="2" t="s">
        <v>119</v>
      </c>
      <c r="M222" s="8" t="str">
        <f>HYPERLINK("http://slimages.macys.com/is/image/MCY/11436908 ")</f>
        <v xml:space="preserve">http://slimages.macys.com/is/image/MCY/11436908 </v>
      </c>
    </row>
    <row r="223" spans="1:13" ht="60" x14ac:dyDescent="0.25">
      <c r="A223" s="7" t="s">
        <v>4314</v>
      </c>
      <c r="B223" s="2" t="s">
        <v>4293</v>
      </c>
      <c r="C223" s="4">
        <v>1</v>
      </c>
      <c r="D223" s="5">
        <v>3.49</v>
      </c>
      <c r="E223" s="5">
        <v>7.99</v>
      </c>
      <c r="F223" s="4" t="s">
        <v>4294</v>
      </c>
      <c r="G223" s="2" t="s">
        <v>129</v>
      </c>
      <c r="H223" s="7" t="s">
        <v>578</v>
      </c>
      <c r="I223" s="2" t="s">
        <v>292</v>
      </c>
      <c r="J223" s="2" t="s">
        <v>354</v>
      </c>
      <c r="K223" s="2" t="s">
        <v>304</v>
      </c>
      <c r="L223" s="2" t="s">
        <v>119</v>
      </c>
      <c r="M223" s="8" t="str">
        <f>HYPERLINK("http://slimages.macys.com/is/image/MCY/13077248 ")</f>
        <v xml:space="preserve">http://slimages.macys.com/is/image/MCY/13077248 </v>
      </c>
    </row>
    <row r="224" spans="1:13" ht="60" x14ac:dyDescent="0.25">
      <c r="A224" s="7" t="s">
        <v>6417</v>
      </c>
      <c r="B224" s="2" t="s">
        <v>4293</v>
      </c>
      <c r="C224" s="4">
        <v>3</v>
      </c>
      <c r="D224" s="5">
        <v>3.49</v>
      </c>
      <c r="E224" s="5">
        <v>7.99</v>
      </c>
      <c r="F224" s="4" t="s">
        <v>4294</v>
      </c>
      <c r="G224" s="2" t="s">
        <v>129</v>
      </c>
      <c r="H224" s="7" t="s">
        <v>311</v>
      </c>
      <c r="I224" s="2" t="s">
        <v>292</v>
      </c>
      <c r="J224" s="2" t="s">
        <v>354</v>
      </c>
      <c r="K224" s="2" t="s">
        <v>304</v>
      </c>
      <c r="L224" s="2" t="s">
        <v>119</v>
      </c>
      <c r="M224" s="8" t="str">
        <f>HYPERLINK("http://slimages.macys.com/is/image/MCY/13077248 ")</f>
        <v xml:space="preserve">http://slimages.macys.com/is/image/MCY/13077248 </v>
      </c>
    </row>
    <row r="225" spans="1:13" ht="60" x14ac:dyDescent="0.25">
      <c r="A225" s="7" t="s">
        <v>4304</v>
      </c>
      <c r="B225" s="2" t="s">
        <v>4302</v>
      </c>
      <c r="C225" s="4">
        <v>1</v>
      </c>
      <c r="D225" s="5">
        <v>3.49</v>
      </c>
      <c r="E225" s="5">
        <v>7.99</v>
      </c>
      <c r="F225" s="4" t="s">
        <v>4303</v>
      </c>
      <c r="G225" s="2" t="s">
        <v>41</v>
      </c>
      <c r="H225" s="7" t="s">
        <v>578</v>
      </c>
      <c r="I225" s="2" t="s">
        <v>292</v>
      </c>
      <c r="J225" s="2" t="s">
        <v>354</v>
      </c>
      <c r="K225" s="2" t="s">
        <v>304</v>
      </c>
      <c r="L225" s="2" t="s">
        <v>119</v>
      </c>
      <c r="M225" s="8" t="str">
        <f>HYPERLINK("http://slimages.macys.com/is/image/MCY/12684390 ")</f>
        <v xml:space="preserve">http://slimages.macys.com/is/image/MCY/12684390 </v>
      </c>
    </row>
    <row r="226" spans="1:13" ht="60" x14ac:dyDescent="0.25">
      <c r="A226" s="7" t="s">
        <v>6418</v>
      </c>
      <c r="B226" s="2" t="s">
        <v>6419</v>
      </c>
      <c r="C226" s="4">
        <v>1</v>
      </c>
      <c r="D226" s="5">
        <v>3.48</v>
      </c>
      <c r="E226" s="5">
        <v>5.99</v>
      </c>
      <c r="F226" s="4" t="s">
        <v>6420</v>
      </c>
      <c r="G226" s="2" t="s">
        <v>1747</v>
      </c>
      <c r="H226" s="7" t="s">
        <v>68</v>
      </c>
      <c r="I226" s="2" t="s">
        <v>73</v>
      </c>
      <c r="J226" s="2" t="s">
        <v>1963</v>
      </c>
      <c r="K226" s="2" t="s">
        <v>304</v>
      </c>
      <c r="L226" s="2" t="s">
        <v>119</v>
      </c>
      <c r="M226" s="8" t="str">
        <f>HYPERLINK("http://slimages.macys.com/is/image/MCY/12952999 ")</f>
        <v xml:space="preserve">http://slimages.macys.com/is/image/MCY/12952999 </v>
      </c>
    </row>
    <row r="227" spans="1:13" ht="60" x14ac:dyDescent="0.25">
      <c r="A227" s="7" t="s">
        <v>6421</v>
      </c>
      <c r="B227" s="2" t="s">
        <v>5058</v>
      </c>
      <c r="C227" s="4">
        <v>1</v>
      </c>
      <c r="D227" s="5">
        <v>3.48</v>
      </c>
      <c r="E227" s="5">
        <v>5.99</v>
      </c>
      <c r="F227" s="4" t="s">
        <v>5059</v>
      </c>
      <c r="G227" s="2" t="s">
        <v>41</v>
      </c>
      <c r="H227" s="7" t="s">
        <v>311</v>
      </c>
      <c r="I227" s="2" t="s">
        <v>73</v>
      </c>
      <c r="J227" s="2" t="s">
        <v>1963</v>
      </c>
      <c r="K227" s="2" t="s">
        <v>304</v>
      </c>
      <c r="L227" s="2" t="s">
        <v>119</v>
      </c>
      <c r="M227" s="8" t="str">
        <f>HYPERLINK("http://slimages.macys.com/is/image/MCY/13360517 ")</f>
        <v xml:space="preserve">http://slimages.macys.com/is/image/MCY/13360517 </v>
      </c>
    </row>
    <row r="228" spans="1:13" ht="60" x14ac:dyDescent="0.25">
      <c r="A228" s="7" t="s">
        <v>6422</v>
      </c>
      <c r="B228" s="2" t="s">
        <v>6423</v>
      </c>
      <c r="C228" s="4">
        <v>1</v>
      </c>
      <c r="D228" s="5">
        <v>3.48</v>
      </c>
      <c r="E228" s="5">
        <v>5.99</v>
      </c>
      <c r="F228" s="4" t="s">
        <v>6424</v>
      </c>
      <c r="G228" s="2" t="s">
        <v>41</v>
      </c>
      <c r="H228" s="7" t="s">
        <v>311</v>
      </c>
      <c r="I228" s="2" t="s">
        <v>73</v>
      </c>
      <c r="J228" s="2" t="s">
        <v>1963</v>
      </c>
      <c r="K228" s="2" t="s">
        <v>304</v>
      </c>
      <c r="L228" s="2" t="s">
        <v>119</v>
      </c>
      <c r="M228" s="8" t="str">
        <f>HYPERLINK("http://slimages.macys.com/is/image/MCY/11229156 ")</f>
        <v xml:space="preserve">http://slimages.macys.com/is/image/MCY/11229156 </v>
      </c>
    </row>
    <row r="229" spans="1:13" ht="60" x14ac:dyDescent="0.25">
      <c r="A229" s="7" t="s">
        <v>6425</v>
      </c>
      <c r="B229" s="2" t="s">
        <v>6419</v>
      </c>
      <c r="C229" s="4">
        <v>1</v>
      </c>
      <c r="D229" s="5">
        <v>3.48</v>
      </c>
      <c r="E229" s="5">
        <v>5.99</v>
      </c>
      <c r="F229" s="4" t="s">
        <v>6420</v>
      </c>
      <c r="G229" s="2" t="s">
        <v>1747</v>
      </c>
      <c r="H229" s="7" t="s">
        <v>123</v>
      </c>
      <c r="I229" s="2" t="s">
        <v>73</v>
      </c>
      <c r="J229" s="2" t="s">
        <v>1963</v>
      </c>
      <c r="K229" s="2" t="s">
        <v>304</v>
      </c>
      <c r="L229" s="2" t="s">
        <v>119</v>
      </c>
      <c r="M229" s="8" t="str">
        <f>HYPERLINK("http://slimages.macys.com/is/image/MCY/12952999 ")</f>
        <v xml:space="preserve">http://slimages.macys.com/is/image/MCY/12952999 </v>
      </c>
    </row>
    <row r="230" spans="1:13" ht="60" x14ac:dyDescent="0.25">
      <c r="A230" s="7" t="s">
        <v>6426</v>
      </c>
      <c r="B230" s="2" t="s">
        <v>6427</v>
      </c>
      <c r="C230" s="4">
        <v>1</v>
      </c>
      <c r="D230" s="5">
        <v>3.48</v>
      </c>
      <c r="E230" s="5">
        <v>5.99</v>
      </c>
      <c r="F230" s="4" t="s">
        <v>6428</v>
      </c>
      <c r="G230" s="2" t="s">
        <v>41</v>
      </c>
      <c r="H230" s="7" t="s">
        <v>311</v>
      </c>
      <c r="I230" s="2" t="s">
        <v>73</v>
      </c>
      <c r="J230" s="2" t="s">
        <v>1963</v>
      </c>
      <c r="K230" s="2" t="s">
        <v>304</v>
      </c>
      <c r="L230" s="2" t="s">
        <v>119</v>
      </c>
      <c r="M230" s="8" t="str">
        <f>HYPERLINK("http://slimages.macys.com/is/image/MCY/12284124 ")</f>
        <v xml:space="preserve">http://slimages.macys.com/is/image/MCY/12284124 </v>
      </c>
    </row>
    <row r="231" spans="1:13" ht="60" x14ac:dyDescent="0.25">
      <c r="A231" s="7" t="s">
        <v>5616</v>
      </c>
      <c r="B231" s="2" t="s">
        <v>5062</v>
      </c>
      <c r="C231" s="4">
        <v>1</v>
      </c>
      <c r="D231" s="5">
        <v>3.48</v>
      </c>
      <c r="E231" s="5">
        <v>5.99</v>
      </c>
      <c r="F231" s="4" t="s">
        <v>5063</v>
      </c>
      <c r="G231" s="2" t="s">
        <v>28</v>
      </c>
      <c r="H231" s="7" t="s">
        <v>311</v>
      </c>
      <c r="I231" s="2" t="s">
        <v>80</v>
      </c>
      <c r="J231" s="2" t="s">
        <v>1857</v>
      </c>
      <c r="K231" s="2" t="s">
        <v>304</v>
      </c>
      <c r="L231" s="2" t="s">
        <v>125</v>
      </c>
      <c r="M231" s="8" t="str">
        <f>HYPERLINK("http://slimages.macys.com/is/image/MCY/2581838 ")</f>
        <v xml:space="preserve">http://slimages.macys.com/is/image/MCY/2581838 </v>
      </c>
    </row>
    <row r="232" spans="1:13" ht="60" x14ac:dyDescent="0.25">
      <c r="A232" s="7" t="s">
        <v>6429</v>
      </c>
      <c r="B232" s="2" t="s">
        <v>6430</v>
      </c>
      <c r="C232" s="4">
        <v>1</v>
      </c>
      <c r="D232" s="5">
        <v>3.48</v>
      </c>
      <c r="E232" s="5">
        <v>5.99</v>
      </c>
      <c r="F232" s="4" t="s">
        <v>6431</v>
      </c>
      <c r="G232" s="2" t="s">
        <v>303</v>
      </c>
      <c r="H232" s="7" t="s">
        <v>123</v>
      </c>
      <c r="I232" s="2" t="s">
        <v>73</v>
      </c>
      <c r="J232" s="2" t="s">
        <v>1963</v>
      </c>
      <c r="K232" s="2" t="s">
        <v>304</v>
      </c>
      <c r="L232" s="2" t="s">
        <v>119</v>
      </c>
      <c r="M232" s="8" t="str">
        <f>HYPERLINK("http://slimages.macys.com/is/image/MCY/12952993 ")</f>
        <v xml:space="preserve">http://slimages.macys.com/is/image/MCY/12952993 </v>
      </c>
    </row>
    <row r="233" spans="1:13" ht="60" x14ac:dyDescent="0.25">
      <c r="A233" s="7" t="s">
        <v>6432</v>
      </c>
      <c r="B233" s="2" t="s">
        <v>6433</v>
      </c>
      <c r="C233" s="4">
        <v>1</v>
      </c>
      <c r="D233" s="5">
        <v>3.48</v>
      </c>
      <c r="E233" s="5">
        <v>5.99</v>
      </c>
      <c r="F233" s="4" t="s">
        <v>6434</v>
      </c>
      <c r="G233" s="2" t="s">
        <v>303</v>
      </c>
      <c r="H233" s="7" t="s">
        <v>144</v>
      </c>
      <c r="I233" s="2" t="s">
        <v>73</v>
      </c>
      <c r="J233" s="2" t="s">
        <v>1963</v>
      </c>
      <c r="K233" s="2" t="s">
        <v>304</v>
      </c>
      <c r="L233" s="2" t="s">
        <v>119</v>
      </c>
      <c r="M233" s="8" t="str">
        <f>HYPERLINK("http://slimages.macys.com/is/image/MCY/12688439 ")</f>
        <v xml:space="preserve">http://slimages.macys.com/is/image/MCY/12688439 </v>
      </c>
    </row>
    <row r="234" spans="1:13" ht="60" x14ac:dyDescent="0.25">
      <c r="A234" s="7" t="s">
        <v>6435</v>
      </c>
      <c r="B234" s="2" t="s">
        <v>5058</v>
      </c>
      <c r="C234" s="4">
        <v>1</v>
      </c>
      <c r="D234" s="5">
        <v>3.48</v>
      </c>
      <c r="E234" s="5">
        <v>5.99</v>
      </c>
      <c r="F234" s="4" t="s">
        <v>5059</v>
      </c>
      <c r="G234" s="2" t="s">
        <v>595</v>
      </c>
      <c r="H234" s="7" t="s">
        <v>144</v>
      </c>
      <c r="I234" s="2" t="s">
        <v>73</v>
      </c>
      <c r="J234" s="2" t="s">
        <v>1963</v>
      </c>
      <c r="K234" s="2" t="s">
        <v>304</v>
      </c>
      <c r="L234" s="2" t="s">
        <v>119</v>
      </c>
      <c r="M234" s="8" t="str">
        <f>HYPERLINK("http://slimages.macys.com/is/image/MCY/13360517 ")</f>
        <v xml:space="preserve">http://slimages.macys.com/is/image/MCY/13360517 </v>
      </c>
    </row>
    <row r="235" spans="1:13" ht="60" x14ac:dyDescent="0.25">
      <c r="A235" s="7" t="s">
        <v>6436</v>
      </c>
      <c r="B235" s="2" t="s">
        <v>6437</v>
      </c>
      <c r="C235" s="4">
        <v>1</v>
      </c>
      <c r="D235" s="5">
        <v>3.48</v>
      </c>
      <c r="E235" s="5">
        <v>7.99</v>
      </c>
      <c r="F235" s="4" t="s">
        <v>6438</v>
      </c>
      <c r="G235" s="2" t="s">
        <v>28</v>
      </c>
      <c r="H235" s="7" t="s">
        <v>514</v>
      </c>
      <c r="I235" s="2" t="s">
        <v>483</v>
      </c>
      <c r="J235" s="2" t="s">
        <v>536</v>
      </c>
      <c r="K235" s="2" t="s">
        <v>304</v>
      </c>
      <c r="L235" s="2" t="s">
        <v>119</v>
      </c>
      <c r="M235" s="8" t="str">
        <f>HYPERLINK("http://slimages.macys.com/is/image/MCY/11436913 ")</f>
        <v xml:space="preserve">http://slimages.macys.com/is/image/MCY/11436913 </v>
      </c>
    </row>
    <row r="236" spans="1:13" ht="60" x14ac:dyDescent="0.25">
      <c r="A236" s="7" t="s">
        <v>6439</v>
      </c>
      <c r="B236" s="2" t="s">
        <v>2128</v>
      </c>
      <c r="C236" s="4">
        <v>1</v>
      </c>
      <c r="D236" s="5">
        <v>3.48</v>
      </c>
      <c r="E236" s="5">
        <v>5.99</v>
      </c>
      <c r="F236" s="4" t="s">
        <v>2129</v>
      </c>
      <c r="G236" s="2" t="s">
        <v>62</v>
      </c>
      <c r="H236" s="7" t="s">
        <v>311</v>
      </c>
      <c r="I236" s="2" t="s">
        <v>80</v>
      </c>
      <c r="J236" s="2" t="s">
        <v>1857</v>
      </c>
      <c r="K236" s="2" t="s">
        <v>304</v>
      </c>
      <c r="L236" s="2" t="s">
        <v>125</v>
      </c>
      <c r="M236" s="8" t="str">
        <f>HYPERLINK("http://slimages.macys.com/is/image/MCY/12751351 ")</f>
        <v xml:space="preserve">http://slimages.macys.com/is/image/MCY/12751351 </v>
      </c>
    </row>
    <row r="237" spans="1:13" ht="60" x14ac:dyDescent="0.25">
      <c r="A237" s="7" t="s">
        <v>6440</v>
      </c>
      <c r="B237" s="2" t="s">
        <v>5058</v>
      </c>
      <c r="C237" s="4">
        <v>1</v>
      </c>
      <c r="D237" s="5">
        <v>3.48</v>
      </c>
      <c r="E237" s="5">
        <v>5.99</v>
      </c>
      <c r="F237" s="4" t="s">
        <v>5059</v>
      </c>
      <c r="G237" s="2" t="s">
        <v>595</v>
      </c>
      <c r="H237" s="7" t="s">
        <v>317</v>
      </c>
      <c r="I237" s="2" t="s">
        <v>73</v>
      </c>
      <c r="J237" s="2" t="s">
        <v>1963</v>
      </c>
      <c r="K237" s="2" t="s">
        <v>304</v>
      </c>
      <c r="L237" s="2" t="s">
        <v>119</v>
      </c>
      <c r="M237" s="8" t="str">
        <f>HYPERLINK("http://slimages.macys.com/is/image/MCY/13360517 ")</f>
        <v xml:space="preserve">http://slimages.macys.com/is/image/MCY/13360517 </v>
      </c>
    </row>
    <row r="238" spans="1:13" ht="108" x14ac:dyDescent="0.25">
      <c r="A238" s="7" t="s">
        <v>6441</v>
      </c>
      <c r="B238" s="2" t="s">
        <v>565</v>
      </c>
      <c r="C238" s="4">
        <v>1</v>
      </c>
      <c r="D238" s="5">
        <v>3.45</v>
      </c>
      <c r="E238" s="5">
        <v>7.99</v>
      </c>
      <c r="F238" s="4" t="s">
        <v>566</v>
      </c>
      <c r="G238" s="2" t="s">
        <v>28</v>
      </c>
      <c r="H238" s="7" t="s">
        <v>578</v>
      </c>
      <c r="I238" s="2" t="s">
        <v>292</v>
      </c>
      <c r="J238" s="2" t="s">
        <v>354</v>
      </c>
      <c r="K238" s="2" t="s">
        <v>304</v>
      </c>
      <c r="L238" s="2" t="s">
        <v>567</v>
      </c>
      <c r="M238" s="8" t="str">
        <f>HYPERLINK("http://slimages.macys.com/is/image/MCY/12684419 ")</f>
        <v xml:space="preserve">http://slimages.macys.com/is/image/MCY/12684419 </v>
      </c>
    </row>
    <row r="239" spans="1:13" ht="108" x14ac:dyDescent="0.25">
      <c r="A239" s="7" t="s">
        <v>6442</v>
      </c>
      <c r="B239" s="2" t="s">
        <v>565</v>
      </c>
      <c r="C239" s="4">
        <v>1</v>
      </c>
      <c r="D239" s="5">
        <v>3.45</v>
      </c>
      <c r="E239" s="5">
        <v>7.99</v>
      </c>
      <c r="F239" s="4" t="s">
        <v>566</v>
      </c>
      <c r="G239" s="2" t="s">
        <v>28</v>
      </c>
      <c r="H239" s="7" t="s">
        <v>1151</v>
      </c>
      <c r="I239" s="2" t="s">
        <v>292</v>
      </c>
      <c r="J239" s="2" t="s">
        <v>354</v>
      </c>
      <c r="K239" s="2" t="s">
        <v>304</v>
      </c>
      <c r="L239" s="2" t="s">
        <v>567</v>
      </c>
      <c r="M239" s="8" t="str">
        <f>HYPERLINK("http://slimages.macys.com/is/image/MCY/12684419 ")</f>
        <v xml:space="preserve">http://slimages.macys.com/is/image/MCY/12684419 </v>
      </c>
    </row>
    <row r="240" spans="1:13" ht="60" x14ac:dyDescent="0.25">
      <c r="A240" s="7" t="s">
        <v>6443</v>
      </c>
      <c r="B240" s="2" t="s">
        <v>6444</v>
      </c>
      <c r="C240" s="4">
        <v>1</v>
      </c>
      <c r="D240" s="5">
        <v>3.45</v>
      </c>
      <c r="E240" s="5">
        <v>7.99</v>
      </c>
      <c r="F240" s="4">
        <v>100017100</v>
      </c>
      <c r="G240" s="2" t="s">
        <v>657</v>
      </c>
      <c r="H240" s="7" t="s">
        <v>578</v>
      </c>
      <c r="I240" s="2" t="s">
        <v>292</v>
      </c>
      <c r="J240" s="2" t="s">
        <v>354</v>
      </c>
      <c r="K240" s="2" t="s">
        <v>304</v>
      </c>
      <c r="L240" s="2" t="s">
        <v>119</v>
      </c>
      <c r="M240" s="8" t="str">
        <f>HYPERLINK("http://slimages.macys.com/is/image/MCY/9542293 ")</f>
        <v xml:space="preserve">http://slimages.macys.com/is/image/MCY/9542293 </v>
      </c>
    </row>
    <row r="241" spans="1:13" ht="108" x14ac:dyDescent="0.25">
      <c r="A241" s="7" t="s">
        <v>6445</v>
      </c>
      <c r="B241" s="2" t="s">
        <v>565</v>
      </c>
      <c r="C241" s="4">
        <v>1</v>
      </c>
      <c r="D241" s="5">
        <v>3.45</v>
      </c>
      <c r="E241" s="5">
        <v>7.99</v>
      </c>
      <c r="F241" s="4" t="s">
        <v>566</v>
      </c>
      <c r="G241" s="2" t="s">
        <v>28</v>
      </c>
      <c r="H241" s="7" t="s">
        <v>311</v>
      </c>
      <c r="I241" s="2" t="s">
        <v>292</v>
      </c>
      <c r="J241" s="2" t="s">
        <v>354</v>
      </c>
      <c r="K241" s="2" t="s">
        <v>304</v>
      </c>
      <c r="L241" s="2" t="s">
        <v>567</v>
      </c>
      <c r="M241" s="8" t="str">
        <f>HYPERLINK("http://slimages.macys.com/is/image/MCY/12684419 ")</f>
        <v xml:space="preserve">http://slimages.macys.com/is/image/MCY/12684419 </v>
      </c>
    </row>
    <row r="242" spans="1:13" ht="108" x14ac:dyDescent="0.25">
      <c r="A242" s="7" t="s">
        <v>6446</v>
      </c>
      <c r="B242" s="2" t="s">
        <v>565</v>
      </c>
      <c r="C242" s="4">
        <v>1</v>
      </c>
      <c r="D242" s="5">
        <v>3.45</v>
      </c>
      <c r="E242" s="5">
        <v>7.99</v>
      </c>
      <c r="F242" s="4" t="s">
        <v>566</v>
      </c>
      <c r="G242" s="2" t="s">
        <v>28</v>
      </c>
      <c r="H242" s="7" t="s">
        <v>123</v>
      </c>
      <c r="I242" s="2" t="s">
        <v>292</v>
      </c>
      <c r="J242" s="2" t="s">
        <v>354</v>
      </c>
      <c r="K242" s="2" t="s">
        <v>304</v>
      </c>
      <c r="L242" s="2" t="s">
        <v>567</v>
      </c>
      <c r="M242" s="8" t="str">
        <f>HYPERLINK("http://slimages.macys.com/is/image/MCY/12684419 ")</f>
        <v xml:space="preserve">http://slimages.macys.com/is/image/MCY/12684419 </v>
      </c>
    </row>
    <row r="243" spans="1:13" ht="60" x14ac:dyDescent="0.25">
      <c r="A243" s="7" t="s">
        <v>4318</v>
      </c>
      <c r="B243" s="2" t="s">
        <v>3502</v>
      </c>
      <c r="C243" s="4">
        <v>1</v>
      </c>
      <c r="D243" s="5">
        <v>3.44</v>
      </c>
      <c r="E243" s="5">
        <v>7.99</v>
      </c>
      <c r="F243" s="4" t="s">
        <v>3503</v>
      </c>
      <c r="G243" s="2" t="s">
        <v>752</v>
      </c>
      <c r="H243" s="7" t="s">
        <v>1151</v>
      </c>
      <c r="I243" s="2" t="s">
        <v>1689</v>
      </c>
      <c r="J243" s="2" t="s">
        <v>354</v>
      </c>
      <c r="K243" s="2" t="s">
        <v>304</v>
      </c>
      <c r="L243" s="2" t="s">
        <v>596</v>
      </c>
      <c r="M243" s="8" t="str">
        <f>HYPERLINK("http://slimages.macys.com/is/image/MCY/12938521 ")</f>
        <v xml:space="preserve">http://slimages.macys.com/is/image/MCY/12938521 </v>
      </c>
    </row>
    <row r="244" spans="1:13" ht="60" x14ac:dyDescent="0.25">
      <c r="A244" s="7" t="s">
        <v>6447</v>
      </c>
      <c r="B244" s="2" t="s">
        <v>2138</v>
      </c>
      <c r="C244" s="4">
        <v>3</v>
      </c>
      <c r="D244" s="5">
        <v>3.3</v>
      </c>
      <c r="E244" s="5">
        <v>7.99</v>
      </c>
      <c r="F244" s="4" t="s">
        <v>2139</v>
      </c>
      <c r="G244" s="2" t="s">
        <v>62</v>
      </c>
      <c r="H244" s="7" t="s">
        <v>1151</v>
      </c>
      <c r="I244" s="2" t="s">
        <v>1689</v>
      </c>
      <c r="J244" s="2" t="s">
        <v>354</v>
      </c>
      <c r="K244" s="2" t="s">
        <v>304</v>
      </c>
      <c r="L244" s="2" t="s">
        <v>119</v>
      </c>
      <c r="M244" s="8" t="str">
        <f>HYPERLINK("http://slimages.macys.com/is/image/MCY/10178138 ")</f>
        <v xml:space="preserve">http://slimages.macys.com/is/image/MCY/10178138 </v>
      </c>
    </row>
    <row r="245" spans="1:13" ht="60" x14ac:dyDescent="0.25">
      <c r="A245" s="7" t="s">
        <v>6448</v>
      </c>
      <c r="B245" s="2" t="s">
        <v>2138</v>
      </c>
      <c r="C245" s="4">
        <v>1</v>
      </c>
      <c r="D245" s="5">
        <v>3.3</v>
      </c>
      <c r="E245" s="5">
        <v>7.99</v>
      </c>
      <c r="F245" s="4" t="s">
        <v>2139</v>
      </c>
      <c r="G245" s="2" t="s">
        <v>62</v>
      </c>
      <c r="H245" s="7" t="s">
        <v>514</v>
      </c>
      <c r="I245" s="2" t="s">
        <v>1689</v>
      </c>
      <c r="J245" s="2" t="s">
        <v>354</v>
      </c>
      <c r="K245" s="2" t="s">
        <v>304</v>
      </c>
      <c r="L245" s="2" t="s">
        <v>119</v>
      </c>
      <c r="M245" s="8" t="str">
        <f>HYPERLINK("http://slimages.macys.com/is/image/MCY/10178138 ")</f>
        <v xml:space="preserve">http://slimages.macys.com/is/image/MCY/10178138 </v>
      </c>
    </row>
    <row r="246" spans="1:13" ht="60" x14ac:dyDescent="0.25">
      <c r="A246" s="7" t="s">
        <v>6449</v>
      </c>
      <c r="B246" s="2" t="s">
        <v>2138</v>
      </c>
      <c r="C246" s="4">
        <v>1</v>
      </c>
      <c r="D246" s="5">
        <v>3.3</v>
      </c>
      <c r="E246" s="5">
        <v>7.99</v>
      </c>
      <c r="F246" s="4" t="s">
        <v>2139</v>
      </c>
      <c r="G246" s="2" t="s">
        <v>86</v>
      </c>
      <c r="H246" s="7" t="s">
        <v>578</v>
      </c>
      <c r="I246" s="2" t="s">
        <v>1689</v>
      </c>
      <c r="J246" s="2" t="s">
        <v>354</v>
      </c>
      <c r="K246" s="2" t="s">
        <v>304</v>
      </c>
      <c r="L246" s="2" t="s">
        <v>119</v>
      </c>
      <c r="M246" s="8" t="str">
        <f>HYPERLINK("http://slimages.macys.com/is/image/MCY/10178138 ")</f>
        <v xml:space="preserve">http://slimages.macys.com/is/image/MCY/10178138 </v>
      </c>
    </row>
    <row r="247" spans="1:13" ht="60" x14ac:dyDescent="0.25">
      <c r="A247" s="7" t="s">
        <v>6450</v>
      </c>
      <c r="B247" s="2" t="s">
        <v>2138</v>
      </c>
      <c r="C247" s="4">
        <v>5</v>
      </c>
      <c r="D247" s="5">
        <v>3.3</v>
      </c>
      <c r="E247" s="5">
        <v>7.99</v>
      </c>
      <c r="F247" s="4" t="s">
        <v>2139</v>
      </c>
      <c r="G247" s="2" t="s">
        <v>86</v>
      </c>
      <c r="H247" s="7" t="s">
        <v>123</v>
      </c>
      <c r="I247" s="2" t="s">
        <v>1689</v>
      </c>
      <c r="J247" s="2" t="s">
        <v>354</v>
      </c>
      <c r="K247" s="2" t="s">
        <v>304</v>
      </c>
      <c r="L247" s="2" t="s">
        <v>119</v>
      </c>
      <c r="M247" s="8" t="str">
        <f>HYPERLINK("http://slimages.macys.com/is/image/MCY/10178138 ")</f>
        <v xml:space="preserve">http://slimages.macys.com/is/image/MCY/10178138 </v>
      </c>
    </row>
    <row r="248" spans="1:13" ht="60" x14ac:dyDescent="0.25">
      <c r="A248" s="7" t="s">
        <v>6451</v>
      </c>
      <c r="B248" s="2" t="s">
        <v>2138</v>
      </c>
      <c r="C248" s="4">
        <v>1</v>
      </c>
      <c r="D248" s="5">
        <v>3.3</v>
      </c>
      <c r="E248" s="5">
        <v>7.99</v>
      </c>
      <c r="F248" s="4" t="s">
        <v>2139</v>
      </c>
      <c r="G248" s="2" t="s">
        <v>86</v>
      </c>
      <c r="H248" s="7" t="s">
        <v>1151</v>
      </c>
      <c r="I248" s="2" t="s">
        <v>1689</v>
      </c>
      <c r="J248" s="2" t="s">
        <v>354</v>
      </c>
      <c r="K248" s="2" t="s">
        <v>304</v>
      </c>
      <c r="L248" s="2" t="s">
        <v>119</v>
      </c>
      <c r="M248" s="8" t="str">
        <f>HYPERLINK("http://slimages.macys.com/is/image/MCY/10178138 ")</f>
        <v xml:space="preserve">http://slimages.macys.com/is/image/MCY/10178138 </v>
      </c>
    </row>
    <row r="249" spans="1:13" ht="60" x14ac:dyDescent="0.25">
      <c r="A249" s="7" t="s">
        <v>6452</v>
      </c>
      <c r="B249" s="2" t="s">
        <v>6453</v>
      </c>
      <c r="C249" s="4">
        <v>1</v>
      </c>
      <c r="D249" s="5">
        <v>3.29</v>
      </c>
      <c r="E249" s="5">
        <v>7.99</v>
      </c>
      <c r="F249" s="4" t="s">
        <v>6454</v>
      </c>
      <c r="G249" s="2" t="s">
        <v>103</v>
      </c>
      <c r="H249" s="7" t="s">
        <v>578</v>
      </c>
      <c r="I249" s="2" t="s">
        <v>1689</v>
      </c>
      <c r="J249" s="2" t="s">
        <v>354</v>
      </c>
      <c r="K249" s="2" t="s">
        <v>304</v>
      </c>
      <c r="L249" s="2" t="s">
        <v>119</v>
      </c>
      <c r="M249" s="8" t="str">
        <f>HYPERLINK("http://slimages.macys.com/is/image/MCY/12101652 ")</f>
        <v xml:space="preserve">http://slimages.macys.com/is/image/MCY/12101652 </v>
      </c>
    </row>
    <row r="250" spans="1:13" ht="60" x14ac:dyDescent="0.25">
      <c r="A250" s="7" t="s">
        <v>1178</v>
      </c>
      <c r="B250" s="2" t="s">
        <v>1176</v>
      </c>
      <c r="C250" s="4">
        <v>5</v>
      </c>
      <c r="D250" s="5">
        <v>3.21</v>
      </c>
      <c r="E250" s="5">
        <v>7.99</v>
      </c>
      <c r="F250" s="4" t="s">
        <v>1177</v>
      </c>
      <c r="G250" s="2" t="s">
        <v>527</v>
      </c>
      <c r="H250" s="7" t="s">
        <v>1151</v>
      </c>
      <c r="I250" s="2" t="s">
        <v>483</v>
      </c>
      <c r="J250" s="2" t="s">
        <v>536</v>
      </c>
      <c r="K250" s="2" t="s">
        <v>304</v>
      </c>
      <c r="L250" s="2" t="s">
        <v>119</v>
      </c>
      <c r="M250" s="8" t="str">
        <f>HYPERLINK("http://slimages.macys.com/is/image/MCY/13987326 ")</f>
        <v xml:space="preserve">http://slimages.macys.com/is/image/MCY/13987326 </v>
      </c>
    </row>
    <row r="251" spans="1:13" ht="60" x14ac:dyDescent="0.25">
      <c r="A251" s="7" t="s">
        <v>6020</v>
      </c>
      <c r="B251" s="2" t="s">
        <v>1176</v>
      </c>
      <c r="C251" s="4">
        <v>3</v>
      </c>
      <c r="D251" s="5">
        <v>3.21</v>
      </c>
      <c r="E251" s="5">
        <v>7.99</v>
      </c>
      <c r="F251" s="4" t="s">
        <v>1177</v>
      </c>
      <c r="G251" s="2" t="s">
        <v>527</v>
      </c>
      <c r="H251" s="7" t="s">
        <v>578</v>
      </c>
      <c r="I251" s="2" t="s">
        <v>483</v>
      </c>
      <c r="J251" s="2" t="s">
        <v>536</v>
      </c>
      <c r="K251" s="2" t="s">
        <v>304</v>
      </c>
      <c r="L251" s="2" t="s">
        <v>119</v>
      </c>
      <c r="M251" s="8" t="str">
        <f>HYPERLINK("http://slimages.macys.com/is/image/MCY/13987326 ")</f>
        <v xml:space="preserve">http://slimages.macys.com/is/image/MCY/13987326 </v>
      </c>
    </row>
    <row r="252" spans="1:13" ht="60" x14ac:dyDescent="0.25">
      <c r="A252" s="7" t="s">
        <v>6455</v>
      </c>
      <c r="B252" s="2" t="s">
        <v>6456</v>
      </c>
      <c r="C252" s="4">
        <v>1</v>
      </c>
      <c r="D252" s="5">
        <v>3.2</v>
      </c>
      <c r="E252" s="5">
        <v>6.99</v>
      </c>
      <c r="F252" s="4" t="s">
        <v>6457</v>
      </c>
      <c r="G252" s="2" t="s">
        <v>171</v>
      </c>
      <c r="H252" s="7" t="s">
        <v>91</v>
      </c>
      <c r="I252" s="2" t="s">
        <v>483</v>
      </c>
      <c r="J252" s="2" t="s">
        <v>536</v>
      </c>
      <c r="K252" s="2" t="s">
        <v>304</v>
      </c>
      <c r="L252" s="2" t="s">
        <v>119</v>
      </c>
      <c r="M252" s="8" t="str">
        <f>HYPERLINK("http://slimages.macys.com/is/image/MCY/11793237 ")</f>
        <v xml:space="preserve">http://slimages.macys.com/is/image/MCY/11793237 </v>
      </c>
    </row>
    <row r="253" spans="1:13" ht="60" x14ac:dyDescent="0.25">
      <c r="A253" s="7" t="s">
        <v>4372</v>
      </c>
      <c r="B253" s="2" t="s">
        <v>4368</v>
      </c>
      <c r="C253" s="4">
        <v>1</v>
      </c>
      <c r="D253" s="5">
        <v>3.15</v>
      </c>
      <c r="E253" s="5">
        <v>7.99</v>
      </c>
      <c r="F253" s="4" t="s">
        <v>4369</v>
      </c>
      <c r="G253" s="2" t="s">
        <v>28</v>
      </c>
      <c r="H253" s="7" t="s">
        <v>1151</v>
      </c>
      <c r="I253" s="2" t="s">
        <v>483</v>
      </c>
      <c r="J253" s="2" t="s">
        <v>536</v>
      </c>
      <c r="K253" s="2" t="s">
        <v>304</v>
      </c>
      <c r="L253" s="2" t="s">
        <v>87</v>
      </c>
      <c r="M253" s="8" t="str">
        <f>HYPERLINK("http://slimages.macys.com/is/image/MCY/11436881 ")</f>
        <v xml:space="preserve">http://slimages.macys.com/is/image/MCY/11436881 </v>
      </c>
    </row>
    <row r="254" spans="1:13" ht="60" x14ac:dyDescent="0.25">
      <c r="A254" s="7" t="s">
        <v>4370</v>
      </c>
      <c r="B254" s="2" t="s">
        <v>4368</v>
      </c>
      <c r="C254" s="4">
        <v>1</v>
      </c>
      <c r="D254" s="5">
        <v>3.15</v>
      </c>
      <c r="E254" s="5">
        <v>7.99</v>
      </c>
      <c r="F254" s="4" t="s">
        <v>4369</v>
      </c>
      <c r="G254" s="2" t="s">
        <v>28</v>
      </c>
      <c r="H254" s="7" t="s">
        <v>514</v>
      </c>
      <c r="I254" s="2" t="s">
        <v>483</v>
      </c>
      <c r="J254" s="2" t="s">
        <v>536</v>
      </c>
      <c r="K254" s="2" t="s">
        <v>304</v>
      </c>
      <c r="L254" s="2" t="s">
        <v>87</v>
      </c>
      <c r="M254" s="8" t="str">
        <f>HYPERLINK("http://slimages.macys.com/is/image/MCY/11436881 ")</f>
        <v xml:space="preserve">http://slimages.macys.com/is/image/MCY/11436881 </v>
      </c>
    </row>
    <row r="255" spans="1:13" ht="60" x14ac:dyDescent="0.25">
      <c r="A255" s="7" t="s">
        <v>2159</v>
      </c>
      <c r="B255" s="2" t="s">
        <v>2160</v>
      </c>
      <c r="C255" s="4">
        <v>1</v>
      </c>
      <c r="D255" s="5">
        <v>3.15</v>
      </c>
      <c r="E255" s="5">
        <v>7.99</v>
      </c>
      <c r="F255" s="4" t="s">
        <v>2161</v>
      </c>
      <c r="G255" s="2" t="s">
        <v>657</v>
      </c>
      <c r="H255" s="7" t="s">
        <v>1151</v>
      </c>
      <c r="I255" s="2" t="s">
        <v>483</v>
      </c>
      <c r="J255" s="2" t="s">
        <v>536</v>
      </c>
      <c r="K255" s="2" t="s">
        <v>304</v>
      </c>
      <c r="L255" s="2" t="s">
        <v>119</v>
      </c>
      <c r="M255" s="8" t="str">
        <f>HYPERLINK("http://slimages.macys.com/is/image/MCY/12644604 ")</f>
        <v xml:space="preserve">http://slimages.macys.com/is/image/MCY/12644604 </v>
      </c>
    </row>
    <row r="256" spans="1:13" ht="60" x14ac:dyDescent="0.25">
      <c r="A256" s="7" t="s">
        <v>4371</v>
      </c>
      <c r="B256" s="2" t="s">
        <v>2160</v>
      </c>
      <c r="C256" s="4">
        <v>1</v>
      </c>
      <c r="D256" s="5">
        <v>3.15</v>
      </c>
      <c r="E256" s="5">
        <v>7.99</v>
      </c>
      <c r="F256" s="4" t="s">
        <v>2161</v>
      </c>
      <c r="G256" s="2" t="s">
        <v>657</v>
      </c>
      <c r="H256" s="7" t="s">
        <v>514</v>
      </c>
      <c r="I256" s="2" t="s">
        <v>483</v>
      </c>
      <c r="J256" s="2" t="s">
        <v>536</v>
      </c>
      <c r="K256" s="2" t="s">
        <v>304</v>
      </c>
      <c r="L256" s="2" t="s">
        <v>119</v>
      </c>
      <c r="M256" s="8" t="str">
        <f>HYPERLINK("http://slimages.macys.com/is/image/MCY/12644604 ")</f>
        <v xml:space="preserve">http://slimages.macys.com/is/image/MCY/12644604 </v>
      </c>
    </row>
    <row r="257" spans="1:13" ht="60" x14ac:dyDescent="0.25">
      <c r="A257" s="7" t="s">
        <v>4373</v>
      </c>
      <c r="B257" s="2" t="s">
        <v>2160</v>
      </c>
      <c r="C257" s="4">
        <v>1</v>
      </c>
      <c r="D257" s="5">
        <v>3.15</v>
      </c>
      <c r="E257" s="5">
        <v>7.99</v>
      </c>
      <c r="F257" s="4" t="s">
        <v>2161</v>
      </c>
      <c r="G257" s="2" t="s">
        <v>657</v>
      </c>
      <c r="H257" s="7" t="s">
        <v>578</v>
      </c>
      <c r="I257" s="2" t="s">
        <v>483</v>
      </c>
      <c r="J257" s="2" t="s">
        <v>536</v>
      </c>
      <c r="K257" s="2" t="s">
        <v>304</v>
      </c>
      <c r="L257" s="2" t="s">
        <v>119</v>
      </c>
      <c r="M257" s="8" t="str">
        <f>HYPERLINK("http://slimages.macys.com/is/image/MCY/12644604 ")</f>
        <v xml:space="preserve">http://slimages.macys.com/is/image/MCY/12644604 </v>
      </c>
    </row>
    <row r="258" spans="1:13" ht="60" x14ac:dyDescent="0.25">
      <c r="A258" s="7" t="s">
        <v>6458</v>
      </c>
      <c r="B258" s="2" t="s">
        <v>4368</v>
      </c>
      <c r="C258" s="4">
        <v>3</v>
      </c>
      <c r="D258" s="5">
        <v>3.15</v>
      </c>
      <c r="E258" s="5">
        <v>7.99</v>
      </c>
      <c r="F258" s="4" t="s">
        <v>4369</v>
      </c>
      <c r="G258" s="2" t="s">
        <v>62</v>
      </c>
      <c r="H258" s="7" t="s">
        <v>1151</v>
      </c>
      <c r="I258" s="2" t="s">
        <v>483</v>
      </c>
      <c r="J258" s="2" t="s">
        <v>536</v>
      </c>
      <c r="K258" s="2" t="s">
        <v>304</v>
      </c>
      <c r="L258" s="2" t="s">
        <v>87</v>
      </c>
      <c r="M258" s="8" t="str">
        <f>HYPERLINK("http://slimages.macys.com/is/image/MCY/11436881 ")</f>
        <v xml:space="preserve">http://slimages.macys.com/is/image/MCY/11436881 </v>
      </c>
    </row>
    <row r="259" spans="1:13" ht="60" x14ac:dyDescent="0.25">
      <c r="A259" s="7" t="s">
        <v>6459</v>
      </c>
      <c r="B259" s="2" t="s">
        <v>4368</v>
      </c>
      <c r="C259" s="4">
        <v>1</v>
      </c>
      <c r="D259" s="5">
        <v>3.15</v>
      </c>
      <c r="E259" s="5">
        <v>7.99</v>
      </c>
      <c r="F259" s="4" t="s">
        <v>4369</v>
      </c>
      <c r="G259" s="2" t="s">
        <v>62</v>
      </c>
      <c r="H259" s="7" t="s">
        <v>578</v>
      </c>
      <c r="I259" s="2" t="s">
        <v>483</v>
      </c>
      <c r="J259" s="2" t="s">
        <v>536</v>
      </c>
      <c r="K259" s="2" t="s">
        <v>304</v>
      </c>
      <c r="L259" s="2" t="s">
        <v>87</v>
      </c>
      <c r="M259" s="8" t="str">
        <f>HYPERLINK("http://slimages.macys.com/is/image/MCY/11436881 ")</f>
        <v xml:space="preserve">http://slimages.macys.com/is/image/MCY/11436881 </v>
      </c>
    </row>
    <row r="260" spans="1:13" ht="60" x14ac:dyDescent="0.25">
      <c r="A260" s="7" t="s">
        <v>6460</v>
      </c>
      <c r="B260" s="2" t="s">
        <v>4368</v>
      </c>
      <c r="C260" s="4">
        <v>3</v>
      </c>
      <c r="D260" s="5">
        <v>3.15</v>
      </c>
      <c r="E260" s="5">
        <v>7.99</v>
      </c>
      <c r="F260" s="4" t="s">
        <v>4369</v>
      </c>
      <c r="G260" s="2" t="s">
        <v>238</v>
      </c>
      <c r="H260" s="7" t="s">
        <v>514</v>
      </c>
      <c r="I260" s="2" t="s">
        <v>483</v>
      </c>
      <c r="J260" s="2" t="s">
        <v>536</v>
      </c>
      <c r="K260" s="2" t="s">
        <v>304</v>
      </c>
      <c r="L260" s="2" t="s">
        <v>87</v>
      </c>
      <c r="M260" s="8" t="str">
        <f>HYPERLINK("http://slimages.macys.com/is/image/MCY/11436881 ")</f>
        <v xml:space="preserve">http://slimages.macys.com/is/image/MCY/11436881 </v>
      </c>
    </row>
    <row r="261" spans="1:13" ht="60" x14ac:dyDescent="0.25">
      <c r="A261" s="7" t="s">
        <v>6461</v>
      </c>
      <c r="B261" s="2" t="s">
        <v>4368</v>
      </c>
      <c r="C261" s="4">
        <v>1</v>
      </c>
      <c r="D261" s="5">
        <v>3.15</v>
      </c>
      <c r="E261" s="5">
        <v>7.99</v>
      </c>
      <c r="F261" s="4" t="s">
        <v>4369</v>
      </c>
      <c r="G261" s="2" t="s">
        <v>437</v>
      </c>
      <c r="H261" s="7" t="s">
        <v>514</v>
      </c>
      <c r="I261" s="2" t="s">
        <v>483</v>
      </c>
      <c r="J261" s="2" t="s">
        <v>536</v>
      </c>
      <c r="K261" s="2" t="s">
        <v>304</v>
      </c>
      <c r="L261" s="2" t="s">
        <v>87</v>
      </c>
      <c r="M261" s="8" t="str">
        <f>HYPERLINK("http://slimages.macys.com/is/image/MCY/11436881 ")</f>
        <v xml:space="preserve">http://slimages.macys.com/is/image/MCY/11436881 </v>
      </c>
    </row>
    <row r="262" spans="1:13" ht="60" x14ac:dyDescent="0.25">
      <c r="A262" s="7" t="s">
        <v>6462</v>
      </c>
      <c r="B262" s="2" t="s">
        <v>4383</v>
      </c>
      <c r="C262" s="4">
        <v>2</v>
      </c>
      <c r="D262" s="5">
        <v>3.05</v>
      </c>
      <c r="E262" s="5">
        <v>7.99</v>
      </c>
      <c r="F262" s="4" t="s">
        <v>4384</v>
      </c>
      <c r="G262" s="2" t="s">
        <v>86</v>
      </c>
      <c r="H262" s="7" t="s">
        <v>578</v>
      </c>
      <c r="I262" s="2" t="s">
        <v>483</v>
      </c>
      <c r="J262" s="2" t="s">
        <v>536</v>
      </c>
      <c r="K262" s="2" t="s">
        <v>304</v>
      </c>
      <c r="L262" s="2" t="s">
        <v>87</v>
      </c>
      <c r="M262" s="8" t="str">
        <f>HYPERLINK("http://slimages.macys.com/is/image/MCY/12646929 ")</f>
        <v xml:space="preserve">http://slimages.macys.com/is/image/MCY/12646929 </v>
      </c>
    </row>
    <row r="263" spans="1:13" ht="60" x14ac:dyDescent="0.25">
      <c r="A263" s="7" t="s">
        <v>2162</v>
      </c>
      <c r="B263" s="2" t="s">
        <v>2163</v>
      </c>
      <c r="C263" s="4">
        <v>7</v>
      </c>
      <c r="D263" s="5">
        <v>3.05</v>
      </c>
      <c r="E263" s="5">
        <v>7.99</v>
      </c>
      <c r="F263" s="4" t="s">
        <v>2164</v>
      </c>
      <c r="G263" s="2" t="s">
        <v>28</v>
      </c>
      <c r="H263" s="7" t="s">
        <v>1151</v>
      </c>
      <c r="I263" s="2" t="s">
        <v>483</v>
      </c>
      <c r="J263" s="2" t="s">
        <v>536</v>
      </c>
      <c r="K263" s="2" t="s">
        <v>304</v>
      </c>
      <c r="L263" s="2" t="s">
        <v>119</v>
      </c>
      <c r="M263" s="8" t="str">
        <f>HYPERLINK("http://slimages.macys.com/is/image/MCY/11436914 ")</f>
        <v xml:space="preserve">http://slimages.macys.com/is/image/MCY/11436914 </v>
      </c>
    </row>
    <row r="264" spans="1:13" ht="60" x14ac:dyDescent="0.25">
      <c r="A264" s="7" t="s">
        <v>6463</v>
      </c>
      <c r="B264" s="2" t="s">
        <v>4383</v>
      </c>
      <c r="C264" s="4">
        <v>4</v>
      </c>
      <c r="D264" s="5">
        <v>3.05</v>
      </c>
      <c r="E264" s="5">
        <v>7.99</v>
      </c>
      <c r="F264" s="4" t="s">
        <v>4384</v>
      </c>
      <c r="G264" s="2" t="s">
        <v>858</v>
      </c>
      <c r="H264" s="7" t="s">
        <v>578</v>
      </c>
      <c r="I264" s="2" t="s">
        <v>483</v>
      </c>
      <c r="J264" s="2" t="s">
        <v>536</v>
      </c>
      <c r="K264" s="2" t="s">
        <v>304</v>
      </c>
      <c r="L264" s="2" t="s">
        <v>87</v>
      </c>
      <c r="M264" s="8" t="str">
        <f>HYPERLINK("http://slimages.macys.com/is/image/MCY/12646929 ")</f>
        <v xml:space="preserve">http://slimages.macys.com/is/image/MCY/12646929 </v>
      </c>
    </row>
    <row r="265" spans="1:13" ht="60" x14ac:dyDescent="0.25">
      <c r="A265" s="7" t="s">
        <v>6464</v>
      </c>
      <c r="B265" s="2" t="s">
        <v>4383</v>
      </c>
      <c r="C265" s="4">
        <v>2</v>
      </c>
      <c r="D265" s="5">
        <v>3.05</v>
      </c>
      <c r="E265" s="5">
        <v>7.99</v>
      </c>
      <c r="F265" s="4" t="s">
        <v>4384</v>
      </c>
      <c r="G265" s="2" t="s">
        <v>858</v>
      </c>
      <c r="H265" s="7" t="s">
        <v>1151</v>
      </c>
      <c r="I265" s="2" t="s">
        <v>483</v>
      </c>
      <c r="J265" s="2" t="s">
        <v>536</v>
      </c>
      <c r="K265" s="2" t="s">
        <v>304</v>
      </c>
      <c r="L265" s="2" t="s">
        <v>87</v>
      </c>
      <c r="M265" s="8" t="str">
        <f>HYPERLINK("http://slimages.macys.com/is/image/MCY/12646929 ")</f>
        <v xml:space="preserve">http://slimages.macys.com/is/image/MCY/12646929 </v>
      </c>
    </row>
    <row r="266" spans="1:13" ht="60" x14ac:dyDescent="0.25">
      <c r="A266" s="7" t="s">
        <v>6465</v>
      </c>
      <c r="B266" s="2" t="s">
        <v>6466</v>
      </c>
      <c r="C266" s="4">
        <v>1</v>
      </c>
      <c r="D266" s="5">
        <v>3.05</v>
      </c>
      <c r="E266" s="5">
        <v>7.99</v>
      </c>
      <c r="F266" s="4" t="s">
        <v>6467</v>
      </c>
      <c r="G266" s="2" t="s">
        <v>134</v>
      </c>
      <c r="H266" s="7" t="s">
        <v>514</v>
      </c>
      <c r="I266" s="2" t="s">
        <v>483</v>
      </c>
      <c r="J266" s="2" t="s">
        <v>536</v>
      </c>
      <c r="K266" s="2" t="s">
        <v>304</v>
      </c>
      <c r="L266" s="2" t="s">
        <v>119</v>
      </c>
      <c r="M266" s="8" t="str">
        <f>HYPERLINK("http://slimages.macys.com/is/image/MCY/12644420 ")</f>
        <v xml:space="preserve">http://slimages.macys.com/is/image/MCY/12644420 </v>
      </c>
    </row>
    <row r="267" spans="1:13" ht="60" x14ac:dyDescent="0.25">
      <c r="A267" s="7" t="s">
        <v>6468</v>
      </c>
      <c r="B267" s="2" t="s">
        <v>2168</v>
      </c>
      <c r="C267" s="4">
        <v>9</v>
      </c>
      <c r="D267" s="5">
        <v>3.02</v>
      </c>
      <c r="E267" s="5">
        <v>7.99</v>
      </c>
      <c r="F267" s="4" t="s">
        <v>2169</v>
      </c>
      <c r="G267" s="2" t="s">
        <v>657</v>
      </c>
      <c r="H267" s="7" t="s">
        <v>514</v>
      </c>
      <c r="I267" s="2" t="s">
        <v>483</v>
      </c>
      <c r="J267" s="2" t="s">
        <v>536</v>
      </c>
      <c r="K267" s="2" t="s">
        <v>304</v>
      </c>
      <c r="L267" s="2" t="s">
        <v>119</v>
      </c>
      <c r="M267" s="8" t="str">
        <f>HYPERLINK("http://slimages.macys.com/is/image/MCY/13987476 ")</f>
        <v xml:space="preserve">http://slimages.macys.com/is/image/MCY/13987476 </v>
      </c>
    </row>
    <row r="268" spans="1:13" ht="60" x14ac:dyDescent="0.25">
      <c r="A268" s="7" t="s">
        <v>6469</v>
      </c>
      <c r="B268" s="2" t="s">
        <v>2168</v>
      </c>
      <c r="C268" s="4">
        <v>3</v>
      </c>
      <c r="D268" s="5">
        <v>3.02</v>
      </c>
      <c r="E268" s="5">
        <v>7.99</v>
      </c>
      <c r="F268" s="4" t="s">
        <v>2169</v>
      </c>
      <c r="G268" s="2" t="s">
        <v>657</v>
      </c>
      <c r="H268" s="7" t="s">
        <v>1151</v>
      </c>
      <c r="I268" s="2" t="s">
        <v>483</v>
      </c>
      <c r="J268" s="2" t="s">
        <v>536</v>
      </c>
      <c r="K268" s="2" t="s">
        <v>304</v>
      </c>
      <c r="L268" s="2" t="s">
        <v>119</v>
      </c>
      <c r="M268" s="8" t="str">
        <f>HYPERLINK("http://slimages.macys.com/is/image/MCY/13987476 ")</f>
        <v xml:space="preserve">http://slimages.macys.com/is/image/MCY/13987476 </v>
      </c>
    </row>
    <row r="269" spans="1:13" ht="60" x14ac:dyDescent="0.25">
      <c r="A269" s="7" t="s">
        <v>6470</v>
      </c>
      <c r="B269" s="2" t="s">
        <v>1193</v>
      </c>
      <c r="C269" s="4">
        <v>1</v>
      </c>
      <c r="D269" s="5">
        <v>3.01</v>
      </c>
      <c r="E269" s="5">
        <v>7.99</v>
      </c>
      <c r="F269" s="4" t="s">
        <v>1194</v>
      </c>
      <c r="G269" s="2" t="s">
        <v>1147</v>
      </c>
      <c r="H269" s="7" t="s">
        <v>578</v>
      </c>
      <c r="I269" s="2" t="s">
        <v>483</v>
      </c>
      <c r="J269" s="2" t="s">
        <v>536</v>
      </c>
      <c r="K269" s="2" t="s">
        <v>304</v>
      </c>
      <c r="L269" s="2" t="s">
        <v>100</v>
      </c>
      <c r="M269" s="8" t="str">
        <f>HYPERLINK("http://slimages.macys.com/is/image/MCY/13987297 ")</f>
        <v xml:space="preserve">http://slimages.macys.com/is/image/MCY/13987297 </v>
      </c>
    </row>
    <row r="270" spans="1:13" ht="60" x14ac:dyDescent="0.25">
      <c r="A270" s="7" t="s">
        <v>6471</v>
      </c>
      <c r="B270" s="2" t="s">
        <v>6472</v>
      </c>
      <c r="C270" s="4">
        <v>1</v>
      </c>
      <c r="D270" s="5">
        <v>3.01</v>
      </c>
      <c r="E270" s="5">
        <v>7.99</v>
      </c>
      <c r="F270" s="4" t="s">
        <v>6473</v>
      </c>
      <c r="G270" s="2" t="s">
        <v>657</v>
      </c>
      <c r="H270" s="7" t="s">
        <v>578</v>
      </c>
      <c r="I270" s="2" t="s">
        <v>483</v>
      </c>
      <c r="J270" s="2" t="s">
        <v>536</v>
      </c>
      <c r="K270" s="2" t="s">
        <v>304</v>
      </c>
      <c r="L270" s="2" t="s">
        <v>119</v>
      </c>
      <c r="M270" s="8" t="str">
        <f>HYPERLINK("http://slimages.macys.com/is/image/MCY/12644366 ")</f>
        <v xml:space="preserve">http://slimages.macys.com/is/image/MCY/12644366 </v>
      </c>
    </row>
    <row r="271" spans="1:13" ht="60" x14ac:dyDescent="0.25">
      <c r="A271" s="7" t="s">
        <v>1192</v>
      </c>
      <c r="B271" s="2" t="s">
        <v>1193</v>
      </c>
      <c r="C271" s="4">
        <v>2</v>
      </c>
      <c r="D271" s="5">
        <v>3.01</v>
      </c>
      <c r="E271" s="5">
        <v>7.99</v>
      </c>
      <c r="F271" s="4" t="s">
        <v>1194</v>
      </c>
      <c r="G271" s="2" t="s">
        <v>1147</v>
      </c>
      <c r="H271" s="7" t="s">
        <v>1151</v>
      </c>
      <c r="I271" s="2" t="s">
        <v>483</v>
      </c>
      <c r="J271" s="2" t="s">
        <v>536</v>
      </c>
      <c r="K271" s="2" t="s">
        <v>304</v>
      </c>
      <c r="L271" s="2" t="s">
        <v>100</v>
      </c>
      <c r="M271" s="8" t="str">
        <f>HYPERLINK("http://slimages.macys.com/is/image/MCY/13987297 ")</f>
        <v xml:space="preserve">http://slimages.macys.com/is/image/MCY/13987297 </v>
      </c>
    </row>
    <row r="272" spans="1:13" ht="60" x14ac:dyDescent="0.25">
      <c r="A272" s="7" t="s">
        <v>2173</v>
      </c>
      <c r="B272" s="2" t="s">
        <v>2174</v>
      </c>
      <c r="C272" s="4">
        <v>12</v>
      </c>
      <c r="D272" s="5">
        <v>2.98</v>
      </c>
      <c r="E272" s="5">
        <v>7.99</v>
      </c>
      <c r="F272" s="4" t="s">
        <v>2175</v>
      </c>
      <c r="G272" s="2" t="s">
        <v>86</v>
      </c>
      <c r="H272" s="7" t="s">
        <v>514</v>
      </c>
      <c r="I272" s="2" t="s">
        <v>483</v>
      </c>
      <c r="J272" s="2" t="s">
        <v>536</v>
      </c>
      <c r="K272" s="2" t="s">
        <v>304</v>
      </c>
      <c r="L272" s="2" t="s">
        <v>38</v>
      </c>
      <c r="M272" s="8" t="str">
        <f>HYPERLINK("http://slimages.macys.com/is/image/MCY/11436902 ")</f>
        <v xml:space="preserve">http://slimages.macys.com/is/image/MCY/11436902 </v>
      </c>
    </row>
    <row r="273" spans="1:13" ht="60" x14ac:dyDescent="0.25">
      <c r="A273" s="7" t="s">
        <v>6474</v>
      </c>
      <c r="B273" s="2" t="s">
        <v>2174</v>
      </c>
      <c r="C273" s="4">
        <v>2</v>
      </c>
      <c r="D273" s="5">
        <v>2.98</v>
      </c>
      <c r="E273" s="5">
        <v>7.99</v>
      </c>
      <c r="F273" s="4" t="s">
        <v>2175</v>
      </c>
      <c r="G273" s="2" t="s">
        <v>86</v>
      </c>
      <c r="H273" s="7" t="s">
        <v>578</v>
      </c>
      <c r="I273" s="2" t="s">
        <v>483</v>
      </c>
      <c r="J273" s="2" t="s">
        <v>536</v>
      </c>
      <c r="K273" s="2" t="s">
        <v>304</v>
      </c>
      <c r="L273" s="2" t="s">
        <v>38</v>
      </c>
      <c r="M273" s="8" t="str">
        <f>HYPERLINK("http://slimages.macys.com/is/image/MCY/11436902 ")</f>
        <v xml:space="preserve">http://slimages.macys.com/is/image/MCY/11436902 </v>
      </c>
    </row>
    <row r="274" spans="1:13" ht="60" x14ac:dyDescent="0.25">
      <c r="A274" s="7" t="s">
        <v>6475</v>
      </c>
      <c r="B274" s="2" t="s">
        <v>2174</v>
      </c>
      <c r="C274" s="4">
        <v>3</v>
      </c>
      <c r="D274" s="5">
        <v>2.98</v>
      </c>
      <c r="E274" s="5">
        <v>7.99</v>
      </c>
      <c r="F274" s="4" t="s">
        <v>2175</v>
      </c>
      <c r="G274" s="2" t="s">
        <v>86</v>
      </c>
      <c r="H274" s="7" t="s">
        <v>1151</v>
      </c>
      <c r="I274" s="2" t="s">
        <v>483</v>
      </c>
      <c r="J274" s="2" t="s">
        <v>536</v>
      </c>
      <c r="K274" s="2" t="s">
        <v>304</v>
      </c>
      <c r="L274" s="2" t="s">
        <v>38</v>
      </c>
      <c r="M274" s="8" t="str">
        <f>HYPERLINK("http://slimages.macys.com/is/image/MCY/11436902 ")</f>
        <v xml:space="preserve">http://slimages.macys.com/is/image/MCY/11436902 </v>
      </c>
    </row>
    <row r="275" spans="1:13" ht="60" x14ac:dyDescent="0.25">
      <c r="A275" s="7" t="s">
        <v>6476</v>
      </c>
      <c r="B275" s="2" t="s">
        <v>2183</v>
      </c>
      <c r="C275" s="4">
        <v>1</v>
      </c>
      <c r="D275" s="5">
        <v>2.97</v>
      </c>
      <c r="E275" s="5">
        <v>7.99</v>
      </c>
      <c r="F275" s="4" t="s">
        <v>2184</v>
      </c>
      <c r="G275" s="2" t="s">
        <v>595</v>
      </c>
      <c r="H275" s="7"/>
      <c r="I275" s="2" t="s">
        <v>483</v>
      </c>
      <c r="J275" s="2" t="s">
        <v>536</v>
      </c>
      <c r="K275" s="2" t="s">
        <v>304</v>
      </c>
      <c r="L275" s="2" t="s">
        <v>119</v>
      </c>
      <c r="M275" s="8" t="str">
        <f>HYPERLINK("http://slimages.macys.com/is/image/MCY/12465363 ")</f>
        <v xml:space="preserve">http://slimages.macys.com/is/image/MCY/12465363 </v>
      </c>
    </row>
    <row r="276" spans="1:13" ht="60" x14ac:dyDescent="0.25">
      <c r="A276" s="7" t="s">
        <v>2176</v>
      </c>
      <c r="B276" s="2" t="s">
        <v>2177</v>
      </c>
      <c r="C276" s="4">
        <v>1</v>
      </c>
      <c r="D276" s="5">
        <v>2.97</v>
      </c>
      <c r="E276" s="5">
        <v>7.99</v>
      </c>
      <c r="F276" s="4" t="s">
        <v>2178</v>
      </c>
      <c r="G276" s="2" t="s">
        <v>86</v>
      </c>
      <c r="H276" s="7" t="s">
        <v>149</v>
      </c>
      <c r="I276" s="2" t="s">
        <v>483</v>
      </c>
      <c r="J276" s="2" t="s">
        <v>536</v>
      </c>
      <c r="K276" s="2" t="s">
        <v>304</v>
      </c>
      <c r="L276" s="2" t="s">
        <v>119</v>
      </c>
      <c r="M276" s="8" t="str">
        <f>HYPERLINK("http://slimages.macys.com/is/image/MCY/12465218 ")</f>
        <v xml:space="preserve">http://slimages.macys.com/is/image/MCY/12465218 </v>
      </c>
    </row>
    <row r="277" spans="1:13" ht="60" x14ac:dyDescent="0.25">
      <c r="A277" s="7" t="s">
        <v>6477</v>
      </c>
      <c r="B277" s="2" t="s">
        <v>5669</v>
      </c>
      <c r="C277" s="4">
        <v>1</v>
      </c>
      <c r="D277" s="5">
        <v>2.91</v>
      </c>
      <c r="E277" s="5">
        <v>6.99</v>
      </c>
      <c r="F277" s="4" t="s">
        <v>5670</v>
      </c>
      <c r="G277" s="2" t="s">
        <v>48</v>
      </c>
      <c r="H277" s="7" t="s">
        <v>91</v>
      </c>
      <c r="I277" s="2" t="s">
        <v>483</v>
      </c>
      <c r="J277" s="2" t="s">
        <v>536</v>
      </c>
      <c r="K277" s="2" t="s">
        <v>304</v>
      </c>
      <c r="L277" s="2" t="s">
        <v>119</v>
      </c>
      <c r="M277" s="8" t="str">
        <f>HYPERLINK("http://slimages.macys.com/is/image/MCY/11436908 ")</f>
        <v xml:space="preserve">http://slimages.macys.com/is/image/MCY/11436908 </v>
      </c>
    </row>
    <row r="278" spans="1:13" ht="60" x14ac:dyDescent="0.25">
      <c r="A278" s="7" t="s">
        <v>5668</v>
      </c>
      <c r="B278" s="2" t="s">
        <v>5669</v>
      </c>
      <c r="C278" s="4">
        <v>1</v>
      </c>
      <c r="D278" s="5">
        <v>2.91</v>
      </c>
      <c r="E278" s="5">
        <v>6.99</v>
      </c>
      <c r="F278" s="4" t="s">
        <v>5670</v>
      </c>
      <c r="G278" s="2" t="s">
        <v>48</v>
      </c>
      <c r="H278" s="7" t="s">
        <v>149</v>
      </c>
      <c r="I278" s="2" t="s">
        <v>483</v>
      </c>
      <c r="J278" s="2" t="s">
        <v>536</v>
      </c>
      <c r="K278" s="2" t="s">
        <v>304</v>
      </c>
      <c r="L278" s="2" t="s">
        <v>119</v>
      </c>
      <c r="M278" s="8" t="str">
        <f>HYPERLINK("http://slimages.macys.com/is/image/MCY/11436908 ")</f>
        <v xml:space="preserve">http://slimages.macys.com/is/image/MCY/11436908 </v>
      </c>
    </row>
    <row r="279" spans="1:13" ht="60" x14ac:dyDescent="0.25">
      <c r="A279" s="7" t="s">
        <v>6478</v>
      </c>
      <c r="B279" s="2" t="s">
        <v>6479</v>
      </c>
      <c r="C279" s="4">
        <v>1</v>
      </c>
      <c r="D279" s="5">
        <v>2.91</v>
      </c>
      <c r="E279" s="5">
        <v>6.99</v>
      </c>
      <c r="F279" s="4">
        <v>10005791200</v>
      </c>
      <c r="G279" s="2" t="s">
        <v>41</v>
      </c>
      <c r="H279" s="7" t="s">
        <v>442</v>
      </c>
      <c r="I279" s="2" t="s">
        <v>483</v>
      </c>
      <c r="J279" s="2" t="s">
        <v>536</v>
      </c>
      <c r="K279" s="2" t="s">
        <v>304</v>
      </c>
      <c r="L279" s="2" t="s">
        <v>119</v>
      </c>
      <c r="M279" s="8" t="str">
        <f>HYPERLINK("http://slimages.macys.com/is/image/MCY/12466218 ")</f>
        <v xml:space="preserve">http://slimages.macys.com/is/image/MCY/12466218 </v>
      </c>
    </row>
    <row r="280" spans="1:13" ht="60" x14ac:dyDescent="0.25">
      <c r="A280" s="7" t="s">
        <v>1204</v>
      </c>
      <c r="B280" s="2" t="s">
        <v>1205</v>
      </c>
      <c r="C280" s="4">
        <v>1</v>
      </c>
      <c r="D280" s="5">
        <v>2.87</v>
      </c>
      <c r="E280" s="5">
        <v>7.99</v>
      </c>
      <c r="F280" s="4" t="s">
        <v>1206</v>
      </c>
      <c r="G280" s="2" t="s">
        <v>437</v>
      </c>
      <c r="H280" s="7" t="s">
        <v>531</v>
      </c>
      <c r="I280" s="2" t="s">
        <v>483</v>
      </c>
      <c r="J280" s="2" t="s">
        <v>536</v>
      </c>
      <c r="K280" s="2" t="s">
        <v>304</v>
      </c>
      <c r="L280" s="2" t="s">
        <v>1207</v>
      </c>
      <c r="M280" s="8" t="str">
        <f>HYPERLINK("http://slimages.macys.com/is/image/MCY/12466264 ")</f>
        <v xml:space="preserve">http://slimages.macys.com/is/image/MCY/12466264 </v>
      </c>
    </row>
    <row r="281" spans="1:13" ht="60" x14ac:dyDescent="0.25">
      <c r="A281" s="7" t="s">
        <v>5678</v>
      </c>
      <c r="B281" s="2" t="s">
        <v>5675</v>
      </c>
      <c r="C281" s="4">
        <v>1</v>
      </c>
      <c r="D281" s="5">
        <v>2.84</v>
      </c>
      <c r="E281" s="5">
        <v>7.99</v>
      </c>
      <c r="F281" s="4" t="s">
        <v>5676</v>
      </c>
      <c r="G281" s="2" t="s">
        <v>41</v>
      </c>
      <c r="H281" s="7"/>
      <c r="I281" s="2" t="s">
        <v>483</v>
      </c>
      <c r="J281" s="2" t="s">
        <v>536</v>
      </c>
      <c r="K281" s="2" t="s">
        <v>304</v>
      </c>
      <c r="L281" s="2" t="s">
        <v>87</v>
      </c>
      <c r="M281" s="8" t="str">
        <f>HYPERLINK("http://slimages.macys.com/is/image/MCY/14384843 ")</f>
        <v xml:space="preserve">http://slimages.macys.com/is/image/MCY/14384843 </v>
      </c>
    </row>
    <row r="282" spans="1:13" ht="108" x14ac:dyDescent="0.25">
      <c r="A282" s="7" t="s">
        <v>597</v>
      </c>
      <c r="B282" s="2" t="s">
        <v>598</v>
      </c>
      <c r="C282" s="4">
        <v>1</v>
      </c>
      <c r="D282" s="5">
        <v>2.84</v>
      </c>
      <c r="E282" s="5">
        <v>7.99</v>
      </c>
      <c r="F282" s="4" t="s">
        <v>599</v>
      </c>
      <c r="G282" s="2" t="s">
        <v>62</v>
      </c>
      <c r="H282" s="7"/>
      <c r="I282" s="2" t="s">
        <v>483</v>
      </c>
      <c r="J282" s="2" t="s">
        <v>536</v>
      </c>
      <c r="K282" s="2" t="s">
        <v>304</v>
      </c>
      <c r="L282" s="2" t="s">
        <v>600</v>
      </c>
      <c r="M282" s="8" t="str">
        <f>HYPERLINK("http://slimages.macys.com/is/image/MCY/14384837 ")</f>
        <v xml:space="preserve">http://slimages.macys.com/is/image/MCY/14384837 </v>
      </c>
    </row>
    <row r="283" spans="1:13" ht="108" x14ac:dyDescent="0.25">
      <c r="A283" s="7" t="s">
        <v>2199</v>
      </c>
      <c r="B283" s="2" t="s">
        <v>598</v>
      </c>
      <c r="C283" s="4">
        <v>1</v>
      </c>
      <c r="D283" s="5">
        <v>2.84</v>
      </c>
      <c r="E283" s="5">
        <v>7.99</v>
      </c>
      <c r="F283" s="4" t="s">
        <v>599</v>
      </c>
      <c r="G283" s="2" t="s">
        <v>62</v>
      </c>
      <c r="H283" s="7" t="s">
        <v>590</v>
      </c>
      <c r="I283" s="2" t="s">
        <v>483</v>
      </c>
      <c r="J283" s="2" t="s">
        <v>536</v>
      </c>
      <c r="K283" s="2" t="s">
        <v>304</v>
      </c>
      <c r="L283" s="2" t="s">
        <v>600</v>
      </c>
      <c r="M283" s="8" t="str">
        <f>HYPERLINK("http://slimages.macys.com/is/image/MCY/14384837 ")</f>
        <v xml:space="preserve">http://slimages.macys.com/is/image/MCY/14384837 </v>
      </c>
    </row>
    <row r="284" spans="1:13" ht="60" x14ac:dyDescent="0.25">
      <c r="A284" s="7" t="s">
        <v>601</v>
      </c>
      <c r="B284" s="2" t="s">
        <v>602</v>
      </c>
      <c r="C284" s="4">
        <v>1</v>
      </c>
      <c r="D284" s="5">
        <v>2.77</v>
      </c>
      <c r="E284" s="5">
        <v>7.99</v>
      </c>
      <c r="F284" s="4" t="s">
        <v>603</v>
      </c>
      <c r="G284" s="2" t="s">
        <v>297</v>
      </c>
      <c r="H284" s="7" t="s">
        <v>604</v>
      </c>
      <c r="I284" s="2" t="s">
        <v>483</v>
      </c>
      <c r="J284" s="2" t="s">
        <v>536</v>
      </c>
      <c r="K284" s="2" t="s">
        <v>304</v>
      </c>
      <c r="L284" s="2" t="s">
        <v>119</v>
      </c>
      <c r="M284" s="8" t="str">
        <f>HYPERLINK("http://slimages.macys.com/is/image/MCY/11520409 ")</f>
        <v xml:space="preserve">http://slimages.macys.com/is/image/MCY/11520409 </v>
      </c>
    </row>
    <row r="285" spans="1:13" ht="60" x14ac:dyDescent="0.25">
      <c r="A285" s="7" t="s">
        <v>6480</v>
      </c>
      <c r="B285" s="2" t="s">
        <v>6481</v>
      </c>
      <c r="C285" s="4">
        <v>1</v>
      </c>
      <c r="D285" s="5">
        <v>2.75</v>
      </c>
      <c r="E285" s="5">
        <v>6.99</v>
      </c>
      <c r="F285" s="4" t="s">
        <v>6482</v>
      </c>
      <c r="G285" s="2" t="s">
        <v>41</v>
      </c>
      <c r="H285" s="7" t="s">
        <v>442</v>
      </c>
      <c r="I285" s="2" t="s">
        <v>483</v>
      </c>
      <c r="J285" s="2" t="s">
        <v>536</v>
      </c>
      <c r="K285" s="2" t="s">
        <v>304</v>
      </c>
      <c r="L285" s="2" t="s">
        <v>38</v>
      </c>
      <c r="M285" s="8" t="str">
        <f>HYPERLINK("http://slimages.macys.com/is/image/MCY/13987340 ")</f>
        <v xml:space="preserve">http://slimages.macys.com/is/image/MCY/13987340 </v>
      </c>
    </row>
    <row r="286" spans="1:13" ht="60" x14ac:dyDescent="0.25">
      <c r="A286" s="7" t="s">
        <v>6025</v>
      </c>
      <c r="B286" s="2" t="s">
        <v>1219</v>
      </c>
      <c r="C286" s="4">
        <v>12</v>
      </c>
      <c r="D286" s="5">
        <v>2.75</v>
      </c>
      <c r="E286" s="5">
        <v>6.99</v>
      </c>
      <c r="F286" s="4" t="s">
        <v>1220</v>
      </c>
      <c r="G286" s="2" t="s">
        <v>527</v>
      </c>
      <c r="H286" s="7" t="s">
        <v>91</v>
      </c>
      <c r="I286" s="2" t="s">
        <v>483</v>
      </c>
      <c r="J286" s="2" t="s">
        <v>536</v>
      </c>
      <c r="K286" s="2" t="s">
        <v>304</v>
      </c>
      <c r="L286" s="2" t="s">
        <v>119</v>
      </c>
      <c r="M286" s="8" t="str">
        <f>HYPERLINK("http://slimages.macys.com/is/image/MCY/13987326 ")</f>
        <v xml:space="preserve">http://slimages.macys.com/is/image/MCY/13987326 </v>
      </c>
    </row>
    <row r="287" spans="1:13" ht="60" x14ac:dyDescent="0.25">
      <c r="A287" s="7" t="s">
        <v>2213</v>
      </c>
      <c r="B287" s="2" t="s">
        <v>1219</v>
      </c>
      <c r="C287" s="4">
        <v>2</v>
      </c>
      <c r="D287" s="5">
        <v>2.75</v>
      </c>
      <c r="E287" s="5">
        <v>6.99</v>
      </c>
      <c r="F287" s="4" t="s">
        <v>1220</v>
      </c>
      <c r="G287" s="2" t="s">
        <v>527</v>
      </c>
      <c r="H287" s="7" t="s">
        <v>442</v>
      </c>
      <c r="I287" s="2" t="s">
        <v>483</v>
      </c>
      <c r="J287" s="2" t="s">
        <v>536</v>
      </c>
      <c r="K287" s="2" t="s">
        <v>304</v>
      </c>
      <c r="L287" s="2" t="s">
        <v>119</v>
      </c>
      <c r="M287" s="8" t="str">
        <f>HYPERLINK("http://slimages.macys.com/is/image/MCY/13987326 ")</f>
        <v xml:space="preserve">http://slimages.macys.com/is/image/MCY/13987326 </v>
      </c>
    </row>
    <row r="288" spans="1:13" ht="60" x14ac:dyDescent="0.25">
      <c r="A288" s="7" t="s">
        <v>2217</v>
      </c>
      <c r="B288" s="2" t="s">
        <v>1219</v>
      </c>
      <c r="C288" s="4">
        <v>4</v>
      </c>
      <c r="D288" s="5">
        <v>2.75</v>
      </c>
      <c r="E288" s="5">
        <v>6.99</v>
      </c>
      <c r="F288" s="4" t="s">
        <v>1220</v>
      </c>
      <c r="G288" s="2" t="s">
        <v>527</v>
      </c>
      <c r="H288" s="7" t="s">
        <v>42</v>
      </c>
      <c r="I288" s="2" t="s">
        <v>483</v>
      </c>
      <c r="J288" s="2" t="s">
        <v>536</v>
      </c>
      <c r="K288" s="2" t="s">
        <v>304</v>
      </c>
      <c r="L288" s="2" t="s">
        <v>119</v>
      </c>
      <c r="M288" s="8" t="str">
        <f>HYPERLINK("http://slimages.macys.com/is/image/MCY/13987326 ")</f>
        <v xml:space="preserve">http://slimages.macys.com/is/image/MCY/13987326 </v>
      </c>
    </row>
    <row r="289" spans="1:13" ht="60" x14ac:dyDescent="0.25">
      <c r="A289" s="7" t="s">
        <v>6483</v>
      </c>
      <c r="B289" s="2" t="s">
        <v>6481</v>
      </c>
      <c r="C289" s="4">
        <v>3</v>
      </c>
      <c r="D289" s="5">
        <v>2.75</v>
      </c>
      <c r="E289" s="5">
        <v>6.99</v>
      </c>
      <c r="F289" s="4" t="s">
        <v>6482</v>
      </c>
      <c r="G289" s="2" t="s">
        <v>41</v>
      </c>
      <c r="H289" s="7" t="s">
        <v>91</v>
      </c>
      <c r="I289" s="2" t="s">
        <v>483</v>
      </c>
      <c r="J289" s="2" t="s">
        <v>536</v>
      </c>
      <c r="K289" s="2" t="s">
        <v>304</v>
      </c>
      <c r="L289" s="2" t="s">
        <v>38</v>
      </c>
      <c r="M289" s="8" t="str">
        <f>HYPERLINK("http://slimages.macys.com/is/image/MCY/13987340 ")</f>
        <v xml:space="preserve">http://slimages.macys.com/is/image/MCY/13987340 </v>
      </c>
    </row>
    <row r="290" spans="1:13" ht="60" x14ac:dyDescent="0.25">
      <c r="A290" s="7" t="s">
        <v>1218</v>
      </c>
      <c r="B290" s="2" t="s">
        <v>1219</v>
      </c>
      <c r="C290" s="4">
        <v>1</v>
      </c>
      <c r="D290" s="5">
        <v>2.75</v>
      </c>
      <c r="E290" s="5">
        <v>6.99</v>
      </c>
      <c r="F290" s="4" t="s">
        <v>1220</v>
      </c>
      <c r="G290" s="2" t="s">
        <v>527</v>
      </c>
      <c r="H290" s="7" t="s">
        <v>590</v>
      </c>
      <c r="I290" s="2" t="s">
        <v>483</v>
      </c>
      <c r="J290" s="2" t="s">
        <v>536</v>
      </c>
      <c r="K290" s="2" t="s">
        <v>304</v>
      </c>
      <c r="L290" s="2" t="s">
        <v>119</v>
      </c>
      <c r="M290" s="8" t="str">
        <f>HYPERLINK("http://slimages.macys.com/is/image/MCY/13987326 ")</f>
        <v xml:space="preserve">http://slimages.macys.com/is/image/MCY/13987326 </v>
      </c>
    </row>
    <row r="291" spans="1:13" ht="60" x14ac:dyDescent="0.25">
      <c r="A291" s="7" t="s">
        <v>6484</v>
      </c>
      <c r="B291" s="2" t="s">
        <v>1219</v>
      </c>
      <c r="C291" s="4">
        <v>1</v>
      </c>
      <c r="D291" s="5">
        <v>2.75</v>
      </c>
      <c r="E291" s="5">
        <v>6.99</v>
      </c>
      <c r="F291" s="4" t="s">
        <v>1220</v>
      </c>
      <c r="G291" s="2" t="s">
        <v>527</v>
      </c>
      <c r="H291" s="7" t="s">
        <v>149</v>
      </c>
      <c r="I291" s="2" t="s">
        <v>483</v>
      </c>
      <c r="J291" s="2" t="s">
        <v>536</v>
      </c>
      <c r="K291" s="2" t="s">
        <v>304</v>
      </c>
      <c r="L291" s="2" t="s">
        <v>119</v>
      </c>
      <c r="M291" s="8" t="str">
        <f>HYPERLINK("http://slimages.macys.com/is/image/MCY/13987326 ")</f>
        <v xml:space="preserve">http://slimages.macys.com/is/image/MCY/13987326 </v>
      </c>
    </row>
    <row r="292" spans="1:13" ht="60" x14ac:dyDescent="0.25">
      <c r="A292" s="7" t="s">
        <v>6485</v>
      </c>
      <c r="B292" s="2" t="s">
        <v>2223</v>
      </c>
      <c r="C292" s="4">
        <v>8</v>
      </c>
      <c r="D292" s="5">
        <v>2.69</v>
      </c>
      <c r="E292" s="5">
        <v>5.99</v>
      </c>
      <c r="F292" s="4" t="s">
        <v>2224</v>
      </c>
      <c r="G292" s="2" t="s">
        <v>28</v>
      </c>
      <c r="H292" s="7" t="s">
        <v>590</v>
      </c>
      <c r="I292" s="2" t="s">
        <v>483</v>
      </c>
      <c r="J292" s="2" t="s">
        <v>536</v>
      </c>
      <c r="K292" s="2" t="s">
        <v>304</v>
      </c>
      <c r="L292" s="2" t="s">
        <v>206</v>
      </c>
      <c r="M292" s="8" t="str">
        <f t="shared" ref="M292:M306" si="3">HYPERLINK("http://slimages.macys.com/is/image/MCY/11436881 ")</f>
        <v xml:space="preserve">http://slimages.macys.com/is/image/MCY/11436881 </v>
      </c>
    </row>
    <row r="293" spans="1:13" ht="60" x14ac:dyDescent="0.25">
      <c r="A293" s="7" t="s">
        <v>6486</v>
      </c>
      <c r="B293" s="2" t="s">
        <v>2223</v>
      </c>
      <c r="C293" s="4">
        <v>9</v>
      </c>
      <c r="D293" s="5">
        <v>2.69</v>
      </c>
      <c r="E293" s="5">
        <v>5.99</v>
      </c>
      <c r="F293" s="4" t="s">
        <v>2224</v>
      </c>
      <c r="G293" s="2" t="s">
        <v>28</v>
      </c>
      <c r="H293" s="7" t="s">
        <v>442</v>
      </c>
      <c r="I293" s="2" t="s">
        <v>483</v>
      </c>
      <c r="J293" s="2" t="s">
        <v>536</v>
      </c>
      <c r="K293" s="2" t="s">
        <v>304</v>
      </c>
      <c r="L293" s="2" t="s">
        <v>206</v>
      </c>
      <c r="M293" s="8" t="str">
        <f t="shared" si="3"/>
        <v xml:space="preserve">http://slimages.macys.com/is/image/MCY/11436881 </v>
      </c>
    </row>
    <row r="294" spans="1:13" ht="60" x14ac:dyDescent="0.25">
      <c r="A294" s="7" t="s">
        <v>6487</v>
      </c>
      <c r="B294" s="2" t="s">
        <v>2223</v>
      </c>
      <c r="C294" s="4">
        <v>4</v>
      </c>
      <c r="D294" s="5">
        <v>2.69</v>
      </c>
      <c r="E294" s="5">
        <v>5.99</v>
      </c>
      <c r="F294" s="4" t="s">
        <v>2224</v>
      </c>
      <c r="G294" s="2" t="s">
        <v>28</v>
      </c>
      <c r="H294" s="7" t="s">
        <v>149</v>
      </c>
      <c r="I294" s="2" t="s">
        <v>483</v>
      </c>
      <c r="J294" s="2" t="s">
        <v>536</v>
      </c>
      <c r="K294" s="2" t="s">
        <v>304</v>
      </c>
      <c r="L294" s="2" t="s">
        <v>206</v>
      </c>
      <c r="M294" s="8" t="str">
        <f t="shared" si="3"/>
        <v xml:space="preserve">http://slimages.macys.com/is/image/MCY/11436881 </v>
      </c>
    </row>
    <row r="295" spans="1:13" ht="60" x14ac:dyDescent="0.25">
      <c r="A295" s="7" t="s">
        <v>2222</v>
      </c>
      <c r="B295" s="2" t="s">
        <v>2223</v>
      </c>
      <c r="C295" s="4">
        <v>17</v>
      </c>
      <c r="D295" s="5">
        <v>2.69</v>
      </c>
      <c r="E295" s="5">
        <v>5.99</v>
      </c>
      <c r="F295" s="4" t="s">
        <v>2224</v>
      </c>
      <c r="G295" s="2" t="s">
        <v>62</v>
      </c>
      <c r="H295" s="7" t="s">
        <v>91</v>
      </c>
      <c r="I295" s="2" t="s">
        <v>483</v>
      </c>
      <c r="J295" s="2" t="s">
        <v>536</v>
      </c>
      <c r="K295" s="2" t="s">
        <v>304</v>
      </c>
      <c r="L295" s="2" t="s">
        <v>206</v>
      </c>
      <c r="M295" s="8" t="str">
        <f t="shared" si="3"/>
        <v xml:space="preserve">http://slimages.macys.com/is/image/MCY/11436881 </v>
      </c>
    </row>
    <row r="296" spans="1:13" ht="60" x14ac:dyDescent="0.25">
      <c r="A296" s="7" t="s">
        <v>5681</v>
      </c>
      <c r="B296" s="2" t="s">
        <v>2223</v>
      </c>
      <c r="C296" s="4">
        <v>19</v>
      </c>
      <c r="D296" s="5">
        <v>2.69</v>
      </c>
      <c r="E296" s="5">
        <v>5.99</v>
      </c>
      <c r="F296" s="4" t="s">
        <v>2224</v>
      </c>
      <c r="G296" s="2" t="s">
        <v>62</v>
      </c>
      <c r="H296" s="7" t="s">
        <v>42</v>
      </c>
      <c r="I296" s="2" t="s">
        <v>483</v>
      </c>
      <c r="J296" s="2" t="s">
        <v>536</v>
      </c>
      <c r="K296" s="2" t="s">
        <v>304</v>
      </c>
      <c r="L296" s="2" t="s">
        <v>206</v>
      </c>
      <c r="M296" s="8" t="str">
        <f t="shared" si="3"/>
        <v xml:space="preserve">http://slimages.macys.com/is/image/MCY/11436881 </v>
      </c>
    </row>
    <row r="297" spans="1:13" ht="60" x14ac:dyDescent="0.25">
      <c r="A297" s="7" t="s">
        <v>2226</v>
      </c>
      <c r="B297" s="2" t="s">
        <v>2223</v>
      </c>
      <c r="C297" s="4">
        <v>27</v>
      </c>
      <c r="D297" s="5">
        <v>2.69</v>
      </c>
      <c r="E297" s="5">
        <v>5.99</v>
      </c>
      <c r="F297" s="4" t="s">
        <v>2224</v>
      </c>
      <c r="G297" s="2" t="s">
        <v>28</v>
      </c>
      <c r="H297" s="7" t="s">
        <v>42</v>
      </c>
      <c r="I297" s="2" t="s">
        <v>483</v>
      </c>
      <c r="J297" s="2" t="s">
        <v>536</v>
      </c>
      <c r="K297" s="2" t="s">
        <v>304</v>
      </c>
      <c r="L297" s="2" t="s">
        <v>206</v>
      </c>
      <c r="M297" s="8" t="str">
        <f t="shared" si="3"/>
        <v xml:space="preserve">http://slimages.macys.com/is/image/MCY/11436881 </v>
      </c>
    </row>
    <row r="298" spans="1:13" ht="60" x14ac:dyDescent="0.25">
      <c r="A298" s="7" t="s">
        <v>6488</v>
      </c>
      <c r="B298" s="2" t="s">
        <v>2223</v>
      </c>
      <c r="C298" s="4">
        <v>22</v>
      </c>
      <c r="D298" s="5">
        <v>2.69</v>
      </c>
      <c r="E298" s="5">
        <v>5.99</v>
      </c>
      <c r="F298" s="4" t="s">
        <v>2224</v>
      </c>
      <c r="G298" s="2" t="s">
        <v>28</v>
      </c>
      <c r="H298" s="7" t="s">
        <v>91</v>
      </c>
      <c r="I298" s="2" t="s">
        <v>483</v>
      </c>
      <c r="J298" s="2" t="s">
        <v>536</v>
      </c>
      <c r="K298" s="2" t="s">
        <v>304</v>
      </c>
      <c r="L298" s="2" t="s">
        <v>206</v>
      </c>
      <c r="M298" s="8" t="str">
        <f t="shared" si="3"/>
        <v xml:space="preserve">http://slimages.macys.com/is/image/MCY/11436881 </v>
      </c>
    </row>
    <row r="299" spans="1:13" ht="60" x14ac:dyDescent="0.25">
      <c r="A299" s="7" t="s">
        <v>6489</v>
      </c>
      <c r="B299" s="2" t="s">
        <v>2223</v>
      </c>
      <c r="C299" s="4">
        <v>9</v>
      </c>
      <c r="D299" s="5">
        <v>2.69</v>
      </c>
      <c r="E299" s="5">
        <v>5.99</v>
      </c>
      <c r="F299" s="4" t="s">
        <v>2224</v>
      </c>
      <c r="G299" s="2" t="s">
        <v>62</v>
      </c>
      <c r="H299" s="7" t="s">
        <v>442</v>
      </c>
      <c r="I299" s="2" t="s">
        <v>483</v>
      </c>
      <c r="J299" s="2" t="s">
        <v>536</v>
      </c>
      <c r="K299" s="2" t="s">
        <v>304</v>
      </c>
      <c r="L299" s="2" t="s">
        <v>206</v>
      </c>
      <c r="M299" s="8" t="str">
        <f t="shared" si="3"/>
        <v xml:space="preserve">http://slimages.macys.com/is/image/MCY/11436881 </v>
      </c>
    </row>
    <row r="300" spans="1:13" ht="60" x14ac:dyDescent="0.25">
      <c r="A300" s="7" t="s">
        <v>6028</v>
      </c>
      <c r="B300" s="2" t="s">
        <v>2223</v>
      </c>
      <c r="C300" s="4">
        <v>7</v>
      </c>
      <c r="D300" s="5">
        <v>2.69</v>
      </c>
      <c r="E300" s="5">
        <v>5.99</v>
      </c>
      <c r="F300" s="4" t="s">
        <v>2224</v>
      </c>
      <c r="G300" s="2" t="s">
        <v>238</v>
      </c>
      <c r="H300" s="7" t="s">
        <v>590</v>
      </c>
      <c r="I300" s="2" t="s">
        <v>483</v>
      </c>
      <c r="J300" s="2" t="s">
        <v>536</v>
      </c>
      <c r="K300" s="2" t="s">
        <v>304</v>
      </c>
      <c r="L300" s="2" t="s">
        <v>206</v>
      </c>
      <c r="M300" s="8" t="str">
        <f t="shared" si="3"/>
        <v xml:space="preserve">http://slimages.macys.com/is/image/MCY/11436881 </v>
      </c>
    </row>
    <row r="301" spans="1:13" ht="60" x14ac:dyDescent="0.25">
      <c r="A301" s="7" t="s">
        <v>6026</v>
      </c>
      <c r="B301" s="2" t="s">
        <v>2223</v>
      </c>
      <c r="C301" s="4">
        <v>8</v>
      </c>
      <c r="D301" s="5">
        <v>2.69</v>
      </c>
      <c r="E301" s="5">
        <v>5.99</v>
      </c>
      <c r="F301" s="4" t="s">
        <v>2224</v>
      </c>
      <c r="G301" s="2" t="s">
        <v>238</v>
      </c>
      <c r="H301" s="7" t="s">
        <v>442</v>
      </c>
      <c r="I301" s="2" t="s">
        <v>483</v>
      </c>
      <c r="J301" s="2" t="s">
        <v>536</v>
      </c>
      <c r="K301" s="2" t="s">
        <v>304</v>
      </c>
      <c r="L301" s="2" t="s">
        <v>206</v>
      </c>
      <c r="M301" s="8" t="str">
        <f t="shared" si="3"/>
        <v xml:space="preserve">http://slimages.macys.com/is/image/MCY/11436881 </v>
      </c>
    </row>
    <row r="302" spans="1:13" ht="60" x14ac:dyDescent="0.25">
      <c r="A302" s="7" t="s">
        <v>2225</v>
      </c>
      <c r="B302" s="2" t="s">
        <v>2223</v>
      </c>
      <c r="C302" s="4">
        <v>6</v>
      </c>
      <c r="D302" s="5">
        <v>2.69</v>
      </c>
      <c r="E302" s="5">
        <v>5.99</v>
      </c>
      <c r="F302" s="4" t="s">
        <v>2224</v>
      </c>
      <c r="G302" s="2" t="s">
        <v>62</v>
      </c>
      <c r="H302" s="7" t="s">
        <v>590</v>
      </c>
      <c r="I302" s="2" t="s">
        <v>483</v>
      </c>
      <c r="J302" s="2" t="s">
        <v>536</v>
      </c>
      <c r="K302" s="2" t="s">
        <v>304</v>
      </c>
      <c r="L302" s="2" t="s">
        <v>206</v>
      </c>
      <c r="M302" s="8" t="str">
        <f t="shared" si="3"/>
        <v xml:space="preserve">http://slimages.macys.com/is/image/MCY/11436881 </v>
      </c>
    </row>
    <row r="303" spans="1:13" ht="60" x14ac:dyDescent="0.25">
      <c r="A303" s="7" t="s">
        <v>6490</v>
      </c>
      <c r="B303" s="2" t="s">
        <v>2223</v>
      </c>
      <c r="C303" s="4">
        <v>3</v>
      </c>
      <c r="D303" s="5">
        <v>2.69</v>
      </c>
      <c r="E303" s="5">
        <v>5.99</v>
      </c>
      <c r="F303" s="4" t="s">
        <v>2224</v>
      </c>
      <c r="G303" s="2" t="s">
        <v>62</v>
      </c>
      <c r="H303" s="7" t="s">
        <v>149</v>
      </c>
      <c r="I303" s="2" t="s">
        <v>483</v>
      </c>
      <c r="J303" s="2" t="s">
        <v>536</v>
      </c>
      <c r="K303" s="2" t="s">
        <v>304</v>
      </c>
      <c r="L303" s="2" t="s">
        <v>206</v>
      </c>
      <c r="M303" s="8" t="str">
        <f t="shared" si="3"/>
        <v xml:space="preserve">http://slimages.macys.com/is/image/MCY/11436881 </v>
      </c>
    </row>
    <row r="304" spans="1:13" ht="60" x14ac:dyDescent="0.25">
      <c r="A304" s="7" t="s">
        <v>4467</v>
      </c>
      <c r="B304" s="2" t="s">
        <v>2223</v>
      </c>
      <c r="C304" s="4">
        <v>8</v>
      </c>
      <c r="D304" s="5">
        <v>2.69</v>
      </c>
      <c r="E304" s="5">
        <v>5.99</v>
      </c>
      <c r="F304" s="4" t="s">
        <v>2224</v>
      </c>
      <c r="G304" s="2" t="s">
        <v>238</v>
      </c>
      <c r="H304" s="7" t="s">
        <v>42</v>
      </c>
      <c r="I304" s="2" t="s">
        <v>483</v>
      </c>
      <c r="J304" s="2" t="s">
        <v>536</v>
      </c>
      <c r="K304" s="2" t="s">
        <v>304</v>
      </c>
      <c r="L304" s="2" t="s">
        <v>206</v>
      </c>
      <c r="M304" s="8" t="str">
        <f t="shared" si="3"/>
        <v xml:space="preserve">http://slimages.macys.com/is/image/MCY/11436881 </v>
      </c>
    </row>
    <row r="305" spans="1:13" ht="60" x14ac:dyDescent="0.25">
      <c r="A305" s="7" t="s">
        <v>6027</v>
      </c>
      <c r="B305" s="2" t="s">
        <v>2223</v>
      </c>
      <c r="C305" s="4">
        <v>12</v>
      </c>
      <c r="D305" s="5">
        <v>2.69</v>
      </c>
      <c r="E305" s="5">
        <v>5.99</v>
      </c>
      <c r="F305" s="4" t="s">
        <v>2224</v>
      </c>
      <c r="G305" s="2" t="s">
        <v>238</v>
      </c>
      <c r="H305" s="7" t="s">
        <v>91</v>
      </c>
      <c r="I305" s="2" t="s">
        <v>483</v>
      </c>
      <c r="J305" s="2" t="s">
        <v>536</v>
      </c>
      <c r="K305" s="2" t="s">
        <v>304</v>
      </c>
      <c r="L305" s="2" t="s">
        <v>206</v>
      </c>
      <c r="M305" s="8" t="str">
        <f t="shared" si="3"/>
        <v xml:space="preserve">http://slimages.macys.com/is/image/MCY/11436881 </v>
      </c>
    </row>
    <row r="306" spans="1:13" ht="60" x14ac:dyDescent="0.25">
      <c r="A306" s="7" t="s">
        <v>6029</v>
      </c>
      <c r="B306" s="2" t="s">
        <v>2223</v>
      </c>
      <c r="C306" s="4">
        <v>6</v>
      </c>
      <c r="D306" s="5">
        <v>2.69</v>
      </c>
      <c r="E306" s="5">
        <v>5.99</v>
      </c>
      <c r="F306" s="4" t="s">
        <v>2224</v>
      </c>
      <c r="G306" s="2" t="s">
        <v>238</v>
      </c>
      <c r="H306" s="7" t="s">
        <v>149</v>
      </c>
      <c r="I306" s="2" t="s">
        <v>483</v>
      </c>
      <c r="J306" s="2" t="s">
        <v>536</v>
      </c>
      <c r="K306" s="2" t="s">
        <v>304</v>
      </c>
      <c r="L306" s="2" t="s">
        <v>206</v>
      </c>
      <c r="M306" s="8" t="str">
        <f t="shared" si="3"/>
        <v xml:space="preserve">http://slimages.macys.com/is/image/MCY/11436881 </v>
      </c>
    </row>
    <row r="307" spans="1:13" ht="60" x14ac:dyDescent="0.25">
      <c r="A307" s="7" t="s">
        <v>6491</v>
      </c>
      <c r="B307" s="2" t="s">
        <v>6492</v>
      </c>
      <c r="C307" s="4">
        <v>2</v>
      </c>
      <c r="D307" s="5">
        <v>2.68</v>
      </c>
      <c r="E307" s="5">
        <v>5.99</v>
      </c>
      <c r="F307" s="4" t="s">
        <v>6493</v>
      </c>
      <c r="G307" s="2" t="s">
        <v>41</v>
      </c>
      <c r="H307" s="7" t="s">
        <v>149</v>
      </c>
      <c r="I307" s="2" t="s">
        <v>483</v>
      </c>
      <c r="J307" s="2" t="s">
        <v>536</v>
      </c>
      <c r="K307" s="2" t="s">
        <v>304</v>
      </c>
      <c r="L307" s="2" t="s">
        <v>206</v>
      </c>
      <c r="M307" s="8" t="str">
        <f>HYPERLINK("http://slimages.macys.com/is/image/MCY/12644512 ")</f>
        <v xml:space="preserve">http://slimages.macys.com/is/image/MCY/12644512 </v>
      </c>
    </row>
    <row r="308" spans="1:13" ht="60" x14ac:dyDescent="0.25">
      <c r="A308" s="7" t="s">
        <v>6494</v>
      </c>
      <c r="B308" s="2" t="s">
        <v>6492</v>
      </c>
      <c r="C308" s="4">
        <v>1</v>
      </c>
      <c r="D308" s="5">
        <v>2.68</v>
      </c>
      <c r="E308" s="5">
        <v>5.99</v>
      </c>
      <c r="F308" s="4" t="s">
        <v>6493</v>
      </c>
      <c r="G308" s="2" t="s">
        <v>41</v>
      </c>
      <c r="H308" s="7" t="s">
        <v>91</v>
      </c>
      <c r="I308" s="2" t="s">
        <v>483</v>
      </c>
      <c r="J308" s="2" t="s">
        <v>536</v>
      </c>
      <c r="K308" s="2" t="s">
        <v>304</v>
      </c>
      <c r="L308" s="2" t="s">
        <v>206</v>
      </c>
      <c r="M308" s="8" t="str">
        <f>HYPERLINK("http://slimages.macys.com/is/image/MCY/12644512 ")</f>
        <v xml:space="preserve">http://slimages.macys.com/is/image/MCY/12644512 </v>
      </c>
    </row>
    <row r="309" spans="1:13" ht="60" x14ac:dyDescent="0.25">
      <c r="A309" s="7" t="s">
        <v>6495</v>
      </c>
      <c r="B309" s="2" t="s">
        <v>6492</v>
      </c>
      <c r="C309" s="4">
        <v>1</v>
      </c>
      <c r="D309" s="5">
        <v>2.68</v>
      </c>
      <c r="E309" s="5">
        <v>5.99</v>
      </c>
      <c r="F309" s="4" t="s">
        <v>6493</v>
      </c>
      <c r="G309" s="2" t="s">
        <v>41</v>
      </c>
      <c r="H309" s="7" t="s">
        <v>42</v>
      </c>
      <c r="I309" s="2" t="s">
        <v>483</v>
      </c>
      <c r="J309" s="2" t="s">
        <v>536</v>
      </c>
      <c r="K309" s="2" t="s">
        <v>304</v>
      </c>
      <c r="L309" s="2" t="s">
        <v>206</v>
      </c>
      <c r="M309" s="8" t="str">
        <f>HYPERLINK("http://slimages.macys.com/is/image/MCY/12644512 ")</f>
        <v xml:space="preserve">http://slimages.macys.com/is/image/MCY/12644512 </v>
      </c>
    </row>
    <row r="310" spans="1:13" ht="60" x14ac:dyDescent="0.25">
      <c r="A310" s="7" t="s">
        <v>6496</v>
      </c>
      <c r="B310" s="2" t="s">
        <v>6497</v>
      </c>
      <c r="C310" s="4">
        <v>1</v>
      </c>
      <c r="D310" s="5">
        <v>2.67</v>
      </c>
      <c r="E310" s="5">
        <v>7.99</v>
      </c>
      <c r="F310" s="4" t="s">
        <v>6498</v>
      </c>
      <c r="G310" s="2" t="s">
        <v>657</v>
      </c>
      <c r="H310" s="7" t="s">
        <v>578</v>
      </c>
      <c r="I310" s="2" t="s">
        <v>483</v>
      </c>
      <c r="J310" s="2" t="s">
        <v>536</v>
      </c>
      <c r="K310" s="2" t="s">
        <v>304</v>
      </c>
      <c r="L310" s="2" t="s">
        <v>119</v>
      </c>
      <c r="M310" s="8" t="str">
        <f>HYPERLINK("http://slimages.macys.com/is/image/MCY/12644673 ")</f>
        <v xml:space="preserve">http://slimages.macys.com/is/image/MCY/12644673 </v>
      </c>
    </row>
    <row r="311" spans="1:13" ht="60" x14ac:dyDescent="0.25">
      <c r="A311" s="7" t="s">
        <v>4478</v>
      </c>
      <c r="B311" s="2" t="s">
        <v>4479</v>
      </c>
      <c r="C311" s="4">
        <v>1</v>
      </c>
      <c r="D311" s="5">
        <v>2.67</v>
      </c>
      <c r="E311" s="5">
        <v>6.99</v>
      </c>
      <c r="F311" s="4" t="s">
        <v>4480</v>
      </c>
      <c r="G311" s="2" t="s">
        <v>195</v>
      </c>
      <c r="H311" s="7"/>
      <c r="I311" s="2" t="s">
        <v>483</v>
      </c>
      <c r="J311" s="2" t="s">
        <v>536</v>
      </c>
      <c r="K311" s="2" t="s">
        <v>304</v>
      </c>
      <c r="L311" s="2" t="s">
        <v>38</v>
      </c>
      <c r="M311" s="8" t="str">
        <f>HYPERLINK("http://slimages.macys.com/is/image/MCY/12465793 ")</f>
        <v xml:space="preserve">http://slimages.macys.com/is/image/MCY/12465793 </v>
      </c>
    </row>
    <row r="312" spans="1:13" ht="84" x14ac:dyDescent="0.25">
      <c r="A312" s="7" t="s">
        <v>2237</v>
      </c>
      <c r="B312" s="2" t="s">
        <v>2228</v>
      </c>
      <c r="C312" s="4">
        <v>1</v>
      </c>
      <c r="D312" s="5">
        <v>2.67</v>
      </c>
      <c r="E312" s="5">
        <v>7.99</v>
      </c>
      <c r="F312" s="4" t="s">
        <v>2229</v>
      </c>
      <c r="G312" s="2" t="s">
        <v>527</v>
      </c>
      <c r="H312" s="7"/>
      <c r="I312" s="2" t="s">
        <v>483</v>
      </c>
      <c r="J312" s="2" t="s">
        <v>536</v>
      </c>
      <c r="K312" s="2" t="s">
        <v>304</v>
      </c>
      <c r="L312" s="2" t="s">
        <v>2230</v>
      </c>
      <c r="M312" s="8" t="str">
        <f>HYPERLINK("http://slimages.macys.com/is/image/MCY/14385110 ")</f>
        <v xml:space="preserve">http://slimages.macys.com/is/image/MCY/14385110 </v>
      </c>
    </row>
    <row r="313" spans="1:13" ht="60" x14ac:dyDescent="0.25">
      <c r="A313" s="7" t="s">
        <v>6499</v>
      </c>
      <c r="B313" s="2" t="s">
        <v>1233</v>
      </c>
      <c r="C313" s="4">
        <v>1</v>
      </c>
      <c r="D313" s="5">
        <v>2.67</v>
      </c>
      <c r="E313" s="5">
        <v>6.99</v>
      </c>
      <c r="F313" s="4" t="s">
        <v>1234</v>
      </c>
      <c r="G313" s="2" t="s">
        <v>171</v>
      </c>
      <c r="H313" s="7" t="s">
        <v>149</v>
      </c>
      <c r="I313" s="2" t="s">
        <v>483</v>
      </c>
      <c r="J313" s="2" t="s">
        <v>536</v>
      </c>
      <c r="K313" s="2" t="s">
        <v>304</v>
      </c>
      <c r="L313" s="2" t="s">
        <v>119</v>
      </c>
      <c r="M313" s="8" t="str">
        <f>HYPERLINK("http://slimages.macys.com/is/image/MCY/12646582 ")</f>
        <v xml:space="preserve">http://slimages.macys.com/is/image/MCY/12646582 </v>
      </c>
    </row>
    <row r="314" spans="1:13" ht="60" x14ac:dyDescent="0.25">
      <c r="A314" s="7" t="s">
        <v>6500</v>
      </c>
      <c r="B314" s="2" t="s">
        <v>6501</v>
      </c>
      <c r="C314" s="4">
        <v>1</v>
      </c>
      <c r="D314" s="5">
        <v>2.65</v>
      </c>
      <c r="E314" s="5">
        <v>5.99</v>
      </c>
      <c r="F314" s="4" t="s">
        <v>6502</v>
      </c>
      <c r="G314" s="2" t="s">
        <v>134</v>
      </c>
      <c r="H314" s="7" t="s">
        <v>91</v>
      </c>
      <c r="I314" s="2" t="s">
        <v>483</v>
      </c>
      <c r="J314" s="2" t="s">
        <v>536</v>
      </c>
      <c r="K314" s="2" t="s">
        <v>304</v>
      </c>
      <c r="L314" s="2" t="s">
        <v>119</v>
      </c>
      <c r="M314" s="8" t="str">
        <f>HYPERLINK("http://slimages.macys.com/is/image/MCY/12644420 ")</f>
        <v xml:space="preserve">http://slimages.macys.com/is/image/MCY/12644420 </v>
      </c>
    </row>
    <row r="315" spans="1:13" ht="60" x14ac:dyDescent="0.25">
      <c r="A315" s="7" t="s">
        <v>2244</v>
      </c>
      <c r="B315" s="2" t="s">
        <v>1236</v>
      </c>
      <c r="C315" s="4">
        <v>3</v>
      </c>
      <c r="D315" s="5">
        <v>2.65</v>
      </c>
      <c r="E315" s="5">
        <v>6.99</v>
      </c>
      <c r="F315" s="4" t="s">
        <v>1237</v>
      </c>
      <c r="G315" s="2" t="s">
        <v>41</v>
      </c>
      <c r="H315" s="7" t="s">
        <v>590</v>
      </c>
      <c r="I315" s="2" t="s">
        <v>483</v>
      </c>
      <c r="J315" s="2" t="s">
        <v>536</v>
      </c>
      <c r="K315" s="2" t="s">
        <v>304</v>
      </c>
      <c r="L315" s="2" t="s">
        <v>100</v>
      </c>
      <c r="M315" s="8" t="str">
        <f>HYPERLINK("http://slimages.macys.com/is/image/MCY/13337374 ")</f>
        <v xml:space="preserve">http://slimages.macys.com/is/image/MCY/13337374 </v>
      </c>
    </row>
    <row r="316" spans="1:13" ht="60" x14ac:dyDescent="0.25">
      <c r="A316" s="7" t="s">
        <v>4497</v>
      </c>
      <c r="B316" s="2" t="s">
        <v>4498</v>
      </c>
      <c r="C316" s="4">
        <v>1</v>
      </c>
      <c r="D316" s="5">
        <v>2.63</v>
      </c>
      <c r="E316" s="5">
        <v>7.99</v>
      </c>
      <c r="F316" s="4" t="s">
        <v>4499</v>
      </c>
      <c r="G316" s="2" t="s">
        <v>28</v>
      </c>
      <c r="H316" s="7" t="s">
        <v>514</v>
      </c>
      <c r="I316" s="2" t="s">
        <v>483</v>
      </c>
      <c r="J316" s="2" t="s">
        <v>536</v>
      </c>
      <c r="K316" s="2" t="s">
        <v>304</v>
      </c>
      <c r="L316" s="2" t="s">
        <v>119</v>
      </c>
      <c r="M316" s="8" t="str">
        <f>HYPERLINK("http://slimages.macys.com/is/image/MCY/12462743 ")</f>
        <v xml:space="preserve">http://slimages.macys.com/is/image/MCY/12462743 </v>
      </c>
    </row>
    <row r="317" spans="1:13" ht="60" x14ac:dyDescent="0.25">
      <c r="A317" s="7" t="s">
        <v>6503</v>
      </c>
      <c r="B317" s="2" t="s">
        <v>6504</v>
      </c>
      <c r="C317" s="4">
        <v>1</v>
      </c>
      <c r="D317" s="5">
        <v>2.63</v>
      </c>
      <c r="E317" s="5">
        <v>5.99</v>
      </c>
      <c r="F317" s="4" t="s">
        <v>6505</v>
      </c>
      <c r="G317" s="2" t="s">
        <v>28</v>
      </c>
      <c r="H317" s="7" t="s">
        <v>590</v>
      </c>
      <c r="I317" s="2" t="s">
        <v>483</v>
      </c>
      <c r="J317" s="2" t="s">
        <v>536</v>
      </c>
      <c r="K317" s="2" t="s">
        <v>304</v>
      </c>
      <c r="L317" s="2" t="s">
        <v>206</v>
      </c>
      <c r="M317" s="8" t="str">
        <f>HYPERLINK("http://slimages.macys.com/is/image/MCY/11436893 ")</f>
        <v xml:space="preserve">http://slimages.macys.com/is/image/MCY/11436893 </v>
      </c>
    </row>
    <row r="318" spans="1:13" ht="60" x14ac:dyDescent="0.25">
      <c r="A318" s="7" t="s">
        <v>6506</v>
      </c>
      <c r="B318" s="2" t="s">
        <v>6507</v>
      </c>
      <c r="C318" s="4">
        <v>1</v>
      </c>
      <c r="D318" s="5">
        <v>2.62</v>
      </c>
      <c r="E318" s="5">
        <v>7.99</v>
      </c>
      <c r="F318" s="4" t="s">
        <v>6508</v>
      </c>
      <c r="G318" s="2" t="s">
        <v>28</v>
      </c>
      <c r="H318" s="7" t="s">
        <v>578</v>
      </c>
      <c r="I318" s="2" t="s">
        <v>483</v>
      </c>
      <c r="J318" s="2" t="s">
        <v>536</v>
      </c>
      <c r="K318" s="2" t="s">
        <v>304</v>
      </c>
      <c r="L318" s="2" t="s">
        <v>38</v>
      </c>
      <c r="M318" s="8" t="str">
        <f>HYPERLINK("http://slimages.macys.com/is/image/MCY/13987609 ")</f>
        <v xml:space="preserve">http://slimages.macys.com/is/image/MCY/13987609 </v>
      </c>
    </row>
    <row r="319" spans="1:13" ht="60" x14ac:dyDescent="0.25">
      <c r="A319" s="7" t="s">
        <v>6509</v>
      </c>
      <c r="B319" s="2" t="s">
        <v>6507</v>
      </c>
      <c r="C319" s="4">
        <v>1</v>
      </c>
      <c r="D319" s="5">
        <v>2.62</v>
      </c>
      <c r="E319" s="5">
        <v>7.99</v>
      </c>
      <c r="F319" s="4" t="s">
        <v>6508</v>
      </c>
      <c r="G319" s="2" t="s">
        <v>28</v>
      </c>
      <c r="H319" s="7" t="s">
        <v>1151</v>
      </c>
      <c r="I319" s="2" t="s">
        <v>483</v>
      </c>
      <c r="J319" s="2" t="s">
        <v>536</v>
      </c>
      <c r="K319" s="2" t="s">
        <v>304</v>
      </c>
      <c r="L319" s="2" t="s">
        <v>38</v>
      </c>
      <c r="M319" s="8" t="str">
        <f>HYPERLINK("http://slimages.macys.com/is/image/MCY/13987609 ")</f>
        <v xml:space="preserve">http://slimages.macys.com/is/image/MCY/13987609 </v>
      </c>
    </row>
    <row r="320" spans="1:13" ht="60" x14ac:dyDescent="0.25">
      <c r="A320" s="7" t="s">
        <v>6510</v>
      </c>
      <c r="B320" s="2" t="s">
        <v>4508</v>
      </c>
      <c r="C320" s="4">
        <v>1</v>
      </c>
      <c r="D320" s="5">
        <v>2.62</v>
      </c>
      <c r="E320" s="5">
        <v>7.99</v>
      </c>
      <c r="F320" s="4" t="s">
        <v>4509</v>
      </c>
      <c r="G320" s="2" t="s">
        <v>353</v>
      </c>
      <c r="H320" s="7" t="s">
        <v>514</v>
      </c>
      <c r="I320" s="2" t="s">
        <v>483</v>
      </c>
      <c r="J320" s="2" t="s">
        <v>536</v>
      </c>
      <c r="K320" s="2" t="s">
        <v>304</v>
      </c>
      <c r="L320" s="2" t="s">
        <v>38</v>
      </c>
      <c r="M320" s="8" t="str">
        <f>HYPERLINK("http://slimages.macys.com/is/image/MCY/12644528 ")</f>
        <v xml:space="preserve">http://slimages.macys.com/is/image/MCY/12644528 </v>
      </c>
    </row>
    <row r="321" spans="1:13" ht="60" x14ac:dyDescent="0.25">
      <c r="A321" s="7" t="s">
        <v>6511</v>
      </c>
      <c r="B321" s="2" t="s">
        <v>1243</v>
      </c>
      <c r="C321" s="4">
        <v>5</v>
      </c>
      <c r="D321" s="5">
        <v>2.62</v>
      </c>
      <c r="E321" s="5">
        <v>6.99</v>
      </c>
      <c r="F321" s="4" t="s">
        <v>1244</v>
      </c>
      <c r="G321" s="2" t="s">
        <v>41</v>
      </c>
      <c r="H321" s="7" t="s">
        <v>442</v>
      </c>
      <c r="I321" s="2" t="s">
        <v>483</v>
      </c>
      <c r="J321" s="2" t="s">
        <v>536</v>
      </c>
      <c r="K321" s="2" t="s">
        <v>304</v>
      </c>
      <c r="L321" s="2" t="s">
        <v>38</v>
      </c>
      <c r="M321" s="8" t="str">
        <f>HYPERLINK("http://slimages.macys.com/is/image/MCY/13987599 ")</f>
        <v xml:space="preserve">http://slimages.macys.com/is/image/MCY/13987599 </v>
      </c>
    </row>
    <row r="322" spans="1:13" ht="60" x14ac:dyDescent="0.25">
      <c r="A322" s="7" t="s">
        <v>6512</v>
      </c>
      <c r="B322" s="2" t="s">
        <v>6513</v>
      </c>
      <c r="C322" s="4">
        <v>2</v>
      </c>
      <c r="D322" s="5">
        <v>2.62</v>
      </c>
      <c r="E322" s="5">
        <v>7.99</v>
      </c>
      <c r="F322" s="4" t="s">
        <v>6514</v>
      </c>
      <c r="G322" s="2" t="s">
        <v>858</v>
      </c>
      <c r="H322" s="7" t="s">
        <v>578</v>
      </c>
      <c r="I322" s="2" t="s">
        <v>483</v>
      </c>
      <c r="J322" s="2" t="s">
        <v>536</v>
      </c>
      <c r="K322" s="2" t="s">
        <v>304</v>
      </c>
      <c r="L322" s="2" t="s">
        <v>119</v>
      </c>
      <c r="M322" s="8" t="str">
        <f>HYPERLINK("http://slimages.macys.com/is/image/MCY/12644556 ")</f>
        <v xml:space="preserve">http://slimages.macys.com/is/image/MCY/12644556 </v>
      </c>
    </row>
    <row r="323" spans="1:13" ht="60" x14ac:dyDescent="0.25">
      <c r="A323" s="7" t="s">
        <v>2266</v>
      </c>
      <c r="B323" s="2" t="s">
        <v>2254</v>
      </c>
      <c r="C323" s="4">
        <v>3</v>
      </c>
      <c r="D323" s="5">
        <v>2.62</v>
      </c>
      <c r="E323" s="5">
        <v>5.99</v>
      </c>
      <c r="F323" s="4" t="s">
        <v>2255</v>
      </c>
      <c r="G323" s="2" t="s">
        <v>657</v>
      </c>
      <c r="H323" s="7" t="s">
        <v>442</v>
      </c>
      <c r="I323" s="2" t="s">
        <v>483</v>
      </c>
      <c r="J323" s="2" t="s">
        <v>536</v>
      </c>
      <c r="K323" s="2" t="s">
        <v>304</v>
      </c>
      <c r="L323" s="2" t="s">
        <v>119</v>
      </c>
      <c r="M323" s="8" t="str">
        <f>HYPERLINK("http://slimages.macys.com/is/image/MCY/12644604 ")</f>
        <v xml:space="preserve">http://slimages.macys.com/is/image/MCY/12644604 </v>
      </c>
    </row>
    <row r="324" spans="1:13" ht="60" x14ac:dyDescent="0.25">
      <c r="A324" s="7" t="s">
        <v>2253</v>
      </c>
      <c r="B324" s="2" t="s">
        <v>2254</v>
      </c>
      <c r="C324" s="4">
        <v>1</v>
      </c>
      <c r="D324" s="5">
        <v>2.62</v>
      </c>
      <c r="E324" s="5">
        <v>5.99</v>
      </c>
      <c r="F324" s="4" t="s">
        <v>2255</v>
      </c>
      <c r="G324" s="2" t="s">
        <v>657</v>
      </c>
      <c r="H324" s="7" t="s">
        <v>42</v>
      </c>
      <c r="I324" s="2" t="s">
        <v>483</v>
      </c>
      <c r="J324" s="2" t="s">
        <v>536</v>
      </c>
      <c r="K324" s="2" t="s">
        <v>304</v>
      </c>
      <c r="L324" s="2" t="s">
        <v>119</v>
      </c>
      <c r="M324" s="8" t="str">
        <f>HYPERLINK("http://slimages.macys.com/is/image/MCY/12644604 ")</f>
        <v xml:space="preserve">http://slimages.macys.com/is/image/MCY/12644604 </v>
      </c>
    </row>
    <row r="325" spans="1:13" ht="60" x14ac:dyDescent="0.25">
      <c r="A325" s="7" t="s">
        <v>2268</v>
      </c>
      <c r="B325" s="2" t="s">
        <v>2254</v>
      </c>
      <c r="C325" s="4">
        <v>6</v>
      </c>
      <c r="D325" s="5">
        <v>2.62</v>
      </c>
      <c r="E325" s="5">
        <v>5.99</v>
      </c>
      <c r="F325" s="4" t="s">
        <v>2255</v>
      </c>
      <c r="G325" s="2" t="s">
        <v>657</v>
      </c>
      <c r="H325" s="7" t="s">
        <v>91</v>
      </c>
      <c r="I325" s="2" t="s">
        <v>483</v>
      </c>
      <c r="J325" s="2" t="s">
        <v>536</v>
      </c>
      <c r="K325" s="2" t="s">
        <v>304</v>
      </c>
      <c r="L325" s="2" t="s">
        <v>119</v>
      </c>
      <c r="M325" s="8" t="str">
        <f>HYPERLINK("http://slimages.macys.com/is/image/MCY/12644604 ")</f>
        <v xml:space="preserve">http://slimages.macys.com/is/image/MCY/12644604 </v>
      </c>
    </row>
    <row r="326" spans="1:13" ht="60" x14ac:dyDescent="0.25">
      <c r="A326" s="7" t="s">
        <v>6515</v>
      </c>
      <c r="B326" s="2" t="s">
        <v>6513</v>
      </c>
      <c r="C326" s="4">
        <v>1</v>
      </c>
      <c r="D326" s="5">
        <v>2.62</v>
      </c>
      <c r="E326" s="5">
        <v>7.99</v>
      </c>
      <c r="F326" s="4" t="s">
        <v>6514</v>
      </c>
      <c r="G326" s="2" t="s">
        <v>858</v>
      </c>
      <c r="H326" s="7" t="s">
        <v>1151</v>
      </c>
      <c r="I326" s="2" t="s">
        <v>483</v>
      </c>
      <c r="J326" s="2" t="s">
        <v>536</v>
      </c>
      <c r="K326" s="2" t="s">
        <v>304</v>
      </c>
      <c r="L326" s="2" t="s">
        <v>119</v>
      </c>
      <c r="M326" s="8" t="str">
        <f>HYPERLINK("http://slimages.macys.com/is/image/MCY/12644556 ")</f>
        <v xml:space="preserve">http://slimages.macys.com/is/image/MCY/12644556 </v>
      </c>
    </row>
    <row r="327" spans="1:13" ht="60" x14ac:dyDescent="0.25">
      <c r="A327" s="7" t="s">
        <v>6516</v>
      </c>
      <c r="B327" s="2" t="s">
        <v>6513</v>
      </c>
      <c r="C327" s="4">
        <v>1</v>
      </c>
      <c r="D327" s="5">
        <v>2.62</v>
      </c>
      <c r="E327" s="5">
        <v>7.99</v>
      </c>
      <c r="F327" s="4" t="s">
        <v>6514</v>
      </c>
      <c r="G327" s="2" t="s">
        <v>858</v>
      </c>
      <c r="H327" s="7" t="s">
        <v>514</v>
      </c>
      <c r="I327" s="2" t="s">
        <v>483</v>
      </c>
      <c r="J327" s="2" t="s">
        <v>536</v>
      </c>
      <c r="K327" s="2" t="s">
        <v>304</v>
      </c>
      <c r="L327" s="2" t="s">
        <v>119</v>
      </c>
      <c r="M327" s="8" t="str">
        <f>HYPERLINK("http://slimages.macys.com/is/image/MCY/12644556 ")</f>
        <v xml:space="preserve">http://slimages.macys.com/is/image/MCY/12644556 </v>
      </c>
    </row>
    <row r="328" spans="1:13" ht="60" x14ac:dyDescent="0.25">
      <c r="A328" s="7" t="s">
        <v>1248</v>
      </c>
      <c r="B328" s="2" t="s">
        <v>1243</v>
      </c>
      <c r="C328" s="4">
        <v>1</v>
      </c>
      <c r="D328" s="5">
        <v>2.62</v>
      </c>
      <c r="E328" s="5">
        <v>6.99</v>
      </c>
      <c r="F328" s="4" t="s">
        <v>1244</v>
      </c>
      <c r="G328" s="2" t="s">
        <v>41</v>
      </c>
      <c r="H328" s="7" t="s">
        <v>590</v>
      </c>
      <c r="I328" s="2" t="s">
        <v>483</v>
      </c>
      <c r="J328" s="2" t="s">
        <v>536</v>
      </c>
      <c r="K328" s="2" t="s">
        <v>304</v>
      </c>
      <c r="L328" s="2" t="s">
        <v>38</v>
      </c>
      <c r="M328" s="8" t="str">
        <f>HYPERLINK("http://slimages.macys.com/is/image/MCY/13987599 ")</f>
        <v xml:space="preserve">http://slimages.macys.com/is/image/MCY/13987599 </v>
      </c>
    </row>
    <row r="329" spans="1:13" ht="60" x14ac:dyDescent="0.25">
      <c r="A329" s="7" t="s">
        <v>6517</v>
      </c>
      <c r="B329" s="2" t="s">
        <v>6518</v>
      </c>
      <c r="C329" s="4">
        <v>1</v>
      </c>
      <c r="D329" s="5">
        <v>2.62</v>
      </c>
      <c r="E329" s="5">
        <v>6.99</v>
      </c>
      <c r="F329" s="4" t="s">
        <v>6519</v>
      </c>
      <c r="G329" s="2" t="s">
        <v>28</v>
      </c>
      <c r="H329" s="7" t="s">
        <v>149</v>
      </c>
      <c r="I329" s="2" t="s">
        <v>483</v>
      </c>
      <c r="J329" s="2" t="s">
        <v>536</v>
      </c>
      <c r="K329" s="2" t="s">
        <v>304</v>
      </c>
      <c r="L329" s="2" t="s">
        <v>100</v>
      </c>
      <c r="M329" s="8" t="str">
        <f>HYPERLINK("http://slimages.macys.com/is/image/MCY/11524593 ")</f>
        <v xml:space="preserve">http://slimages.macys.com/is/image/MCY/11524593 </v>
      </c>
    </row>
    <row r="330" spans="1:13" ht="60" x14ac:dyDescent="0.25">
      <c r="A330" s="7" t="s">
        <v>2256</v>
      </c>
      <c r="B330" s="2" t="s">
        <v>2254</v>
      </c>
      <c r="C330" s="4">
        <v>1</v>
      </c>
      <c r="D330" s="5">
        <v>2.62</v>
      </c>
      <c r="E330" s="5">
        <v>5.99</v>
      </c>
      <c r="F330" s="4" t="s">
        <v>2255</v>
      </c>
      <c r="G330" s="2" t="s">
        <v>657</v>
      </c>
      <c r="H330" s="7" t="s">
        <v>149</v>
      </c>
      <c r="I330" s="2" t="s">
        <v>483</v>
      </c>
      <c r="J330" s="2" t="s">
        <v>536</v>
      </c>
      <c r="K330" s="2" t="s">
        <v>304</v>
      </c>
      <c r="L330" s="2" t="s">
        <v>119</v>
      </c>
      <c r="M330" s="8" t="str">
        <f>HYPERLINK("http://slimages.macys.com/is/image/MCY/12644604 ")</f>
        <v xml:space="preserve">http://slimages.macys.com/is/image/MCY/12644604 </v>
      </c>
    </row>
    <row r="331" spans="1:13" ht="60" x14ac:dyDescent="0.25">
      <c r="A331" s="7" t="s">
        <v>2267</v>
      </c>
      <c r="B331" s="2" t="s">
        <v>2254</v>
      </c>
      <c r="C331" s="4">
        <v>3</v>
      </c>
      <c r="D331" s="5">
        <v>2.62</v>
      </c>
      <c r="E331" s="5">
        <v>5.99</v>
      </c>
      <c r="F331" s="4" t="s">
        <v>2255</v>
      </c>
      <c r="G331" s="2" t="s">
        <v>657</v>
      </c>
      <c r="H331" s="7" t="s">
        <v>590</v>
      </c>
      <c r="I331" s="2" t="s">
        <v>483</v>
      </c>
      <c r="J331" s="2" t="s">
        <v>536</v>
      </c>
      <c r="K331" s="2" t="s">
        <v>304</v>
      </c>
      <c r="L331" s="2" t="s">
        <v>119</v>
      </c>
      <c r="M331" s="8" t="str">
        <f>HYPERLINK("http://slimages.macys.com/is/image/MCY/12644604 ")</f>
        <v xml:space="preserve">http://slimages.macys.com/is/image/MCY/12644604 </v>
      </c>
    </row>
    <row r="332" spans="1:13" ht="60" x14ac:dyDescent="0.25">
      <c r="A332" s="7" t="s">
        <v>2263</v>
      </c>
      <c r="B332" s="2" t="s">
        <v>2261</v>
      </c>
      <c r="C332" s="4">
        <v>1</v>
      </c>
      <c r="D332" s="5">
        <v>2.62</v>
      </c>
      <c r="E332" s="5">
        <v>5.99</v>
      </c>
      <c r="F332" s="4" t="s">
        <v>2262</v>
      </c>
      <c r="G332" s="2" t="s">
        <v>858</v>
      </c>
      <c r="H332" s="7" t="s">
        <v>42</v>
      </c>
      <c r="I332" s="2" t="s">
        <v>483</v>
      </c>
      <c r="J332" s="2" t="s">
        <v>536</v>
      </c>
      <c r="K332" s="2" t="s">
        <v>304</v>
      </c>
      <c r="L332" s="2" t="s">
        <v>119</v>
      </c>
      <c r="M332" s="8" t="str">
        <f>HYPERLINK("http://slimages.macys.com/is/image/MCY/12644569 ")</f>
        <v xml:space="preserve">http://slimages.macys.com/is/image/MCY/12644569 </v>
      </c>
    </row>
    <row r="333" spans="1:13" ht="60" x14ac:dyDescent="0.25">
      <c r="A333" s="7" t="s">
        <v>4524</v>
      </c>
      <c r="B333" s="2" t="s">
        <v>4518</v>
      </c>
      <c r="C333" s="4">
        <v>1</v>
      </c>
      <c r="D333" s="5">
        <v>2.61</v>
      </c>
      <c r="E333" s="5">
        <v>6.99</v>
      </c>
      <c r="F333" s="4" t="s">
        <v>4519</v>
      </c>
      <c r="G333" s="2" t="s">
        <v>171</v>
      </c>
      <c r="H333" s="7"/>
      <c r="I333" s="2" t="s">
        <v>483</v>
      </c>
      <c r="J333" s="2" t="s">
        <v>536</v>
      </c>
      <c r="K333" s="2" t="s">
        <v>304</v>
      </c>
      <c r="L333" s="2" t="s">
        <v>623</v>
      </c>
      <c r="M333" s="8" t="str">
        <f>HYPERLINK("http://slimages.macys.com/is/image/MCY/12466225 ")</f>
        <v xml:space="preserve">http://slimages.macys.com/is/image/MCY/12466225 </v>
      </c>
    </row>
    <row r="334" spans="1:13" ht="60" x14ac:dyDescent="0.25">
      <c r="A334" s="7" t="s">
        <v>6520</v>
      </c>
      <c r="B334" s="2" t="s">
        <v>6521</v>
      </c>
      <c r="C334" s="4">
        <v>1</v>
      </c>
      <c r="D334" s="5">
        <v>2.61</v>
      </c>
      <c r="E334" s="5">
        <v>6.99</v>
      </c>
      <c r="F334" s="4" t="s">
        <v>6522</v>
      </c>
      <c r="G334" s="2" t="s">
        <v>297</v>
      </c>
      <c r="H334" s="7" t="s">
        <v>482</v>
      </c>
      <c r="I334" s="2" t="s">
        <v>483</v>
      </c>
      <c r="J334" s="2" t="s">
        <v>536</v>
      </c>
      <c r="K334" s="2" t="s">
        <v>304</v>
      </c>
      <c r="L334" s="2" t="s">
        <v>38</v>
      </c>
      <c r="M334" s="8" t="str">
        <f>HYPERLINK("http://slimages.macys.com/is/image/MCY/13987484 ")</f>
        <v xml:space="preserve">http://slimages.macys.com/is/image/MCY/13987484 </v>
      </c>
    </row>
    <row r="335" spans="1:13" ht="60" x14ac:dyDescent="0.25">
      <c r="A335" s="7" t="s">
        <v>4523</v>
      </c>
      <c r="B335" s="2" t="s">
        <v>2271</v>
      </c>
      <c r="C335" s="4">
        <v>1</v>
      </c>
      <c r="D335" s="5">
        <v>2.61</v>
      </c>
      <c r="E335" s="5">
        <v>6.99</v>
      </c>
      <c r="F335" s="4" t="s">
        <v>2272</v>
      </c>
      <c r="G335" s="2" t="s">
        <v>1147</v>
      </c>
      <c r="H335" s="7" t="s">
        <v>149</v>
      </c>
      <c r="I335" s="2" t="s">
        <v>483</v>
      </c>
      <c r="J335" s="2" t="s">
        <v>536</v>
      </c>
      <c r="K335" s="2" t="s">
        <v>304</v>
      </c>
      <c r="L335" s="2" t="s">
        <v>38</v>
      </c>
      <c r="M335" s="8" t="str">
        <f>HYPERLINK("http://slimages.macys.com/is/image/MCY/13987297 ")</f>
        <v xml:space="preserve">http://slimages.macys.com/is/image/MCY/13987297 </v>
      </c>
    </row>
    <row r="336" spans="1:13" ht="60" x14ac:dyDescent="0.25">
      <c r="A336" s="7" t="s">
        <v>6523</v>
      </c>
      <c r="B336" s="2" t="s">
        <v>2271</v>
      </c>
      <c r="C336" s="4">
        <v>1</v>
      </c>
      <c r="D336" s="5">
        <v>2.61</v>
      </c>
      <c r="E336" s="5">
        <v>6.99</v>
      </c>
      <c r="F336" s="4" t="s">
        <v>2272</v>
      </c>
      <c r="G336" s="2" t="s">
        <v>1147</v>
      </c>
      <c r="H336" s="7" t="s">
        <v>442</v>
      </c>
      <c r="I336" s="2" t="s">
        <v>483</v>
      </c>
      <c r="J336" s="2" t="s">
        <v>536</v>
      </c>
      <c r="K336" s="2" t="s">
        <v>304</v>
      </c>
      <c r="L336" s="2" t="s">
        <v>38</v>
      </c>
      <c r="M336" s="8" t="str">
        <f>HYPERLINK("http://slimages.macys.com/is/image/MCY/13987297 ")</f>
        <v xml:space="preserve">http://slimages.macys.com/is/image/MCY/13987297 </v>
      </c>
    </row>
    <row r="337" spans="1:13" ht="60" x14ac:dyDescent="0.25">
      <c r="A337" s="7" t="s">
        <v>1252</v>
      </c>
      <c r="B337" s="2" t="s">
        <v>1253</v>
      </c>
      <c r="C337" s="4">
        <v>1</v>
      </c>
      <c r="D337" s="5">
        <v>2.61</v>
      </c>
      <c r="E337" s="5">
        <v>6.99</v>
      </c>
      <c r="F337" s="4" t="s">
        <v>1254</v>
      </c>
      <c r="G337" s="2" t="s">
        <v>171</v>
      </c>
      <c r="H337" s="7" t="s">
        <v>149</v>
      </c>
      <c r="I337" s="2" t="s">
        <v>483</v>
      </c>
      <c r="J337" s="2" t="s">
        <v>536</v>
      </c>
      <c r="K337" s="2" t="s">
        <v>304</v>
      </c>
      <c r="L337" s="2" t="s">
        <v>38</v>
      </c>
      <c r="M337" s="8" t="str">
        <f>HYPERLINK("http://slimages.macys.com/is/image/MCY/13987491 ")</f>
        <v xml:space="preserve">http://slimages.macys.com/is/image/MCY/13987491 </v>
      </c>
    </row>
    <row r="338" spans="1:13" ht="60" x14ac:dyDescent="0.25">
      <c r="A338" s="7" t="s">
        <v>2273</v>
      </c>
      <c r="B338" s="2" t="s">
        <v>1253</v>
      </c>
      <c r="C338" s="4">
        <v>1</v>
      </c>
      <c r="D338" s="5">
        <v>2.61</v>
      </c>
      <c r="E338" s="5">
        <v>6.99</v>
      </c>
      <c r="F338" s="4" t="s">
        <v>1254</v>
      </c>
      <c r="G338" s="2" t="s">
        <v>171</v>
      </c>
      <c r="H338" s="7" t="s">
        <v>442</v>
      </c>
      <c r="I338" s="2" t="s">
        <v>483</v>
      </c>
      <c r="J338" s="2" t="s">
        <v>536</v>
      </c>
      <c r="K338" s="2" t="s">
        <v>304</v>
      </c>
      <c r="L338" s="2" t="s">
        <v>38</v>
      </c>
      <c r="M338" s="8" t="str">
        <f>HYPERLINK("http://slimages.macys.com/is/image/MCY/13987491 ")</f>
        <v xml:space="preserve">http://slimages.macys.com/is/image/MCY/13987491 </v>
      </c>
    </row>
    <row r="339" spans="1:13" ht="60" x14ac:dyDescent="0.25">
      <c r="A339" s="7" t="s">
        <v>6524</v>
      </c>
      <c r="B339" s="2" t="s">
        <v>4532</v>
      </c>
      <c r="C339" s="4">
        <v>1</v>
      </c>
      <c r="D339" s="5">
        <v>2.57</v>
      </c>
      <c r="E339" s="5">
        <v>6.99</v>
      </c>
      <c r="F339" s="4">
        <v>100021102</v>
      </c>
      <c r="G339" s="2" t="s">
        <v>86</v>
      </c>
      <c r="H339" s="7" t="s">
        <v>590</v>
      </c>
      <c r="I339" s="2" t="s">
        <v>483</v>
      </c>
      <c r="J339" s="2" t="s">
        <v>536</v>
      </c>
      <c r="K339" s="2" t="s">
        <v>304</v>
      </c>
      <c r="L339" s="2" t="s">
        <v>596</v>
      </c>
      <c r="M339" s="8" t="str">
        <f>HYPERLINK("http://slimages.macys.com/is/image/MCY/9648773 ")</f>
        <v xml:space="preserve">http://slimages.macys.com/is/image/MCY/9648773 </v>
      </c>
    </row>
    <row r="340" spans="1:13" ht="60" x14ac:dyDescent="0.25">
      <c r="A340" s="7" t="s">
        <v>6051</v>
      </c>
      <c r="B340" s="2" t="s">
        <v>6032</v>
      </c>
      <c r="C340" s="4">
        <v>1</v>
      </c>
      <c r="D340" s="5">
        <v>2.57</v>
      </c>
      <c r="E340" s="5">
        <v>6.99</v>
      </c>
      <c r="F340" s="4" t="s">
        <v>6033</v>
      </c>
      <c r="G340" s="2" t="s">
        <v>297</v>
      </c>
      <c r="H340" s="7" t="s">
        <v>91</v>
      </c>
      <c r="I340" s="2" t="s">
        <v>483</v>
      </c>
      <c r="J340" s="2" t="s">
        <v>536</v>
      </c>
      <c r="K340" s="2" t="s">
        <v>304</v>
      </c>
      <c r="L340" s="2" t="s">
        <v>100</v>
      </c>
      <c r="M340" s="8" t="str">
        <f>HYPERLINK("http://slimages.macys.com/is/image/MCY/11378279 ")</f>
        <v xml:space="preserve">http://slimages.macys.com/is/image/MCY/11378279 </v>
      </c>
    </row>
    <row r="341" spans="1:13" ht="60" x14ac:dyDescent="0.25">
      <c r="A341" s="7" t="s">
        <v>6525</v>
      </c>
      <c r="B341" s="2" t="s">
        <v>6032</v>
      </c>
      <c r="C341" s="4">
        <v>1</v>
      </c>
      <c r="D341" s="5">
        <v>2.57</v>
      </c>
      <c r="E341" s="5">
        <v>6.99</v>
      </c>
      <c r="F341" s="4" t="s">
        <v>6033</v>
      </c>
      <c r="G341" s="2" t="s">
        <v>62</v>
      </c>
      <c r="H341" s="7" t="s">
        <v>442</v>
      </c>
      <c r="I341" s="2" t="s">
        <v>483</v>
      </c>
      <c r="J341" s="2" t="s">
        <v>536</v>
      </c>
      <c r="K341" s="2" t="s">
        <v>304</v>
      </c>
      <c r="L341" s="2" t="s">
        <v>100</v>
      </c>
      <c r="M341" s="8" t="str">
        <f>HYPERLINK("http://slimages.macys.com/is/image/MCY/11378313 ")</f>
        <v xml:space="preserve">http://slimages.macys.com/is/image/MCY/11378313 </v>
      </c>
    </row>
    <row r="342" spans="1:13" ht="60" x14ac:dyDescent="0.25">
      <c r="A342" s="7" t="s">
        <v>6526</v>
      </c>
      <c r="B342" s="2" t="s">
        <v>4532</v>
      </c>
      <c r="C342" s="4">
        <v>1</v>
      </c>
      <c r="D342" s="5">
        <v>2.57</v>
      </c>
      <c r="E342" s="5">
        <v>6.99</v>
      </c>
      <c r="F342" s="4">
        <v>100021102</v>
      </c>
      <c r="G342" s="2" t="s">
        <v>874</v>
      </c>
      <c r="H342" s="7" t="s">
        <v>42</v>
      </c>
      <c r="I342" s="2" t="s">
        <v>483</v>
      </c>
      <c r="J342" s="2" t="s">
        <v>536</v>
      </c>
      <c r="K342" s="2" t="s">
        <v>304</v>
      </c>
      <c r="L342" s="2" t="s">
        <v>596</v>
      </c>
      <c r="M342" s="8" t="str">
        <f>HYPERLINK("http://slimages.macys.com/is/image/MCY/9648773 ")</f>
        <v xml:space="preserve">http://slimages.macys.com/is/image/MCY/9648773 </v>
      </c>
    </row>
    <row r="343" spans="1:13" ht="60" x14ac:dyDescent="0.25">
      <c r="A343" s="7" t="s">
        <v>6059</v>
      </c>
      <c r="B343" s="2" t="s">
        <v>1260</v>
      </c>
      <c r="C343" s="4">
        <v>2</v>
      </c>
      <c r="D343" s="5">
        <v>2.56</v>
      </c>
      <c r="E343" s="5">
        <v>6.99</v>
      </c>
      <c r="F343" s="4" t="s">
        <v>1261</v>
      </c>
      <c r="G343" s="2" t="s">
        <v>86</v>
      </c>
      <c r="H343" s="7" t="s">
        <v>442</v>
      </c>
      <c r="I343" s="2" t="s">
        <v>483</v>
      </c>
      <c r="J343" s="2" t="s">
        <v>536</v>
      </c>
      <c r="K343" s="2" t="s">
        <v>304</v>
      </c>
      <c r="L343" s="2" t="s">
        <v>100</v>
      </c>
      <c r="M343" s="8" t="str">
        <f>HYPERLINK("http://slimages.macys.com/is/image/MCY/11779082 ")</f>
        <v xml:space="preserve">http://slimages.macys.com/is/image/MCY/11779082 </v>
      </c>
    </row>
    <row r="344" spans="1:13" ht="60" x14ac:dyDescent="0.25">
      <c r="A344" s="7" t="s">
        <v>6527</v>
      </c>
      <c r="B344" s="2" t="s">
        <v>6528</v>
      </c>
      <c r="C344" s="4">
        <v>1</v>
      </c>
      <c r="D344" s="5">
        <v>2.56</v>
      </c>
      <c r="E344" s="5">
        <v>6.99</v>
      </c>
      <c r="F344" s="4" t="s">
        <v>6529</v>
      </c>
      <c r="G344" s="2" t="s">
        <v>129</v>
      </c>
      <c r="H344" s="7" t="s">
        <v>91</v>
      </c>
      <c r="I344" s="2" t="s">
        <v>483</v>
      </c>
      <c r="J344" s="2" t="s">
        <v>536</v>
      </c>
      <c r="K344" s="2" t="s">
        <v>304</v>
      </c>
      <c r="L344" s="2" t="s">
        <v>100</v>
      </c>
      <c r="M344" s="8" t="str">
        <f>HYPERLINK("http://slimages.macys.com/is/image/MCY/10379616 ")</f>
        <v xml:space="preserve">http://slimages.macys.com/is/image/MCY/10379616 </v>
      </c>
    </row>
    <row r="345" spans="1:13" ht="60" x14ac:dyDescent="0.25">
      <c r="A345" s="7" t="s">
        <v>6530</v>
      </c>
      <c r="B345" s="2" t="s">
        <v>6531</v>
      </c>
      <c r="C345" s="4">
        <v>1</v>
      </c>
      <c r="D345" s="5">
        <v>2.56</v>
      </c>
      <c r="E345" s="5">
        <v>6.99</v>
      </c>
      <c r="F345" s="4" t="s">
        <v>6532</v>
      </c>
      <c r="G345" s="2" t="s">
        <v>41</v>
      </c>
      <c r="H345" s="7" t="s">
        <v>149</v>
      </c>
      <c r="I345" s="2" t="s">
        <v>483</v>
      </c>
      <c r="J345" s="2" t="s">
        <v>536</v>
      </c>
      <c r="K345" s="2" t="s">
        <v>304</v>
      </c>
      <c r="L345" s="2" t="s">
        <v>100</v>
      </c>
      <c r="M345" s="8" t="str">
        <f>HYPERLINK("http://slimages.macys.com/is/image/MCY/11334659 ")</f>
        <v xml:space="preserve">http://slimages.macys.com/is/image/MCY/11334659 </v>
      </c>
    </row>
    <row r="346" spans="1:13" ht="60" x14ac:dyDescent="0.25">
      <c r="A346" s="7" t="s">
        <v>6533</v>
      </c>
      <c r="B346" s="2" t="s">
        <v>6528</v>
      </c>
      <c r="C346" s="4">
        <v>1</v>
      </c>
      <c r="D346" s="5">
        <v>2.56</v>
      </c>
      <c r="E346" s="5">
        <v>6.99</v>
      </c>
      <c r="F346" s="4" t="s">
        <v>6529</v>
      </c>
      <c r="G346" s="2" t="s">
        <v>129</v>
      </c>
      <c r="H346" s="7" t="s">
        <v>149</v>
      </c>
      <c r="I346" s="2" t="s">
        <v>483</v>
      </c>
      <c r="J346" s="2" t="s">
        <v>536</v>
      </c>
      <c r="K346" s="2" t="s">
        <v>304</v>
      </c>
      <c r="L346" s="2" t="s">
        <v>100</v>
      </c>
      <c r="M346" s="8" t="str">
        <f>HYPERLINK("http://slimages.macys.com/is/image/MCY/10379616 ")</f>
        <v xml:space="preserve">http://slimages.macys.com/is/image/MCY/10379616 </v>
      </c>
    </row>
    <row r="347" spans="1:13" ht="60" x14ac:dyDescent="0.25">
      <c r="A347" s="7" t="s">
        <v>5700</v>
      </c>
      <c r="B347" s="2" t="s">
        <v>5694</v>
      </c>
      <c r="C347" s="4">
        <v>1</v>
      </c>
      <c r="D347" s="5">
        <v>2.5499999999999998</v>
      </c>
      <c r="E347" s="5">
        <v>6.99</v>
      </c>
      <c r="F347" s="4" t="s">
        <v>5695</v>
      </c>
      <c r="G347" s="2" t="s">
        <v>2107</v>
      </c>
      <c r="H347" s="7" t="s">
        <v>482</v>
      </c>
      <c r="I347" s="2" t="s">
        <v>483</v>
      </c>
      <c r="J347" s="2" t="s">
        <v>536</v>
      </c>
      <c r="K347" s="2" t="s">
        <v>304</v>
      </c>
      <c r="L347" s="2" t="s">
        <v>206</v>
      </c>
      <c r="M347" s="8" t="str">
        <f>HYPERLINK("http://slimages.macys.com/is/image/MCY/11436886 ")</f>
        <v xml:space="preserve">http://slimages.macys.com/is/image/MCY/11436886 </v>
      </c>
    </row>
    <row r="348" spans="1:13" ht="60" x14ac:dyDescent="0.25">
      <c r="A348" s="7" t="s">
        <v>6534</v>
      </c>
      <c r="B348" s="2" t="s">
        <v>5694</v>
      </c>
      <c r="C348" s="4">
        <v>4</v>
      </c>
      <c r="D348" s="5">
        <v>2.5499999999999998</v>
      </c>
      <c r="E348" s="5">
        <v>6.99</v>
      </c>
      <c r="F348" s="4" t="s">
        <v>5695</v>
      </c>
      <c r="G348" s="2" t="s">
        <v>2107</v>
      </c>
      <c r="H348" s="7" t="s">
        <v>149</v>
      </c>
      <c r="I348" s="2" t="s">
        <v>483</v>
      </c>
      <c r="J348" s="2" t="s">
        <v>536</v>
      </c>
      <c r="K348" s="2" t="s">
        <v>304</v>
      </c>
      <c r="L348" s="2" t="s">
        <v>206</v>
      </c>
      <c r="M348" s="8" t="str">
        <f>HYPERLINK("http://slimages.macys.com/is/image/MCY/11436886 ")</f>
        <v xml:space="preserve">http://slimages.macys.com/is/image/MCY/11436886 </v>
      </c>
    </row>
    <row r="349" spans="1:13" ht="60" x14ac:dyDescent="0.25">
      <c r="A349" s="7" t="s">
        <v>6535</v>
      </c>
      <c r="B349" s="2" t="s">
        <v>5694</v>
      </c>
      <c r="C349" s="4">
        <v>8</v>
      </c>
      <c r="D349" s="5">
        <v>2.5499999999999998</v>
      </c>
      <c r="E349" s="5">
        <v>6.99</v>
      </c>
      <c r="F349" s="4" t="s">
        <v>5695</v>
      </c>
      <c r="G349" s="2" t="s">
        <v>2107</v>
      </c>
      <c r="H349" s="7" t="s">
        <v>590</v>
      </c>
      <c r="I349" s="2" t="s">
        <v>483</v>
      </c>
      <c r="J349" s="2" t="s">
        <v>536</v>
      </c>
      <c r="K349" s="2" t="s">
        <v>304</v>
      </c>
      <c r="L349" s="2" t="s">
        <v>206</v>
      </c>
      <c r="M349" s="8" t="str">
        <f>HYPERLINK("http://slimages.macys.com/is/image/MCY/11436886 ")</f>
        <v xml:space="preserve">http://slimages.macys.com/is/image/MCY/11436886 </v>
      </c>
    </row>
    <row r="350" spans="1:13" ht="60" x14ac:dyDescent="0.25">
      <c r="A350" s="7" t="s">
        <v>5693</v>
      </c>
      <c r="B350" s="2" t="s">
        <v>5694</v>
      </c>
      <c r="C350" s="4">
        <v>3</v>
      </c>
      <c r="D350" s="5">
        <v>2.5499999999999998</v>
      </c>
      <c r="E350" s="5">
        <v>6.99</v>
      </c>
      <c r="F350" s="4" t="s">
        <v>5695</v>
      </c>
      <c r="G350" s="2" t="s">
        <v>2107</v>
      </c>
      <c r="H350" s="7"/>
      <c r="I350" s="2" t="s">
        <v>483</v>
      </c>
      <c r="J350" s="2" t="s">
        <v>536</v>
      </c>
      <c r="K350" s="2" t="s">
        <v>304</v>
      </c>
      <c r="L350" s="2" t="s">
        <v>206</v>
      </c>
      <c r="M350" s="8" t="str">
        <f>HYPERLINK("http://slimages.macys.com/is/image/MCY/11436886 ")</f>
        <v xml:space="preserve">http://slimages.macys.com/is/image/MCY/11436886 </v>
      </c>
    </row>
    <row r="351" spans="1:13" ht="60" x14ac:dyDescent="0.25">
      <c r="A351" s="7" t="s">
        <v>6536</v>
      </c>
      <c r="B351" s="2" t="s">
        <v>5692</v>
      </c>
      <c r="C351" s="4">
        <v>2</v>
      </c>
      <c r="D351" s="5">
        <v>2.5499999999999998</v>
      </c>
      <c r="E351" s="5">
        <v>6.99</v>
      </c>
      <c r="F351" s="4">
        <v>10004349400</v>
      </c>
      <c r="G351" s="2" t="s">
        <v>134</v>
      </c>
      <c r="H351" s="7" t="s">
        <v>442</v>
      </c>
      <c r="I351" s="2" t="s">
        <v>483</v>
      </c>
      <c r="J351" s="2" t="s">
        <v>536</v>
      </c>
      <c r="K351" s="2" t="s">
        <v>304</v>
      </c>
      <c r="L351" s="2" t="s">
        <v>206</v>
      </c>
      <c r="M351" s="8" t="str">
        <f>HYPERLINK("http://slimages.macys.com/is/image/MCY/11434520 ")</f>
        <v xml:space="preserve">http://slimages.macys.com/is/image/MCY/11434520 </v>
      </c>
    </row>
    <row r="352" spans="1:13" ht="60" x14ac:dyDescent="0.25">
      <c r="A352" s="7" t="s">
        <v>6537</v>
      </c>
      <c r="B352" s="2" t="s">
        <v>5692</v>
      </c>
      <c r="C352" s="4">
        <v>6</v>
      </c>
      <c r="D352" s="5">
        <v>2.5499999999999998</v>
      </c>
      <c r="E352" s="5">
        <v>6.99</v>
      </c>
      <c r="F352" s="4">
        <v>10004349400</v>
      </c>
      <c r="G352" s="2" t="s">
        <v>134</v>
      </c>
      <c r="H352" s="7" t="s">
        <v>149</v>
      </c>
      <c r="I352" s="2" t="s">
        <v>483</v>
      </c>
      <c r="J352" s="2" t="s">
        <v>536</v>
      </c>
      <c r="K352" s="2" t="s">
        <v>304</v>
      </c>
      <c r="L352" s="2" t="s">
        <v>206</v>
      </c>
      <c r="M352" s="8" t="str">
        <f>HYPERLINK("http://slimages.macys.com/is/image/MCY/11434520 ")</f>
        <v xml:space="preserve">http://slimages.macys.com/is/image/MCY/11434520 </v>
      </c>
    </row>
    <row r="353" spans="1:13" ht="60" x14ac:dyDescent="0.25">
      <c r="A353" s="7" t="s">
        <v>6538</v>
      </c>
      <c r="B353" s="2" t="s">
        <v>5692</v>
      </c>
      <c r="C353" s="4">
        <v>2</v>
      </c>
      <c r="D353" s="5">
        <v>2.5499999999999998</v>
      </c>
      <c r="E353" s="5">
        <v>6.99</v>
      </c>
      <c r="F353" s="4">
        <v>10004349400</v>
      </c>
      <c r="G353" s="2" t="s">
        <v>134</v>
      </c>
      <c r="H353" s="7"/>
      <c r="I353" s="2" t="s">
        <v>483</v>
      </c>
      <c r="J353" s="2" t="s">
        <v>536</v>
      </c>
      <c r="K353" s="2" t="s">
        <v>304</v>
      </c>
      <c r="L353" s="2" t="s">
        <v>206</v>
      </c>
      <c r="M353" s="8" t="str">
        <f>HYPERLINK("http://slimages.macys.com/is/image/MCY/11434520 ")</f>
        <v xml:space="preserve">http://slimages.macys.com/is/image/MCY/11434520 </v>
      </c>
    </row>
    <row r="354" spans="1:13" ht="60" x14ac:dyDescent="0.25">
      <c r="A354" s="7" t="s">
        <v>6539</v>
      </c>
      <c r="B354" s="2" t="s">
        <v>6540</v>
      </c>
      <c r="C354" s="4">
        <v>1</v>
      </c>
      <c r="D354" s="5">
        <v>2.5499999999999998</v>
      </c>
      <c r="E354" s="5">
        <v>7.99</v>
      </c>
      <c r="F354" s="4" t="s">
        <v>6541</v>
      </c>
      <c r="G354" s="2" t="s">
        <v>657</v>
      </c>
      <c r="H354" s="7" t="s">
        <v>514</v>
      </c>
      <c r="I354" s="2" t="s">
        <v>483</v>
      </c>
      <c r="J354" s="2" t="s">
        <v>536</v>
      </c>
      <c r="K354" s="2" t="s">
        <v>304</v>
      </c>
      <c r="L354" s="2" t="s">
        <v>119</v>
      </c>
      <c r="M354" s="8" t="str">
        <f>HYPERLINK("http://slimages.macys.com/is/image/MCY/12644371 ")</f>
        <v xml:space="preserve">http://slimages.macys.com/is/image/MCY/12644371 </v>
      </c>
    </row>
    <row r="355" spans="1:13" ht="60" x14ac:dyDescent="0.25">
      <c r="A355" s="7" t="s">
        <v>6064</v>
      </c>
      <c r="B355" s="2" t="s">
        <v>2283</v>
      </c>
      <c r="C355" s="4">
        <v>14</v>
      </c>
      <c r="D355" s="5">
        <v>2.5499999999999998</v>
      </c>
      <c r="E355" s="5">
        <v>5.99</v>
      </c>
      <c r="F355" s="4" t="s">
        <v>2284</v>
      </c>
      <c r="G355" s="2" t="s">
        <v>86</v>
      </c>
      <c r="H355" s="7" t="s">
        <v>42</v>
      </c>
      <c r="I355" s="2" t="s">
        <v>483</v>
      </c>
      <c r="J355" s="2" t="s">
        <v>536</v>
      </c>
      <c r="K355" s="2" t="s">
        <v>304</v>
      </c>
      <c r="L355" s="2" t="s">
        <v>206</v>
      </c>
      <c r="M355" s="8" t="str">
        <f>HYPERLINK("http://slimages.macys.com/is/image/MCY/11436902 ")</f>
        <v xml:space="preserve">http://slimages.macys.com/is/image/MCY/11436902 </v>
      </c>
    </row>
    <row r="356" spans="1:13" ht="60" x14ac:dyDescent="0.25">
      <c r="A356" s="7" t="s">
        <v>6542</v>
      </c>
      <c r="B356" s="2" t="s">
        <v>5694</v>
      </c>
      <c r="C356" s="4">
        <v>2</v>
      </c>
      <c r="D356" s="5">
        <v>2.5499999999999998</v>
      </c>
      <c r="E356" s="5">
        <v>6.99</v>
      </c>
      <c r="F356" s="4" t="s">
        <v>5695</v>
      </c>
      <c r="G356" s="2" t="s">
        <v>2107</v>
      </c>
      <c r="H356" s="7" t="s">
        <v>442</v>
      </c>
      <c r="I356" s="2" t="s">
        <v>483</v>
      </c>
      <c r="J356" s="2" t="s">
        <v>536</v>
      </c>
      <c r="K356" s="2" t="s">
        <v>304</v>
      </c>
      <c r="L356" s="2" t="s">
        <v>206</v>
      </c>
      <c r="M356" s="8" t="str">
        <f>HYPERLINK("http://slimages.macys.com/is/image/MCY/11436886 ")</f>
        <v xml:space="preserve">http://slimages.macys.com/is/image/MCY/11436886 </v>
      </c>
    </row>
    <row r="357" spans="1:13" ht="60" x14ac:dyDescent="0.25">
      <c r="A357" s="7" t="s">
        <v>5701</v>
      </c>
      <c r="B357" s="2" t="s">
        <v>4536</v>
      </c>
      <c r="C357" s="4">
        <v>1</v>
      </c>
      <c r="D357" s="5">
        <v>2.5499999999999998</v>
      </c>
      <c r="E357" s="5">
        <v>6.99</v>
      </c>
      <c r="F357" s="4">
        <v>10005486300</v>
      </c>
      <c r="G357" s="2" t="s">
        <v>134</v>
      </c>
      <c r="H357" s="7" t="s">
        <v>590</v>
      </c>
      <c r="I357" s="2" t="s">
        <v>483</v>
      </c>
      <c r="J357" s="2" t="s">
        <v>536</v>
      </c>
      <c r="K357" s="2" t="s">
        <v>304</v>
      </c>
      <c r="L357" s="2" t="s">
        <v>119</v>
      </c>
      <c r="M357" s="8" t="str">
        <f>HYPERLINK("http://slimages.macys.com/is/image/MCY/12466262 ")</f>
        <v xml:space="preserve">http://slimages.macys.com/is/image/MCY/12466262 </v>
      </c>
    </row>
    <row r="358" spans="1:13" ht="60" x14ac:dyDescent="0.25">
      <c r="A358" s="7" t="s">
        <v>6543</v>
      </c>
      <c r="B358" s="2" t="s">
        <v>6544</v>
      </c>
      <c r="C358" s="4">
        <v>1</v>
      </c>
      <c r="D358" s="5">
        <v>2.5499999999999998</v>
      </c>
      <c r="E358" s="5">
        <v>6.99</v>
      </c>
      <c r="F358" s="4" t="s">
        <v>6545</v>
      </c>
      <c r="G358" s="2" t="s">
        <v>41</v>
      </c>
      <c r="H358" s="7" t="s">
        <v>482</v>
      </c>
      <c r="I358" s="2" t="s">
        <v>483</v>
      </c>
      <c r="J358" s="2" t="s">
        <v>536</v>
      </c>
      <c r="K358" s="2" t="s">
        <v>304</v>
      </c>
      <c r="L358" s="2" t="s">
        <v>38</v>
      </c>
      <c r="M358" s="8" t="str">
        <f>HYPERLINK("http://slimages.macys.com/is/image/MCY/11434980 ")</f>
        <v xml:space="preserve">http://slimages.macys.com/is/image/MCY/11434980 </v>
      </c>
    </row>
    <row r="359" spans="1:13" ht="60" x14ac:dyDescent="0.25">
      <c r="A359" s="7" t="s">
        <v>6546</v>
      </c>
      <c r="B359" s="2" t="s">
        <v>5692</v>
      </c>
      <c r="C359" s="4">
        <v>2</v>
      </c>
      <c r="D359" s="5">
        <v>2.5499999999999998</v>
      </c>
      <c r="E359" s="5">
        <v>6.99</v>
      </c>
      <c r="F359" s="4">
        <v>10004349400</v>
      </c>
      <c r="G359" s="2" t="s">
        <v>134</v>
      </c>
      <c r="H359" s="7" t="s">
        <v>590</v>
      </c>
      <c r="I359" s="2" t="s">
        <v>483</v>
      </c>
      <c r="J359" s="2" t="s">
        <v>536</v>
      </c>
      <c r="K359" s="2" t="s">
        <v>304</v>
      </c>
      <c r="L359" s="2" t="s">
        <v>206</v>
      </c>
      <c r="M359" s="8" t="str">
        <f>HYPERLINK("http://slimages.macys.com/is/image/MCY/11434520 ")</f>
        <v xml:space="preserve">http://slimages.macys.com/is/image/MCY/11434520 </v>
      </c>
    </row>
    <row r="360" spans="1:13" ht="60" x14ac:dyDescent="0.25">
      <c r="A360" s="7" t="s">
        <v>6066</v>
      </c>
      <c r="B360" s="2" t="s">
        <v>2283</v>
      </c>
      <c r="C360" s="4">
        <v>11</v>
      </c>
      <c r="D360" s="5">
        <v>2.5499999999999998</v>
      </c>
      <c r="E360" s="5">
        <v>5.99</v>
      </c>
      <c r="F360" s="4" t="s">
        <v>2284</v>
      </c>
      <c r="G360" s="2" t="s">
        <v>86</v>
      </c>
      <c r="H360" s="7" t="s">
        <v>590</v>
      </c>
      <c r="I360" s="2" t="s">
        <v>483</v>
      </c>
      <c r="J360" s="2" t="s">
        <v>536</v>
      </c>
      <c r="K360" s="2" t="s">
        <v>304</v>
      </c>
      <c r="L360" s="2" t="s">
        <v>206</v>
      </c>
      <c r="M360" s="8" t="str">
        <f>HYPERLINK("http://slimages.macys.com/is/image/MCY/11436902 ")</f>
        <v xml:space="preserve">http://slimages.macys.com/is/image/MCY/11436902 </v>
      </c>
    </row>
    <row r="361" spans="1:13" ht="60" x14ac:dyDescent="0.25">
      <c r="A361" s="7" t="s">
        <v>6065</v>
      </c>
      <c r="B361" s="2" t="s">
        <v>2283</v>
      </c>
      <c r="C361" s="4">
        <v>13</v>
      </c>
      <c r="D361" s="5">
        <v>2.5499999999999998</v>
      </c>
      <c r="E361" s="5">
        <v>5.99</v>
      </c>
      <c r="F361" s="4" t="s">
        <v>2284</v>
      </c>
      <c r="G361" s="2" t="s">
        <v>86</v>
      </c>
      <c r="H361" s="7" t="s">
        <v>91</v>
      </c>
      <c r="I361" s="2" t="s">
        <v>483</v>
      </c>
      <c r="J361" s="2" t="s">
        <v>536</v>
      </c>
      <c r="K361" s="2" t="s">
        <v>304</v>
      </c>
      <c r="L361" s="2" t="s">
        <v>206</v>
      </c>
      <c r="M361" s="8" t="str">
        <f>HYPERLINK("http://slimages.macys.com/is/image/MCY/11436902 ")</f>
        <v xml:space="preserve">http://slimages.macys.com/is/image/MCY/11436902 </v>
      </c>
    </row>
    <row r="362" spans="1:13" ht="60" x14ac:dyDescent="0.25">
      <c r="A362" s="7" t="s">
        <v>6547</v>
      </c>
      <c r="B362" s="2" t="s">
        <v>5692</v>
      </c>
      <c r="C362" s="4">
        <v>3</v>
      </c>
      <c r="D362" s="5">
        <v>2.5499999999999998</v>
      </c>
      <c r="E362" s="5">
        <v>6.99</v>
      </c>
      <c r="F362" s="4">
        <v>10004349400</v>
      </c>
      <c r="G362" s="2" t="s">
        <v>134</v>
      </c>
      <c r="H362" s="7" t="s">
        <v>482</v>
      </c>
      <c r="I362" s="2" t="s">
        <v>483</v>
      </c>
      <c r="J362" s="2" t="s">
        <v>536</v>
      </c>
      <c r="K362" s="2" t="s">
        <v>304</v>
      </c>
      <c r="L362" s="2" t="s">
        <v>206</v>
      </c>
      <c r="M362" s="8" t="str">
        <f>HYPERLINK("http://slimages.macys.com/is/image/MCY/11434520 ")</f>
        <v xml:space="preserve">http://slimages.macys.com/is/image/MCY/11434520 </v>
      </c>
    </row>
    <row r="363" spans="1:13" ht="60" x14ac:dyDescent="0.25">
      <c r="A363" s="7" t="s">
        <v>2282</v>
      </c>
      <c r="B363" s="2" t="s">
        <v>2283</v>
      </c>
      <c r="C363" s="4">
        <v>7</v>
      </c>
      <c r="D363" s="5">
        <v>2.5499999999999998</v>
      </c>
      <c r="E363" s="5">
        <v>5.99</v>
      </c>
      <c r="F363" s="4" t="s">
        <v>2284</v>
      </c>
      <c r="G363" s="2" t="s">
        <v>86</v>
      </c>
      <c r="H363" s="7" t="s">
        <v>149</v>
      </c>
      <c r="I363" s="2" t="s">
        <v>483</v>
      </c>
      <c r="J363" s="2" t="s">
        <v>536</v>
      </c>
      <c r="K363" s="2" t="s">
        <v>304</v>
      </c>
      <c r="L363" s="2" t="s">
        <v>206</v>
      </c>
      <c r="M363" s="8" t="str">
        <f>HYPERLINK("http://slimages.macys.com/is/image/MCY/11436902 ")</f>
        <v xml:space="preserve">http://slimages.macys.com/is/image/MCY/11436902 </v>
      </c>
    </row>
    <row r="364" spans="1:13" ht="60" x14ac:dyDescent="0.25">
      <c r="A364" s="7" t="s">
        <v>2288</v>
      </c>
      <c r="B364" s="2" t="s">
        <v>2283</v>
      </c>
      <c r="C364" s="4">
        <v>12</v>
      </c>
      <c r="D364" s="5">
        <v>2.5499999999999998</v>
      </c>
      <c r="E364" s="5">
        <v>5.99</v>
      </c>
      <c r="F364" s="4" t="s">
        <v>2284</v>
      </c>
      <c r="G364" s="2" t="s">
        <v>86</v>
      </c>
      <c r="H364" s="7" t="s">
        <v>442</v>
      </c>
      <c r="I364" s="2" t="s">
        <v>483</v>
      </c>
      <c r="J364" s="2" t="s">
        <v>536</v>
      </c>
      <c r="K364" s="2" t="s">
        <v>304</v>
      </c>
      <c r="L364" s="2" t="s">
        <v>206</v>
      </c>
      <c r="M364" s="8" t="str">
        <f>HYPERLINK("http://slimages.macys.com/is/image/MCY/11436902 ")</f>
        <v xml:space="preserve">http://slimages.macys.com/is/image/MCY/11436902 </v>
      </c>
    </row>
    <row r="365" spans="1:13" ht="60" x14ac:dyDescent="0.25">
      <c r="A365" s="7" t="s">
        <v>2723</v>
      </c>
      <c r="B365" s="2" t="s">
        <v>1269</v>
      </c>
      <c r="C365" s="4">
        <v>2</v>
      </c>
      <c r="D365" s="5">
        <v>2.54</v>
      </c>
      <c r="E365" s="5">
        <v>6.99</v>
      </c>
      <c r="F365" s="4" t="s">
        <v>1270</v>
      </c>
      <c r="G365" s="2" t="s">
        <v>41</v>
      </c>
      <c r="H365" s="7" t="s">
        <v>482</v>
      </c>
      <c r="I365" s="2" t="s">
        <v>483</v>
      </c>
      <c r="J365" s="2" t="s">
        <v>536</v>
      </c>
      <c r="K365" s="2" t="s">
        <v>304</v>
      </c>
      <c r="L365" s="2" t="s">
        <v>38</v>
      </c>
      <c r="M365" s="8" t="str">
        <f>HYPERLINK("http://slimages.macys.com/is/image/MCY/13987495 ")</f>
        <v xml:space="preserve">http://slimages.macys.com/is/image/MCY/13987495 </v>
      </c>
    </row>
    <row r="366" spans="1:13" ht="60" x14ac:dyDescent="0.25">
      <c r="A366" s="7" t="s">
        <v>1268</v>
      </c>
      <c r="B366" s="2" t="s">
        <v>1269</v>
      </c>
      <c r="C366" s="4">
        <v>2</v>
      </c>
      <c r="D366" s="5">
        <v>2.54</v>
      </c>
      <c r="E366" s="5">
        <v>6.99</v>
      </c>
      <c r="F366" s="4" t="s">
        <v>1270</v>
      </c>
      <c r="G366" s="2" t="s">
        <v>41</v>
      </c>
      <c r="H366" s="7"/>
      <c r="I366" s="2" t="s">
        <v>483</v>
      </c>
      <c r="J366" s="2" t="s">
        <v>536</v>
      </c>
      <c r="K366" s="2" t="s">
        <v>304</v>
      </c>
      <c r="L366" s="2" t="s">
        <v>38</v>
      </c>
      <c r="M366" s="8" t="str">
        <f>HYPERLINK("http://slimages.macys.com/is/image/MCY/13987495 ")</f>
        <v xml:space="preserve">http://slimages.macys.com/is/image/MCY/13987495 </v>
      </c>
    </row>
    <row r="367" spans="1:13" ht="60" x14ac:dyDescent="0.25">
      <c r="A367" s="7" t="s">
        <v>6548</v>
      </c>
      <c r="B367" s="2" t="s">
        <v>6549</v>
      </c>
      <c r="C367" s="4">
        <v>1</v>
      </c>
      <c r="D367" s="5">
        <v>2.54</v>
      </c>
      <c r="E367" s="5">
        <v>7.99</v>
      </c>
      <c r="F367" s="4" t="s">
        <v>6550</v>
      </c>
      <c r="G367" s="2" t="s">
        <v>41</v>
      </c>
      <c r="H367" s="7" t="s">
        <v>578</v>
      </c>
      <c r="I367" s="2" t="s">
        <v>483</v>
      </c>
      <c r="J367" s="2" t="s">
        <v>536</v>
      </c>
      <c r="K367" s="2" t="s">
        <v>304</v>
      </c>
      <c r="L367" s="2" t="s">
        <v>38</v>
      </c>
      <c r="M367" s="8" t="str">
        <f>HYPERLINK("http://slimages.macys.com/is/image/MCY/13987582 ")</f>
        <v xml:space="preserve">http://slimages.macys.com/is/image/MCY/13987582 </v>
      </c>
    </row>
    <row r="368" spans="1:13" ht="60" x14ac:dyDescent="0.25">
      <c r="A368" s="7" t="s">
        <v>6551</v>
      </c>
      <c r="B368" s="2" t="s">
        <v>2722</v>
      </c>
      <c r="C368" s="4">
        <v>2</v>
      </c>
      <c r="D368" s="5">
        <v>2.54</v>
      </c>
      <c r="E368" s="5">
        <v>6.99</v>
      </c>
      <c r="F368" s="4">
        <v>10006317100</v>
      </c>
      <c r="G368" s="2" t="s">
        <v>1302</v>
      </c>
      <c r="H368" s="7"/>
      <c r="I368" s="2" t="s">
        <v>483</v>
      </c>
      <c r="J368" s="2" t="s">
        <v>536</v>
      </c>
      <c r="K368" s="2" t="s">
        <v>304</v>
      </c>
      <c r="L368" s="2" t="s">
        <v>38</v>
      </c>
      <c r="M368" s="8" t="str">
        <f>HYPERLINK("http://slimages.macys.com/is/image/MCY/13987493 ")</f>
        <v xml:space="preserve">http://slimages.macys.com/is/image/MCY/13987493 </v>
      </c>
    </row>
    <row r="369" spans="1:13" ht="60" x14ac:dyDescent="0.25">
      <c r="A369" s="7" t="s">
        <v>6067</v>
      </c>
      <c r="B369" s="2" t="s">
        <v>5710</v>
      </c>
      <c r="C369" s="4">
        <v>2</v>
      </c>
      <c r="D369" s="5">
        <v>2.54</v>
      </c>
      <c r="E369" s="5">
        <v>6.99</v>
      </c>
      <c r="F369" s="4">
        <v>10005487500</v>
      </c>
      <c r="G369" s="2" t="s">
        <v>1360</v>
      </c>
      <c r="H369" s="7" t="s">
        <v>149</v>
      </c>
      <c r="I369" s="2" t="s">
        <v>483</v>
      </c>
      <c r="J369" s="2" t="s">
        <v>536</v>
      </c>
      <c r="K369" s="2" t="s">
        <v>304</v>
      </c>
      <c r="L369" s="2" t="s">
        <v>38</v>
      </c>
      <c r="M369" s="8" t="str">
        <f>HYPERLINK("http://slimages.macys.com/is/image/MCY/12466277 ")</f>
        <v xml:space="preserve">http://slimages.macys.com/is/image/MCY/12466277 </v>
      </c>
    </row>
    <row r="370" spans="1:13" ht="60" x14ac:dyDescent="0.25">
      <c r="A370" s="7" t="s">
        <v>1272</v>
      </c>
      <c r="B370" s="2" t="s">
        <v>1269</v>
      </c>
      <c r="C370" s="4">
        <v>1</v>
      </c>
      <c r="D370" s="5">
        <v>2.54</v>
      </c>
      <c r="E370" s="5">
        <v>6.99</v>
      </c>
      <c r="F370" s="4" t="s">
        <v>1270</v>
      </c>
      <c r="G370" s="2" t="s">
        <v>41</v>
      </c>
      <c r="H370" s="7" t="s">
        <v>149</v>
      </c>
      <c r="I370" s="2" t="s">
        <v>483</v>
      </c>
      <c r="J370" s="2" t="s">
        <v>536</v>
      </c>
      <c r="K370" s="2" t="s">
        <v>304</v>
      </c>
      <c r="L370" s="2" t="s">
        <v>38</v>
      </c>
      <c r="M370" s="8" t="str">
        <f>HYPERLINK("http://slimages.macys.com/is/image/MCY/13987495 ")</f>
        <v xml:space="preserve">http://slimages.macys.com/is/image/MCY/13987495 </v>
      </c>
    </row>
    <row r="371" spans="1:13" ht="60" x14ac:dyDescent="0.25">
      <c r="A371" s="7" t="s">
        <v>5709</v>
      </c>
      <c r="B371" s="2" t="s">
        <v>5710</v>
      </c>
      <c r="C371" s="4">
        <v>2</v>
      </c>
      <c r="D371" s="5">
        <v>2.54</v>
      </c>
      <c r="E371" s="5">
        <v>6.99</v>
      </c>
      <c r="F371" s="4">
        <v>10005487500</v>
      </c>
      <c r="G371" s="2" t="s">
        <v>1360</v>
      </c>
      <c r="H371" s="7"/>
      <c r="I371" s="2" t="s">
        <v>483</v>
      </c>
      <c r="J371" s="2" t="s">
        <v>536</v>
      </c>
      <c r="K371" s="2" t="s">
        <v>304</v>
      </c>
      <c r="L371" s="2" t="s">
        <v>38</v>
      </c>
      <c r="M371" s="8" t="str">
        <f>HYPERLINK("http://slimages.macys.com/is/image/MCY/12466277 ")</f>
        <v xml:space="preserve">http://slimages.macys.com/is/image/MCY/12466277 </v>
      </c>
    </row>
    <row r="372" spans="1:13" ht="60" x14ac:dyDescent="0.25">
      <c r="A372" s="7" t="s">
        <v>6552</v>
      </c>
      <c r="B372" s="2" t="s">
        <v>6553</v>
      </c>
      <c r="C372" s="4">
        <v>1</v>
      </c>
      <c r="D372" s="5">
        <v>2.5299999999999998</v>
      </c>
      <c r="E372" s="5">
        <v>5.99</v>
      </c>
      <c r="F372" s="4" t="s">
        <v>6554</v>
      </c>
      <c r="G372" s="2" t="s">
        <v>41</v>
      </c>
      <c r="H372" s="7" t="s">
        <v>149</v>
      </c>
      <c r="I372" s="2" t="s">
        <v>483</v>
      </c>
      <c r="J372" s="2" t="s">
        <v>536</v>
      </c>
      <c r="K372" s="2" t="s">
        <v>304</v>
      </c>
      <c r="L372" s="2" t="s">
        <v>100</v>
      </c>
      <c r="M372" s="8" t="str">
        <f>HYPERLINK("http://slimages.macys.com/is/image/MCY/11524032 ")</f>
        <v xml:space="preserve">http://slimages.macys.com/is/image/MCY/11524032 </v>
      </c>
    </row>
    <row r="373" spans="1:13" ht="60" x14ac:dyDescent="0.25">
      <c r="A373" s="7" t="s">
        <v>6555</v>
      </c>
      <c r="B373" s="2" t="s">
        <v>1283</v>
      </c>
      <c r="C373" s="4">
        <v>1</v>
      </c>
      <c r="D373" s="5">
        <v>2.5299999999999998</v>
      </c>
      <c r="E373" s="5">
        <v>5.99</v>
      </c>
      <c r="F373" s="4" t="s">
        <v>1284</v>
      </c>
      <c r="G373" s="2" t="s">
        <v>41</v>
      </c>
      <c r="H373" s="7" t="s">
        <v>42</v>
      </c>
      <c r="I373" s="2" t="s">
        <v>483</v>
      </c>
      <c r="J373" s="2" t="s">
        <v>536</v>
      </c>
      <c r="K373" s="2" t="s">
        <v>304</v>
      </c>
      <c r="L373" s="2" t="s">
        <v>38</v>
      </c>
      <c r="M373" s="8" t="str">
        <f>HYPERLINK("http://slimages.macys.com/is/image/MCY/13337388 ")</f>
        <v xml:space="preserve">http://slimages.macys.com/is/image/MCY/13337388 </v>
      </c>
    </row>
    <row r="374" spans="1:13" ht="60" x14ac:dyDescent="0.25">
      <c r="A374" s="7" t="s">
        <v>2297</v>
      </c>
      <c r="B374" s="2" t="s">
        <v>2295</v>
      </c>
      <c r="C374" s="4">
        <v>8</v>
      </c>
      <c r="D374" s="5">
        <v>2.5099999999999998</v>
      </c>
      <c r="E374" s="5">
        <v>5.99</v>
      </c>
      <c r="F374" s="4" t="s">
        <v>2296</v>
      </c>
      <c r="G374" s="2" t="s">
        <v>28</v>
      </c>
      <c r="H374" s="7" t="s">
        <v>91</v>
      </c>
      <c r="I374" s="2" t="s">
        <v>483</v>
      </c>
      <c r="J374" s="2" t="s">
        <v>536</v>
      </c>
      <c r="K374" s="2" t="s">
        <v>304</v>
      </c>
      <c r="L374" s="2" t="s">
        <v>119</v>
      </c>
      <c r="M374" s="8" t="str">
        <f>HYPERLINK("http://slimages.macys.com/is/image/MCY/11436914 ")</f>
        <v xml:space="preserve">http://slimages.macys.com/is/image/MCY/11436914 </v>
      </c>
    </row>
    <row r="375" spans="1:13" ht="60" x14ac:dyDescent="0.25">
      <c r="A375" s="7" t="s">
        <v>6075</v>
      </c>
      <c r="B375" s="2" t="s">
        <v>2295</v>
      </c>
      <c r="C375" s="4">
        <v>5</v>
      </c>
      <c r="D375" s="5">
        <v>2.5099999999999998</v>
      </c>
      <c r="E375" s="5">
        <v>5.99</v>
      </c>
      <c r="F375" s="4" t="s">
        <v>2296</v>
      </c>
      <c r="G375" s="2" t="s">
        <v>28</v>
      </c>
      <c r="H375" s="7" t="s">
        <v>442</v>
      </c>
      <c r="I375" s="2" t="s">
        <v>483</v>
      </c>
      <c r="J375" s="2" t="s">
        <v>536</v>
      </c>
      <c r="K375" s="2" t="s">
        <v>304</v>
      </c>
      <c r="L375" s="2" t="s">
        <v>119</v>
      </c>
      <c r="M375" s="8" t="str">
        <f>HYPERLINK("http://slimages.macys.com/is/image/MCY/11436914 ")</f>
        <v xml:space="preserve">http://slimages.macys.com/is/image/MCY/11436914 </v>
      </c>
    </row>
    <row r="376" spans="1:13" ht="60" x14ac:dyDescent="0.25">
      <c r="A376" s="7" t="s">
        <v>6556</v>
      </c>
      <c r="B376" s="2" t="s">
        <v>6557</v>
      </c>
      <c r="C376" s="4">
        <v>1</v>
      </c>
      <c r="D376" s="5">
        <v>2.5099999999999998</v>
      </c>
      <c r="E376" s="5">
        <v>5.99</v>
      </c>
      <c r="F376" s="4" t="s">
        <v>6558</v>
      </c>
      <c r="G376" s="2" t="s">
        <v>657</v>
      </c>
      <c r="H376" s="7" t="s">
        <v>442</v>
      </c>
      <c r="I376" s="2" t="s">
        <v>483</v>
      </c>
      <c r="J376" s="2" t="s">
        <v>536</v>
      </c>
      <c r="K376" s="2" t="s">
        <v>304</v>
      </c>
      <c r="L376" s="2" t="s">
        <v>119</v>
      </c>
      <c r="M376" s="8" t="str">
        <f>HYPERLINK("http://slimages.macys.com/is/image/MCY/12644366 ")</f>
        <v xml:space="preserve">http://slimages.macys.com/is/image/MCY/12644366 </v>
      </c>
    </row>
    <row r="377" spans="1:13" ht="60" x14ac:dyDescent="0.25">
      <c r="A377" s="7" t="s">
        <v>2294</v>
      </c>
      <c r="B377" s="2" t="s">
        <v>2295</v>
      </c>
      <c r="C377" s="4">
        <v>1</v>
      </c>
      <c r="D377" s="5">
        <v>2.5099999999999998</v>
      </c>
      <c r="E377" s="5">
        <v>5.99</v>
      </c>
      <c r="F377" s="4" t="s">
        <v>2296</v>
      </c>
      <c r="G377" s="2" t="s">
        <v>28</v>
      </c>
      <c r="H377" s="7" t="s">
        <v>590</v>
      </c>
      <c r="I377" s="2" t="s">
        <v>483</v>
      </c>
      <c r="J377" s="2" t="s">
        <v>536</v>
      </c>
      <c r="K377" s="2" t="s">
        <v>304</v>
      </c>
      <c r="L377" s="2" t="s">
        <v>119</v>
      </c>
      <c r="M377" s="8" t="str">
        <f>HYPERLINK("http://slimages.macys.com/is/image/MCY/11436914 ")</f>
        <v xml:space="preserve">http://slimages.macys.com/is/image/MCY/11436914 </v>
      </c>
    </row>
    <row r="378" spans="1:13" ht="60" x14ac:dyDescent="0.25">
      <c r="A378" s="7" t="s">
        <v>6074</v>
      </c>
      <c r="B378" s="2" t="s">
        <v>2295</v>
      </c>
      <c r="C378" s="4">
        <v>6</v>
      </c>
      <c r="D378" s="5">
        <v>2.5099999999999998</v>
      </c>
      <c r="E378" s="5">
        <v>5.99</v>
      </c>
      <c r="F378" s="4" t="s">
        <v>2296</v>
      </c>
      <c r="G378" s="2" t="s">
        <v>28</v>
      </c>
      <c r="H378" s="7" t="s">
        <v>42</v>
      </c>
      <c r="I378" s="2" t="s">
        <v>483</v>
      </c>
      <c r="J378" s="2" t="s">
        <v>536</v>
      </c>
      <c r="K378" s="2" t="s">
        <v>304</v>
      </c>
      <c r="L378" s="2" t="s">
        <v>119</v>
      </c>
      <c r="M378" s="8" t="str">
        <f>HYPERLINK("http://slimages.macys.com/is/image/MCY/11436914 ")</f>
        <v xml:space="preserve">http://slimages.macys.com/is/image/MCY/11436914 </v>
      </c>
    </row>
    <row r="379" spans="1:13" ht="60" x14ac:dyDescent="0.25">
      <c r="A379" s="7" t="s">
        <v>6076</v>
      </c>
      <c r="B379" s="2" t="s">
        <v>2295</v>
      </c>
      <c r="C379" s="4">
        <v>2</v>
      </c>
      <c r="D379" s="5">
        <v>2.5099999999999998</v>
      </c>
      <c r="E379" s="5">
        <v>5.99</v>
      </c>
      <c r="F379" s="4" t="s">
        <v>2296</v>
      </c>
      <c r="G379" s="2" t="s">
        <v>28</v>
      </c>
      <c r="H379" s="7" t="s">
        <v>149</v>
      </c>
      <c r="I379" s="2" t="s">
        <v>483</v>
      </c>
      <c r="J379" s="2" t="s">
        <v>536</v>
      </c>
      <c r="K379" s="2" t="s">
        <v>304</v>
      </c>
      <c r="L379" s="2" t="s">
        <v>119</v>
      </c>
      <c r="M379" s="8" t="str">
        <f>HYPERLINK("http://slimages.macys.com/is/image/MCY/11436914 ")</f>
        <v xml:space="preserve">http://slimages.macys.com/is/image/MCY/11436914 </v>
      </c>
    </row>
    <row r="380" spans="1:13" ht="60" x14ac:dyDescent="0.25">
      <c r="A380" s="7" t="s">
        <v>6559</v>
      </c>
      <c r="B380" s="2" t="s">
        <v>2725</v>
      </c>
      <c r="C380" s="4">
        <v>1</v>
      </c>
      <c r="D380" s="5">
        <v>2.5</v>
      </c>
      <c r="E380" s="5">
        <v>5.99</v>
      </c>
      <c r="F380" s="4" t="s">
        <v>2726</v>
      </c>
      <c r="G380" s="2" t="s">
        <v>86</v>
      </c>
      <c r="H380" s="7" t="s">
        <v>442</v>
      </c>
      <c r="I380" s="2" t="s">
        <v>483</v>
      </c>
      <c r="J380" s="2" t="s">
        <v>536</v>
      </c>
      <c r="K380" s="2" t="s">
        <v>304</v>
      </c>
      <c r="L380" s="2" t="s">
        <v>87</v>
      </c>
      <c r="M380" s="8" t="str">
        <f>HYPERLINK("http://slimages.macys.com/is/image/MCY/11524096 ")</f>
        <v xml:space="preserve">http://slimages.macys.com/is/image/MCY/11524096 </v>
      </c>
    </row>
    <row r="381" spans="1:13" ht="60" x14ac:dyDescent="0.25">
      <c r="A381" s="7" t="s">
        <v>6560</v>
      </c>
      <c r="B381" s="2" t="s">
        <v>6561</v>
      </c>
      <c r="C381" s="4">
        <v>1</v>
      </c>
      <c r="D381" s="5">
        <v>2.5</v>
      </c>
      <c r="E381" s="5">
        <v>5.99</v>
      </c>
      <c r="F381" s="4" t="s">
        <v>6562</v>
      </c>
      <c r="G381" s="2" t="s">
        <v>41</v>
      </c>
      <c r="H381" s="7" t="s">
        <v>42</v>
      </c>
      <c r="I381" s="2" t="s">
        <v>483</v>
      </c>
      <c r="J381" s="2" t="s">
        <v>536</v>
      </c>
      <c r="K381" s="2" t="s">
        <v>304</v>
      </c>
      <c r="L381" s="2" t="s">
        <v>100</v>
      </c>
      <c r="M381" s="8" t="str">
        <f>HYPERLINK("http://slimages.macys.com/is/image/MCY/11857323 ")</f>
        <v xml:space="preserve">http://slimages.macys.com/is/image/MCY/11857323 </v>
      </c>
    </row>
    <row r="382" spans="1:13" ht="60" x14ac:dyDescent="0.25">
      <c r="A382" s="7" t="s">
        <v>6563</v>
      </c>
      <c r="B382" s="2" t="s">
        <v>6564</v>
      </c>
      <c r="C382" s="4">
        <v>1</v>
      </c>
      <c r="D382" s="5">
        <v>2.5</v>
      </c>
      <c r="E382" s="5">
        <v>5.99</v>
      </c>
      <c r="F382" s="4" t="s">
        <v>6565</v>
      </c>
      <c r="G382" s="2" t="s">
        <v>755</v>
      </c>
      <c r="H382" s="7" t="s">
        <v>228</v>
      </c>
      <c r="I382" s="2" t="s">
        <v>468</v>
      </c>
      <c r="J382" s="2" t="s">
        <v>544</v>
      </c>
      <c r="K382" s="2" t="s">
        <v>304</v>
      </c>
      <c r="L382" s="2" t="s">
        <v>119</v>
      </c>
      <c r="M382" s="8" t="str">
        <f>HYPERLINK("http://slimages.macys.com/is/image/MCY/12228312 ")</f>
        <v xml:space="preserve">http://slimages.macys.com/is/image/MCY/12228312 </v>
      </c>
    </row>
    <row r="383" spans="1:13" ht="60" x14ac:dyDescent="0.25">
      <c r="A383" s="7" t="s">
        <v>1316</v>
      </c>
      <c r="B383" s="2" t="s">
        <v>1304</v>
      </c>
      <c r="C383" s="4">
        <v>7</v>
      </c>
      <c r="D383" s="5">
        <v>2.4900000000000002</v>
      </c>
      <c r="E383" s="5">
        <v>5.99</v>
      </c>
      <c r="F383" s="4" t="s">
        <v>1305</v>
      </c>
      <c r="G383" s="2" t="s">
        <v>86</v>
      </c>
      <c r="H383" s="7" t="s">
        <v>149</v>
      </c>
      <c r="I383" s="2" t="s">
        <v>483</v>
      </c>
      <c r="J383" s="2" t="s">
        <v>536</v>
      </c>
      <c r="K383" s="2" t="s">
        <v>304</v>
      </c>
      <c r="L383" s="2" t="s">
        <v>38</v>
      </c>
      <c r="M383" s="8" t="str">
        <f>HYPERLINK("http://slimages.macys.com/is/image/MCY/11855486 ")</f>
        <v xml:space="preserve">http://slimages.macys.com/is/image/MCY/11855486 </v>
      </c>
    </row>
    <row r="384" spans="1:13" ht="60" x14ac:dyDescent="0.25">
      <c r="A384" s="7" t="s">
        <v>6566</v>
      </c>
      <c r="B384" s="2" t="s">
        <v>6567</v>
      </c>
      <c r="C384" s="4">
        <v>1</v>
      </c>
      <c r="D384" s="5">
        <v>2.4900000000000002</v>
      </c>
      <c r="E384" s="5">
        <v>5.99</v>
      </c>
      <c r="F384" s="4" t="s">
        <v>6568</v>
      </c>
      <c r="G384" s="2" t="s">
        <v>353</v>
      </c>
      <c r="H384" s="7" t="s">
        <v>149</v>
      </c>
      <c r="I384" s="2" t="s">
        <v>483</v>
      </c>
      <c r="J384" s="2" t="s">
        <v>536</v>
      </c>
      <c r="K384" s="2" t="s">
        <v>304</v>
      </c>
      <c r="L384" s="2" t="s">
        <v>87</v>
      </c>
      <c r="M384" s="8" t="str">
        <f>HYPERLINK("http://slimages.macys.com/is/image/MCY/12462744 ")</f>
        <v xml:space="preserve">http://slimages.macys.com/is/image/MCY/12462744 </v>
      </c>
    </row>
    <row r="385" spans="1:13" ht="60" x14ac:dyDescent="0.25">
      <c r="A385" s="7" t="s">
        <v>6569</v>
      </c>
      <c r="B385" s="2" t="s">
        <v>5728</v>
      </c>
      <c r="C385" s="4">
        <v>1</v>
      </c>
      <c r="D385" s="5">
        <v>2.4900000000000002</v>
      </c>
      <c r="E385" s="5">
        <v>6.99</v>
      </c>
      <c r="F385" s="4" t="s">
        <v>5729</v>
      </c>
      <c r="G385" s="2" t="s">
        <v>657</v>
      </c>
      <c r="H385" s="7" t="s">
        <v>590</v>
      </c>
      <c r="I385" s="2" t="s">
        <v>483</v>
      </c>
      <c r="J385" s="2" t="s">
        <v>536</v>
      </c>
      <c r="K385" s="2" t="s">
        <v>304</v>
      </c>
      <c r="L385" s="2" t="s">
        <v>119</v>
      </c>
      <c r="M385" s="8" t="str">
        <f>HYPERLINK("http://slimages.macys.com/is/image/MCY/11792612 ")</f>
        <v xml:space="preserve">http://slimages.macys.com/is/image/MCY/11792612 </v>
      </c>
    </row>
    <row r="386" spans="1:13" ht="60" x14ac:dyDescent="0.25">
      <c r="A386" s="7" t="s">
        <v>1317</v>
      </c>
      <c r="B386" s="2" t="s">
        <v>1304</v>
      </c>
      <c r="C386" s="4">
        <v>13</v>
      </c>
      <c r="D386" s="5">
        <v>2.4900000000000002</v>
      </c>
      <c r="E386" s="5">
        <v>5.99</v>
      </c>
      <c r="F386" s="4" t="s">
        <v>1305</v>
      </c>
      <c r="G386" s="2" t="s">
        <v>86</v>
      </c>
      <c r="H386" s="7" t="s">
        <v>42</v>
      </c>
      <c r="I386" s="2" t="s">
        <v>483</v>
      </c>
      <c r="J386" s="2" t="s">
        <v>536</v>
      </c>
      <c r="K386" s="2" t="s">
        <v>304</v>
      </c>
      <c r="L386" s="2" t="s">
        <v>38</v>
      </c>
      <c r="M386" s="8" t="str">
        <f>HYPERLINK("http://slimages.macys.com/is/image/MCY/11855486 ")</f>
        <v xml:space="preserve">http://slimages.macys.com/is/image/MCY/11855486 </v>
      </c>
    </row>
    <row r="387" spans="1:13" ht="60" x14ac:dyDescent="0.25">
      <c r="A387" s="7" t="s">
        <v>1319</v>
      </c>
      <c r="B387" s="2" t="s">
        <v>1304</v>
      </c>
      <c r="C387" s="4">
        <v>10</v>
      </c>
      <c r="D387" s="5">
        <v>2.4900000000000002</v>
      </c>
      <c r="E387" s="5">
        <v>5.99</v>
      </c>
      <c r="F387" s="4" t="s">
        <v>1305</v>
      </c>
      <c r="G387" s="2" t="s">
        <v>86</v>
      </c>
      <c r="H387" s="7" t="s">
        <v>91</v>
      </c>
      <c r="I387" s="2" t="s">
        <v>483</v>
      </c>
      <c r="J387" s="2" t="s">
        <v>536</v>
      </c>
      <c r="K387" s="2" t="s">
        <v>304</v>
      </c>
      <c r="L387" s="2" t="s">
        <v>38</v>
      </c>
      <c r="M387" s="8" t="str">
        <f>HYPERLINK("http://slimages.macys.com/is/image/MCY/11855486 ")</f>
        <v xml:space="preserve">http://slimages.macys.com/is/image/MCY/11855486 </v>
      </c>
    </row>
    <row r="388" spans="1:13" ht="60" x14ac:dyDescent="0.25">
      <c r="A388" s="7" t="s">
        <v>1303</v>
      </c>
      <c r="B388" s="2" t="s">
        <v>1304</v>
      </c>
      <c r="C388" s="4">
        <v>9</v>
      </c>
      <c r="D388" s="5">
        <v>2.4900000000000002</v>
      </c>
      <c r="E388" s="5">
        <v>5.99</v>
      </c>
      <c r="F388" s="4" t="s">
        <v>1305</v>
      </c>
      <c r="G388" s="2" t="s">
        <v>86</v>
      </c>
      <c r="H388" s="7" t="s">
        <v>442</v>
      </c>
      <c r="I388" s="2" t="s">
        <v>483</v>
      </c>
      <c r="J388" s="2" t="s">
        <v>536</v>
      </c>
      <c r="K388" s="2" t="s">
        <v>304</v>
      </c>
      <c r="L388" s="2" t="s">
        <v>38</v>
      </c>
      <c r="M388" s="8" t="str">
        <f>HYPERLINK("http://slimages.macys.com/is/image/MCY/11855486 ")</f>
        <v xml:space="preserve">http://slimages.macys.com/is/image/MCY/11855486 </v>
      </c>
    </row>
    <row r="389" spans="1:13" ht="60" x14ac:dyDescent="0.25">
      <c r="A389" s="7" t="s">
        <v>1315</v>
      </c>
      <c r="B389" s="2" t="s">
        <v>1304</v>
      </c>
      <c r="C389" s="4">
        <v>6</v>
      </c>
      <c r="D389" s="5">
        <v>2.4900000000000002</v>
      </c>
      <c r="E389" s="5">
        <v>5.99</v>
      </c>
      <c r="F389" s="4" t="s">
        <v>1305</v>
      </c>
      <c r="G389" s="2" t="s">
        <v>86</v>
      </c>
      <c r="H389" s="7" t="s">
        <v>590</v>
      </c>
      <c r="I389" s="2" t="s">
        <v>483</v>
      </c>
      <c r="J389" s="2" t="s">
        <v>536</v>
      </c>
      <c r="K389" s="2" t="s">
        <v>304</v>
      </c>
      <c r="L389" s="2" t="s">
        <v>38</v>
      </c>
      <c r="M389" s="8" t="str">
        <f>HYPERLINK("http://slimages.macys.com/is/image/MCY/11855486 ")</f>
        <v xml:space="preserve">http://slimages.macys.com/is/image/MCY/11855486 </v>
      </c>
    </row>
    <row r="390" spans="1:13" ht="84" x14ac:dyDescent="0.25">
      <c r="A390" s="7" t="s">
        <v>6570</v>
      </c>
      <c r="B390" s="2" t="s">
        <v>1312</v>
      </c>
      <c r="C390" s="4">
        <v>1</v>
      </c>
      <c r="D390" s="5">
        <v>2.4900000000000002</v>
      </c>
      <c r="E390" s="5">
        <v>6.99</v>
      </c>
      <c r="F390" s="4" t="s">
        <v>1313</v>
      </c>
      <c r="G390" s="2" t="s">
        <v>41</v>
      </c>
      <c r="H390" s="7" t="s">
        <v>482</v>
      </c>
      <c r="I390" s="2" t="s">
        <v>483</v>
      </c>
      <c r="J390" s="2" t="s">
        <v>536</v>
      </c>
      <c r="K390" s="2" t="s">
        <v>304</v>
      </c>
      <c r="L390" s="2" t="s">
        <v>1314</v>
      </c>
      <c r="M390" s="8" t="str">
        <f>HYPERLINK("http://slimages.macys.com/is/image/MCY/13987469 ")</f>
        <v xml:space="preserve">http://slimages.macys.com/is/image/MCY/13987469 </v>
      </c>
    </row>
    <row r="391" spans="1:13" ht="60" x14ac:dyDescent="0.25">
      <c r="A391" s="7" t="s">
        <v>2311</v>
      </c>
      <c r="B391" s="2" t="s">
        <v>622</v>
      </c>
      <c r="C391" s="4">
        <v>1</v>
      </c>
      <c r="D391" s="5">
        <v>2.48</v>
      </c>
      <c r="E391" s="5">
        <v>7.99</v>
      </c>
      <c r="F391" s="4">
        <v>10005379300</v>
      </c>
      <c r="G391" s="2" t="s">
        <v>62</v>
      </c>
      <c r="H391" s="7" t="s">
        <v>482</v>
      </c>
      <c r="I391" s="2" t="s">
        <v>483</v>
      </c>
      <c r="J391" s="2" t="s">
        <v>536</v>
      </c>
      <c r="K391" s="2" t="s">
        <v>304</v>
      </c>
      <c r="L391" s="2" t="s">
        <v>623</v>
      </c>
      <c r="M391" s="8" t="str">
        <f t="shared" ref="M391:M397" si="4">HYPERLINK("http://slimages.macys.com/is/image/MCY/12465415 ")</f>
        <v xml:space="preserve">http://slimages.macys.com/is/image/MCY/12465415 </v>
      </c>
    </row>
    <row r="392" spans="1:13" ht="60" x14ac:dyDescent="0.25">
      <c r="A392" s="7" t="s">
        <v>2309</v>
      </c>
      <c r="B392" s="2" t="s">
        <v>622</v>
      </c>
      <c r="C392" s="4">
        <v>2</v>
      </c>
      <c r="D392" s="5">
        <v>2.48</v>
      </c>
      <c r="E392" s="5">
        <v>7.99</v>
      </c>
      <c r="F392" s="4">
        <v>10005379300</v>
      </c>
      <c r="G392" s="2" t="s">
        <v>437</v>
      </c>
      <c r="H392" s="7" t="s">
        <v>482</v>
      </c>
      <c r="I392" s="2" t="s">
        <v>483</v>
      </c>
      <c r="J392" s="2" t="s">
        <v>536</v>
      </c>
      <c r="K392" s="2" t="s">
        <v>304</v>
      </c>
      <c r="L392" s="2" t="s">
        <v>623</v>
      </c>
      <c r="M392" s="8" t="str">
        <f t="shared" si="4"/>
        <v xml:space="preserve">http://slimages.macys.com/is/image/MCY/12465415 </v>
      </c>
    </row>
    <row r="393" spans="1:13" ht="60" x14ac:dyDescent="0.25">
      <c r="A393" s="7" t="s">
        <v>2314</v>
      </c>
      <c r="B393" s="2" t="s">
        <v>622</v>
      </c>
      <c r="C393" s="4">
        <v>9</v>
      </c>
      <c r="D393" s="5">
        <v>2.48</v>
      </c>
      <c r="E393" s="5">
        <v>7.99</v>
      </c>
      <c r="F393" s="4">
        <v>10005379300</v>
      </c>
      <c r="G393" s="2" t="s">
        <v>437</v>
      </c>
      <c r="H393" s="7"/>
      <c r="I393" s="2" t="s">
        <v>483</v>
      </c>
      <c r="J393" s="2" t="s">
        <v>536</v>
      </c>
      <c r="K393" s="2" t="s">
        <v>304</v>
      </c>
      <c r="L393" s="2" t="s">
        <v>623</v>
      </c>
      <c r="M393" s="8" t="str">
        <f t="shared" si="4"/>
        <v xml:space="preserve">http://slimages.macys.com/is/image/MCY/12465415 </v>
      </c>
    </row>
    <row r="394" spans="1:13" ht="60" x14ac:dyDescent="0.25">
      <c r="A394" s="7" t="s">
        <v>2313</v>
      </c>
      <c r="B394" s="2" t="s">
        <v>622</v>
      </c>
      <c r="C394" s="4">
        <v>14</v>
      </c>
      <c r="D394" s="5">
        <v>2.48</v>
      </c>
      <c r="E394" s="5">
        <v>7.99</v>
      </c>
      <c r="F394" s="4">
        <v>10005379300</v>
      </c>
      <c r="G394" s="2" t="s">
        <v>437</v>
      </c>
      <c r="H394" s="7" t="s">
        <v>149</v>
      </c>
      <c r="I394" s="2" t="s">
        <v>483</v>
      </c>
      <c r="J394" s="2" t="s">
        <v>536</v>
      </c>
      <c r="K394" s="2" t="s">
        <v>304</v>
      </c>
      <c r="L394" s="2" t="s">
        <v>623</v>
      </c>
      <c r="M394" s="8" t="str">
        <f t="shared" si="4"/>
        <v xml:space="preserve">http://slimages.macys.com/is/image/MCY/12465415 </v>
      </c>
    </row>
    <row r="395" spans="1:13" ht="60" x14ac:dyDescent="0.25">
      <c r="A395" s="7" t="s">
        <v>2312</v>
      </c>
      <c r="B395" s="2" t="s">
        <v>622</v>
      </c>
      <c r="C395" s="4">
        <v>3</v>
      </c>
      <c r="D395" s="5">
        <v>2.48</v>
      </c>
      <c r="E395" s="5">
        <v>7.99</v>
      </c>
      <c r="F395" s="4">
        <v>10005379300</v>
      </c>
      <c r="G395" s="2" t="s">
        <v>62</v>
      </c>
      <c r="H395" s="7" t="s">
        <v>149</v>
      </c>
      <c r="I395" s="2" t="s">
        <v>483</v>
      </c>
      <c r="J395" s="2" t="s">
        <v>536</v>
      </c>
      <c r="K395" s="2" t="s">
        <v>304</v>
      </c>
      <c r="L395" s="2" t="s">
        <v>623</v>
      </c>
      <c r="M395" s="8" t="str">
        <f t="shared" si="4"/>
        <v xml:space="preserve">http://slimages.macys.com/is/image/MCY/12465415 </v>
      </c>
    </row>
    <row r="396" spans="1:13" ht="60" x14ac:dyDescent="0.25">
      <c r="A396" s="7" t="s">
        <v>2310</v>
      </c>
      <c r="B396" s="2" t="s">
        <v>622</v>
      </c>
      <c r="C396" s="4">
        <v>2</v>
      </c>
      <c r="D396" s="5">
        <v>2.48</v>
      </c>
      <c r="E396" s="5">
        <v>7.99</v>
      </c>
      <c r="F396" s="4">
        <v>10005379300</v>
      </c>
      <c r="G396" s="2" t="s">
        <v>62</v>
      </c>
      <c r="H396" s="7"/>
      <c r="I396" s="2" t="s">
        <v>483</v>
      </c>
      <c r="J396" s="2" t="s">
        <v>536</v>
      </c>
      <c r="K396" s="2" t="s">
        <v>304</v>
      </c>
      <c r="L396" s="2" t="s">
        <v>623</v>
      </c>
      <c r="M396" s="8" t="str">
        <f t="shared" si="4"/>
        <v xml:space="preserve">http://slimages.macys.com/is/image/MCY/12465415 </v>
      </c>
    </row>
    <row r="397" spans="1:13" ht="60" x14ac:dyDescent="0.25">
      <c r="A397" s="7" t="s">
        <v>621</v>
      </c>
      <c r="B397" s="2" t="s">
        <v>622</v>
      </c>
      <c r="C397" s="4">
        <v>8</v>
      </c>
      <c r="D397" s="5">
        <v>2.48</v>
      </c>
      <c r="E397" s="5">
        <v>7.99</v>
      </c>
      <c r="F397" s="4">
        <v>10005379300</v>
      </c>
      <c r="G397" s="2" t="s">
        <v>437</v>
      </c>
      <c r="H397" s="7" t="s">
        <v>590</v>
      </c>
      <c r="I397" s="2" t="s">
        <v>483</v>
      </c>
      <c r="J397" s="2" t="s">
        <v>536</v>
      </c>
      <c r="K397" s="2" t="s">
        <v>304</v>
      </c>
      <c r="L397" s="2" t="s">
        <v>623</v>
      </c>
      <c r="M397" s="8" t="str">
        <f t="shared" si="4"/>
        <v xml:space="preserve">http://slimages.macys.com/is/image/MCY/12465415 </v>
      </c>
    </row>
    <row r="398" spans="1:13" ht="60" x14ac:dyDescent="0.25">
      <c r="A398" s="7" t="s">
        <v>6571</v>
      </c>
      <c r="B398" s="2" t="s">
        <v>6572</v>
      </c>
      <c r="C398" s="4">
        <v>1</v>
      </c>
      <c r="D398" s="5">
        <v>2.48</v>
      </c>
      <c r="E398" s="5">
        <v>7.99</v>
      </c>
      <c r="F398" s="4" t="s">
        <v>6573</v>
      </c>
      <c r="G398" s="2" t="s">
        <v>41</v>
      </c>
      <c r="H398" s="7" t="s">
        <v>514</v>
      </c>
      <c r="I398" s="2" t="s">
        <v>483</v>
      </c>
      <c r="J398" s="2" t="s">
        <v>536</v>
      </c>
      <c r="K398" s="2" t="s">
        <v>304</v>
      </c>
      <c r="L398" s="2" t="s">
        <v>87</v>
      </c>
      <c r="M398" s="8" t="str">
        <f>HYPERLINK("http://slimages.macys.com/is/image/MCY/11436594 ")</f>
        <v xml:space="preserve">http://slimages.macys.com/is/image/MCY/11436594 </v>
      </c>
    </row>
    <row r="399" spans="1:13" ht="60" x14ac:dyDescent="0.25">
      <c r="A399" s="7" t="s">
        <v>6574</v>
      </c>
      <c r="B399" s="2" t="s">
        <v>6575</v>
      </c>
      <c r="C399" s="4">
        <v>1</v>
      </c>
      <c r="D399" s="5">
        <v>2.44</v>
      </c>
      <c r="E399" s="5">
        <v>6.99</v>
      </c>
      <c r="F399" s="4" t="s">
        <v>6576</v>
      </c>
      <c r="G399" s="2" t="s">
        <v>28</v>
      </c>
      <c r="H399" s="7" t="s">
        <v>149</v>
      </c>
      <c r="I399" s="2" t="s">
        <v>483</v>
      </c>
      <c r="J399" s="2" t="s">
        <v>536</v>
      </c>
      <c r="K399" s="2" t="s">
        <v>304</v>
      </c>
      <c r="L399" s="2" t="s">
        <v>100</v>
      </c>
      <c r="M399" s="8" t="str">
        <f>HYPERLINK("http://slimages.macys.com/is/image/MCY/10368213 ")</f>
        <v xml:space="preserve">http://slimages.macys.com/is/image/MCY/10368213 </v>
      </c>
    </row>
    <row r="400" spans="1:13" ht="60" x14ac:dyDescent="0.25">
      <c r="A400" s="7" t="s">
        <v>6577</v>
      </c>
      <c r="B400" s="2" t="s">
        <v>4564</v>
      </c>
      <c r="C400" s="4">
        <v>1</v>
      </c>
      <c r="D400" s="5">
        <v>2.4300000000000002</v>
      </c>
      <c r="E400" s="5">
        <v>6.99</v>
      </c>
      <c r="F400" s="4" t="s">
        <v>4565</v>
      </c>
      <c r="G400" s="2" t="s">
        <v>171</v>
      </c>
      <c r="H400" s="7" t="s">
        <v>442</v>
      </c>
      <c r="I400" s="2" t="s">
        <v>483</v>
      </c>
      <c r="J400" s="2" t="s">
        <v>536</v>
      </c>
      <c r="K400" s="2" t="s">
        <v>304</v>
      </c>
      <c r="L400" s="2" t="s">
        <v>100</v>
      </c>
      <c r="M400" s="8" t="str">
        <f>HYPERLINK("http://slimages.macys.com/is/image/MCY/13987449 ")</f>
        <v xml:space="preserve">http://slimages.macys.com/is/image/MCY/13987449 </v>
      </c>
    </row>
    <row r="401" spans="1:13" ht="108" x14ac:dyDescent="0.25">
      <c r="A401" s="7" t="s">
        <v>2325</v>
      </c>
      <c r="B401" s="2" t="s">
        <v>2322</v>
      </c>
      <c r="C401" s="4">
        <v>1</v>
      </c>
      <c r="D401" s="5">
        <v>2.4300000000000002</v>
      </c>
      <c r="E401" s="5">
        <v>7.99</v>
      </c>
      <c r="F401" s="4" t="s">
        <v>2323</v>
      </c>
      <c r="G401" s="2" t="s">
        <v>41</v>
      </c>
      <c r="H401" s="7" t="s">
        <v>590</v>
      </c>
      <c r="I401" s="2" t="s">
        <v>483</v>
      </c>
      <c r="J401" s="2" t="s">
        <v>536</v>
      </c>
      <c r="K401" s="2" t="s">
        <v>304</v>
      </c>
      <c r="L401" s="2" t="s">
        <v>2324</v>
      </c>
      <c r="M401" s="8" t="str">
        <f>HYPERLINK("http://slimages.macys.com/is/image/MCY/14384998 ")</f>
        <v xml:space="preserve">http://slimages.macys.com/is/image/MCY/14384998 </v>
      </c>
    </row>
    <row r="402" spans="1:13" ht="60" x14ac:dyDescent="0.25">
      <c r="A402" s="7" t="s">
        <v>6578</v>
      </c>
      <c r="B402" s="2" t="s">
        <v>4526</v>
      </c>
      <c r="C402" s="4">
        <v>1</v>
      </c>
      <c r="D402" s="5">
        <v>2.4300000000000002</v>
      </c>
      <c r="E402" s="5">
        <v>6.99</v>
      </c>
      <c r="F402" s="4">
        <v>10005485000</v>
      </c>
      <c r="G402" s="2" t="s">
        <v>134</v>
      </c>
      <c r="H402" s="7" t="s">
        <v>149</v>
      </c>
      <c r="I402" s="2" t="s">
        <v>483</v>
      </c>
      <c r="J402" s="2" t="s">
        <v>536</v>
      </c>
      <c r="K402" s="2" t="s">
        <v>304</v>
      </c>
      <c r="L402" s="2" t="s">
        <v>596</v>
      </c>
      <c r="M402" s="8" t="str">
        <f>HYPERLINK("http://slimages.macys.com/is/image/MCY/12465974 ")</f>
        <v xml:space="preserve">http://slimages.macys.com/is/image/MCY/12465974 </v>
      </c>
    </row>
    <row r="403" spans="1:13" ht="60" x14ac:dyDescent="0.25">
      <c r="A403" s="7" t="s">
        <v>6579</v>
      </c>
      <c r="B403" s="2" t="s">
        <v>4526</v>
      </c>
      <c r="C403" s="4">
        <v>1</v>
      </c>
      <c r="D403" s="5">
        <v>2.4300000000000002</v>
      </c>
      <c r="E403" s="5">
        <v>6.99</v>
      </c>
      <c r="F403" s="4">
        <v>10005485000</v>
      </c>
      <c r="G403" s="2" t="s">
        <v>134</v>
      </c>
      <c r="H403" s="7" t="s">
        <v>590</v>
      </c>
      <c r="I403" s="2" t="s">
        <v>483</v>
      </c>
      <c r="J403" s="2" t="s">
        <v>536</v>
      </c>
      <c r="K403" s="2" t="s">
        <v>304</v>
      </c>
      <c r="L403" s="2" t="s">
        <v>596</v>
      </c>
      <c r="M403" s="8" t="str">
        <f>HYPERLINK("http://slimages.macys.com/is/image/MCY/12465974 ")</f>
        <v xml:space="preserve">http://slimages.macys.com/is/image/MCY/12465974 </v>
      </c>
    </row>
    <row r="404" spans="1:13" ht="60" x14ac:dyDescent="0.25">
      <c r="A404" s="7" t="s">
        <v>6580</v>
      </c>
      <c r="B404" s="2" t="s">
        <v>6581</v>
      </c>
      <c r="C404" s="4">
        <v>1</v>
      </c>
      <c r="D404" s="5">
        <v>2.42</v>
      </c>
      <c r="E404" s="5">
        <v>6.99</v>
      </c>
      <c r="F404" s="4" t="s">
        <v>6582</v>
      </c>
      <c r="G404" s="2" t="s">
        <v>41</v>
      </c>
      <c r="H404" s="7" t="s">
        <v>91</v>
      </c>
      <c r="I404" s="2" t="s">
        <v>483</v>
      </c>
      <c r="J404" s="2" t="s">
        <v>536</v>
      </c>
      <c r="K404" s="2" t="s">
        <v>304</v>
      </c>
      <c r="L404" s="2" t="s">
        <v>38</v>
      </c>
      <c r="M404" s="8" t="str">
        <f>HYPERLINK("http://slimages.macys.com/is/image/MCY/10368708 ")</f>
        <v xml:space="preserve">http://slimages.macys.com/is/image/MCY/10368708 </v>
      </c>
    </row>
    <row r="405" spans="1:13" ht="60" x14ac:dyDescent="0.25">
      <c r="A405" s="7" t="s">
        <v>6583</v>
      </c>
      <c r="B405" s="2" t="s">
        <v>6584</v>
      </c>
      <c r="C405" s="4">
        <v>1</v>
      </c>
      <c r="D405" s="5">
        <v>2.41</v>
      </c>
      <c r="E405" s="5">
        <v>6.99</v>
      </c>
      <c r="F405" s="4" t="s">
        <v>6585</v>
      </c>
      <c r="G405" s="2" t="s">
        <v>41</v>
      </c>
      <c r="H405" s="7" t="s">
        <v>91</v>
      </c>
      <c r="I405" s="2" t="s">
        <v>483</v>
      </c>
      <c r="J405" s="2" t="s">
        <v>536</v>
      </c>
      <c r="K405" s="2" t="s">
        <v>304</v>
      </c>
      <c r="L405" s="2" t="s">
        <v>206</v>
      </c>
      <c r="M405" s="8" t="str">
        <f>HYPERLINK("http://slimages.macys.com/is/image/MCY/13987211 ")</f>
        <v xml:space="preserve">http://slimages.macys.com/is/image/MCY/13987211 </v>
      </c>
    </row>
    <row r="406" spans="1:13" ht="96" x14ac:dyDescent="0.25">
      <c r="A406" s="7" t="s">
        <v>6586</v>
      </c>
      <c r="B406" s="2" t="s">
        <v>6587</v>
      </c>
      <c r="C406" s="4">
        <v>1</v>
      </c>
      <c r="D406" s="5">
        <v>2.41</v>
      </c>
      <c r="E406" s="5">
        <v>5.99</v>
      </c>
      <c r="F406" s="4" t="s">
        <v>6588</v>
      </c>
      <c r="G406" s="2" t="s">
        <v>28</v>
      </c>
      <c r="H406" s="7" t="s">
        <v>42</v>
      </c>
      <c r="I406" s="2" t="s">
        <v>483</v>
      </c>
      <c r="J406" s="2" t="s">
        <v>536</v>
      </c>
      <c r="K406" s="2" t="s">
        <v>304</v>
      </c>
      <c r="L406" s="2" t="s">
        <v>4455</v>
      </c>
      <c r="M406" s="8" t="str">
        <f>HYPERLINK("http://slimages.macys.com/is/image/MCY/12642198 ")</f>
        <v xml:space="preserve">http://slimages.macys.com/is/image/MCY/12642198 </v>
      </c>
    </row>
    <row r="407" spans="1:13" ht="60" x14ac:dyDescent="0.25">
      <c r="A407" s="7" t="s">
        <v>2327</v>
      </c>
      <c r="B407" s="2" t="s">
        <v>1336</v>
      </c>
      <c r="C407" s="4">
        <v>1</v>
      </c>
      <c r="D407" s="5">
        <v>2.4</v>
      </c>
      <c r="E407" s="5">
        <v>5.99</v>
      </c>
      <c r="F407" s="4" t="s">
        <v>1337</v>
      </c>
      <c r="G407" s="2" t="s">
        <v>657</v>
      </c>
      <c r="H407" s="7" t="s">
        <v>442</v>
      </c>
      <c r="I407" s="2" t="s">
        <v>483</v>
      </c>
      <c r="J407" s="2" t="s">
        <v>536</v>
      </c>
      <c r="K407" s="2" t="s">
        <v>304</v>
      </c>
      <c r="L407" s="2" t="s">
        <v>119</v>
      </c>
      <c r="M407" s="8" t="str">
        <f>HYPERLINK("http://slimages.macys.com/is/image/MCY/13987252 ")</f>
        <v xml:space="preserve">http://slimages.macys.com/is/image/MCY/13987252 </v>
      </c>
    </row>
    <row r="408" spans="1:13" ht="60" x14ac:dyDescent="0.25">
      <c r="A408" s="7" t="s">
        <v>6589</v>
      </c>
      <c r="B408" s="2" t="s">
        <v>6590</v>
      </c>
      <c r="C408" s="4">
        <v>1</v>
      </c>
      <c r="D408" s="5">
        <v>2.4</v>
      </c>
      <c r="E408" s="5">
        <v>5.99</v>
      </c>
      <c r="F408" s="4" t="s">
        <v>6591</v>
      </c>
      <c r="G408" s="2" t="s">
        <v>41</v>
      </c>
      <c r="H408" s="7" t="s">
        <v>442</v>
      </c>
      <c r="I408" s="2" t="s">
        <v>483</v>
      </c>
      <c r="J408" s="2" t="s">
        <v>536</v>
      </c>
      <c r="K408" s="2" t="s">
        <v>304</v>
      </c>
      <c r="L408" s="2" t="s">
        <v>100</v>
      </c>
      <c r="M408" s="8" t="str">
        <f>HYPERLINK("http://slimages.macys.com/is/image/MCY/11857348 ")</f>
        <v xml:space="preserve">http://slimages.macys.com/is/image/MCY/11857348 </v>
      </c>
    </row>
    <row r="409" spans="1:13" ht="60" x14ac:dyDescent="0.25">
      <c r="A409" s="7" t="s">
        <v>1332</v>
      </c>
      <c r="B409" s="2" t="s">
        <v>1333</v>
      </c>
      <c r="C409" s="4">
        <v>1</v>
      </c>
      <c r="D409" s="5">
        <v>2.4</v>
      </c>
      <c r="E409" s="5">
        <v>4.99</v>
      </c>
      <c r="F409" s="4" t="s">
        <v>1325</v>
      </c>
      <c r="G409" s="2" t="s">
        <v>36</v>
      </c>
      <c r="H409" s="7" t="s">
        <v>284</v>
      </c>
      <c r="I409" s="2" t="s">
        <v>523</v>
      </c>
      <c r="J409" s="2" t="s">
        <v>921</v>
      </c>
      <c r="K409" s="2" t="s">
        <v>304</v>
      </c>
      <c r="L409" s="2" t="s">
        <v>1334</v>
      </c>
      <c r="M409" s="8" t="str">
        <f>HYPERLINK("http://slimages.macys.com/is/image/MCY/8345543 ")</f>
        <v xml:space="preserve">http://slimages.macys.com/is/image/MCY/8345543 </v>
      </c>
    </row>
    <row r="410" spans="1:13" ht="60" x14ac:dyDescent="0.25">
      <c r="A410" s="7" t="s">
        <v>6592</v>
      </c>
      <c r="B410" s="2" t="s">
        <v>1336</v>
      </c>
      <c r="C410" s="4">
        <v>3</v>
      </c>
      <c r="D410" s="5">
        <v>2.4</v>
      </c>
      <c r="E410" s="5">
        <v>5.99</v>
      </c>
      <c r="F410" s="4" t="s">
        <v>1337</v>
      </c>
      <c r="G410" s="2" t="s">
        <v>657</v>
      </c>
      <c r="H410" s="7" t="s">
        <v>590</v>
      </c>
      <c r="I410" s="2" t="s">
        <v>483</v>
      </c>
      <c r="J410" s="2" t="s">
        <v>536</v>
      </c>
      <c r="K410" s="2" t="s">
        <v>304</v>
      </c>
      <c r="L410" s="2" t="s">
        <v>119</v>
      </c>
      <c r="M410" s="8" t="str">
        <f>HYPERLINK("http://slimages.macys.com/is/image/MCY/13987252 ")</f>
        <v xml:space="preserve">http://slimages.macys.com/is/image/MCY/13987252 </v>
      </c>
    </row>
    <row r="411" spans="1:13" ht="60" x14ac:dyDescent="0.25">
      <c r="A411" s="7" t="s">
        <v>1335</v>
      </c>
      <c r="B411" s="2" t="s">
        <v>1336</v>
      </c>
      <c r="C411" s="4">
        <v>3</v>
      </c>
      <c r="D411" s="5">
        <v>2.4</v>
      </c>
      <c r="E411" s="5">
        <v>5.99</v>
      </c>
      <c r="F411" s="4" t="s">
        <v>1337</v>
      </c>
      <c r="G411" s="2" t="s">
        <v>657</v>
      </c>
      <c r="H411" s="7" t="s">
        <v>149</v>
      </c>
      <c r="I411" s="2" t="s">
        <v>483</v>
      </c>
      <c r="J411" s="2" t="s">
        <v>536</v>
      </c>
      <c r="K411" s="2" t="s">
        <v>304</v>
      </c>
      <c r="L411" s="2" t="s">
        <v>119</v>
      </c>
      <c r="M411" s="8" t="str">
        <f>HYPERLINK("http://slimages.macys.com/is/image/MCY/13987252 ")</f>
        <v xml:space="preserve">http://slimages.macys.com/is/image/MCY/13987252 </v>
      </c>
    </row>
    <row r="412" spans="1:13" ht="60" x14ac:dyDescent="0.25">
      <c r="A412" s="7" t="s">
        <v>6593</v>
      </c>
      <c r="B412" s="2" t="s">
        <v>6594</v>
      </c>
      <c r="C412" s="4">
        <v>1</v>
      </c>
      <c r="D412" s="5">
        <v>2.4</v>
      </c>
      <c r="E412" s="5">
        <v>5.99</v>
      </c>
      <c r="F412" s="4" t="s">
        <v>6595</v>
      </c>
      <c r="G412" s="2" t="s">
        <v>28</v>
      </c>
      <c r="H412" s="7" t="s">
        <v>590</v>
      </c>
      <c r="I412" s="2" t="s">
        <v>483</v>
      </c>
      <c r="J412" s="2" t="s">
        <v>536</v>
      </c>
      <c r="K412" s="2" t="s">
        <v>304</v>
      </c>
      <c r="L412" s="2" t="s">
        <v>87</v>
      </c>
      <c r="M412" s="8" t="str">
        <f>HYPERLINK("http://slimages.macys.com/is/image/MCY/12466288 ")</f>
        <v xml:space="preserve">http://slimages.macys.com/is/image/MCY/12466288 </v>
      </c>
    </row>
    <row r="413" spans="1:13" ht="60" x14ac:dyDescent="0.25">
      <c r="A413" s="7" t="s">
        <v>6596</v>
      </c>
      <c r="B413" s="2" t="s">
        <v>6597</v>
      </c>
      <c r="C413" s="4">
        <v>1</v>
      </c>
      <c r="D413" s="5">
        <v>2.35</v>
      </c>
      <c r="E413" s="5">
        <v>6.99</v>
      </c>
      <c r="F413" s="4" t="s">
        <v>6598</v>
      </c>
      <c r="G413" s="2" t="s">
        <v>527</v>
      </c>
      <c r="H413" s="7" t="s">
        <v>442</v>
      </c>
      <c r="I413" s="2" t="s">
        <v>483</v>
      </c>
      <c r="J413" s="2" t="s">
        <v>536</v>
      </c>
      <c r="K413" s="2" t="s">
        <v>304</v>
      </c>
      <c r="L413" s="2" t="s">
        <v>75</v>
      </c>
      <c r="M413" s="8" t="str">
        <f>HYPERLINK("http://slimages.macys.com/is/image/MCY/11437214 ")</f>
        <v xml:space="preserve">http://slimages.macys.com/is/image/MCY/11437214 </v>
      </c>
    </row>
    <row r="414" spans="1:13" ht="60" x14ac:dyDescent="0.25">
      <c r="A414" s="7" t="s">
        <v>6599</v>
      </c>
      <c r="B414" s="2" t="s">
        <v>6600</v>
      </c>
      <c r="C414" s="4">
        <v>1</v>
      </c>
      <c r="D414" s="5">
        <v>2.35</v>
      </c>
      <c r="E414" s="5">
        <v>6.99</v>
      </c>
      <c r="F414" s="4">
        <v>10004347800</v>
      </c>
      <c r="G414" s="2" t="s">
        <v>41</v>
      </c>
      <c r="H414" s="7" t="s">
        <v>149</v>
      </c>
      <c r="I414" s="2" t="s">
        <v>483</v>
      </c>
      <c r="J414" s="2" t="s">
        <v>536</v>
      </c>
      <c r="K414" s="2" t="s">
        <v>304</v>
      </c>
      <c r="L414" s="2" t="s">
        <v>75</v>
      </c>
      <c r="M414" s="8" t="str">
        <f>HYPERLINK("http://slimages.macys.com/is/image/MCY/11437076 ")</f>
        <v xml:space="preserve">http://slimages.macys.com/is/image/MCY/11437076 </v>
      </c>
    </row>
    <row r="415" spans="1:13" ht="60" x14ac:dyDescent="0.25">
      <c r="A415" s="7" t="s">
        <v>6601</v>
      </c>
      <c r="B415" s="2" t="s">
        <v>2338</v>
      </c>
      <c r="C415" s="4">
        <v>1</v>
      </c>
      <c r="D415" s="5">
        <v>2.34</v>
      </c>
      <c r="E415" s="5">
        <v>5.99</v>
      </c>
      <c r="F415" s="4" t="s">
        <v>2339</v>
      </c>
      <c r="G415" s="2" t="s">
        <v>41</v>
      </c>
      <c r="H415" s="7" t="s">
        <v>149</v>
      </c>
      <c r="I415" s="2" t="s">
        <v>483</v>
      </c>
      <c r="J415" s="2" t="s">
        <v>536</v>
      </c>
      <c r="K415" s="2" t="s">
        <v>304</v>
      </c>
      <c r="L415" s="2" t="s">
        <v>38</v>
      </c>
      <c r="M415" s="8" t="str">
        <f>HYPERLINK("http://slimages.macys.com/is/image/MCY/13386590 ")</f>
        <v xml:space="preserve">http://slimages.macys.com/is/image/MCY/13386590 </v>
      </c>
    </row>
    <row r="416" spans="1:13" ht="60" x14ac:dyDescent="0.25">
      <c r="A416" s="7" t="s">
        <v>6602</v>
      </c>
      <c r="B416" s="2" t="s">
        <v>2335</v>
      </c>
      <c r="C416" s="4">
        <v>1</v>
      </c>
      <c r="D416" s="5">
        <v>2.34</v>
      </c>
      <c r="E416" s="5">
        <v>5.99</v>
      </c>
      <c r="F416" s="4" t="s">
        <v>2336</v>
      </c>
      <c r="G416" s="2" t="s">
        <v>41</v>
      </c>
      <c r="H416" s="7" t="s">
        <v>590</v>
      </c>
      <c r="I416" s="2" t="s">
        <v>483</v>
      </c>
      <c r="J416" s="2" t="s">
        <v>536</v>
      </c>
      <c r="K416" s="2" t="s">
        <v>304</v>
      </c>
      <c r="L416" s="2" t="s">
        <v>100</v>
      </c>
      <c r="M416" s="8" t="str">
        <f>HYPERLINK("http://slimages.macys.com/is/image/MCY/12466329 ")</f>
        <v xml:space="preserve">http://slimages.macys.com/is/image/MCY/12466329 </v>
      </c>
    </row>
    <row r="417" spans="1:13" ht="60" x14ac:dyDescent="0.25">
      <c r="A417" s="7" t="s">
        <v>6603</v>
      </c>
      <c r="B417" s="2" t="s">
        <v>6604</v>
      </c>
      <c r="C417" s="4">
        <v>1</v>
      </c>
      <c r="D417" s="5">
        <v>2.33</v>
      </c>
      <c r="E417" s="5">
        <v>6.99</v>
      </c>
      <c r="F417" s="4" t="s">
        <v>6605</v>
      </c>
      <c r="G417" s="2" t="s">
        <v>195</v>
      </c>
      <c r="H417" s="7" t="s">
        <v>482</v>
      </c>
      <c r="I417" s="2" t="s">
        <v>483</v>
      </c>
      <c r="J417" s="2" t="s">
        <v>536</v>
      </c>
      <c r="K417" s="2" t="s">
        <v>304</v>
      </c>
      <c r="L417" s="2" t="s">
        <v>100</v>
      </c>
      <c r="M417" s="8" t="str">
        <f>HYPERLINK("http://slimages.macys.com/is/image/MCY/12466085 ")</f>
        <v xml:space="preserve">http://slimages.macys.com/is/image/MCY/12466085 </v>
      </c>
    </row>
    <row r="418" spans="1:13" ht="60" x14ac:dyDescent="0.25">
      <c r="A418" s="7" t="s">
        <v>6606</v>
      </c>
      <c r="B418" s="2" t="s">
        <v>6607</v>
      </c>
      <c r="C418" s="4">
        <v>1</v>
      </c>
      <c r="D418" s="5">
        <v>2.33</v>
      </c>
      <c r="E418" s="5">
        <v>6.99</v>
      </c>
      <c r="F418" s="4" t="s">
        <v>6608</v>
      </c>
      <c r="G418" s="2" t="s">
        <v>2107</v>
      </c>
      <c r="H418" s="7"/>
      <c r="I418" s="2" t="s">
        <v>483</v>
      </c>
      <c r="J418" s="2" t="s">
        <v>536</v>
      </c>
      <c r="K418" s="2"/>
      <c r="L418" s="2" t="s">
        <v>100</v>
      </c>
      <c r="M418" s="8" t="str">
        <f>HYPERLINK("http://slimages.macys.com/is/image/MCY/12466261 ")</f>
        <v xml:space="preserve">http://slimages.macys.com/is/image/MCY/12466261 </v>
      </c>
    </row>
    <row r="419" spans="1:13" ht="60" x14ac:dyDescent="0.25">
      <c r="A419" s="7" t="s">
        <v>6609</v>
      </c>
      <c r="B419" s="2" t="s">
        <v>6610</v>
      </c>
      <c r="C419" s="4">
        <v>1</v>
      </c>
      <c r="D419" s="5">
        <v>2.33</v>
      </c>
      <c r="E419" s="5">
        <v>6.99</v>
      </c>
      <c r="F419" s="4" t="s">
        <v>6611</v>
      </c>
      <c r="G419" s="2" t="s">
        <v>41</v>
      </c>
      <c r="H419" s="7" t="s">
        <v>482</v>
      </c>
      <c r="I419" s="2" t="s">
        <v>483</v>
      </c>
      <c r="J419" s="2" t="s">
        <v>536</v>
      </c>
      <c r="K419" s="2" t="s">
        <v>304</v>
      </c>
      <c r="L419" s="2" t="s">
        <v>100</v>
      </c>
      <c r="M419" s="8" t="str">
        <f>HYPERLINK("http://slimages.macys.com/is/image/MCY/12636233 ")</f>
        <v xml:space="preserve">http://slimages.macys.com/is/image/MCY/12636233 </v>
      </c>
    </row>
    <row r="420" spans="1:13" ht="60" x14ac:dyDescent="0.25">
      <c r="A420" s="7" t="s">
        <v>6612</v>
      </c>
      <c r="B420" s="2" t="s">
        <v>6610</v>
      </c>
      <c r="C420" s="4">
        <v>1</v>
      </c>
      <c r="D420" s="5">
        <v>2.33</v>
      </c>
      <c r="E420" s="5">
        <v>6.99</v>
      </c>
      <c r="F420" s="4" t="s">
        <v>6611</v>
      </c>
      <c r="G420" s="2" t="s">
        <v>41</v>
      </c>
      <c r="H420" s="7"/>
      <c r="I420" s="2" t="s">
        <v>483</v>
      </c>
      <c r="J420" s="2" t="s">
        <v>536</v>
      </c>
      <c r="K420" s="2" t="s">
        <v>304</v>
      </c>
      <c r="L420" s="2" t="s">
        <v>100</v>
      </c>
      <c r="M420" s="8" t="str">
        <f>HYPERLINK("http://slimages.macys.com/is/image/MCY/12636233 ")</f>
        <v xml:space="preserve">http://slimages.macys.com/is/image/MCY/12636233 </v>
      </c>
    </row>
    <row r="421" spans="1:13" ht="60" x14ac:dyDescent="0.25">
      <c r="A421" s="7" t="s">
        <v>6613</v>
      </c>
      <c r="B421" s="2" t="s">
        <v>6614</v>
      </c>
      <c r="C421" s="4">
        <v>1</v>
      </c>
      <c r="D421" s="5">
        <v>2.3199999999999998</v>
      </c>
      <c r="E421" s="5">
        <v>5.99</v>
      </c>
      <c r="F421" s="4" t="s">
        <v>6615</v>
      </c>
      <c r="G421" s="2" t="s">
        <v>41</v>
      </c>
      <c r="H421" s="7" t="s">
        <v>91</v>
      </c>
      <c r="I421" s="2" t="s">
        <v>483</v>
      </c>
      <c r="J421" s="2" t="s">
        <v>536</v>
      </c>
      <c r="K421" s="2" t="s">
        <v>2752</v>
      </c>
      <c r="L421" s="2" t="s">
        <v>100</v>
      </c>
      <c r="M421" s="8" t="str">
        <f>HYPERLINK("http://slimages.macys.com/is/image/MCY/11379016 ")</f>
        <v xml:space="preserve">http://slimages.macys.com/is/image/MCY/11379016 </v>
      </c>
    </row>
    <row r="422" spans="1:13" ht="60" x14ac:dyDescent="0.25">
      <c r="A422" s="7" t="s">
        <v>6616</v>
      </c>
      <c r="B422" s="2" t="s">
        <v>6614</v>
      </c>
      <c r="C422" s="4">
        <v>1</v>
      </c>
      <c r="D422" s="5">
        <v>2.3199999999999998</v>
      </c>
      <c r="E422" s="5">
        <v>5.99</v>
      </c>
      <c r="F422" s="4" t="s">
        <v>6615</v>
      </c>
      <c r="G422" s="2" t="s">
        <v>2107</v>
      </c>
      <c r="H422" s="7" t="s">
        <v>91</v>
      </c>
      <c r="I422" s="2" t="s">
        <v>483</v>
      </c>
      <c r="J422" s="2" t="s">
        <v>536</v>
      </c>
      <c r="K422" s="2" t="s">
        <v>2752</v>
      </c>
      <c r="L422" s="2" t="s">
        <v>100</v>
      </c>
      <c r="M422" s="8" t="str">
        <f>HYPERLINK("http://slimages.macys.com/is/image/MCY/12239811 ")</f>
        <v xml:space="preserve">http://slimages.macys.com/is/image/MCY/12239811 </v>
      </c>
    </row>
    <row r="423" spans="1:13" ht="60" x14ac:dyDescent="0.25">
      <c r="A423" s="7" t="s">
        <v>4581</v>
      </c>
      <c r="B423" s="2" t="s">
        <v>2350</v>
      </c>
      <c r="C423" s="4">
        <v>1</v>
      </c>
      <c r="D423" s="5">
        <v>2.31</v>
      </c>
      <c r="E423" s="5">
        <v>7.99</v>
      </c>
      <c r="F423" s="4" t="s">
        <v>2351</v>
      </c>
      <c r="G423" s="2" t="s">
        <v>657</v>
      </c>
      <c r="H423" s="7" t="s">
        <v>578</v>
      </c>
      <c r="I423" s="2" t="s">
        <v>483</v>
      </c>
      <c r="J423" s="2" t="s">
        <v>536</v>
      </c>
      <c r="K423" s="2" t="s">
        <v>304</v>
      </c>
      <c r="L423" s="2" t="s">
        <v>38</v>
      </c>
      <c r="M423" s="8" t="str">
        <f>HYPERLINK("http://slimages.macys.com/is/image/MCY/13987607 ")</f>
        <v xml:space="preserve">http://slimages.macys.com/is/image/MCY/13987607 </v>
      </c>
    </row>
    <row r="424" spans="1:13" ht="60" x14ac:dyDescent="0.25">
      <c r="A424" s="7" t="s">
        <v>6617</v>
      </c>
      <c r="B424" s="2" t="s">
        <v>6618</v>
      </c>
      <c r="C424" s="4">
        <v>5</v>
      </c>
      <c r="D424" s="5">
        <v>2.2999999999999998</v>
      </c>
      <c r="E424" s="5">
        <v>5.35</v>
      </c>
      <c r="F424" s="4">
        <v>16026010</v>
      </c>
      <c r="G424" s="2" t="s">
        <v>129</v>
      </c>
      <c r="H424" s="7" t="s">
        <v>531</v>
      </c>
      <c r="I424" s="2" t="s">
        <v>153</v>
      </c>
      <c r="J424" s="2" t="s">
        <v>154</v>
      </c>
      <c r="K424" s="2" t="s">
        <v>304</v>
      </c>
      <c r="L424" s="2" t="s">
        <v>206</v>
      </c>
      <c r="M424" s="8" t="str">
        <f>HYPERLINK("http://slimages.macys.com/is/image/MCY/11176478 ")</f>
        <v xml:space="preserve">http://slimages.macys.com/is/image/MCY/11176478 </v>
      </c>
    </row>
    <row r="425" spans="1:13" ht="60" x14ac:dyDescent="0.25">
      <c r="A425" s="7" t="s">
        <v>6619</v>
      </c>
      <c r="B425" s="2" t="s">
        <v>6620</v>
      </c>
      <c r="C425" s="4">
        <v>12</v>
      </c>
      <c r="D425" s="5">
        <v>2.2999999999999998</v>
      </c>
      <c r="E425" s="5">
        <v>5.35</v>
      </c>
      <c r="F425" s="4" t="s">
        <v>6621</v>
      </c>
      <c r="G425" s="2" t="s">
        <v>41</v>
      </c>
      <c r="H425" s="7" t="s">
        <v>531</v>
      </c>
      <c r="I425" s="2" t="s">
        <v>153</v>
      </c>
      <c r="J425" s="2" t="s">
        <v>154</v>
      </c>
      <c r="K425" s="2" t="s">
        <v>304</v>
      </c>
      <c r="L425" s="2" t="s">
        <v>87</v>
      </c>
      <c r="M425" s="8" t="str">
        <f>HYPERLINK("http://slimages.macys.com/is/image/MCY/10227252 ")</f>
        <v xml:space="preserve">http://slimages.macys.com/is/image/MCY/10227252 </v>
      </c>
    </row>
    <row r="426" spans="1:13" ht="60" x14ac:dyDescent="0.25">
      <c r="A426" s="7" t="s">
        <v>6622</v>
      </c>
      <c r="B426" s="2" t="s">
        <v>6623</v>
      </c>
      <c r="C426" s="4">
        <v>1</v>
      </c>
      <c r="D426" s="5">
        <v>2.2999999999999998</v>
      </c>
      <c r="E426" s="5">
        <v>5.35</v>
      </c>
      <c r="F426" s="4">
        <v>18494310</v>
      </c>
      <c r="G426" s="2" t="s">
        <v>41</v>
      </c>
      <c r="H426" s="7" t="s">
        <v>531</v>
      </c>
      <c r="I426" s="2" t="s">
        <v>153</v>
      </c>
      <c r="J426" s="2" t="s">
        <v>154</v>
      </c>
      <c r="K426" s="2" t="s">
        <v>304</v>
      </c>
      <c r="L426" s="2" t="s">
        <v>206</v>
      </c>
      <c r="M426" s="8" t="str">
        <f>HYPERLINK("http://slimages.macys.com/is/image/MCY/14661899 ")</f>
        <v xml:space="preserve">http://slimages.macys.com/is/image/MCY/14661899 </v>
      </c>
    </row>
    <row r="427" spans="1:13" ht="60" x14ac:dyDescent="0.25">
      <c r="A427" s="7" t="s">
        <v>6624</v>
      </c>
      <c r="B427" s="2" t="s">
        <v>1365</v>
      </c>
      <c r="C427" s="4">
        <v>1</v>
      </c>
      <c r="D427" s="5">
        <v>2.29</v>
      </c>
      <c r="E427" s="5">
        <v>5.99</v>
      </c>
      <c r="F427" s="4" t="s">
        <v>1366</v>
      </c>
      <c r="G427" s="2" t="s">
        <v>62</v>
      </c>
      <c r="H427" s="7" t="s">
        <v>442</v>
      </c>
      <c r="I427" s="2" t="s">
        <v>483</v>
      </c>
      <c r="J427" s="2" t="s">
        <v>536</v>
      </c>
      <c r="K427" s="2" t="s">
        <v>304</v>
      </c>
      <c r="L427" s="2" t="s">
        <v>206</v>
      </c>
      <c r="M427" s="8" t="str">
        <f>HYPERLINK("http://slimages.macys.com/is/image/MCY/12463166 ")</f>
        <v xml:space="preserve">http://slimages.macys.com/is/image/MCY/12463166 </v>
      </c>
    </row>
    <row r="428" spans="1:13" ht="60" x14ac:dyDescent="0.25">
      <c r="A428" s="7" t="s">
        <v>6625</v>
      </c>
      <c r="B428" s="2" t="s">
        <v>2359</v>
      </c>
      <c r="C428" s="4">
        <v>1</v>
      </c>
      <c r="D428" s="5">
        <v>2.29</v>
      </c>
      <c r="E428" s="5">
        <v>5.99</v>
      </c>
      <c r="F428" s="4" t="s">
        <v>2360</v>
      </c>
      <c r="G428" s="2" t="s">
        <v>28</v>
      </c>
      <c r="H428" s="7" t="s">
        <v>149</v>
      </c>
      <c r="I428" s="2" t="s">
        <v>483</v>
      </c>
      <c r="J428" s="2" t="s">
        <v>536</v>
      </c>
      <c r="K428" s="2" t="s">
        <v>304</v>
      </c>
      <c r="L428" s="2" t="s">
        <v>119</v>
      </c>
      <c r="M428" s="8" t="str">
        <f>HYPERLINK("http://slimages.macys.com/is/image/MCY/12644507 ")</f>
        <v xml:space="preserve">http://slimages.macys.com/is/image/MCY/12644507 </v>
      </c>
    </row>
    <row r="429" spans="1:13" ht="60" x14ac:dyDescent="0.25">
      <c r="A429" s="7" t="s">
        <v>6626</v>
      </c>
      <c r="B429" s="2" t="s">
        <v>2359</v>
      </c>
      <c r="C429" s="4">
        <v>1</v>
      </c>
      <c r="D429" s="5">
        <v>2.29</v>
      </c>
      <c r="E429" s="5">
        <v>5.99</v>
      </c>
      <c r="F429" s="4" t="s">
        <v>2360</v>
      </c>
      <c r="G429" s="2" t="s">
        <v>28</v>
      </c>
      <c r="H429" s="7" t="s">
        <v>91</v>
      </c>
      <c r="I429" s="2" t="s">
        <v>483</v>
      </c>
      <c r="J429" s="2" t="s">
        <v>536</v>
      </c>
      <c r="K429" s="2" t="s">
        <v>304</v>
      </c>
      <c r="L429" s="2" t="s">
        <v>119</v>
      </c>
      <c r="M429" s="8" t="str">
        <f>HYPERLINK("http://slimages.macys.com/is/image/MCY/12644507 ")</f>
        <v xml:space="preserve">http://slimages.macys.com/is/image/MCY/12644507 </v>
      </c>
    </row>
    <row r="430" spans="1:13" ht="60" x14ac:dyDescent="0.25">
      <c r="A430" s="7" t="s">
        <v>2362</v>
      </c>
      <c r="B430" s="2" t="s">
        <v>2359</v>
      </c>
      <c r="C430" s="4">
        <v>5</v>
      </c>
      <c r="D430" s="5">
        <v>2.29</v>
      </c>
      <c r="E430" s="5">
        <v>5.99</v>
      </c>
      <c r="F430" s="4" t="s">
        <v>2360</v>
      </c>
      <c r="G430" s="2" t="s">
        <v>28</v>
      </c>
      <c r="H430" s="7" t="s">
        <v>442</v>
      </c>
      <c r="I430" s="2" t="s">
        <v>483</v>
      </c>
      <c r="J430" s="2" t="s">
        <v>536</v>
      </c>
      <c r="K430" s="2" t="s">
        <v>304</v>
      </c>
      <c r="L430" s="2" t="s">
        <v>119</v>
      </c>
      <c r="M430" s="8" t="str">
        <f>HYPERLINK("http://slimages.macys.com/is/image/MCY/12644507 ")</f>
        <v xml:space="preserve">http://slimages.macys.com/is/image/MCY/12644507 </v>
      </c>
    </row>
    <row r="431" spans="1:13" ht="60" x14ac:dyDescent="0.25">
      <c r="A431" s="7" t="s">
        <v>4585</v>
      </c>
      <c r="B431" s="2" t="s">
        <v>2359</v>
      </c>
      <c r="C431" s="4">
        <v>2</v>
      </c>
      <c r="D431" s="5">
        <v>2.29</v>
      </c>
      <c r="E431" s="5">
        <v>5.99</v>
      </c>
      <c r="F431" s="4" t="s">
        <v>2360</v>
      </c>
      <c r="G431" s="2" t="s">
        <v>28</v>
      </c>
      <c r="H431" s="7" t="s">
        <v>590</v>
      </c>
      <c r="I431" s="2" t="s">
        <v>483</v>
      </c>
      <c r="J431" s="2" t="s">
        <v>536</v>
      </c>
      <c r="K431" s="2" t="s">
        <v>304</v>
      </c>
      <c r="L431" s="2" t="s">
        <v>119</v>
      </c>
      <c r="M431" s="8" t="str">
        <f>HYPERLINK("http://slimages.macys.com/is/image/MCY/12644507 ")</f>
        <v xml:space="preserve">http://slimages.macys.com/is/image/MCY/12644507 </v>
      </c>
    </row>
    <row r="432" spans="1:13" ht="60" x14ac:dyDescent="0.25">
      <c r="A432" s="7" t="s">
        <v>2368</v>
      </c>
      <c r="B432" s="2" t="s">
        <v>1368</v>
      </c>
      <c r="C432" s="4">
        <v>1</v>
      </c>
      <c r="D432" s="5">
        <v>2.2799999999999998</v>
      </c>
      <c r="E432" s="5">
        <v>5.99</v>
      </c>
      <c r="F432" s="4" t="s">
        <v>1369</v>
      </c>
      <c r="G432" s="2" t="s">
        <v>41</v>
      </c>
      <c r="H432" s="7" t="s">
        <v>590</v>
      </c>
      <c r="I432" s="2" t="s">
        <v>483</v>
      </c>
      <c r="J432" s="2" t="s">
        <v>536</v>
      </c>
      <c r="K432" s="2" t="s">
        <v>304</v>
      </c>
      <c r="L432" s="2" t="s">
        <v>38</v>
      </c>
      <c r="M432" s="8" t="str">
        <f>HYPERLINK("http://slimages.macys.com/is/image/MCY/13987603 ")</f>
        <v xml:space="preserve">http://slimages.macys.com/is/image/MCY/13987603 </v>
      </c>
    </row>
    <row r="433" spans="1:13" ht="60" x14ac:dyDescent="0.25">
      <c r="A433" s="7" t="s">
        <v>6627</v>
      </c>
      <c r="B433" s="2" t="s">
        <v>6628</v>
      </c>
      <c r="C433" s="4">
        <v>1</v>
      </c>
      <c r="D433" s="5">
        <v>2.27</v>
      </c>
      <c r="E433" s="5">
        <v>5.99</v>
      </c>
      <c r="F433" s="4" t="s">
        <v>6629</v>
      </c>
      <c r="G433" s="2" t="s">
        <v>86</v>
      </c>
      <c r="H433" s="7" t="s">
        <v>91</v>
      </c>
      <c r="I433" s="2" t="s">
        <v>483</v>
      </c>
      <c r="J433" s="2" t="s">
        <v>536</v>
      </c>
      <c r="K433" s="2" t="s">
        <v>304</v>
      </c>
      <c r="L433" s="2" t="s">
        <v>119</v>
      </c>
      <c r="M433" s="8" t="str">
        <f>HYPERLINK("http://slimages.macys.com/is/image/MCY/11377335 ")</f>
        <v xml:space="preserve">http://slimages.macys.com/is/image/MCY/11377335 </v>
      </c>
    </row>
    <row r="434" spans="1:13" ht="60" x14ac:dyDescent="0.25">
      <c r="A434" s="7" t="s">
        <v>6630</v>
      </c>
      <c r="B434" s="2" t="s">
        <v>6631</v>
      </c>
      <c r="C434" s="4">
        <v>1</v>
      </c>
      <c r="D434" s="5">
        <v>2.27</v>
      </c>
      <c r="E434" s="5">
        <v>5.99</v>
      </c>
      <c r="F434" s="4" t="s">
        <v>6632</v>
      </c>
      <c r="G434" s="2" t="s">
        <v>353</v>
      </c>
      <c r="H434" s="7" t="s">
        <v>442</v>
      </c>
      <c r="I434" s="2" t="s">
        <v>483</v>
      </c>
      <c r="J434" s="2" t="s">
        <v>536</v>
      </c>
      <c r="K434" s="2" t="s">
        <v>304</v>
      </c>
      <c r="L434" s="2" t="s">
        <v>38</v>
      </c>
      <c r="M434" s="8" t="str">
        <f>HYPERLINK("http://slimages.macys.com/is/image/MCY/12466331 ")</f>
        <v xml:space="preserve">http://slimages.macys.com/is/image/MCY/12466331 </v>
      </c>
    </row>
    <row r="435" spans="1:13" ht="60" x14ac:dyDescent="0.25">
      <c r="A435" s="7" t="s">
        <v>6633</v>
      </c>
      <c r="B435" s="2" t="s">
        <v>4590</v>
      </c>
      <c r="C435" s="4">
        <v>1</v>
      </c>
      <c r="D435" s="5">
        <v>2.27</v>
      </c>
      <c r="E435" s="5">
        <v>5.99</v>
      </c>
      <c r="F435" s="4" t="s">
        <v>4591</v>
      </c>
      <c r="G435" s="2" t="s">
        <v>353</v>
      </c>
      <c r="H435" s="7" t="s">
        <v>149</v>
      </c>
      <c r="I435" s="2" t="s">
        <v>483</v>
      </c>
      <c r="J435" s="2" t="s">
        <v>536</v>
      </c>
      <c r="K435" s="2" t="s">
        <v>304</v>
      </c>
      <c r="L435" s="2" t="s">
        <v>206</v>
      </c>
      <c r="M435" s="8" t="str">
        <f>HYPERLINK("http://slimages.macys.com/is/image/MCY/12239826 ")</f>
        <v xml:space="preserve">http://slimages.macys.com/is/image/MCY/12239826 </v>
      </c>
    </row>
    <row r="436" spans="1:13" ht="60" x14ac:dyDescent="0.25">
      <c r="A436" s="7" t="s">
        <v>6634</v>
      </c>
      <c r="B436" s="2" t="s">
        <v>2374</v>
      </c>
      <c r="C436" s="4">
        <v>1</v>
      </c>
      <c r="D436" s="5">
        <v>2.2599999999999998</v>
      </c>
      <c r="E436" s="5">
        <v>6.99</v>
      </c>
      <c r="F436" s="4" t="s">
        <v>2375</v>
      </c>
      <c r="G436" s="2" t="s">
        <v>41</v>
      </c>
      <c r="H436" s="7" t="s">
        <v>42</v>
      </c>
      <c r="I436" s="2" t="s">
        <v>483</v>
      </c>
      <c r="J436" s="2" t="s">
        <v>536</v>
      </c>
      <c r="K436" s="2" t="s">
        <v>304</v>
      </c>
      <c r="L436" s="2" t="s">
        <v>100</v>
      </c>
      <c r="M436" s="8" t="str">
        <f>HYPERLINK("http://slimages.macys.com/is/image/MCY/11792552 ")</f>
        <v xml:space="preserve">http://slimages.macys.com/is/image/MCY/11792552 </v>
      </c>
    </row>
    <row r="437" spans="1:13" ht="60" x14ac:dyDescent="0.25">
      <c r="A437" s="7" t="s">
        <v>6635</v>
      </c>
      <c r="B437" s="2" t="s">
        <v>6636</v>
      </c>
      <c r="C437" s="4">
        <v>3</v>
      </c>
      <c r="D437" s="5">
        <v>2.2599999999999998</v>
      </c>
      <c r="E437" s="5">
        <v>7.99</v>
      </c>
      <c r="F437" s="4" t="s">
        <v>6637</v>
      </c>
      <c r="G437" s="2" t="s">
        <v>28</v>
      </c>
      <c r="H437" s="7" t="s">
        <v>578</v>
      </c>
      <c r="I437" s="2" t="s">
        <v>483</v>
      </c>
      <c r="J437" s="2" t="s">
        <v>536</v>
      </c>
      <c r="K437" s="2" t="s">
        <v>304</v>
      </c>
      <c r="L437" s="2" t="s">
        <v>87</v>
      </c>
      <c r="M437" s="8" t="str">
        <f>HYPERLINK("http://slimages.macys.com/is/image/MCY/12462606 ")</f>
        <v xml:space="preserve">http://slimages.macys.com/is/image/MCY/12462606 </v>
      </c>
    </row>
    <row r="438" spans="1:13" ht="60" x14ac:dyDescent="0.25">
      <c r="A438" s="7" t="s">
        <v>6638</v>
      </c>
      <c r="B438" s="2" t="s">
        <v>2385</v>
      </c>
      <c r="C438" s="4">
        <v>1</v>
      </c>
      <c r="D438" s="5">
        <v>2.2200000000000002</v>
      </c>
      <c r="E438" s="5">
        <v>5.99</v>
      </c>
      <c r="F438" s="4" t="s">
        <v>2386</v>
      </c>
      <c r="G438" s="2" t="s">
        <v>129</v>
      </c>
      <c r="H438" s="7" t="s">
        <v>91</v>
      </c>
      <c r="I438" s="2" t="s">
        <v>483</v>
      </c>
      <c r="J438" s="2" t="s">
        <v>536</v>
      </c>
      <c r="K438" s="2" t="s">
        <v>304</v>
      </c>
      <c r="L438" s="2" t="s">
        <v>206</v>
      </c>
      <c r="M438" s="8" t="str">
        <f>HYPERLINK("http://slimages.macys.com/is/image/MCY/12644557 ")</f>
        <v xml:space="preserve">http://slimages.macys.com/is/image/MCY/12644557 </v>
      </c>
    </row>
    <row r="439" spans="1:13" ht="60" x14ac:dyDescent="0.25">
      <c r="A439" s="7" t="s">
        <v>6639</v>
      </c>
      <c r="B439" s="2" t="s">
        <v>6640</v>
      </c>
      <c r="C439" s="4">
        <v>1</v>
      </c>
      <c r="D439" s="5">
        <v>2.2200000000000002</v>
      </c>
      <c r="E439" s="5">
        <v>5.99</v>
      </c>
      <c r="F439" s="4" t="s">
        <v>6641</v>
      </c>
      <c r="G439" s="2" t="s">
        <v>200</v>
      </c>
      <c r="H439" s="7" t="s">
        <v>590</v>
      </c>
      <c r="I439" s="2" t="s">
        <v>483</v>
      </c>
      <c r="J439" s="2" t="s">
        <v>536</v>
      </c>
      <c r="K439" s="2" t="s">
        <v>304</v>
      </c>
      <c r="L439" s="2" t="s">
        <v>596</v>
      </c>
      <c r="M439" s="8" t="str">
        <f>HYPERLINK("http://slimages.macys.com/is/image/MCY/11709298 ")</f>
        <v xml:space="preserve">http://slimages.macys.com/is/image/MCY/11709298 </v>
      </c>
    </row>
    <row r="440" spans="1:13" ht="60" x14ac:dyDescent="0.25">
      <c r="A440" s="7" t="s">
        <v>6642</v>
      </c>
      <c r="B440" s="2" t="s">
        <v>2392</v>
      </c>
      <c r="C440" s="4">
        <v>3</v>
      </c>
      <c r="D440" s="5">
        <v>2.21</v>
      </c>
      <c r="E440" s="5">
        <v>5.99</v>
      </c>
      <c r="F440" s="4" t="s">
        <v>2393</v>
      </c>
      <c r="G440" s="2" t="s">
        <v>858</v>
      </c>
      <c r="H440" s="7" t="s">
        <v>91</v>
      </c>
      <c r="I440" s="2" t="s">
        <v>483</v>
      </c>
      <c r="J440" s="2" t="s">
        <v>536</v>
      </c>
      <c r="K440" s="2" t="s">
        <v>304</v>
      </c>
      <c r="L440" s="2" t="s">
        <v>119</v>
      </c>
      <c r="M440" s="8" t="str">
        <f>HYPERLINK("http://slimages.macys.com/is/image/MCY/12644556 ")</f>
        <v xml:space="preserve">http://slimages.macys.com/is/image/MCY/12644556 </v>
      </c>
    </row>
    <row r="441" spans="1:13" ht="60" x14ac:dyDescent="0.25">
      <c r="A441" s="7" t="s">
        <v>6086</v>
      </c>
      <c r="B441" s="2" t="s">
        <v>2392</v>
      </c>
      <c r="C441" s="4">
        <v>2</v>
      </c>
      <c r="D441" s="5">
        <v>2.21</v>
      </c>
      <c r="E441" s="5">
        <v>5.99</v>
      </c>
      <c r="F441" s="4" t="s">
        <v>2393</v>
      </c>
      <c r="G441" s="2" t="s">
        <v>858</v>
      </c>
      <c r="H441" s="7" t="s">
        <v>442</v>
      </c>
      <c r="I441" s="2" t="s">
        <v>483</v>
      </c>
      <c r="J441" s="2" t="s">
        <v>536</v>
      </c>
      <c r="K441" s="2" t="s">
        <v>304</v>
      </c>
      <c r="L441" s="2" t="s">
        <v>119</v>
      </c>
      <c r="M441" s="8" t="str">
        <f>HYPERLINK("http://slimages.macys.com/is/image/MCY/12644556 ")</f>
        <v xml:space="preserve">http://slimages.macys.com/is/image/MCY/12644556 </v>
      </c>
    </row>
    <row r="442" spans="1:13" ht="60" x14ac:dyDescent="0.25">
      <c r="A442" s="7" t="s">
        <v>6643</v>
      </c>
      <c r="B442" s="2" t="s">
        <v>2392</v>
      </c>
      <c r="C442" s="4">
        <v>3</v>
      </c>
      <c r="D442" s="5">
        <v>2.21</v>
      </c>
      <c r="E442" s="5">
        <v>5.99</v>
      </c>
      <c r="F442" s="4" t="s">
        <v>2393</v>
      </c>
      <c r="G442" s="2" t="s">
        <v>858</v>
      </c>
      <c r="H442" s="7" t="s">
        <v>590</v>
      </c>
      <c r="I442" s="2" t="s">
        <v>483</v>
      </c>
      <c r="J442" s="2" t="s">
        <v>536</v>
      </c>
      <c r="K442" s="2" t="s">
        <v>304</v>
      </c>
      <c r="L442" s="2" t="s">
        <v>119</v>
      </c>
      <c r="M442" s="8" t="str">
        <f>HYPERLINK("http://slimages.macys.com/is/image/MCY/12644556 ")</f>
        <v xml:space="preserve">http://slimages.macys.com/is/image/MCY/12644556 </v>
      </c>
    </row>
    <row r="443" spans="1:13" ht="60" x14ac:dyDescent="0.25">
      <c r="A443" s="7" t="s">
        <v>2391</v>
      </c>
      <c r="B443" s="2" t="s">
        <v>2392</v>
      </c>
      <c r="C443" s="4">
        <v>3</v>
      </c>
      <c r="D443" s="5">
        <v>2.21</v>
      </c>
      <c r="E443" s="5">
        <v>5.99</v>
      </c>
      <c r="F443" s="4" t="s">
        <v>2393</v>
      </c>
      <c r="G443" s="2" t="s">
        <v>858</v>
      </c>
      <c r="H443" s="7" t="s">
        <v>149</v>
      </c>
      <c r="I443" s="2" t="s">
        <v>483</v>
      </c>
      <c r="J443" s="2" t="s">
        <v>536</v>
      </c>
      <c r="K443" s="2" t="s">
        <v>304</v>
      </c>
      <c r="L443" s="2" t="s">
        <v>119</v>
      </c>
      <c r="M443" s="8" t="str">
        <f>HYPERLINK("http://slimages.macys.com/is/image/MCY/12644556 ")</f>
        <v xml:space="preserve">http://slimages.macys.com/is/image/MCY/12644556 </v>
      </c>
    </row>
    <row r="444" spans="1:13" ht="60" x14ac:dyDescent="0.25">
      <c r="A444" s="7" t="s">
        <v>6644</v>
      </c>
      <c r="B444" s="2" t="s">
        <v>2392</v>
      </c>
      <c r="C444" s="4">
        <v>2</v>
      </c>
      <c r="D444" s="5">
        <v>2.21</v>
      </c>
      <c r="E444" s="5">
        <v>5.99</v>
      </c>
      <c r="F444" s="4" t="s">
        <v>2393</v>
      </c>
      <c r="G444" s="2" t="s">
        <v>858</v>
      </c>
      <c r="H444" s="7" t="s">
        <v>42</v>
      </c>
      <c r="I444" s="2" t="s">
        <v>483</v>
      </c>
      <c r="J444" s="2" t="s">
        <v>536</v>
      </c>
      <c r="K444" s="2" t="s">
        <v>304</v>
      </c>
      <c r="L444" s="2" t="s">
        <v>119</v>
      </c>
      <c r="M444" s="8" t="str">
        <f>HYPERLINK("http://slimages.macys.com/is/image/MCY/12644556 ")</f>
        <v xml:space="preserve">http://slimages.macys.com/is/image/MCY/12644556 </v>
      </c>
    </row>
    <row r="445" spans="1:13" ht="84" x14ac:dyDescent="0.25">
      <c r="A445" s="7" t="s">
        <v>2733</v>
      </c>
      <c r="B445" s="2" t="s">
        <v>637</v>
      </c>
      <c r="C445" s="4">
        <v>8</v>
      </c>
      <c r="D445" s="5">
        <v>2.21</v>
      </c>
      <c r="E445" s="5">
        <v>6.99</v>
      </c>
      <c r="F445" s="4" t="s">
        <v>638</v>
      </c>
      <c r="G445" s="2" t="s">
        <v>171</v>
      </c>
      <c r="H445" s="7" t="s">
        <v>586</v>
      </c>
      <c r="I445" s="2" t="s">
        <v>483</v>
      </c>
      <c r="J445" s="2" t="s">
        <v>536</v>
      </c>
      <c r="K445" s="2" t="s">
        <v>304</v>
      </c>
      <c r="L445" s="2" t="s">
        <v>639</v>
      </c>
      <c r="M445" s="8" t="str">
        <f>HYPERLINK("http://slimages.macys.com/is/image/MCY/13987507 ")</f>
        <v xml:space="preserve">http://slimages.macys.com/is/image/MCY/13987507 </v>
      </c>
    </row>
    <row r="446" spans="1:13" ht="72" x14ac:dyDescent="0.25">
      <c r="A446" s="7" t="s">
        <v>4610</v>
      </c>
      <c r="B446" s="2" t="s">
        <v>4607</v>
      </c>
      <c r="C446" s="4">
        <v>1</v>
      </c>
      <c r="D446" s="5">
        <v>2.21</v>
      </c>
      <c r="E446" s="5">
        <v>6.99</v>
      </c>
      <c r="F446" s="4" t="s">
        <v>4608</v>
      </c>
      <c r="G446" s="2" t="s">
        <v>41</v>
      </c>
      <c r="H446" s="7" t="s">
        <v>586</v>
      </c>
      <c r="I446" s="2" t="s">
        <v>483</v>
      </c>
      <c r="J446" s="2" t="s">
        <v>536</v>
      </c>
      <c r="K446" s="2" t="s">
        <v>304</v>
      </c>
      <c r="L446" s="2" t="s">
        <v>4609</v>
      </c>
      <c r="M446" s="8" t="str">
        <f>HYPERLINK("http://slimages.macys.com/is/image/MCY/13987511 ")</f>
        <v xml:space="preserve">http://slimages.macys.com/is/image/MCY/13987511 </v>
      </c>
    </row>
    <row r="447" spans="1:13" ht="60" x14ac:dyDescent="0.25">
      <c r="A447" s="7" t="s">
        <v>6645</v>
      </c>
      <c r="B447" s="2" t="s">
        <v>5776</v>
      </c>
      <c r="C447" s="4">
        <v>2</v>
      </c>
      <c r="D447" s="5">
        <v>2.19</v>
      </c>
      <c r="E447" s="5">
        <v>5.99</v>
      </c>
      <c r="F447" s="4" t="s">
        <v>5777</v>
      </c>
      <c r="G447" s="2" t="s">
        <v>28</v>
      </c>
      <c r="H447" s="7" t="s">
        <v>42</v>
      </c>
      <c r="I447" s="2" t="s">
        <v>483</v>
      </c>
      <c r="J447" s="2" t="s">
        <v>536</v>
      </c>
      <c r="K447" s="2" t="s">
        <v>304</v>
      </c>
      <c r="L447" s="2" t="s">
        <v>38</v>
      </c>
      <c r="M447" s="8" t="str">
        <f>HYPERLINK("http://slimages.macys.com/is/image/MCY/13987609 ")</f>
        <v xml:space="preserve">http://slimages.macys.com/is/image/MCY/13987609 </v>
      </c>
    </row>
    <row r="448" spans="1:13" ht="60" x14ac:dyDescent="0.25">
      <c r="A448" s="7" t="s">
        <v>6646</v>
      </c>
      <c r="B448" s="2" t="s">
        <v>6647</v>
      </c>
      <c r="C448" s="4">
        <v>1</v>
      </c>
      <c r="D448" s="5">
        <v>2.16</v>
      </c>
      <c r="E448" s="5">
        <v>5.99</v>
      </c>
      <c r="F448" s="4" t="s">
        <v>6648</v>
      </c>
      <c r="G448" s="2" t="s">
        <v>657</v>
      </c>
      <c r="H448" s="7" t="s">
        <v>149</v>
      </c>
      <c r="I448" s="2" t="s">
        <v>483</v>
      </c>
      <c r="J448" s="2" t="s">
        <v>536</v>
      </c>
      <c r="K448" s="2" t="s">
        <v>304</v>
      </c>
      <c r="L448" s="2" t="s">
        <v>119</v>
      </c>
      <c r="M448" s="8" t="str">
        <f>HYPERLINK("http://slimages.macys.com/is/image/MCY/12644371 ")</f>
        <v xml:space="preserve">http://slimages.macys.com/is/image/MCY/12644371 </v>
      </c>
    </row>
    <row r="449" spans="1:13" ht="60" x14ac:dyDescent="0.25">
      <c r="A449" s="7" t="s">
        <v>6649</v>
      </c>
      <c r="B449" s="2" t="s">
        <v>6647</v>
      </c>
      <c r="C449" s="4">
        <v>1</v>
      </c>
      <c r="D449" s="5">
        <v>2.16</v>
      </c>
      <c r="E449" s="5">
        <v>5.99</v>
      </c>
      <c r="F449" s="4" t="s">
        <v>6648</v>
      </c>
      <c r="G449" s="2" t="s">
        <v>657</v>
      </c>
      <c r="H449" s="7" t="s">
        <v>91</v>
      </c>
      <c r="I449" s="2" t="s">
        <v>483</v>
      </c>
      <c r="J449" s="2" t="s">
        <v>536</v>
      </c>
      <c r="K449" s="2" t="s">
        <v>304</v>
      </c>
      <c r="L449" s="2" t="s">
        <v>119</v>
      </c>
      <c r="M449" s="8" t="str">
        <f>HYPERLINK("http://slimages.macys.com/is/image/MCY/12644371 ")</f>
        <v xml:space="preserve">http://slimages.macys.com/is/image/MCY/12644371 </v>
      </c>
    </row>
    <row r="450" spans="1:13" ht="72" x14ac:dyDescent="0.25">
      <c r="A450" s="7" t="s">
        <v>6650</v>
      </c>
      <c r="B450" s="2" t="s">
        <v>6567</v>
      </c>
      <c r="C450" s="4">
        <v>1</v>
      </c>
      <c r="D450" s="5">
        <v>2.14</v>
      </c>
      <c r="E450" s="5">
        <v>5.99</v>
      </c>
      <c r="F450" s="4" t="s">
        <v>6651</v>
      </c>
      <c r="G450" s="2" t="s">
        <v>171</v>
      </c>
      <c r="H450" s="7" t="s">
        <v>91</v>
      </c>
      <c r="I450" s="2" t="s">
        <v>483</v>
      </c>
      <c r="J450" s="2" t="s">
        <v>536</v>
      </c>
      <c r="K450" s="2" t="s">
        <v>304</v>
      </c>
      <c r="L450" s="2" t="s">
        <v>5781</v>
      </c>
      <c r="M450" s="8" t="str">
        <f>HYPERLINK("http://slimages.macys.com/is/image/MCY/11436699 ")</f>
        <v xml:space="preserve">http://slimages.macys.com/is/image/MCY/11436699 </v>
      </c>
    </row>
    <row r="451" spans="1:13" ht="60" x14ac:dyDescent="0.25">
      <c r="A451" s="7" t="s">
        <v>5794</v>
      </c>
      <c r="B451" s="2" t="s">
        <v>5795</v>
      </c>
      <c r="C451" s="4">
        <v>1</v>
      </c>
      <c r="D451" s="5">
        <v>2.08</v>
      </c>
      <c r="E451" s="5">
        <v>5.99</v>
      </c>
      <c r="F451" s="4" t="s">
        <v>5796</v>
      </c>
      <c r="G451" s="2" t="s">
        <v>28</v>
      </c>
      <c r="H451" s="7" t="s">
        <v>42</v>
      </c>
      <c r="I451" s="2" t="s">
        <v>483</v>
      </c>
      <c r="J451" s="2" t="s">
        <v>536</v>
      </c>
      <c r="K451" s="2" t="s">
        <v>304</v>
      </c>
      <c r="L451" s="2" t="s">
        <v>206</v>
      </c>
      <c r="M451" s="8" t="str">
        <f>HYPERLINK("http://slimages.macys.com/is/image/MCY/11856654 ")</f>
        <v xml:space="preserve">http://slimages.macys.com/is/image/MCY/11856654 </v>
      </c>
    </row>
    <row r="452" spans="1:13" ht="60" x14ac:dyDescent="0.25">
      <c r="A452" s="7" t="s">
        <v>6652</v>
      </c>
      <c r="B452" s="2" t="s">
        <v>1333</v>
      </c>
      <c r="C452" s="4">
        <v>1</v>
      </c>
      <c r="D452" s="5">
        <v>2.0299999999999998</v>
      </c>
      <c r="E452" s="5">
        <v>4.99</v>
      </c>
      <c r="F452" s="4" t="s">
        <v>1325</v>
      </c>
      <c r="G452" s="2" t="s">
        <v>28</v>
      </c>
      <c r="H452" s="7" t="s">
        <v>228</v>
      </c>
      <c r="I452" s="2" t="s">
        <v>523</v>
      </c>
      <c r="J452" s="2" t="s">
        <v>921</v>
      </c>
      <c r="K452" s="2" t="s">
        <v>304</v>
      </c>
      <c r="L452" s="2" t="s">
        <v>323</v>
      </c>
      <c r="M452" s="8" t="str">
        <f>HYPERLINK("http://slimages.macys.com/is/image/MCY/8345548 ")</f>
        <v xml:space="preserve">http://slimages.macys.com/is/image/MCY/8345548 </v>
      </c>
    </row>
    <row r="453" spans="1:13" ht="60" x14ac:dyDescent="0.25">
      <c r="A453" s="7" t="s">
        <v>6653</v>
      </c>
      <c r="B453" s="2" t="s">
        <v>1333</v>
      </c>
      <c r="C453" s="4">
        <v>1</v>
      </c>
      <c r="D453" s="5">
        <v>2.0299999999999998</v>
      </c>
      <c r="E453" s="5">
        <v>4.99</v>
      </c>
      <c r="F453" s="4" t="s">
        <v>1325</v>
      </c>
      <c r="G453" s="2" t="s">
        <v>28</v>
      </c>
      <c r="H453" s="7" t="s">
        <v>159</v>
      </c>
      <c r="I453" s="2" t="s">
        <v>523</v>
      </c>
      <c r="J453" s="2" t="s">
        <v>921</v>
      </c>
      <c r="K453" s="2" t="s">
        <v>304</v>
      </c>
      <c r="L453" s="2" t="s">
        <v>323</v>
      </c>
      <c r="M453" s="8" t="str">
        <f>HYPERLINK("http://slimages.macys.com/is/image/MCY/8345548 ")</f>
        <v xml:space="preserve">http://slimages.macys.com/is/image/MCY/8345548 </v>
      </c>
    </row>
    <row r="454" spans="1:13" ht="60" x14ac:dyDescent="0.25">
      <c r="A454" s="7" t="s">
        <v>6654</v>
      </c>
      <c r="B454" s="2" t="s">
        <v>1333</v>
      </c>
      <c r="C454" s="4">
        <v>1</v>
      </c>
      <c r="D454" s="5">
        <v>2.0299999999999998</v>
      </c>
      <c r="E454" s="5">
        <v>4.99</v>
      </c>
      <c r="F454" s="4" t="s">
        <v>1325</v>
      </c>
      <c r="G454" s="2" t="s">
        <v>28</v>
      </c>
      <c r="H454" s="7" t="s">
        <v>284</v>
      </c>
      <c r="I454" s="2" t="s">
        <v>523</v>
      </c>
      <c r="J454" s="2" t="s">
        <v>921</v>
      </c>
      <c r="K454" s="2" t="s">
        <v>304</v>
      </c>
      <c r="L454" s="2" t="s">
        <v>323</v>
      </c>
      <c r="M454" s="8" t="str">
        <f>HYPERLINK("http://slimages.macys.com/is/image/MCY/8345548 ")</f>
        <v xml:space="preserve">http://slimages.macys.com/is/image/MCY/8345548 </v>
      </c>
    </row>
    <row r="455" spans="1:13" ht="60" x14ac:dyDescent="0.25">
      <c r="A455" s="7" t="s">
        <v>6655</v>
      </c>
      <c r="B455" s="2" t="s">
        <v>2407</v>
      </c>
      <c r="C455" s="4">
        <v>1</v>
      </c>
      <c r="D455" s="5">
        <v>2.02</v>
      </c>
      <c r="E455" s="5">
        <v>5.99</v>
      </c>
      <c r="F455" s="4" t="s">
        <v>2408</v>
      </c>
      <c r="G455" s="2" t="s">
        <v>657</v>
      </c>
      <c r="H455" s="7" t="s">
        <v>91</v>
      </c>
      <c r="I455" s="2" t="s">
        <v>483</v>
      </c>
      <c r="J455" s="2" t="s">
        <v>536</v>
      </c>
      <c r="K455" s="2" t="s">
        <v>304</v>
      </c>
      <c r="L455" s="2" t="s">
        <v>206</v>
      </c>
      <c r="M455" s="8" t="str">
        <f>HYPERLINK("http://slimages.macys.com/is/image/MCY/12464674 ")</f>
        <v xml:space="preserve">http://slimages.macys.com/is/image/MCY/12464674 </v>
      </c>
    </row>
    <row r="456" spans="1:13" ht="60" x14ac:dyDescent="0.25">
      <c r="A456" s="7" t="s">
        <v>6656</v>
      </c>
      <c r="B456" s="2" t="s">
        <v>1399</v>
      </c>
      <c r="C456" s="4">
        <v>1</v>
      </c>
      <c r="D456" s="5">
        <v>1.97</v>
      </c>
      <c r="E456" s="5">
        <v>5.99</v>
      </c>
      <c r="F456" s="4" t="s">
        <v>1400</v>
      </c>
      <c r="G456" s="2" t="s">
        <v>657</v>
      </c>
      <c r="H456" s="7" t="s">
        <v>149</v>
      </c>
      <c r="I456" s="2" t="s">
        <v>483</v>
      </c>
      <c r="J456" s="2" t="s">
        <v>536</v>
      </c>
      <c r="K456" s="2" t="s">
        <v>304</v>
      </c>
      <c r="L456" s="2" t="s">
        <v>119</v>
      </c>
      <c r="M456" s="8" t="str">
        <f>HYPERLINK("http://slimages.macys.com/is/image/MCY/13987628 ")</f>
        <v xml:space="preserve">http://slimages.macys.com/is/image/MCY/13987628 </v>
      </c>
    </row>
    <row r="457" spans="1:13" ht="60" x14ac:dyDescent="0.25">
      <c r="A457" s="7" t="s">
        <v>1398</v>
      </c>
      <c r="B457" s="2" t="s">
        <v>1399</v>
      </c>
      <c r="C457" s="4">
        <v>4</v>
      </c>
      <c r="D457" s="5">
        <v>1.97</v>
      </c>
      <c r="E457" s="5">
        <v>5.99</v>
      </c>
      <c r="F457" s="4" t="s">
        <v>1400</v>
      </c>
      <c r="G457" s="2" t="s">
        <v>657</v>
      </c>
      <c r="H457" s="7" t="s">
        <v>590</v>
      </c>
      <c r="I457" s="2" t="s">
        <v>483</v>
      </c>
      <c r="J457" s="2" t="s">
        <v>536</v>
      </c>
      <c r="K457" s="2" t="s">
        <v>304</v>
      </c>
      <c r="L457" s="2" t="s">
        <v>119</v>
      </c>
      <c r="M457" s="8" t="str">
        <f>HYPERLINK("http://slimages.macys.com/is/image/MCY/13987628 ")</f>
        <v xml:space="preserve">http://slimages.macys.com/is/image/MCY/13987628 </v>
      </c>
    </row>
    <row r="458" spans="1:13" ht="60" x14ac:dyDescent="0.25">
      <c r="A458" s="7" t="s">
        <v>6657</v>
      </c>
      <c r="B458" s="2" t="s">
        <v>5802</v>
      </c>
      <c r="C458" s="4">
        <v>2</v>
      </c>
      <c r="D458" s="5">
        <v>1.95</v>
      </c>
      <c r="E458" s="5">
        <v>5.99</v>
      </c>
      <c r="F458" s="4" t="s">
        <v>5803</v>
      </c>
      <c r="G458" s="2" t="s">
        <v>657</v>
      </c>
      <c r="H458" s="7" t="s">
        <v>149</v>
      </c>
      <c r="I458" s="2" t="s">
        <v>483</v>
      </c>
      <c r="J458" s="2" t="s">
        <v>536</v>
      </c>
      <c r="K458" s="2" t="s">
        <v>304</v>
      </c>
      <c r="L458" s="2" t="s">
        <v>119</v>
      </c>
      <c r="M458" s="8" t="str">
        <f>HYPERLINK("http://slimages.macys.com/is/image/MCY/11856984 ")</f>
        <v xml:space="preserve">http://slimages.macys.com/is/image/MCY/11856984 </v>
      </c>
    </row>
    <row r="459" spans="1:13" ht="60" x14ac:dyDescent="0.25">
      <c r="A459" s="7" t="s">
        <v>6658</v>
      </c>
      <c r="B459" s="2" t="s">
        <v>2413</v>
      </c>
      <c r="C459" s="4">
        <v>1</v>
      </c>
      <c r="D459" s="5">
        <v>1.95</v>
      </c>
      <c r="E459" s="5">
        <v>5.99</v>
      </c>
      <c r="F459" s="4" t="s">
        <v>2414</v>
      </c>
      <c r="G459" s="2" t="s">
        <v>28</v>
      </c>
      <c r="H459" s="7" t="s">
        <v>442</v>
      </c>
      <c r="I459" s="2" t="s">
        <v>483</v>
      </c>
      <c r="J459" s="2" t="s">
        <v>536</v>
      </c>
      <c r="K459" s="2" t="s">
        <v>304</v>
      </c>
      <c r="L459" s="2" t="s">
        <v>206</v>
      </c>
      <c r="M459" s="8" t="str">
        <f>HYPERLINK("http://slimages.macys.com/is/image/MCY/11856946 ")</f>
        <v xml:space="preserve">http://slimages.macys.com/is/image/MCY/11856946 </v>
      </c>
    </row>
    <row r="460" spans="1:13" ht="60" x14ac:dyDescent="0.25">
      <c r="A460" s="7" t="s">
        <v>2418</v>
      </c>
      <c r="B460" s="2" t="s">
        <v>2419</v>
      </c>
      <c r="C460" s="4">
        <v>1</v>
      </c>
      <c r="D460" s="5">
        <v>1.42</v>
      </c>
      <c r="E460" s="5">
        <v>3.99</v>
      </c>
      <c r="F460" s="4" t="s">
        <v>2420</v>
      </c>
      <c r="G460" s="2" t="s">
        <v>134</v>
      </c>
      <c r="H460" s="7" t="s">
        <v>531</v>
      </c>
      <c r="I460" s="2" t="s">
        <v>483</v>
      </c>
      <c r="J460" s="2" t="s">
        <v>536</v>
      </c>
      <c r="K460" s="2" t="s">
        <v>304</v>
      </c>
      <c r="L460" s="2" t="s">
        <v>2421</v>
      </c>
      <c r="M460" s="8" t="str">
        <f>HYPERLINK("http://slimages.macys.com/is/image/MCY/13987505 ")</f>
        <v xml:space="preserve">http://slimages.macys.com/is/image/MCY/13987505 </v>
      </c>
    </row>
    <row r="461" spans="1:13" ht="36" x14ac:dyDescent="0.25">
      <c r="A461" s="7" t="s">
        <v>6659</v>
      </c>
      <c r="B461" s="2" t="s">
        <v>3565</v>
      </c>
      <c r="C461" s="4">
        <v>1</v>
      </c>
      <c r="D461" s="5">
        <v>10.75</v>
      </c>
      <c r="E461" s="5">
        <v>34</v>
      </c>
      <c r="F461" s="4" t="s">
        <v>3565</v>
      </c>
      <c r="G461" s="2" t="s">
        <v>62</v>
      </c>
      <c r="H461" s="7" t="s">
        <v>311</v>
      </c>
      <c r="I461" s="2" t="s">
        <v>50</v>
      </c>
      <c r="J461" s="2" t="s">
        <v>650</v>
      </c>
      <c r="K461" s="2"/>
      <c r="L461" s="2"/>
      <c r="M461" s="8"/>
    </row>
    <row r="462" spans="1:13" ht="36" x14ac:dyDescent="0.25">
      <c r="A462" s="7" t="s">
        <v>6660</v>
      </c>
      <c r="B462" s="2" t="s">
        <v>6097</v>
      </c>
      <c r="C462" s="4">
        <v>1</v>
      </c>
      <c r="D462" s="5">
        <v>10.5</v>
      </c>
      <c r="E462" s="5">
        <v>36</v>
      </c>
      <c r="F462" s="4" t="s">
        <v>6098</v>
      </c>
      <c r="G462" s="2" t="s">
        <v>657</v>
      </c>
      <c r="H462" s="7" t="s">
        <v>166</v>
      </c>
      <c r="I462" s="2" t="s">
        <v>50</v>
      </c>
      <c r="J462" s="2" t="s">
        <v>650</v>
      </c>
      <c r="K462" s="2"/>
      <c r="L462" s="2"/>
      <c r="M462" s="8"/>
    </row>
    <row r="463" spans="1:13" ht="36" x14ac:dyDescent="0.25">
      <c r="A463" s="7" t="s">
        <v>6661</v>
      </c>
      <c r="B463" s="2" t="s">
        <v>6662</v>
      </c>
      <c r="C463" s="4">
        <v>1</v>
      </c>
      <c r="D463" s="5">
        <v>7.05</v>
      </c>
      <c r="E463" s="5">
        <v>16.04</v>
      </c>
      <c r="F463" s="4">
        <v>17862810</v>
      </c>
      <c r="G463" s="2" t="s">
        <v>79</v>
      </c>
      <c r="H463" s="7" t="s">
        <v>91</v>
      </c>
      <c r="I463" s="2" t="s">
        <v>153</v>
      </c>
      <c r="J463" s="2" t="s">
        <v>154</v>
      </c>
      <c r="K463" s="2"/>
      <c r="L463" s="2"/>
      <c r="M463" s="8"/>
    </row>
    <row r="464" spans="1:13" ht="36" x14ac:dyDescent="0.25">
      <c r="A464" s="7" t="s">
        <v>6663</v>
      </c>
      <c r="B464" s="2" t="s">
        <v>6664</v>
      </c>
      <c r="C464" s="4">
        <v>2</v>
      </c>
      <c r="D464" s="5">
        <v>7.05</v>
      </c>
      <c r="E464" s="5">
        <v>16.04</v>
      </c>
      <c r="F464" s="4">
        <v>17863210</v>
      </c>
      <c r="G464" s="2" t="s">
        <v>41</v>
      </c>
      <c r="H464" s="7" t="s">
        <v>675</v>
      </c>
      <c r="I464" s="2" t="s">
        <v>153</v>
      </c>
      <c r="J464" s="2" t="s">
        <v>154</v>
      </c>
      <c r="K464" s="2"/>
      <c r="L464" s="2"/>
      <c r="M464" s="8"/>
    </row>
    <row r="465" spans="1:13" ht="36" x14ac:dyDescent="0.25">
      <c r="A465" s="7" t="s">
        <v>6665</v>
      </c>
      <c r="B465" s="2" t="s">
        <v>6662</v>
      </c>
      <c r="C465" s="4">
        <v>1</v>
      </c>
      <c r="D465" s="5">
        <v>7.05</v>
      </c>
      <c r="E465" s="5">
        <v>16.04</v>
      </c>
      <c r="F465" s="4">
        <v>17862810</v>
      </c>
      <c r="G465" s="2" t="s">
        <v>79</v>
      </c>
      <c r="H465" s="7" t="s">
        <v>233</v>
      </c>
      <c r="I465" s="2" t="s">
        <v>153</v>
      </c>
      <c r="J465" s="2" t="s">
        <v>154</v>
      </c>
      <c r="K465" s="2"/>
      <c r="L465" s="2"/>
      <c r="M465" s="8"/>
    </row>
    <row r="466" spans="1:13" ht="36" x14ac:dyDescent="0.25">
      <c r="A466" s="7" t="s">
        <v>6666</v>
      </c>
      <c r="B466" s="2" t="s">
        <v>6667</v>
      </c>
      <c r="C466" s="4">
        <v>1</v>
      </c>
      <c r="D466" s="5">
        <v>6.4</v>
      </c>
      <c r="E466" s="5">
        <v>14.55</v>
      </c>
      <c r="F466" s="4">
        <v>17890010</v>
      </c>
      <c r="G466" s="2" t="s">
        <v>48</v>
      </c>
      <c r="H466" s="7" t="s">
        <v>42</v>
      </c>
      <c r="I466" s="2" t="s">
        <v>153</v>
      </c>
      <c r="J466" s="2" t="s">
        <v>154</v>
      </c>
      <c r="K466" s="2"/>
      <c r="L466" s="2"/>
      <c r="M466" s="8"/>
    </row>
    <row r="467" spans="1:13" ht="36" x14ac:dyDescent="0.25">
      <c r="A467" s="7" t="s">
        <v>6668</v>
      </c>
      <c r="B467" s="2" t="s">
        <v>4624</v>
      </c>
      <c r="C467" s="4">
        <v>1</v>
      </c>
      <c r="D467" s="5">
        <v>6.4</v>
      </c>
      <c r="E467" s="5">
        <v>14.55</v>
      </c>
      <c r="F467" s="4">
        <v>17890810</v>
      </c>
      <c r="G467" s="2" t="s">
        <v>653</v>
      </c>
      <c r="H467" s="7" t="s">
        <v>442</v>
      </c>
      <c r="I467" s="2" t="s">
        <v>153</v>
      </c>
      <c r="J467" s="2" t="s">
        <v>154</v>
      </c>
      <c r="K467" s="2"/>
      <c r="L467" s="2"/>
      <c r="M467" s="8"/>
    </row>
    <row r="468" spans="1:13" ht="36" x14ac:dyDescent="0.25">
      <c r="A468" s="7" t="s">
        <v>6669</v>
      </c>
      <c r="B468" s="2" t="s">
        <v>5808</v>
      </c>
      <c r="C468" s="4">
        <v>1</v>
      </c>
      <c r="D468" s="5">
        <v>6.4</v>
      </c>
      <c r="E468" s="5">
        <v>14.55</v>
      </c>
      <c r="F468" s="4">
        <v>17889410</v>
      </c>
      <c r="G468" s="2" t="s">
        <v>28</v>
      </c>
      <c r="H468" s="7" t="s">
        <v>482</v>
      </c>
      <c r="I468" s="2" t="s">
        <v>153</v>
      </c>
      <c r="J468" s="2" t="s">
        <v>154</v>
      </c>
      <c r="K468" s="2"/>
      <c r="L468" s="2"/>
      <c r="M468" s="8"/>
    </row>
  </sheetData>
  <pageMargins left="0.5" right="0.5" top="0.25" bottom="0.25" header="0.3" footer="0.3"/>
  <pageSetup scale="65" orientation="landscape" horizontalDpi="0" verticalDpi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79"/>
  <sheetViews>
    <sheetView workbookViewId="0">
      <selection activeCell="M6" sqref="M6"/>
    </sheetView>
  </sheetViews>
  <sheetFormatPr defaultRowHeight="15" x14ac:dyDescent="0.25"/>
  <cols>
    <col min="1" max="1" width="14.28515625" customWidth="1"/>
    <col min="2" max="2" width="40.7109375" customWidth="1"/>
    <col min="3" max="3" width="15" customWidth="1"/>
    <col min="4" max="4" width="10.85546875" customWidth="1"/>
    <col min="5" max="6" width="15" customWidth="1"/>
    <col min="7" max="7" width="10.28515625" customWidth="1"/>
    <col min="8" max="8" width="12.5703125" customWidth="1"/>
    <col min="9" max="10" width="11.42578125" customWidth="1"/>
    <col min="11" max="11" width="10.85546875" customWidth="1"/>
    <col min="12" max="12" width="7.42578125" customWidth="1"/>
    <col min="13" max="13" width="10.85546875" customWidth="1"/>
    <col min="14" max="14" width="12.140625" customWidth="1"/>
    <col min="15" max="15" width="36.5703125" bestFit="1" customWidth="1"/>
    <col min="16" max="17" width="20.7109375" customWidth="1"/>
    <col min="18" max="18" width="64.28515625" customWidth="1"/>
  </cols>
  <sheetData>
    <row r="1" spans="1:13" ht="36" x14ac:dyDescent="0.25">
      <c r="A1" s="34" t="s">
        <v>0</v>
      </c>
      <c r="B1" s="34" t="s">
        <v>1</v>
      </c>
      <c r="C1" s="34" t="s">
        <v>2</v>
      </c>
      <c r="D1" s="34" t="s">
        <v>3</v>
      </c>
      <c r="E1" s="34" t="s">
        <v>4</v>
      </c>
      <c r="F1" s="34" t="s">
        <v>5</v>
      </c>
      <c r="G1" s="34" t="s">
        <v>6</v>
      </c>
      <c r="H1" s="34" t="s">
        <v>7</v>
      </c>
      <c r="I1" s="34" t="s">
        <v>8</v>
      </c>
      <c r="J1" s="34" t="s">
        <v>9</v>
      </c>
    </row>
    <row r="2" spans="1:13" ht="36" x14ac:dyDescent="0.25">
      <c r="A2" s="2" t="s">
        <v>10</v>
      </c>
      <c r="B2" s="3">
        <v>12469979</v>
      </c>
      <c r="C2" s="2" t="s">
        <v>11</v>
      </c>
      <c r="D2" s="2" t="s">
        <v>12</v>
      </c>
      <c r="E2" s="4">
        <v>1</v>
      </c>
      <c r="F2" s="4">
        <v>9</v>
      </c>
      <c r="G2" s="2">
        <v>154</v>
      </c>
      <c r="H2" s="5">
        <v>3378.53</v>
      </c>
      <c r="I2" s="5">
        <v>8712.86</v>
      </c>
      <c r="J2" s="2">
        <v>290</v>
      </c>
    </row>
    <row r="4" spans="1:13" s="6" customFormat="1" x14ac:dyDescent="0.25"/>
    <row r="7" spans="1:13" s="6" customFormat="1" x14ac:dyDescent="0.25"/>
    <row r="8" spans="1:13" ht="36" x14ac:dyDescent="0.25">
      <c r="A8" s="34" t="s">
        <v>13</v>
      </c>
      <c r="B8" s="34" t="s">
        <v>14</v>
      </c>
      <c r="C8" s="34" t="s">
        <v>15</v>
      </c>
      <c r="D8" s="34" t="s">
        <v>16</v>
      </c>
      <c r="E8" s="34" t="s">
        <v>17</v>
      </c>
      <c r="F8" s="34" t="s">
        <v>18</v>
      </c>
      <c r="G8" s="34" t="s">
        <v>19</v>
      </c>
      <c r="H8" s="34" t="s">
        <v>20</v>
      </c>
      <c r="I8" s="34" t="s">
        <v>21</v>
      </c>
      <c r="J8" s="34" t="s">
        <v>22</v>
      </c>
      <c r="K8" s="34" t="s">
        <v>2737</v>
      </c>
      <c r="L8" s="34" t="s">
        <v>23</v>
      </c>
      <c r="M8" s="34" t="s">
        <v>24</v>
      </c>
    </row>
    <row r="9" spans="1:13" ht="60" x14ac:dyDescent="0.25">
      <c r="A9" s="7" t="s">
        <v>13169</v>
      </c>
      <c r="B9" s="2" t="s">
        <v>26</v>
      </c>
      <c r="C9" s="4">
        <v>3</v>
      </c>
      <c r="D9" s="5">
        <v>46.5</v>
      </c>
      <c r="E9" s="5">
        <v>92.99</v>
      </c>
      <c r="F9" s="4" t="s">
        <v>27</v>
      </c>
      <c r="G9" s="2" t="s">
        <v>28</v>
      </c>
      <c r="H9" s="7" t="s">
        <v>118</v>
      </c>
      <c r="I9" s="2" t="s">
        <v>30</v>
      </c>
      <c r="J9" s="2" t="s">
        <v>31</v>
      </c>
      <c r="K9" s="2" t="s">
        <v>304</v>
      </c>
      <c r="L9" s="2" t="s">
        <v>32</v>
      </c>
      <c r="M9" s="8" t="str">
        <f>HYPERLINK("http://slimages.macys.com/is/image/MCY/11853289 ")</f>
        <v xml:space="preserve">http://slimages.macys.com/is/image/MCY/11853289 </v>
      </c>
    </row>
    <row r="10" spans="1:13" ht="60" x14ac:dyDescent="0.25">
      <c r="A10" s="7" t="s">
        <v>14239</v>
      </c>
      <c r="B10" s="2" t="s">
        <v>26</v>
      </c>
      <c r="C10" s="4">
        <v>1</v>
      </c>
      <c r="D10" s="5">
        <v>46.5</v>
      </c>
      <c r="E10" s="5">
        <v>92.99</v>
      </c>
      <c r="F10" s="4" t="s">
        <v>27</v>
      </c>
      <c r="G10" s="2" t="s">
        <v>28</v>
      </c>
      <c r="H10" s="7" t="s">
        <v>2791</v>
      </c>
      <c r="I10" s="2" t="s">
        <v>30</v>
      </c>
      <c r="J10" s="2" t="s">
        <v>31</v>
      </c>
      <c r="K10" s="2" t="s">
        <v>304</v>
      </c>
      <c r="L10" s="2" t="s">
        <v>32</v>
      </c>
      <c r="M10" s="8" t="str">
        <f>HYPERLINK("http://slimages.macys.com/is/image/MCY/11853289 ")</f>
        <v xml:space="preserve">http://slimages.macys.com/is/image/MCY/11853289 </v>
      </c>
    </row>
    <row r="11" spans="1:13" ht="60" x14ac:dyDescent="0.25">
      <c r="A11" s="7" t="s">
        <v>13172</v>
      </c>
      <c r="B11" s="2" t="s">
        <v>34</v>
      </c>
      <c r="C11" s="4">
        <v>3</v>
      </c>
      <c r="D11" s="5">
        <v>42.5</v>
      </c>
      <c r="E11" s="5">
        <v>104.99</v>
      </c>
      <c r="F11" s="4" t="s">
        <v>35</v>
      </c>
      <c r="G11" s="2" t="s">
        <v>36</v>
      </c>
      <c r="H11" s="7" t="s">
        <v>118</v>
      </c>
      <c r="I11" s="2" t="s">
        <v>30</v>
      </c>
      <c r="J11" s="2" t="s">
        <v>31</v>
      </c>
      <c r="K11" s="2" t="s">
        <v>304</v>
      </c>
      <c r="L11" s="2" t="s">
        <v>38</v>
      </c>
      <c r="M11" s="8" t="str">
        <f>HYPERLINK("http://slimages.macys.com/is/image/MCY/11831359 ")</f>
        <v xml:space="preserve">http://slimages.macys.com/is/image/MCY/11831359 </v>
      </c>
    </row>
    <row r="12" spans="1:13" ht="60" x14ac:dyDescent="0.25">
      <c r="A12" s="7" t="s">
        <v>14240</v>
      </c>
      <c r="B12" s="2" t="s">
        <v>34</v>
      </c>
      <c r="C12" s="4">
        <v>2</v>
      </c>
      <c r="D12" s="5">
        <v>42.5</v>
      </c>
      <c r="E12" s="5">
        <v>104.99</v>
      </c>
      <c r="F12" s="4" t="s">
        <v>35</v>
      </c>
      <c r="G12" s="2" t="s">
        <v>36</v>
      </c>
      <c r="H12" s="7" t="s">
        <v>29</v>
      </c>
      <c r="I12" s="2" t="s">
        <v>30</v>
      </c>
      <c r="J12" s="2" t="s">
        <v>31</v>
      </c>
      <c r="K12" s="2" t="s">
        <v>304</v>
      </c>
      <c r="L12" s="2" t="s">
        <v>38</v>
      </c>
      <c r="M12" s="8" t="str">
        <f>HYPERLINK("http://slimages.macys.com/is/image/MCY/11831359 ")</f>
        <v xml:space="preserve">http://slimages.macys.com/is/image/MCY/11831359 </v>
      </c>
    </row>
    <row r="13" spans="1:13" ht="60" x14ac:dyDescent="0.25">
      <c r="A13" s="7" t="s">
        <v>8086</v>
      </c>
      <c r="B13" s="2" t="s">
        <v>1407</v>
      </c>
      <c r="C13" s="4">
        <v>1</v>
      </c>
      <c r="D13" s="5">
        <v>38</v>
      </c>
      <c r="E13" s="5">
        <v>71.989999999999995</v>
      </c>
      <c r="F13" s="4" t="s">
        <v>1408</v>
      </c>
      <c r="G13" s="2" t="s">
        <v>814</v>
      </c>
      <c r="H13" s="7" t="s">
        <v>97</v>
      </c>
      <c r="I13" s="2" t="s">
        <v>30</v>
      </c>
      <c r="J13" s="2" t="s">
        <v>1409</v>
      </c>
      <c r="K13" s="2" t="s">
        <v>304</v>
      </c>
      <c r="L13" s="2" t="s">
        <v>206</v>
      </c>
      <c r="M13" s="8" t="str">
        <f>HYPERLINK("http://slimages.macys.com/is/image/MCY/11603207 ")</f>
        <v xml:space="preserve">http://slimages.macys.com/is/image/MCY/11603207 </v>
      </c>
    </row>
    <row r="14" spans="1:13" ht="60" x14ac:dyDescent="0.25">
      <c r="A14" s="7" t="s">
        <v>14241</v>
      </c>
      <c r="B14" s="2" t="s">
        <v>13754</v>
      </c>
      <c r="C14" s="4">
        <v>1</v>
      </c>
      <c r="D14" s="5">
        <v>20.25</v>
      </c>
      <c r="E14" s="5">
        <v>45</v>
      </c>
      <c r="F14" s="4">
        <v>320750279001</v>
      </c>
      <c r="G14" s="2" t="s">
        <v>129</v>
      </c>
      <c r="H14" s="7" t="s">
        <v>438</v>
      </c>
      <c r="I14" s="2" t="s">
        <v>676</v>
      </c>
      <c r="J14" s="2" t="s">
        <v>677</v>
      </c>
      <c r="K14" s="2" t="s">
        <v>304</v>
      </c>
      <c r="L14" s="2" t="s">
        <v>38</v>
      </c>
      <c r="M14" s="8" t="str">
        <f>HYPERLINK("http://slimages.macys.com/is/image/MCY/14361829 ")</f>
        <v xml:space="preserve">http://slimages.macys.com/is/image/MCY/14361829 </v>
      </c>
    </row>
    <row r="15" spans="1:13" ht="60" x14ac:dyDescent="0.25">
      <c r="A15" s="7" t="s">
        <v>13188</v>
      </c>
      <c r="B15" s="2" t="s">
        <v>674</v>
      </c>
      <c r="C15" s="4">
        <v>1</v>
      </c>
      <c r="D15" s="5">
        <v>20.25</v>
      </c>
      <c r="E15" s="5">
        <v>45</v>
      </c>
      <c r="F15" s="4">
        <v>310750855001</v>
      </c>
      <c r="G15" s="2" t="s">
        <v>657</v>
      </c>
      <c r="H15" s="7" t="s">
        <v>233</v>
      </c>
      <c r="I15" s="2" t="s">
        <v>676</v>
      </c>
      <c r="J15" s="2" t="s">
        <v>677</v>
      </c>
      <c r="K15" s="2" t="s">
        <v>304</v>
      </c>
      <c r="L15" s="2" t="s">
        <v>678</v>
      </c>
      <c r="M15" s="8" t="str">
        <f>HYPERLINK("http://slimages.macys.com/is/image/MCY/14468925 ")</f>
        <v xml:space="preserve">http://slimages.macys.com/is/image/MCY/14468925 </v>
      </c>
    </row>
    <row r="16" spans="1:13" ht="60" x14ac:dyDescent="0.25">
      <c r="A16" s="7" t="s">
        <v>14242</v>
      </c>
      <c r="B16" s="2" t="s">
        <v>4693</v>
      </c>
      <c r="C16" s="4">
        <v>1</v>
      </c>
      <c r="D16" s="5">
        <v>20.25</v>
      </c>
      <c r="E16" s="5">
        <v>45</v>
      </c>
      <c r="F16" s="4">
        <v>320750290001</v>
      </c>
      <c r="G16" s="2" t="s">
        <v>129</v>
      </c>
      <c r="H16" s="7" t="s">
        <v>233</v>
      </c>
      <c r="I16" s="2" t="s">
        <v>676</v>
      </c>
      <c r="J16" s="2" t="s">
        <v>677</v>
      </c>
      <c r="K16" s="2" t="s">
        <v>304</v>
      </c>
      <c r="L16" s="2" t="s">
        <v>38</v>
      </c>
      <c r="M16" s="8" t="str">
        <f>HYPERLINK("http://slimages.macys.com/is/image/MCY/14361830 ")</f>
        <v xml:space="preserve">http://slimages.macys.com/is/image/MCY/14361830 </v>
      </c>
    </row>
    <row r="17" spans="1:13" ht="132" x14ac:dyDescent="0.25">
      <c r="A17" s="7" t="s">
        <v>2883</v>
      </c>
      <c r="B17" s="2" t="s">
        <v>60</v>
      </c>
      <c r="C17" s="4">
        <v>1</v>
      </c>
      <c r="D17" s="5">
        <v>19.5</v>
      </c>
      <c r="E17" s="5">
        <v>54.99</v>
      </c>
      <c r="F17" s="4" t="s">
        <v>61</v>
      </c>
      <c r="G17" s="2" t="s">
        <v>62</v>
      </c>
      <c r="H17" s="7" t="s">
        <v>123</v>
      </c>
      <c r="I17" s="2" t="s">
        <v>64</v>
      </c>
      <c r="J17" s="2" t="s">
        <v>65</v>
      </c>
      <c r="K17" s="2" t="s">
        <v>304</v>
      </c>
      <c r="L17" s="2" t="s">
        <v>66</v>
      </c>
      <c r="M17" s="8" t="str">
        <f>HYPERLINK("http://slimages.macys.com/is/image/MCY/14703249 ")</f>
        <v xml:space="preserve">http://slimages.macys.com/is/image/MCY/14703249 </v>
      </c>
    </row>
    <row r="18" spans="1:13" ht="84" x14ac:dyDescent="0.25">
      <c r="A18" s="7" t="s">
        <v>2910</v>
      </c>
      <c r="B18" s="2" t="s">
        <v>60</v>
      </c>
      <c r="C18" s="4">
        <v>1</v>
      </c>
      <c r="D18" s="5">
        <v>18</v>
      </c>
      <c r="E18" s="5">
        <v>49.99</v>
      </c>
      <c r="F18" s="4" t="s">
        <v>2453</v>
      </c>
      <c r="G18" s="2" t="s">
        <v>62</v>
      </c>
      <c r="H18" s="7" t="s">
        <v>179</v>
      </c>
      <c r="I18" s="2" t="s">
        <v>668</v>
      </c>
      <c r="J18" s="2" t="s">
        <v>1500</v>
      </c>
      <c r="K18" s="2" t="s">
        <v>304</v>
      </c>
      <c r="L18" s="2" t="s">
        <v>2454</v>
      </c>
      <c r="M18" s="8" t="str">
        <f>HYPERLINK("http://slimages.macys.com/is/image/MCY/13327949 ")</f>
        <v xml:space="preserve">http://slimages.macys.com/is/image/MCY/13327949 </v>
      </c>
    </row>
    <row r="19" spans="1:13" ht="60" x14ac:dyDescent="0.25">
      <c r="A19" s="7" t="s">
        <v>14243</v>
      </c>
      <c r="B19" s="2" t="s">
        <v>14244</v>
      </c>
      <c r="C19" s="4">
        <v>1</v>
      </c>
      <c r="D19" s="5">
        <v>18</v>
      </c>
      <c r="E19" s="5">
        <v>39.99</v>
      </c>
      <c r="F19" s="4">
        <v>1290349</v>
      </c>
      <c r="G19" s="2" t="s">
        <v>62</v>
      </c>
      <c r="H19" s="7" t="s">
        <v>177</v>
      </c>
      <c r="I19" s="2" t="s">
        <v>80</v>
      </c>
      <c r="J19" s="2" t="s">
        <v>280</v>
      </c>
      <c r="K19" s="2" t="s">
        <v>304</v>
      </c>
      <c r="L19" s="2" t="s">
        <v>125</v>
      </c>
      <c r="M19" s="8" t="str">
        <f>HYPERLINK("http://slimages.macys.com/is/image/MCY/8329322 ")</f>
        <v xml:space="preserve">http://slimages.macys.com/is/image/MCY/8329322 </v>
      </c>
    </row>
    <row r="20" spans="1:13" ht="108" x14ac:dyDescent="0.25">
      <c r="A20" s="7" t="s">
        <v>2460</v>
      </c>
      <c r="B20" s="2" t="s">
        <v>2461</v>
      </c>
      <c r="C20" s="4">
        <v>6</v>
      </c>
      <c r="D20" s="5">
        <v>17.25</v>
      </c>
      <c r="E20" s="5">
        <v>39.99</v>
      </c>
      <c r="F20" s="4" t="s">
        <v>2462</v>
      </c>
      <c r="G20" s="2" t="s">
        <v>129</v>
      </c>
      <c r="H20" s="7" t="s">
        <v>91</v>
      </c>
      <c r="I20" s="2" t="s">
        <v>92</v>
      </c>
      <c r="J20" s="2" t="s">
        <v>187</v>
      </c>
      <c r="K20" s="2" t="s">
        <v>304</v>
      </c>
      <c r="L20" s="2" t="s">
        <v>2463</v>
      </c>
      <c r="M20" s="8" t="str">
        <f>HYPERLINK("http://slimages.macys.com/is/image/MCY/14885619 ")</f>
        <v xml:space="preserve">http://slimages.macys.com/is/image/MCY/14885619 </v>
      </c>
    </row>
    <row r="21" spans="1:13" ht="108" x14ac:dyDescent="0.25">
      <c r="A21" s="7" t="s">
        <v>13201</v>
      </c>
      <c r="B21" s="2" t="s">
        <v>2461</v>
      </c>
      <c r="C21" s="4">
        <v>1</v>
      </c>
      <c r="D21" s="5">
        <v>17.25</v>
      </c>
      <c r="E21" s="5">
        <v>39.99</v>
      </c>
      <c r="F21" s="4" t="s">
        <v>2462</v>
      </c>
      <c r="G21" s="2" t="s">
        <v>129</v>
      </c>
      <c r="H21" s="7" t="s">
        <v>590</v>
      </c>
      <c r="I21" s="2" t="s">
        <v>92</v>
      </c>
      <c r="J21" s="2" t="s">
        <v>187</v>
      </c>
      <c r="K21" s="2" t="s">
        <v>304</v>
      </c>
      <c r="L21" s="2" t="s">
        <v>2463</v>
      </c>
      <c r="M21" s="8" t="str">
        <f>HYPERLINK("http://slimages.macys.com/is/image/MCY/14885619 ")</f>
        <v xml:space="preserve">http://slimages.macys.com/is/image/MCY/14885619 </v>
      </c>
    </row>
    <row r="22" spans="1:13" ht="108" x14ac:dyDescent="0.25">
      <c r="A22" s="7" t="s">
        <v>13200</v>
      </c>
      <c r="B22" s="2" t="s">
        <v>2461</v>
      </c>
      <c r="C22" s="4">
        <v>3</v>
      </c>
      <c r="D22" s="5">
        <v>17.25</v>
      </c>
      <c r="E22" s="5">
        <v>39.99</v>
      </c>
      <c r="F22" s="4" t="s">
        <v>2462</v>
      </c>
      <c r="G22" s="2" t="s">
        <v>129</v>
      </c>
      <c r="H22" s="7" t="s">
        <v>42</v>
      </c>
      <c r="I22" s="2" t="s">
        <v>92</v>
      </c>
      <c r="J22" s="2" t="s">
        <v>187</v>
      </c>
      <c r="K22" s="2" t="s">
        <v>304</v>
      </c>
      <c r="L22" s="2" t="s">
        <v>2463</v>
      </c>
      <c r="M22" s="8" t="str">
        <f>HYPERLINK("http://slimages.macys.com/is/image/MCY/14885619 ")</f>
        <v xml:space="preserve">http://slimages.macys.com/is/image/MCY/14885619 </v>
      </c>
    </row>
    <row r="23" spans="1:13" ht="108" x14ac:dyDescent="0.25">
      <c r="A23" s="7" t="s">
        <v>13198</v>
      </c>
      <c r="B23" s="2" t="s">
        <v>2461</v>
      </c>
      <c r="C23" s="4">
        <v>3</v>
      </c>
      <c r="D23" s="5">
        <v>17.25</v>
      </c>
      <c r="E23" s="5">
        <v>39.99</v>
      </c>
      <c r="F23" s="4" t="s">
        <v>2462</v>
      </c>
      <c r="G23" s="2" t="s">
        <v>129</v>
      </c>
      <c r="H23" s="7" t="s">
        <v>149</v>
      </c>
      <c r="I23" s="2" t="s">
        <v>92</v>
      </c>
      <c r="J23" s="2" t="s">
        <v>187</v>
      </c>
      <c r="K23" s="2" t="s">
        <v>304</v>
      </c>
      <c r="L23" s="2" t="s">
        <v>2463</v>
      </c>
      <c r="M23" s="8" t="str">
        <f>HYPERLINK("http://slimages.macys.com/is/image/MCY/14885619 ")</f>
        <v xml:space="preserve">http://slimages.macys.com/is/image/MCY/14885619 </v>
      </c>
    </row>
    <row r="24" spans="1:13" ht="108" x14ac:dyDescent="0.25">
      <c r="A24" s="7" t="s">
        <v>13199</v>
      </c>
      <c r="B24" s="2" t="s">
        <v>2461</v>
      </c>
      <c r="C24" s="4">
        <v>5</v>
      </c>
      <c r="D24" s="5">
        <v>17.25</v>
      </c>
      <c r="E24" s="5">
        <v>39.99</v>
      </c>
      <c r="F24" s="4" t="s">
        <v>2462</v>
      </c>
      <c r="G24" s="2" t="s">
        <v>129</v>
      </c>
      <c r="H24" s="7" t="s">
        <v>442</v>
      </c>
      <c r="I24" s="2" t="s">
        <v>92</v>
      </c>
      <c r="J24" s="2" t="s">
        <v>187</v>
      </c>
      <c r="K24" s="2" t="s">
        <v>304</v>
      </c>
      <c r="L24" s="2" t="s">
        <v>2463</v>
      </c>
      <c r="M24" s="8" t="str">
        <f>HYPERLINK("http://slimages.macys.com/is/image/MCY/14885619 ")</f>
        <v xml:space="preserve">http://slimages.macys.com/is/image/MCY/14885619 </v>
      </c>
    </row>
    <row r="25" spans="1:13" ht="264" x14ac:dyDescent="0.25">
      <c r="A25" s="7" t="s">
        <v>13527</v>
      </c>
      <c r="B25" s="2" t="s">
        <v>13208</v>
      </c>
      <c r="C25" s="4">
        <v>1</v>
      </c>
      <c r="D25" s="5">
        <v>16.75</v>
      </c>
      <c r="E25" s="5">
        <v>39.99</v>
      </c>
      <c r="F25" s="4" t="s">
        <v>13209</v>
      </c>
      <c r="G25" s="2" t="s">
        <v>129</v>
      </c>
      <c r="H25" s="7" t="s">
        <v>91</v>
      </c>
      <c r="I25" s="2" t="s">
        <v>92</v>
      </c>
      <c r="J25" s="2" t="s">
        <v>187</v>
      </c>
      <c r="K25" s="2" t="s">
        <v>304</v>
      </c>
      <c r="L25" s="2" t="s">
        <v>13210</v>
      </c>
      <c r="M25" s="8" t="str">
        <f>HYPERLINK("http://slimages.macys.com/is/image/MCY/14802453 ")</f>
        <v xml:space="preserve">http://slimages.macys.com/is/image/MCY/14802453 </v>
      </c>
    </row>
    <row r="26" spans="1:13" ht="168" x14ac:dyDescent="0.25">
      <c r="A26" s="7" t="s">
        <v>3662</v>
      </c>
      <c r="B26" s="2" t="s">
        <v>3655</v>
      </c>
      <c r="C26" s="4">
        <v>1</v>
      </c>
      <c r="D26" s="5">
        <v>16.5</v>
      </c>
      <c r="E26" s="5">
        <v>39.99</v>
      </c>
      <c r="F26" s="4" t="s">
        <v>3656</v>
      </c>
      <c r="G26" s="2" t="s">
        <v>129</v>
      </c>
      <c r="H26" s="7" t="s">
        <v>91</v>
      </c>
      <c r="I26" s="2" t="s">
        <v>92</v>
      </c>
      <c r="J26" s="2" t="s">
        <v>239</v>
      </c>
      <c r="K26" s="2" t="s">
        <v>304</v>
      </c>
      <c r="L26" s="2" t="s">
        <v>3657</v>
      </c>
      <c r="M26" s="8" t="str">
        <f>HYPERLINK("http://slimages.macys.com/is/image/MCY/14990170 ")</f>
        <v xml:space="preserve">http://slimages.macys.com/is/image/MCY/14990170 </v>
      </c>
    </row>
    <row r="27" spans="1:13" ht="120" x14ac:dyDescent="0.25">
      <c r="A27" s="7" t="s">
        <v>1453</v>
      </c>
      <c r="B27" s="2" t="s">
        <v>1454</v>
      </c>
      <c r="C27" s="4">
        <v>1</v>
      </c>
      <c r="D27" s="5">
        <v>16.5</v>
      </c>
      <c r="E27" s="5">
        <v>39.99</v>
      </c>
      <c r="F27" s="4" t="s">
        <v>1455</v>
      </c>
      <c r="G27" s="2" t="s">
        <v>103</v>
      </c>
      <c r="H27" s="7" t="s">
        <v>442</v>
      </c>
      <c r="I27" s="2" t="s">
        <v>92</v>
      </c>
      <c r="J27" s="2" t="s">
        <v>65</v>
      </c>
      <c r="K27" s="2" t="s">
        <v>304</v>
      </c>
      <c r="L27" s="2" t="s">
        <v>1456</v>
      </c>
      <c r="M27" s="8" t="str">
        <f>HYPERLINK("http://slimages.macys.com/is/image/MCY/13965178 ")</f>
        <v xml:space="preserve">http://slimages.macys.com/is/image/MCY/13965178 </v>
      </c>
    </row>
    <row r="28" spans="1:13" ht="168" x14ac:dyDescent="0.25">
      <c r="A28" s="7" t="s">
        <v>3661</v>
      </c>
      <c r="B28" s="2" t="s">
        <v>3655</v>
      </c>
      <c r="C28" s="4">
        <v>1</v>
      </c>
      <c r="D28" s="5">
        <v>16.5</v>
      </c>
      <c r="E28" s="5">
        <v>39.99</v>
      </c>
      <c r="F28" s="4" t="s">
        <v>3656</v>
      </c>
      <c r="G28" s="2" t="s">
        <v>129</v>
      </c>
      <c r="H28" s="7" t="s">
        <v>442</v>
      </c>
      <c r="I28" s="2" t="s">
        <v>92</v>
      </c>
      <c r="J28" s="2" t="s">
        <v>239</v>
      </c>
      <c r="K28" s="2" t="s">
        <v>304</v>
      </c>
      <c r="L28" s="2" t="s">
        <v>3657</v>
      </c>
      <c r="M28" s="8" t="str">
        <f>HYPERLINK("http://slimages.macys.com/is/image/MCY/14990170 ")</f>
        <v xml:space="preserve">http://slimages.macys.com/is/image/MCY/14990170 </v>
      </c>
    </row>
    <row r="29" spans="1:13" ht="120" x14ac:dyDescent="0.25">
      <c r="A29" s="7" t="s">
        <v>3660</v>
      </c>
      <c r="B29" s="2" t="s">
        <v>1454</v>
      </c>
      <c r="C29" s="4">
        <v>1</v>
      </c>
      <c r="D29" s="5">
        <v>16.5</v>
      </c>
      <c r="E29" s="5">
        <v>39.99</v>
      </c>
      <c r="F29" s="4" t="s">
        <v>1455</v>
      </c>
      <c r="G29" s="2" t="s">
        <v>103</v>
      </c>
      <c r="H29" s="7" t="s">
        <v>590</v>
      </c>
      <c r="I29" s="2" t="s">
        <v>92</v>
      </c>
      <c r="J29" s="2" t="s">
        <v>65</v>
      </c>
      <c r="K29" s="2" t="s">
        <v>304</v>
      </c>
      <c r="L29" s="2" t="s">
        <v>1456</v>
      </c>
      <c r="M29" s="8" t="str">
        <f>HYPERLINK("http://slimages.macys.com/is/image/MCY/13965178 ")</f>
        <v xml:space="preserve">http://slimages.macys.com/is/image/MCY/13965178 </v>
      </c>
    </row>
    <row r="30" spans="1:13" ht="120" x14ac:dyDescent="0.25">
      <c r="A30" s="7" t="s">
        <v>13528</v>
      </c>
      <c r="B30" s="2" t="s">
        <v>1454</v>
      </c>
      <c r="C30" s="4">
        <v>1</v>
      </c>
      <c r="D30" s="5">
        <v>16.5</v>
      </c>
      <c r="E30" s="5">
        <v>39.99</v>
      </c>
      <c r="F30" s="4" t="s">
        <v>1455</v>
      </c>
      <c r="G30" s="2" t="s">
        <v>103</v>
      </c>
      <c r="H30" s="7" t="s">
        <v>149</v>
      </c>
      <c r="I30" s="2" t="s">
        <v>92</v>
      </c>
      <c r="J30" s="2" t="s">
        <v>65</v>
      </c>
      <c r="K30" s="2" t="s">
        <v>304</v>
      </c>
      <c r="L30" s="2" t="s">
        <v>1456</v>
      </c>
      <c r="M30" s="8" t="str">
        <f>HYPERLINK("http://slimages.macys.com/is/image/MCY/13965178 ")</f>
        <v xml:space="preserve">http://slimages.macys.com/is/image/MCY/13965178 </v>
      </c>
    </row>
    <row r="31" spans="1:13" ht="168" x14ac:dyDescent="0.25">
      <c r="A31" s="7" t="s">
        <v>3663</v>
      </c>
      <c r="B31" s="2" t="s">
        <v>3655</v>
      </c>
      <c r="C31" s="4">
        <v>1</v>
      </c>
      <c r="D31" s="5">
        <v>16.5</v>
      </c>
      <c r="E31" s="5">
        <v>39.99</v>
      </c>
      <c r="F31" s="4" t="s">
        <v>3656</v>
      </c>
      <c r="G31" s="2" t="s">
        <v>129</v>
      </c>
      <c r="H31" s="7" t="s">
        <v>590</v>
      </c>
      <c r="I31" s="2" t="s">
        <v>92</v>
      </c>
      <c r="J31" s="2" t="s">
        <v>239</v>
      </c>
      <c r="K31" s="2" t="s">
        <v>304</v>
      </c>
      <c r="L31" s="2" t="s">
        <v>3657</v>
      </c>
      <c r="M31" s="8" t="str">
        <f>HYPERLINK("http://slimages.macys.com/is/image/MCY/14990170 ")</f>
        <v xml:space="preserve">http://slimages.macys.com/is/image/MCY/14990170 </v>
      </c>
    </row>
    <row r="32" spans="1:13" ht="84" x14ac:dyDescent="0.25">
      <c r="A32" s="7" t="s">
        <v>1457</v>
      </c>
      <c r="B32" s="2" t="s">
        <v>1458</v>
      </c>
      <c r="C32" s="4">
        <v>1</v>
      </c>
      <c r="D32" s="5">
        <v>16</v>
      </c>
      <c r="E32" s="5">
        <v>39.99</v>
      </c>
      <c r="F32" s="4" t="s">
        <v>1459</v>
      </c>
      <c r="G32" s="2" t="s">
        <v>129</v>
      </c>
      <c r="H32" s="7" t="s">
        <v>91</v>
      </c>
      <c r="I32" s="2" t="s">
        <v>92</v>
      </c>
      <c r="J32" s="2" t="s">
        <v>239</v>
      </c>
      <c r="K32" s="2" t="s">
        <v>304</v>
      </c>
      <c r="L32" s="2" t="s">
        <v>1460</v>
      </c>
      <c r="M32" s="8" t="str">
        <f>HYPERLINK("http://slimages.macys.com/is/image/MCY/14989246 ")</f>
        <v xml:space="preserve">http://slimages.macys.com/is/image/MCY/14989246 </v>
      </c>
    </row>
    <row r="33" spans="1:13" ht="84" x14ac:dyDescent="0.25">
      <c r="A33" s="7" t="s">
        <v>2473</v>
      </c>
      <c r="B33" s="2" t="s">
        <v>1458</v>
      </c>
      <c r="C33" s="4">
        <v>1</v>
      </c>
      <c r="D33" s="5">
        <v>16</v>
      </c>
      <c r="E33" s="5">
        <v>39.99</v>
      </c>
      <c r="F33" s="4" t="s">
        <v>1459</v>
      </c>
      <c r="G33" s="2" t="s">
        <v>129</v>
      </c>
      <c r="H33" s="7" t="s">
        <v>442</v>
      </c>
      <c r="I33" s="2" t="s">
        <v>92</v>
      </c>
      <c r="J33" s="2" t="s">
        <v>239</v>
      </c>
      <c r="K33" s="2" t="s">
        <v>304</v>
      </c>
      <c r="L33" s="2" t="s">
        <v>1460</v>
      </c>
      <c r="M33" s="8" t="str">
        <f>HYPERLINK("http://slimages.macys.com/is/image/MCY/14989246 ")</f>
        <v xml:space="preserve">http://slimages.macys.com/is/image/MCY/14989246 </v>
      </c>
    </row>
    <row r="34" spans="1:13" ht="60" x14ac:dyDescent="0.25">
      <c r="A34" s="7" t="s">
        <v>14245</v>
      </c>
      <c r="B34" s="2" t="s">
        <v>14246</v>
      </c>
      <c r="C34" s="4">
        <v>1</v>
      </c>
      <c r="D34" s="5">
        <v>15.2</v>
      </c>
      <c r="E34" s="5">
        <v>40</v>
      </c>
      <c r="F34" s="4" t="s">
        <v>14247</v>
      </c>
      <c r="G34" s="2" t="s">
        <v>262</v>
      </c>
      <c r="H34" s="7" t="s">
        <v>179</v>
      </c>
      <c r="I34" s="2" t="s">
        <v>700</v>
      </c>
      <c r="J34" s="2" t="s">
        <v>1721</v>
      </c>
      <c r="K34" s="2" t="s">
        <v>304</v>
      </c>
      <c r="L34" s="2" t="s">
        <v>38</v>
      </c>
      <c r="M34" s="8" t="str">
        <f>HYPERLINK("http://slimages.macys.com/is/image/MCY/11682620 ")</f>
        <v xml:space="preserve">http://slimages.macys.com/is/image/MCY/11682620 </v>
      </c>
    </row>
    <row r="35" spans="1:13" ht="60" x14ac:dyDescent="0.25">
      <c r="A35" s="7" t="s">
        <v>5183</v>
      </c>
      <c r="B35" s="2" t="s">
        <v>1484</v>
      </c>
      <c r="C35" s="4">
        <v>1</v>
      </c>
      <c r="D35" s="5">
        <v>15</v>
      </c>
      <c r="E35" s="5">
        <v>39.99</v>
      </c>
      <c r="F35" s="4" t="s">
        <v>1485</v>
      </c>
      <c r="G35" s="2" t="s">
        <v>752</v>
      </c>
      <c r="H35" s="7" t="s">
        <v>442</v>
      </c>
      <c r="I35" s="2" t="s">
        <v>92</v>
      </c>
      <c r="J35" s="2" t="s">
        <v>239</v>
      </c>
      <c r="K35" s="2" t="s">
        <v>304</v>
      </c>
      <c r="L35" s="2" t="s">
        <v>125</v>
      </c>
      <c r="M35" s="8" t="str">
        <f>HYPERLINK("http://slimages.macys.com/is/image/MCY/14886756 ")</f>
        <v xml:space="preserve">http://slimages.macys.com/is/image/MCY/14886756 </v>
      </c>
    </row>
    <row r="36" spans="1:13" ht="60" x14ac:dyDescent="0.25">
      <c r="A36" s="7" t="s">
        <v>13221</v>
      </c>
      <c r="B36" s="2" t="s">
        <v>1481</v>
      </c>
      <c r="C36" s="4">
        <v>1</v>
      </c>
      <c r="D36" s="5">
        <v>15</v>
      </c>
      <c r="E36" s="5">
        <v>39.99</v>
      </c>
      <c r="F36" s="4" t="s">
        <v>1482</v>
      </c>
      <c r="G36" s="2" t="s">
        <v>103</v>
      </c>
      <c r="H36" s="7" t="s">
        <v>590</v>
      </c>
      <c r="I36" s="2" t="s">
        <v>92</v>
      </c>
      <c r="J36" s="2" t="s">
        <v>239</v>
      </c>
      <c r="K36" s="2" t="s">
        <v>304</v>
      </c>
      <c r="L36" s="2" t="s">
        <v>125</v>
      </c>
      <c r="M36" s="8" t="str">
        <f>HYPERLINK("http://slimages.macys.com/is/image/MCY/15071393 ")</f>
        <v xml:space="preserve">http://slimages.macys.com/is/image/MCY/15071393 </v>
      </c>
    </row>
    <row r="37" spans="1:13" ht="180" x14ac:dyDescent="0.25">
      <c r="A37" s="7" t="s">
        <v>13218</v>
      </c>
      <c r="B37" s="2" t="s">
        <v>13219</v>
      </c>
      <c r="C37" s="4">
        <v>1</v>
      </c>
      <c r="D37" s="5">
        <v>15</v>
      </c>
      <c r="E37" s="5">
        <v>39.99</v>
      </c>
      <c r="F37" s="4" t="s">
        <v>13220</v>
      </c>
      <c r="G37" s="2" t="s">
        <v>595</v>
      </c>
      <c r="H37" s="7" t="s">
        <v>42</v>
      </c>
      <c r="I37" s="2" t="s">
        <v>92</v>
      </c>
      <c r="J37" s="2" t="s">
        <v>239</v>
      </c>
      <c r="K37" s="2" t="s">
        <v>304</v>
      </c>
      <c r="L37" s="2" t="s">
        <v>1452</v>
      </c>
      <c r="M37" s="8" t="str">
        <f>HYPERLINK("http://slimages.macys.com/is/image/MCY/14988479 ")</f>
        <v xml:space="preserve">http://slimages.macys.com/is/image/MCY/14988479 </v>
      </c>
    </row>
    <row r="38" spans="1:13" ht="96" x14ac:dyDescent="0.25">
      <c r="A38" s="7" t="s">
        <v>14248</v>
      </c>
      <c r="B38" s="2" t="s">
        <v>14249</v>
      </c>
      <c r="C38" s="4">
        <v>1</v>
      </c>
      <c r="D38" s="5">
        <v>14.75</v>
      </c>
      <c r="E38" s="5">
        <v>44.99</v>
      </c>
      <c r="F38" s="4" t="s">
        <v>14250</v>
      </c>
      <c r="G38" s="2" t="s">
        <v>297</v>
      </c>
      <c r="H38" s="7" t="s">
        <v>172</v>
      </c>
      <c r="I38" s="2" t="s">
        <v>668</v>
      </c>
      <c r="J38" s="2" t="s">
        <v>1834</v>
      </c>
      <c r="K38" s="2" t="s">
        <v>304</v>
      </c>
      <c r="L38" s="2" t="s">
        <v>14251</v>
      </c>
      <c r="M38" s="8" t="str">
        <f>HYPERLINK("http://slimages.macys.com/is/image/MCY/11704124 ")</f>
        <v xml:space="preserve">http://slimages.macys.com/is/image/MCY/11704124 </v>
      </c>
    </row>
    <row r="39" spans="1:13" ht="216" x14ac:dyDescent="0.25">
      <c r="A39" s="7" t="s">
        <v>13228</v>
      </c>
      <c r="B39" s="2" t="s">
        <v>3701</v>
      </c>
      <c r="C39" s="4">
        <v>1</v>
      </c>
      <c r="D39" s="5">
        <v>14.5</v>
      </c>
      <c r="E39" s="5">
        <v>34.99</v>
      </c>
      <c r="F39" s="4" t="s">
        <v>3702</v>
      </c>
      <c r="G39" s="2" t="s">
        <v>752</v>
      </c>
      <c r="H39" s="7" t="s">
        <v>149</v>
      </c>
      <c r="I39" s="2" t="s">
        <v>92</v>
      </c>
      <c r="J39" s="2" t="s">
        <v>65</v>
      </c>
      <c r="K39" s="2" t="s">
        <v>304</v>
      </c>
      <c r="L39" s="2" t="s">
        <v>3703</v>
      </c>
      <c r="M39" s="8" t="str">
        <f>HYPERLINK("http://slimages.macys.com/is/image/MCY/16148944 ")</f>
        <v xml:space="preserve">http://slimages.macys.com/is/image/MCY/16148944 </v>
      </c>
    </row>
    <row r="40" spans="1:13" ht="216" x14ac:dyDescent="0.25">
      <c r="A40" s="7" t="s">
        <v>13227</v>
      </c>
      <c r="B40" s="2" t="s">
        <v>3701</v>
      </c>
      <c r="C40" s="4">
        <v>1</v>
      </c>
      <c r="D40" s="5">
        <v>14.5</v>
      </c>
      <c r="E40" s="5">
        <v>34.99</v>
      </c>
      <c r="F40" s="4" t="s">
        <v>3702</v>
      </c>
      <c r="G40" s="2" t="s">
        <v>752</v>
      </c>
      <c r="H40" s="7" t="s">
        <v>590</v>
      </c>
      <c r="I40" s="2" t="s">
        <v>92</v>
      </c>
      <c r="J40" s="2" t="s">
        <v>65</v>
      </c>
      <c r="K40" s="2" t="s">
        <v>304</v>
      </c>
      <c r="L40" s="2" t="s">
        <v>3703</v>
      </c>
      <c r="M40" s="8" t="str">
        <f>HYPERLINK("http://slimages.macys.com/is/image/MCY/16148944 ")</f>
        <v xml:space="preserve">http://slimages.macys.com/is/image/MCY/16148944 </v>
      </c>
    </row>
    <row r="41" spans="1:13" ht="60" x14ac:dyDescent="0.25">
      <c r="A41" s="7" t="s">
        <v>14252</v>
      </c>
      <c r="B41" s="2" t="s">
        <v>5194</v>
      </c>
      <c r="C41" s="4">
        <v>1</v>
      </c>
      <c r="D41" s="5">
        <v>14.5</v>
      </c>
      <c r="E41" s="5">
        <v>39.99</v>
      </c>
      <c r="F41" s="4" t="s">
        <v>5195</v>
      </c>
      <c r="G41" s="2" t="s">
        <v>129</v>
      </c>
      <c r="H41" s="7" t="s">
        <v>149</v>
      </c>
      <c r="I41" s="2" t="s">
        <v>92</v>
      </c>
      <c r="J41" s="2" t="s">
        <v>239</v>
      </c>
      <c r="K41" s="2" t="s">
        <v>304</v>
      </c>
      <c r="L41" s="2" t="s">
        <v>125</v>
      </c>
      <c r="M41" s="8" t="str">
        <f>HYPERLINK("http://slimages.macys.com/is/image/MCY/14988472 ")</f>
        <v xml:space="preserve">http://slimages.macys.com/is/image/MCY/14988472 </v>
      </c>
    </row>
    <row r="42" spans="1:13" ht="60" x14ac:dyDescent="0.25">
      <c r="A42" s="7" t="s">
        <v>13538</v>
      </c>
      <c r="B42" s="2" t="s">
        <v>5194</v>
      </c>
      <c r="C42" s="4">
        <v>1</v>
      </c>
      <c r="D42" s="5">
        <v>14.5</v>
      </c>
      <c r="E42" s="5">
        <v>39.99</v>
      </c>
      <c r="F42" s="4" t="s">
        <v>5195</v>
      </c>
      <c r="G42" s="2" t="s">
        <v>129</v>
      </c>
      <c r="H42" s="7" t="s">
        <v>590</v>
      </c>
      <c r="I42" s="2" t="s">
        <v>92</v>
      </c>
      <c r="J42" s="2" t="s">
        <v>239</v>
      </c>
      <c r="K42" s="2" t="s">
        <v>304</v>
      </c>
      <c r="L42" s="2" t="s">
        <v>125</v>
      </c>
      <c r="M42" s="8" t="str">
        <f>HYPERLINK("http://slimages.macys.com/is/image/MCY/14988472 ")</f>
        <v xml:space="preserve">http://slimages.macys.com/is/image/MCY/14988472 </v>
      </c>
    </row>
    <row r="43" spans="1:13" ht="216" x14ac:dyDescent="0.25">
      <c r="A43" s="7" t="s">
        <v>13540</v>
      </c>
      <c r="B43" s="2" t="s">
        <v>3701</v>
      </c>
      <c r="C43" s="4">
        <v>1</v>
      </c>
      <c r="D43" s="5">
        <v>14.5</v>
      </c>
      <c r="E43" s="5">
        <v>34.99</v>
      </c>
      <c r="F43" s="4" t="s">
        <v>3702</v>
      </c>
      <c r="G43" s="2" t="s">
        <v>752</v>
      </c>
      <c r="H43" s="7" t="s">
        <v>442</v>
      </c>
      <c r="I43" s="2" t="s">
        <v>92</v>
      </c>
      <c r="J43" s="2" t="s">
        <v>65</v>
      </c>
      <c r="K43" s="2" t="s">
        <v>304</v>
      </c>
      <c r="L43" s="2" t="s">
        <v>3703</v>
      </c>
      <c r="M43" s="8" t="str">
        <f>HYPERLINK("http://slimages.macys.com/is/image/MCY/16148944 ")</f>
        <v xml:space="preserve">http://slimages.macys.com/is/image/MCY/16148944 </v>
      </c>
    </row>
    <row r="44" spans="1:13" ht="96" x14ac:dyDescent="0.25">
      <c r="A44" s="7" t="s">
        <v>14253</v>
      </c>
      <c r="B44" s="2" t="s">
        <v>14254</v>
      </c>
      <c r="C44" s="4">
        <v>1</v>
      </c>
      <c r="D44" s="5">
        <v>14.45</v>
      </c>
      <c r="E44" s="5">
        <v>29.99</v>
      </c>
      <c r="F44" s="4" t="s">
        <v>14255</v>
      </c>
      <c r="G44" s="2" t="s">
        <v>36</v>
      </c>
      <c r="H44" s="7"/>
      <c r="I44" s="2" t="s">
        <v>523</v>
      </c>
      <c r="J44" s="2" t="s">
        <v>11873</v>
      </c>
      <c r="K44" s="2" t="s">
        <v>304</v>
      </c>
      <c r="L44" s="2" t="s">
        <v>14256</v>
      </c>
      <c r="M44" s="8" t="str">
        <f>HYPERLINK("http://slimages.macys.com/is/image/MCY/9069374 ")</f>
        <v xml:space="preserve">http://slimages.macys.com/is/image/MCY/9069374 </v>
      </c>
    </row>
    <row r="45" spans="1:13" ht="96" x14ac:dyDescent="0.25">
      <c r="A45" s="7" t="s">
        <v>2995</v>
      </c>
      <c r="B45" s="2" t="s">
        <v>2996</v>
      </c>
      <c r="C45" s="4">
        <v>2</v>
      </c>
      <c r="D45" s="5">
        <v>14</v>
      </c>
      <c r="E45" s="5">
        <v>34.99</v>
      </c>
      <c r="F45" s="4" t="s">
        <v>2997</v>
      </c>
      <c r="G45" s="2" t="s">
        <v>752</v>
      </c>
      <c r="H45" s="7" t="s">
        <v>42</v>
      </c>
      <c r="I45" s="2" t="s">
        <v>135</v>
      </c>
      <c r="J45" s="2" t="s">
        <v>136</v>
      </c>
      <c r="K45" s="2" t="s">
        <v>304</v>
      </c>
      <c r="L45" s="2" t="s">
        <v>137</v>
      </c>
      <c r="M45" s="8" t="str">
        <f>HYPERLINK("http://slimages.macys.com/is/image/MCY/15364745 ")</f>
        <v xml:space="preserve">http://slimages.macys.com/is/image/MCY/15364745 </v>
      </c>
    </row>
    <row r="46" spans="1:13" ht="96" x14ac:dyDescent="0.25">
      <c r="A46" s="7" t="s">
        <v>131</v>
      </c>
      <c r="B46" s="2" t="s">
        <v>132</v>
      </c>
      <c r="C46" s="4">
        <v>1</v>
      </c>
      <c r="D46" s="5">
        <v>14</v>
      </c>
      <c r="E46" s="5">
        <v>34.99</v>
      </c>
      <c r="F46" s="4" t="s">
        <v>133</v>
      </c>
      <c r="G46" s="2" t="s">
        <v>134</v>
      </c>
      <c r="H46" s="7" t="s">
        <v>91</v>
      </c>
      <c r="I46" s="2" t="s">
        <v>135</v>
      </c>
      <c r="J46" s="2" t="s">
        <v>136</v>
      </c>
      <c r="K46" s="2" t="s">
        <v>304</v>
      </c>
      <c r="L46" s="2" t="s">
        <v>137</v>
      </c>
      <c r="M46" s="8" t="str">
        <f>HYPERLINK("http://slimages.macys.com/is/image/MCY/15365447 ")</f>
        <v xml:space="preserve">http://slimages.macys.com/is/image/MCY/15365447 </v>
      </c>
    </row>
    <row r="47" spans="1:13" ht="96" x14ac:dyDescent="0.25">
      <c r="A47" s="7" t="s">
        <v>13240</v>
      </c>
      <c r="B47" s="2" t="s">
        <v>2996</v>
      </c>
      <c r="C47" s="4">
        <v>1</v>
      </c>
      <c r="D47" s="5">
        <v>14</v>
      </c>
      <c r="E47" s="5">
        <v>34.99</v>
      </c>
      <c r="F47" s="4" t="s">
        <v>2997</v>
      </c>
      <c r="G47" s="2" t="s">
        <v>752</v>
      </c>
      <c r="H47" s="7" t="s">
        <v>91</v>
      </c>
      <c r="I47" s="2" t="s">
        <v>135</v>
      </c>
      <c r="J47" s="2" t="s">
        <v>136</v>
      </c>
      <c r="K47" s="2" t="s">
        <v>304</v>
      </c>
      <c r="L47" s="2" t="s">
        <v>137</v>
      </c>
      <c r="M47" s="8" t="str">
        <f>HYPERLINK("http://slimages.macys.com/is/image/MCY/15364745 ")</f>
        <v xml:space="preserve">http://slimages.macys.com/is/image/MCY/15364745 </v>
      </c>
    </row>
    <row r="48" spans="1:13" ht="96" x14ac:dyDescent="0.25">
      <c r="A48" s="7" t="s">
        <v>13229</v>
      </c>
      <c r="B48" s="2" t="s">
        <v>2996</v>
      </c>
      <c r="C48" s="4">
        <v>3</v>
      </c>
      <c r="D48" s="5">
        <v>14</v>
      </c>
      <c r="E48" s="5">
        <v>34.99</v>
      </c>
      <c r="F48" s="4" t="s">
        <v>2997</v>
      </c>
      <c r="G48" s="2" t="s">
        <v>752</v>
      </c>
      <c r="H48" s="7" t="s">
        <v>442</v>
      </c>
      <c r="I48" s="2" t="s">
        <v>135</v>
      </c>
      <c r="J48" s="2" t="s">
        <v>136</v>
      </c>
      <c r="K48" s="2" t="s">
        <v>304</v>
      </c>
      <c r="L48" s="2" t="s">
        <v>137</v>
      </c>
      <c r="M48" s="8" t="str">
        <f>HYPERLINK("http://slimages.macys.com/is/image/MCY/15364745 ")</f>
        <v xml:space="preserve">http://slimages.macys.com/is/image/MCY/15364745 </v>
      </c>
    </row>
    <row r="49" spans="1:13" ht="96" x14ac:dyDescent="0.25">
      <c r="A49" s="7" t="s">
        <v>13230</v>
      </c>
      <c r="B49" s="2" t="s">
        <v>13231</v>
      </c>
      <c r="C49" s="4">
        <v>1</v>
      </c>
      <c r="D49" s="5">
        <v>14</v>
      </c>
      <c r="E49" s="5">
        <v>34.99</v>
      </c>
      <c r="F49" s="4" t="s">
        <v>13232</v>
      </c>
      <c r="G49" s="2" t="s">
        <v>582</v>
      </c>
      <c r="H49" s="7" t="s">
        <v>442</v>
      </c>
      <c r="I49" s="2" t="s">
        <v>135</v>
      </c>
      <c r="J49" s="2" t="s">
        <v>136</v>
      </c>
      <c r="K49" s="2" t="s">
        <v>304</v>
      </c>
      <c r="L49" s="2" t="s">
        <v>137</v>
      </c>
      <c r="M49" s="8" t="str">
        <f>HYPERLINK("http://slimages.macys.com/is/image/MCY/15364743 ")</f>
        <v xml:space="preserve">http://slimages.macys.com/is/image/MCY/15364743 </v>
      </c>
    </row>
    <row r="50" spans="1:13" ht="96" x14ac:dyDescent="0.25">
      <c r="A50" s="7" t="s">
        <v>2487</v>
      </c>
      <c r="B50" s="2" t="s">
        <v>2488</v>
      </c>
      <c r="C50" s="4">
        <v>3</v>
      </c>
      <c r="D50" s="5">
        <v>14</v>
      </c>
      <c r="E50" s="5">
        <v>34.99</v>
      </c>
      <c r="F50" s="4" t="s">
        <v>2489</v>
      </c>
      <c r="G50" s="2" t="s">
        <v>388</v>
      </c>
      <c r="H50" s="7" t="s">
        <v>442</v>
      </c>
      <c r="I50" s="2" t="s">
        <v>135</v>
      </c>
      <c r="J50" s="2" t="s">
        <v>136</v>
      </c>
      <c r="K50" s="2" t="s">
        <v>304</v>
      </c>
      <c r="L50" s="2" t="s">
        <v>137</v>
      </c>
      <c r="M50" s="8" t="str">
        <f>HYPERLINK("http://slimages.macys.com/is/image/MCY/15363783 ")</f>
        <v xml:space="preserve">http://slimages.macys.com/is/image/MCY/15363783 </v>
      </c>
    </row>
    <row r="51" spans="1:13" ht="96" x14ac:dyDescent="0.25">
      <c r="A51" s="7" t="s">
        <v>2491</v>
      </c>
      <c r="B51" s="2" t="s">
        <v>2488</v>
      </c>
      <c r="C51" s="4">
        <v>2</v>
      </c>
      <c r="D51" s="5">
        <v>14</v>
      </c>
      <c r="E51" s="5">
        <v>34.99</v>
      </c>
      <c r="F51" s="4" t="s">
        <v>2489</v>
      </c>
      <c r="G51" s="2" t="s">
        <v>388</v>
      </c>
      <c r="H51" s="7" t="s">
        <v>91</v>
      </c>
      <c r="I51" s="2" t="s">
        <v>135</v>
      </c>
      <c r="J51" s="2" t="s">
        <v>136</v>
      </c>
      <c r="K51" s="2" t="s">
        <v>304</v>
      </c>
      <c r="L51" s="2" t="s">
        <v>137</v>
      </c>
      <c r="M51" s="8" t="str">
        <f>HYPERLINK("http://slimages.macys.com/is/image/MCY/15363783 ")</f>
        <v xml:space="preserve">http://slimages.macys.com/is/image/MCY/15363783 </v>
      </c>
    </row>
    <row r="52" spans="1:13" ht="168" x14ac:dyDescent="0.25">
      <c r="A52" s="7" t="s">
        <v>3705</v>
      </c>
      <c r="B52" s="2" t="s">
        <v>127</v>
      </c>
      <c r="C52" s="4">
        <v>2</v>
      </c>
      <c r="D52" s="5">
        <v>14</v>
      </c>
      <c r="E52" s="5">
        <v>34.99</v>
      </c>
      <c r="F52" s="4" t="s">
        <v>128</v>
      </c>
      <c r="G52" s="2" t="s">
        <v>129</v>
      </c>
      <c r="H52" s="7" t="s">
        <v>149</v>
      </c>
      <c r="I52" s="2" t="s">
        <v>92</v>
      </c>
      <c r="J52" s="2" t="s">
        <v>65</v>
      </c>
      <c r="K52" s="2" t="s">
        <v>304</v>
      </c>
      <c r="L52" s="2" t="s">
        <v>130</v>
      </c>
      <c r="M52" s="8" t="str">
        <f>HYPERLINK("http://slimages.macys.com/is/image/MCY/14885750 ")</f>
        <v xml:space="preserve">http://slimages.macys.com/is/image/MCY/14885750 </v>
      </c>
    </row>
    <row r="53" spans="1:13" ht="168" x14ac:dyDescent="0.25">
      <c r="A53" s="7" t="s">
        <v>14257</v>
      </c>
      <c r="B53" s="2" t="s">
        <v>127</v>
      </c>
      <c r="C53" s="4">
        <v>2</v>
      </c>
      <c r="D53" s="5">
        <v>14</v>
      </c>
      <c r="E53" s="5">
        <v>34.99</v>
      </c>
      <c r="F53" s="4" t="s">
        <v>128</v>
      </c>
      <c r="G53" s="2" t="s">
        <v>129</v>
      </c>
      <c r="H53" s="7" t="s">
        <v>590</v>
      </c>
      <c r="I53" s="2" t="s">
        <v>92</v>
      </c>
      <c r="J53" s="2" t="s">
        <v>65</v>
      </c>
      <c r="K53" s="2" t="s">
        <v>304</v>
      </c>
      <c r="L53" s="2" t="s">
        <v>130</v>
      </c>
      <c r="M53" s="8" t="str">
        <f>HYPERLINK("http://slimages.macys.com/is/image/MCY/14885750 ")</f>
        <v xml:space="preserve">http://slimages.macys.com/is/image/MCY/14885750 </v>
      </c>
    </row>
    <row r="54" spans="1:13" ht="168" x14ac:dyDescent="0.25">
      <c r="A54" s="7" t="s">
        <v>126</v>
      </c>
      <c r="B54" s="2" t="s">
        <v>127</v>
      </c>
      <c r="C54" s="4">
        <v>1</v>
      </c>
      <c r="D54" s="5">
        <v>14</v>
      </c>
      <c r="E54" s="5">
        <v>34.99</v>
      </c>
      <c r="F54" s="4" t="s">
        <v>128</v>
      </c>
      <c r="G54" s="2" t="s">
        <v>129</v>
      </c>
      <c r="H54" s="7" t="s">
        <v>91</v>
      </c>
      <c r="I54" s="2" t="s">
        <v>92</v>
      </c>
      <c r="J54" s="2" t="s">
        <v>65</v>
      </c>
      <c r="K54" s="2" t="s">
        <v>304</v>
      </c>
      <c r="L54" s="2" t="s">
        <v>130</v>
      </c>
      <c r="M54" s="8" t="str">
        <f>HYPERLINK("http://slimages.macys.com/is/image/MCY/14885750 ")</f>
        <v xml:space="preserve">http://slimages.macys.com/is/image/MCY/14885750 </v>
      </c>
    </row>
    <row r="55" spans="1:13" ht="180" x14ac:dyDescent="0.25">
      <c r="A55" s="7" t="s">
        <v>13249</v>
      </c>
      <c r="B55" s="2" t="s">
        <v>13245</v>
      </c>
      <c r="C55" s="4">
        <v>1</v>
      </c>
      <c r="D55" s="5">
        <v>14</v>
      </c>
      <c r="E55" s="5">
        <v>34.99</v>
      </c>
      <c r="F55" s="4" t="s">
        <v>13246</v>
      </c>
      <c r="G55" s="2" t="s">
        <v>752</v>
      </c>
      <c r="H55" s="7" t="s">
        <v>590</v>
      </c>
      <c r="I55" s="2" t="s">
        <v>92</v>
      </c>
      <c r="J55" s="2" t="s">
        <v>65</v>
      </c>
      <c r="K55" s="2" t="s">
        <v>304</v>
      </c>
      <c r="L55" s="2" t="s">
        <v>13247</v>
      </c>
      <c r="M55" s="8" t="str">
        <f>HYPERLINK("http://slimages.macys.com/is/image/MCY/14885620 ")</f>
        <v xml:space="preserve">http://slimages.macys.com/is/image/MCY/14885620 </v>
      </c>
    </row>
    <row r="56" spans="1:13" ht="96" x14ac:dyDescent="0.25">
      <c r="A56" s="7" t="s">
        <v>13233</v>
      </c>
      <c r="B56" s="2" t="s">
        <v>3707</v>
      </c>
      <c r="C56" s="4">
        <v>1</v>
      </c>
      <c r="D56" s="5">
        <v>14</v>
      </c>
      <c r="E56" s="5">
        <v>34.99</v>
      </c>
      <c r="F56" s="4" t="s">
        <v>3708</v>
      </c>
      <c r="G56" s="2" t="s">
        <v>62</v>
      </c>
      <c r="H56" s="7" t="s">
        <v>91</v>
      </c>
      <c r="I56" s="2" t="s">
        <v>135</v>
      </c>
      <c r="J56" s="2" t="s">
        <v>136</v>
      </c>
      <c r="K56" s="2" t="s">
        <v>304</v>
      </c>
      <c r="L56" s="2" t="s">
        <v>3709</v>
      </c>
      <c r="M56" s="8" t="str">
        <f>HYPERLINK("http://slimages.macys.com/is/image/MCY/15363769 ")</f>
        <v xml:space="preserve">http://slimages.macys.com/is/image/MCY/15363769 </v>
      </c>
    </row>
    <row r="57" spans="1:13" ht="60" x14ac:dyDescent="0.25">
      <c r="A57" s="7" t="s">
        <v>3710</v>
      </c>
      <c r="B57" s="2" t="s">
        <v>3711</v>
      </c>
      <c r="C57" s="4">
        <v>2</v>
      </c>
      <c r="D57" s="5">
        <v>14</v>
      </c>
      <c r="E57" s="5">
        <v>34.99</v>
      </c>
      <c r="F57" s="4" t="s">
        <v>3712</v>
      </c>
      <c r="G57" s="2" t="s">
        <v>262</v>
      </c>
      <c r="H57" s="7" t="s">
        <v>144</v>
      </c>
      <c r="I57" s="2" t="s">
        <v>80</v>
      </c>
      <c r="J57" s="2" t="s">
        <v>647</v>
      </c>
      <c r="K57" s="2" t="s">
        <v>304</v>
      </c>
      <c r="L57" s="2" t="s">
        <v>358</v>
      </c>
      <c r="M57" s="8" t="str">
        <f>HYPERLINK("http://slimages.macys.com/is/image/MCY/14349453 ")</f>
        <v xml:space="preserve">http://slimages.macys.com/is/image/MCY/14349453 </v>
      </c>
    </row>
    <row r="58" spans="1:13" ht="120" x14ac:dyDescent="0.25">
      <c r="A58" s="7" t="s">
        <v>14258</v>
      </c>
      <c r="B58" s="2" t="s">
        <v>3711</v>
      </c>
      <c r="C58" s="4">
        <v>1</v>
      </c>
      <c r="D58" s="5">
        <v>14</v>
      </c>
      <c r="E58" s="5">
        <v>34.99</v>
      </c>
      <c r="F58" s="4" t="s">
        <v>3712</v>
      </c>
      <c r="G58" s="2" t="s">
        <v>262</v>
      </c>
      <c r="H58" s="7" t="s">
        <v>317</v>
      </c>
      <c r="I58" s="2" t="s">
        <v>80</v>
      </c>
      <c r="J58" s="2" t="s">
        <v>647</v>
      </c>
      <c r="K58" s="2" t="s">
        <v>304</v>
      </c>
      <c r="L58" s="2" t="s">
        <v>3722</v>
      </c>
      <c r="M58" s="8" t="str">
        <f>HYPERLINK("http://slimages.macys.com/is/image/MCY/14349453 ")</f>
        <v xml:space="preserve">http://slimages.macys.com/is/image/MCY/14349453 </v>
      </c>
    </row>
    <row r="59" spans="1:13" ht="60" x14ac:dyDescent="0.25">
      <c r="A59" s="7" t="s">
        <v>1507</v>
      </c>
      <c r="B59" s="2" t="s">
        <v>1491</v>
      </c>
      <c r="C59" s="4">
        <v>1</v>
      </c>
      <c r="D59" s="5">
        <v>13.88</v>
      </c>
      <c r="E59" s="5">
        <v>37.5</v>
      </c>
      <c r="F59" s="4" t="s">
        <v>1508</v>
      </c>
      <c r="G59" s="2" t="s">
        <v>800</v>
      </c>
      <c r="H59" s="7" t="s">
        <v>144</v>
      </c>
      <c r="I59" s="2" t="s">
        <v>880</v>
      </c>
      <c r="J59" s="2" t="s">
        <v>881</v>
      </c>
      <c r="K59" s="2" t="s">
        <v>304</v>
      </c>
      <c r="L59" s="2" t="s">
        <v>119</v>
      </c>
      <c r="M59" s="8" t="str">
        <f>HYPERLINK("http://slimages.macys.com/is/image/MCY/13358906 ")</f>
        <v xml:space="preserve">http://slimages.macys.com/is/image/MCY/13358906 </v>
      </c>
    </row>
    <row r="60" spans="1:13" ht="60" x14ac:dyDescent="0.25">
      <c r="A60" s="7" t="s">
        <v>14259</v>
      </c>
      <c r="B60" s="2" t="s">
        <v>10360</v>
      </c>
      <c r="C60" s="4">
        <v>1</v>
      </c>
      <c r="D60" s="5">
        <v>13.8</v>
      </c>
      <c r="E60" s="5">
        <v>34.5</v>
      </c>
      <c r="F60" s="4" t="s">
        <v>14260</v>
      </c>
      <c r="G60" s="2" t="s">
        <v>41</v>
      </c>
      <c r="H60" s="7" t="s">
        <v>123</v>
      </c>
      <c r="I60" s="2" t="s">
        <v>690</v>
      </c>
      <c r="J60" s="2" t="s">
        <v>58</v>
      </c>
      <c r="K60" s="2" t="s">
        <v>304</v>
      </c>
      <c r="L60" s="2" t="s">
        <v>38</v>
      </c>
      <c r="M60" s="8" t="str">
        <f>HYPERLINK("http://slimages.macys.com/is/image/MCY/13802820 ")</f>
        <v xml:space="preserve">http://slimages.macys.com/is/image/MCY/13802820 </v>
      </c>
    </row>
    <row r="61" spans="1:13" ht="144" x14ac:dyDescent="0.25">
      <c r="A61" s="7" t="s">
        <v>13550</v>
      </c>
      <c r="B61" s="2" t="s">
        <v>2493</v>
      </c>
      <c r="C61" s="4">
        <v>1</v>
      </c>
      <c r="D61" s="5">
        <v>13.75</v>
      </c>
      <c r="E61" s="5">
        <v>39.99</v>
      </c>
      <c r="F61" s="4" t="s">
        <v>2494</v>
      </c>
      <c r="G61" s="2" t="s">
        <v>752</v>
      </c>
      <c r="H61" s="7" t="s">
        <v>91</v>
      </c>
      <c r="I61" s="2" t="s">
        <v>92</v>
      </c>
      <c r="J61" s="2" t="s">
        <v>239</v>
      </c>
      <c r="K61" s="2" t="s">
        <v>304</v>
      </c>
      <c r="L61" s="2" t="s">
        <v>2495</v>
      </c>
      <c r="M61" s="8" t="str">
        <f>HYPERLINK("http://slimages.macys.com/is/image/MCY/14886820 ")</f>
        <v xml:space="preserve">http://slimages.macys.com/is/image/MCY/14886820 </v>
      </c>
    </row>
    <row r="62" spans="1:13" ht="168" x14ac:dyDescent="0.25">
      <c r="A62" s="7" t="s">
        <v>3014</v>
      </c>
      <c r="B62" s="2" t="s">
        <v>1522</v>
      </c>
      <c r="C62" s="4">
        <v>1</v>
      </c>
      <c r="D62" s="5">
        <v>13.75</v>
      </c>
      <c r="E62" s="5">
        <v>39.99</v>
      </c>
      <c r="F62" s="4" t="s">
        <v>1523</v>
      </c>
      <c r="G62" s="2" t="s">
        <v>62</v>
      </c>
      <c r="H62" s="7" t="s">
        <v>149</v>
      </c>
      <c r="I62" s="2" t="s">
        <v>92</v>
      </c>
      <c r="J62" s="2" t="s">
        <v>239</v>
      </c>
      <c r="K62" s="2" t="s">
        <v>304</v>
      </c>
      <c r="L62" s="2" t="s">
        <v>1524</v>
      </c>
      <c r="M62" s="8" t="str">
        <f>HYPERLINK("http://slimages.macys.com/is/image/MCY/14886823 ")</f>
        <v xml:space="preserve">http://slimages.macys.com/is/image/MCY/14886823 </v>
      </c>
    </row>
    <row r="63" spans="1:13" ht="144" x14ac:dyDescent="0.25">
      <c r="A63" s="7" t="s">
        <v>4788</v>
      </c>
      <c r="B63" s="2" t="s">
        <v>2493</v>
      </c>
      <c r="C63" s="4">
        <v>5</v>
      </c>
      <c r="D63" s="5">
        <v>13.75</v>
      </c>
      <c r="E63" s="5">
        <v>39.99</v>
      </c>
      <c r="F63" s="4" t="s">
        <v>2494</v>
      </c>
      <c r="G63" s="2" t="s">
        <v>752</v>
      </c>
      <c r="H63" s="7" t="s">
        <v>590</v>
      </c>
      <c r="I63" s="2" t="s">
        <v>92</v>
      </c>
      <c r="J63" s="2" t="s">
        <v>239</v>
      </c>
      <c r="K63" s="2" t="s">
        <v>304</v>
      </c>
      <c r="L63" s="2" t="s">
        <v>2495</v>
      </c>
      <c r="M63" s="8" t="str">
        <f>HYPERLINK("http://slimages.macys.com/is/image/MCY/14886820 ")</f>
        <v xml:space="preserve">http://slimages.macys.com/is/image/MCY/14886820 </v>
      </c>
    </row>
    <row r="64" spans="1:13" ht="264" x14ac:dyDescent="0.25">
      <c r="A64" s="7" t="s">
        <v>13257</v>
      </c>
      <c r="B64" s="2" t="s">
        <v>13258</v>
      </c>
      <c r="C64" s="4">
        <v>1</v>
      </c>
      <c r="D64" s="5">
        <v>13.75</v>
      </c>
      <c r="E64" s="5">
        <v>39.99</v>
      </c>
      <c r="F64" s="4" t="s">
        <v>13259</v>
      </c>
      <c r="G64" s="2" t="s">
        <v>129</v>
      </c>
      <c r="H64" s="7" t="s">
        <v>149</v>
      </c>
      <c r="I64" s="2" t="s">
        <v>92</v>
      </c>
      <c r="J64" s="2" t="s">
        <v>239</v>
      </c>
      <c r="K64" s="2" t="s">
        <v>304</v>
      </c>
      <c r="L64" s="2" t="s">
        <v>13260</v>
      </c>
      <c r="M64" s="8" t="str">
        <f>HYPERLINK("http://slimages.macys.com/is/image/MCY/14988481 ")</f>
        <v xml:space="preserve">http://slimages.macys.com/is/image/MCY/14988481 </v>
      </c>
    </row>
    <row r="65" spans="1:13" ht="312" x14ac:dyDescent="0.25">
      <c r="A65" s="7" t="s">
        <v>3736</v>
      </c>
      <c r="B65" s="2" t="s">
        <v>3737</v>
      </c>
      <c r="C65" s="4">
        <v>2</v>
      </c>
      <c r="D65" s="5">
        <v>13.75</v>
      </c>
      <c r="E65" s="5">
        <v>39.99</v>
      </c>
      <c r="F65" s="4" t="s">
        <v>3738</v>
      </c>
      <c r="G65" s="2" t="s">
        <v>129</v>
      </c>
      <c r="H65" s="7" t="s">
        <v>91</v>
      </c>
      <c r="I65" s="2" t="s">
        <v>92</v>
      </c>
      <c r="J65" s="2" t="s">
        <v>239</v>
      </c>
      <c r="K65" s="2" t="s">
        <v>304</v>
      </c>
      <c r="L65" s="2" t="s">
        <v>3739</v>
      </c>
      <c r="M65" s="8" t="str">
        <f>HYPERLINK("http://slimages.macys.com/is/image/MCY/14886904 ")</f>
        <v xml:space="preserve">http://slimages.macys.com/is/image/MCY/14886904 </v>
      </c>
    </row>
    <row r="66" spans="1:13" ht="312" x14ac:dyDescent="0.25">
      <c r="A66" s="7" t="s">
        <v>13256</v>
      </c>
      <c r="B66" s="2" t="s">
        <v>3737</v>
      </c>
      <c r="C66" s="4">
        <v>1</v>
      </c>
      <c r="D66" s="5">
        <v>13.75</v>
      </c>
      <c r="E66" s="5">
        <v>39.99</v>
      </c>
      <c r="F66" s="4" t="s">
        <v>3738</v>
      </c>
      <c r="G66" s="2" t="s">
        <v>129</v>
      </c>
      <c r="H66" s="7" t="s">
        <v>149</v>
      </c>
      <c r="I66" s="2" t="s">
        <v>92</v>
      </c>
      <c r="J66" s="2" t="s">
        <v>239</v>
      </c>
      <c r="K66" s="2" t="s">
        <v>304</v>
      </c>
      <c r="L66" s="2" t="s">
        <v>3739</v>
      </c>
      <c r="M66" s="8" t="str">
        <f>HYPERLINK("http://slimages.macys.com/is/image/MCY/14886904 ")</f>
        <v xml:space="preserve">http://slimages.macys.com/is/image/MCY/14886904 </v>
      </c>
    </row>
    <row r="67" spans="1:13" ht="96" x14ac:dyDescent="0.25">
      <c r="A67" s="7" t="s">
        <v>13551</v>
      </c>
      <c r="B67" s="2" t="s">
        <v>3727</v>
      </c>
      <c r="C67" s="4">
        <v>1</v>
      </c>
      <c r="D67" s="5">
        <v>13.75</v>
      </c>
      <c r="E67" s="5">
        <v>39.99</v>
      </c>
      <c r="F67" s="4" t="s">
        <v>3728</v>
      </c>
      <c r="G67" s="2" t="s">
        <v>62</v>
      </c>
      <c r="H67" s="7" t="s">
        <v>590</v>
      </c>
      <c r="I67" s="2" t="s">
        <v>92</v>
      </c>
      <c r="J67" s="2" t="s">
        <v>239</v>
      </c>
      <c r="K67" s="2" t="s">
        <v>304</v>
      </c>
      <c r="L67" s="2" t="s">
        <v>1516</v>
      </c>
      <c r="M67" s="8" t="str">
        <f>HYPERLINK("http://slimages.macys.com/is/image/MCY/14989330 ")</f>
        <v xml:space="preserve">http://slimages.macys.com/is/image/MCY/14989330 </v>
      </c>
    </row>
    <row r="68" spans="1:13" ht="264" x14ac:dyDescent="0.25">
      <c r="A68" s="7" t="s">
        <v>13263</v>
      </c>
      <c r="B68" s="2" t="s">
        <v>13258</v>
      </c>
      <c r="C68" s="4">
        <v>4</v>
      </c>
      <c r="D68" s="5">
        <v>13.75</v>
      </c>
      <c r="E68" s="5">
        <v>39.99</v>
      </c>
      <c r="F68" s="4" t="s">
        <v>13259</v>
      </c>
      <c r="G68" s="2" t="s">
        <v>129</v>
      </c>
      <c r="H68" s="7" t="s">
        <v>442</v>
      </c>
      <c r="I68" s="2" t="s">
        <v>92</v>
      </c>
      <c r="J68" s="2" t="s">
        <v>239</v>
      </c>
      <c r="K68" s="2" t="s">
        <v>304</v>
      </c>
      <c r="L68" s="2" t="s">
        <v>13260</v>
      </c>
      <c r="M68" s="8" t="str">
        <f>HYPERLINK("http://slimages.macys.com/is/image/MCY/14988481 ")</f>
        <v xml:space="preserve">http://slimages.macys.com/is/image/MCY/14988481 </v>
      </c>
    </row>
    <row r="69" spans="1:13" ht="144" x14ac:dyDescent="0.25">
      <c r="A69" s="7" t="s">
        <v>3013</v>
      </c>
      <c r="B69" s="2" t="s">
        <v>2493</v>
      </c>
      <c r="C69" s="4">
        <v>1</v>
      </c>
      <c r="D69" s="5">
        <v>13.75</v>
      </c>
      <c r="E69" s="5">
        <v>39.99</v>
      </c>
      <c r="F69" s="4" t="s">
        <v>2494</v>
      </c>
      <c r="G69" s="2" t="s">
        <v>752</v>
      </c>
      <c r="H69" s="7" t="s">
        <v>149</v>
      </c>
      <c r="I69" s="2" t="s">
        <v>92</v>
      </c>
      <c r="J69" s="2" t="s">
        <v>239</v>
      </c>
      <c r="K69" s="2" t="s">
        <v>304</v>
      </c>
      <c r="L69" s="2" t="s">
        <v>2495</v>
      </c>
      <c r="M69" s="8" t="str">
        <f>HYPERLINK("http://slimages.macys.com/is/image/MCY/14886820 ")</f>
        <v xml:space="preserve">http://slimages.macys.com/is/image/MCY/14886820 </v>
      </c>
    </row>
    <row r="70" spans="1:13" ht="312" x14ac:dyDescent="0.25">
      <c r="A70" s="7" t="s">
        <v>13549</v>
      </c>
      <c r="B70" s="2" t="s">
        <v>3737</v>
      </c>
      <c r="C70" s="4">
        <v>1</v>
      </c>
      <c r="D70" s="5">
        <v>13.75</v>
      </c>
      <c r="E70" s="5">
        <v>39.99</v>
      </c>
      <c r="F70" s="4" t="s">
        <v>3738</v>
      </c>
      <c r="G70" s="2" t="s">
        <v>129</v>
      </c>
      <c r="H70" s="7" t="s">
        <v>442</v>
      </c>
      <c r="I70" s="2" t="s">
        <v>92</v>
      </c>
      <c r="J70" s="2" t="s">
        <v>239</v>
      </c>
      <c r="K70" s="2" t="s">
        <v>304</v>
      </c>
      <c r="L70" s="2" t="s">
        <v>3739</v>
      </c>
      <c r="M70" s="8" t="str">
        <f>HYPERLINK("http://slimages.macys.com/is/image/MCY/14886904 ")</f>
        <v xml:space="preserve">http://slimages.macys.com/is/image/MCY/14886904 </v>
      </c>
    </row>
    <row r="71" spans="1:13" ht="264" x14ac:dyDescent="0.25">
      <c r="A71" s="7" t="s">
        <v>13261</v>
      </c>
      <c r="B71" s="2" t="s">
        <v>13258</v>
      </c>
      <c r="C71" s="4">
        <v>2</v>
      </c>
      <c r="D71" s="5">
        <v>13.75</v>
      </c>
      <c r="E71" s="5">
        <v>39.99</v>
      </c>
      <c r="F71" s="4" t="s">
        <v>13259</v>
      </c>
      <c r="G71" s="2" t="s">
        <v>129</v>
      </c>
      <c r="H71" s="7" t="s">
        <v>590</v>
      </c>
      <c r="I71" s="2" t="s">
        <v>92</v>
      </c>
      <c r="J71" s="2" t="s">
        <v>239</v>
      </c>
      <c r="K71" s="2" t="s">
        <v>304</v>
      </c>
      <c r="L71" s="2" t="s">
        <v>13260</v>
      </c>
      <c r="M71" s="8" t="str">
        <f>HYPERLINK("http://slimages.macys.com/is/image/MCY/14988481 ")</f>
        <v xml:space="preserve">http://slimages.macys.com/is/image/MCY/14988481 </v>
      </c>
    </row>
    <row r="72" spans="1:13" ht="216" x14ac:dyDescent="0.25">
      <c r="A72" s="7" t="s">
        <v>3740</v>
      </c>
      <c r="B72" s="2" t="s">
        <v>3731</v>
      </c>
      <c r="C72" s="4">
        <v>1</v>
      </c>
      <c r="D72" s="5">
        <v>13.75</v>
      </c>
      <c r="E72" s="5">
        <v>39.99</v>
      </c>
      <c r="F72" s="4" t="s">
        <v>3732</v>
      </c>
      <c r="G72" s="2" t="s">
        <v>353</v>
      </c>
      <c r="H72" s="7" t="s">
        <v>590</v>
      </c>
      <c r="I72" s="2" t="s">
        <v>92</v>
      </c>
      <c r="J72" s="2" t="s">
        <v>239</v>
      </c>
      <c r="K72" s="2" t="s">
        <v>304</v>
      </c>
      <c r="L72" s="2" t="s">
        <v>3733</v>
      </c>
      <c r="M72" s="8" t="str">
        <f>HYPERLINK("http://slimages.macys.com/is/image/MCY/15213361 ")</f>
        <v xml:space="preserve">http://slimages.macys.com/is/image/MCY/15213361 </v>
      </c>
    </row>
    <row r="73" spans="1:13" ht="168" x14ac:dyDescent="0.25">
      <c r="A73" s="7" t="s">
        <v>4789</v>
      </c>
      <c r="B73" s="2" t="s">
        <v>1522</v>
      </c>
      <c r="C73" s="4">
        <v>4</v>
      </c>
      <c r="D73" s="5">
        <v>13.75</v>
      </c>
      <c r="E73" s="5">
        <v>39.99</v>
      </c>
      <c r="F73" s="4" t="s">
        <v>1523</v>
      </c>
      <c r="G73" s="2" t="s">
        <v>62</v>
      </c>
      <c r="H73" s="7" t="s">
        <v>42</v>
      </c>
      <c r="I73" s="2" t="s">
        <v>92</v>
      </c>
      <c r="J73" s="2" t="s">
        <v>239</v>
      </c>
      <c r="K73" s="2" t="s">
        <v>304</v>
      </c>
      <c r="L73" s="2" t="s">
        <v>1524</v>
      </c>
      <c r="M73" s="8" t="str">
        <f>HYPERLINK("http://slimages.macys.com/is/image/MCY/14886823 ")</f>
        <v xml:space="preserve">http://slimages.macys.com/is/image/MCY/14886823 </v>
      </c>
    </row>
    <row r="74" spans="1:13" ht="312" x14ac:dyDescent="0.25">
      <c r="A74" s="7" t="s">
        <v>13262</v>
      </c>
      <c r="B74" s="2" t="s">
        <v>3737</v>
      </c>
      <c r="C74" s="4">
        <v>2</v>
      </c>
      <c r="D74" s="5">
        <v>13.75</v>
      </c>
      <c r="E74" s="5">
        <v>39.99</v>
      </c>
      <c r="F74" s="4" t="s">
        <v>3738</v>
      </c>
      <c r="G74" s="2" t="s">
        <v>129</v>
      </c>
      <c r="H74" s="7" t="s">
        <v>42</v>
      </c>
      <c r="I74" s="2" t="s">
        <v>92</v>
      </c>
      <c r="J74" s="2" t="s">
        <v>239</v>
      </c>
      <c r="K74" s="2" t="s">
        <v>304</v>
      </c>
      <c r="L74" s="2" t="s">
        <v>3739</v>
      </c>
      <c r="M74" s="8" t="str">
        <f>HYPERLINK("http://slimages.macys.com/is/image/MCY/14886904 ")</f>
        <v xml:space="preserve">http://slimages.macys.com/is/image/MCY/14886904 </v>
      </c>
    </row>
    <row r="75" spans="1:13" ht="264" x14ac:dyDescent="0.25">
      <c r="A75" s="7" t="s">
        <v>14261</v>
      </c>
      <c r="B75" s="2" t="s">
        <v>13258</v>
      </c>
      <c r="C75" s="4">
        <v>3</v>
      </c>
      <c r="D75" s="5">
        <v>13.75</v>
      </c>
      <c r="E75" s="5">
        <v>39.99</v>
      </c>
      <c r="F75" s="4" t="s">
        <v>13259</v>
      </c>
      <c r="G75" s="2" t="s">
        <v>129</v>
      </c>
      <c r="H75" s="7" t="s">
        <v>42</v>
      </c>
      <c r="I75" s="2" t="s">
        <v>92</v>
      </c>
      <c r="J75" s="2" t="s">
        <v>239</v>
      </c>
      <c r="K75" s="2" t="s">
        <v>304</v>
      </c>
      <c r="L75" s="2" t="s">
        <v>13260</v>
      </c>
      <c r="M75" s="8" t="str">
        <f>HYPERLINK("http://slimages.macys.com/is/image/MCY/14988481 ")</f>
        <v xml:space="preserve">http://slimages.macys.com/is/image/MCY/14988481 </v>
      </c>
    </row>
    <row r="76" spans="1:13" ht="216" x14ac:dyDescent="0.25">
      <c r="A76" s="7" t="s">
        <v>3730</v>
      </c>
      <c r="B76" s="2" t="s">
        <v>3731</v>
      </c>
      <c r="C76" s="4">
        <v>1</v>
      </c>
      <c r="D76" s="5">
        <v>13.75</v>
      </c>
      <c r="E76" s="5">
        <v>39.99</v>
      </c>
      <c r="F76" s="4" t="s">
        <v>3732</v>
      </c>
      <c r="G76" s="2" t="s">
        <v>353</v>
      </c>
      <c r="H76" s="7" t="s">
        <v>442</v>
      </c>
      <c r="I76" s="2" t="s">
        <v>92</v>
      </c>
      <c r="J76" s="2" t="s">
        <v>239</v>
      </c>
      <c r="K76" s="2" t="s">
        <v>304</v>
      </c>
      <c r="L76" s="2" t="s">
        <v>3733</v>
      </c>
      <c r="M76" s="8" t="str">
        <f>HYPERLINK("http://slimages.macys.com/is/image/MCY/15213361 ")</f>
        <v xml:space="preserve">http://slimages.macys.com/is/image/MCY/15213361 </v>
      </c>
    </row>
    <row r="77" spans="1:13" ht="60" x14ac:dyDescent="0.25">
      <c r="A77" s="7" t="s">
        <v>14262</v>
      </c>
      <c r="B77" s="2" t="s">
        <v>14263</v>
      </c>
      <c r="C77" s="4">
        <v>1</v>
      </c>
      <c r="D77" s="5">
        <v>13.31</v>
      </c>
      <c r="E77" s="5">
        <v>34.99</v>
      </c>
      <c r="F77" s="4" t="s">
        <v>14264</v>
      </c>
      <c r="G77" s="2" t="s">
        <v>238</v>
      </c>
      <c r="H77" s="7" t="s">
        <v>159</v>
      </c>
      <c r="I77" s="2" t="s">
        <v>218</v>
      </c>
      <c r="J77" s="2" t="s">
        <v>219</v>
      </c>
      <c r="K77" s="2" t="s">
        <v>304</v>
      </c>
      <c r="L77" s="2" t="s">
        <v>125</v>
      </c>
      <c r="M77" s="8" t="str">
        <f>HYPERLINK("http://slimages.macys.com/is/image/MCY/11953189 ")</f>
        <v xml:space="preserve">http://slimages.macys.com/is/image/MCY/11953189 </v>
      </c>
    </row>
    <row r="78" spans="1:13" ht="60" x14ac:dyDescent="0.25">
      <c r="A78" s="7" t="s">
        <v>14265</v>
      </c>
      <c r="B78" s="2" t="s">
        <v>2506</v>
      </c>
      <c r="C78" s="4">
        <v>1</v>
      </c>
      <c r="D78" s="5">
        <v>13</v>
      </c>
      <c r="E78" s="5">
        <v>26.99</v>
      </c>
      <c r="F78" s="4" t="s">
        <v>182</v>
      </c>
      <c r="G78" s="2" t="s">
        <v>653</v>
      </c>
      <c r="H78" s="7" t="s">
        <v>97</v>
      </c>
      <c r="I78" s="2" t="s">
        <v>173</v>
      </c>
      <c r="J78" s="2" t="s">
        <v>174</v>
      </c>
      <c r="K78" s="2" t="s">
        <v>304</v>
      </c>
      <c r="L78" s="2" t="s">
        <v>183</v>
      </c>
      <c r="M78" s="8" t="str">
        <f>HYPERLINK("http://slimages.macys.com/is/image/MCY/12282997 ")</f>
        <v xml:space="preserve">http://slimages.macys.com/is/image/MCY/12282997 </v>
      </c>
    </row>
    <row r="79" spans="1:13" ht="60" x14ac:dyDescent="0.25">
      <c r="A79" s="7" t="s">
        <v>14266</v>
      </c>
      <c r="B79" s="2" t="s">
        <v>2506</v>
      </c>
      <c r="C79" s="4">
        <v>2</v>
      </c>
      <c r="D79" s="5">
        <v>13</v>
      </c>
      <c r="E79" s="5">
        <v>26.99</v>
      </c>
      <c r="F79" s="4" t="s">
        <v>182</v>
      </c>
      <c r="G79" s="2" t="s">
        <v>653</v>
      </c>
      <c r="H79" s="7" t="s">
        <v>177</v>
      </c>
      <c r="I79" s="2" t="s">
        <v>173</v>
      </c>
      <c r="J79" s="2" t="s">
        <v>174</v>
      </c>
      <c r="K79" s="2" t="s">
        <v>304</v>
      </c>
      <c r="L79" s="2" t="s">
        <v>183</v>
      </c>
      <c r="M79" s="8" t="str">
        <f>HYPERLINK("http://slimages.macys.com/is/image/MCY/12282997 ")</f>
        <v xml:space="preserve">http://slimages.macys.com/is/image/MCY/12282997 </v>
      </c>
    </row>
    <row r="80" spans="1:13" ht="60" x14ac:dyDescent="0.25">
      <c r="A80" s="7" t="s">
        <v>14267</v>
      </c>
      <c r="B80" s="2" t="s">
        <v>2506</v>
      </c>
      <c r="C80" s="4">
        <v>2</v>
      </c>
      <c r="D80" s="5">
        <v>13</v>
      </c>
      <c r="E80" s="5">
        <v>26.99</v>
      </c>
      <c r="F80" s="4" t="s">
        <v>182</v>
      </c>
      <c r="G80" s="2" t="s">
        <v>653</v>
      </c>
      <c r="H80" s="7" t="s">
        <v>172</v>
      </c>
      <c r="I80" s="2" t="s">
        <v>173</v>
      </c>
      <c r="J80" s="2" t="s">
        <v>174</v>
      </c>
      <c r="K80" s="2" t="s">
        <v>304</v>
      </c>
      <c r="L80" s="2" t="s">
        <v>183</v>
      </c>
      <c r="M80" s="8" t="str">
        <f>HYPERLINK("http://slimages.macys.com/is/image/MCY/12282997 ")</f>
        <v xml:space="preserve">http://slimages.macys.com/is/image/MCY/12282997 </v>
      </c>
    </row>
    <row r="81" spans="1:13" ht="60" x14ac:dyDescent="0.25">
      <c r="A81" s="7" t="s">
        <v>184</v>
      </c>
      <c r="B81" s="2" t="s">
        <v>185</v>
      </c>
      <c r="C81" s="4">
        <v>1</v>
      </c>
      <c r="D81" s="5">
        <v>12.75</v>
      </c>
      <c r="E81" s="5">
        <v>30</v>
      </c>
      <c r="F81" s="4" t="s">
        <v>186</v>
      </c>
      <c r="G81" s="2" t="s">
        <v>28</v>
      </c>
      <c r="H81" s="7" t="s">
        <v>91</v>
      </c>
      <c r="I81" s="2" t="s">
        <v>92</v>
      </c>
      <c r="J81" s="2" t="s">
        <v>187</v>
      </c>
      <c r="K81" s="2" t="s">
        <v>304</v>
      </c>
      <c r="L81" s="2" t="s">
        <v>38</v>
      </c>
      <c r="M81" s="8" t="str">
        <f>HYPERLINK("http://slimages.macys.com/is/image/MCY/15240490 ")</f>
        <v xml:space="preserve">http://slimages.macys.com/is/image/MCY/15240490 </v>
      </c>
    </row>
    <row r="82" spans="1:13" ht="120" x14ac:dyDescent="0.25">
      <c r="A82" s="7" t="s">
        <v>3062</v>
      </c>
      <c r="B82" s="2" t="s">
        <v>3053</v>
      </c>
      <c r="C82" s="4">
        <v>1</v>
      </c>
      <c r="D82" s="5">
        <v>12.5</v>
      </c>
      <c r="E82" s="5">
        <v>34.99</v>
      </c>
      <c r="F82" s="4" t="s">
        <v>3054</v>
      </c>
      <c r="G82" s="2" t="s">
        <v>62</v>
      </c>
      <c r="H82" s="7" t="s">
        <v>91</v>
      </c>
      <c r="I82" s="2" t="s">
        <v>92</v>
      </c>
      <c r="J82" s="2" t="s">
        <v>65</v>
      </c>
      <c r="K82" s="2" t="s">
        <v>304</v>
      </c>
      <c r="L82" s="2" t="s">
        <v>3055</v>
      </c>
      <c r="M82" s="8" t="str">
        <f>HYPERLINK("http://slimages.macys.com/is/image/MCY/14815658 ")</f>
        <v xml:space="preserve">http://slimages.macys.com/is/image/MCY/14815658 </v>
      </c>
    </row>
    <row r="83" spans="1:13" ht="204" x14ac:dyDescent="0.25">
      <c r="A83" s="7" t="s">
        <v>13285</v>
      </c>
      <c r="B83" s="2" t="s">
        <v>1558</v>
      </c>
      <c r="C83" s="4">
        <v>1</v>
      </c>
      <c r="D83" s="5">
        <v>12.5</v>
      </c>
      <c r="E83" s="5">
        <v>34.99</v>
      </c>
      <c r="F83" s="4" t="s">
        <v>1559</v>
      </c>
      <c r="G83" s="2" t="s">
        <v>129</v>
      </c>
      <c r="H83" s="7" t="s">
        <v>442</v>
      </c>
      <c r="I83" s="2" t="s">
        <v>92</v>
      </c>
      <c r="J83" s="2" t="s">
        <v>65</v>
      </c>
      <c r="K83" s="2" t="s">
        <v>304</v>
      </c>
      <c r="L83" s="2" t="s">
        <v>1560</v>
      </c>
      <c r="M83" s="8" t="str">
        <f>HYPERLINK("http://slimages.macys.com/is/image/MCY/14815688 ")</f>
        <v xml:space="preserve">http://slimages.macys.com/is/image/MCY/14815688 </v>
      </c>
    </row>
    <row r="84" spans="1:13" ht="120" x14ac:dyDescent="0.25">
      <c r="A84" s="7" t="s">
        <v>4810</v>
      </c>
      <c r="B84" s="2" t="s">
        <v>3053</v>
      </c>
      <c r="C84" s="4">
        <v>2</v>
      </c>
      <c r="D84" s="5">
        <v>12.5</v>
      </c>
      <c r="E84" s="5">
        <v>34.99</v>
      </c>
      <c r="F84" s="4" t="s">
        <v>3054</v>
      </c>
      <c r="G84" s="2" t="s">
        <v>62</v>
      </c>
      <c r="H84" s="7" t="s">
        <v>442</v>
      </c>
      <c r="I84" s="2" t="s">
        <v>92</v>
      </c>
      <c r="J84" s="2" t="s">
        <v>65</v>
      </c>
      <c r="K84" s="2" t="s">
        <v>304</v>
      </c>
      <c r="L84" s="2" t="s">
        <v>3055</v>
      </c>
      <c r="M84" s="8" t="str">
        <f>HYPERLINK("http://slimages.macys.com/is/image/MCY/14815658 ")</f>
        <v xml:space="preserve">http://slimages.macys.com/is/image/MCY/14815658 </v>
      </c>
    </row>
    <row r="85" spans="1:13" ht="120" x14ac:dyDescent="0.25">
      <c r="A85" s="7" t="s">
        <v>3063</v>
      </c>
      <c r="B85" s="2" t="s">
        <v>3053</v>
      </c>
      <c r="C85" s="4">
        <v>2</v>
      </c>
      <c r="D85" s="5">
        <v>12.5</v>
      </c>
      <c r="E85" s="5">
        <v>34.99</v>
      </c>
      <c r="F85" s="4" t="s">
        <v>3054</v>
      </c>
      <c r="G85" s="2" t="s">
        <v>62</v>
      </c>
      <c r="H85" s="7" t="s">
        <v>42</v>
      </c>
      <c r="I85" s="2" t="s">
        <v>92</v>
      </c>
      <c r="J85" s="2" t="s">
        <v>65</v>
      </c>
      <c r="K85" s="2" t="s">
        <v>304</v>
      </c>
      <c r="L85" s="2" t="s">
        <v>3055</v>
      </c>
      <c r="M85" s="8" t="str">
        <f>HYPERLINK("http://slimages.macys.com/is/image/MCY/14815658 ")</f>
        <v xml:space="preserve">http://slimages.macys.com/is/image/MCY/14815658 </v>
      </c>
    </row>
    <row r="86" spans="1:13" ht="180" x14ac:dyDescent="0.25">
      <c r="A86" s="7" t="s">
        <v>3056</v>
      </c>
      <c r="B86" s="2" t="s">
        <v>3057</v>
      </c>
      <c r="C86" s="4">
        <v>1</v>
      </c>
      <c r="D86" s="5">
        <v>12.5</v>
      </c>
      <c r="E86" s="5">
        <v>34.99</v>
      </c>
      <c r="F86" s="4" t="s">
        <v>3058</v>
      </c>
      <c r="G86" s="2" t="s">
        <v>41</v>
      </c>
      <c r="H86" s="7" t="s">
        <v>590</v>
      </c>
      <c r="I86" s="2" t="s">
        <v>92</v>
      </c>
      <c r="J86" s="2" t="s">
        <v>65</v>
      </c>
      <c r="K86" s="2" t="s">
        <v>304</v>
      </c>
      <c r="L86" s="2" t="s">
        <v>3059</v>
      </c>
      <c r="M86" s="8" t="str">
        <f>HYPERLINK("http://slimages.macys.com/is/image/MCY/14815481 ")</f>
        <v xml:space="preserve">http://slimages.macys.com/is/image/MCY/14815481 </v>
      </c>
    </row>
    <row r="87" spans="1:13" ht="180" x14ac:dyDescent="0.25">
      <c r="A87" s="7" t="s">
        <v>5231</v>
      </c>
      <c r="B87" s="2" t="s">
        <v>3057</v>
      </c>
      <c r="C87" s="4">
        <v>2</v>
      </c>
      <c r="D87" s="5">
        <v>12.5</v>
      </c>
      <c r="E87" s="5">
        <v>34.99</v>
      </c>
      <c r="F87" s="4" t="s">
        <v>3058</v>
      </c>
      <c r="G87" s="2" t="s">
        <v>41</v>
      </c>
      <c r="H87" s="7" t="s">
        <v>149</v>
      </c>
      <c r="I87" s="2" t="s">
        <v>92</v>
      </c>
      <c r="J87" s="2" t="s">
        <v>65</v>
      </c>
      <c r="K87" s="2" t="s">
        <v>304</v>
      </c>
      <c r="L87" s="2" t="s">
        <v>3059</v>
      </c>
      <c r="M87" s="8" t="str">
        <f>HYPERLINK("http://slimages.macys.com/is/image/MCY/14815481 ")</f>
        <v xml:space="preserve">http://slimages.macys.com/is/image/MCY/14815481 </v>
      </c>
    </row>
    <row r="88" spans="1:13" ht="168" x14ac:dyDescent="0.25">
      <c r="A88" s="7" t="s">
        <v>13283</v>
      </c>
      <c r="B88" s="2" t="s">
        <v>189</v>
      </c>
      <c r="C88" s="4">
        <v>1</v>
      </c>
      <c r="D88" s="5">
        <v>12.5</v>
      </c>
      <c r="E88" s="5">
        <v>34.99</v>
      </c>
      <c r="F88" s="4" t="s">
        <v>190</v>
      </c>
      <c r="G88" s="2" t="s">
        <v>129</v>
      </c>
      <c r="H88" s="7" t="s">
        <v>442</v>
      </c>
      <c r="I88" s="2" t="s">
        <v>92</v>
      </c>
      <c r="J88" s="2" t="s">
        <v>65</v>
      </c>
      <c r="K88" s="2" t="s">
        <v>304</v>
      </c>
      <c r="L88" s="2" t="s">
        <v>191</v>
      </c>
      <c r="M88" s="8" t="str">
        <f>HYPERLINK("http://slimages.macys.com/is/image/MCY/14815686 ")</f>
        <v xml:space="preserve">http://slimages.macys.com/is/image/MCY/14815686 </v>
      </c>
    </row>
    <row r="89" spans="1:13" ht="144" x14ac:dyDescent="0.25">
      <c r="A89" s="7" t="s">
        <v>14268</v>
      </c>
      <c r="B89" s="2" t="s">
        <v>3775</v>
      </c>
      <c r="C89" s="4">
        <v>3</v>
      </c>
      <c r="D89" s="5">
        <v>12.5</v>
      </c>
      <c r="E89" s="5">
        <v>34.99</v>
      </c>
      <c r="F89" s="4" t="s">
        <v>3776</v>
      </c>
      <c r="G89" s="2" t="s">
        <v>752</v>
      </c>
      <c r="H89" s="7" t="s">
        <v>149</v>
      </c>
      <c r="I89" s="2" t="s">
        <v>92</v>
      </c>
      <c r="J89" s="2" t="s">
        <v>65</v>
      </c>
      <c r="K89" s="2" t="s">
        <v>304</v>
      </c>
      <c r="L89" s="2" t="s">
        <v>3777</v>
      </c>
      <c r="M89" s="8" t="str">
        <f>HYPERLINK("http://slimages.macys.com/is/image/MCY/15240491 ")</f>
        <v xml:space="preserve">http://slimages.macys.com/is/image/MCY/15240491 </v>
      </c>
    </row>
    <row r="90" spans="1:13" ht="156" x14ac:dyDescent="0.25">
      <c r="A90" s="7" t="s">
        <v>13282</v>
      </c>
      <c r="B90" s="2" t="s">
        <v>3771</v>
      </c>
      <c r="C90" s="4">
        <v>1</v>
      </c>
      <c r="D90" s="5">
        <v>12.5</v>
      </c>
      <c r="E90" s="5">
        <v>34.99</v>
      </c>
      <c r="F90" s="4" t="s">
        <v>3772</v>
      </c>
      <c r="G90" s="2" t="s">
        <v>129</v>
      </c>
      <c r="H90" s="7" t="s">
        <v>442</v>
      </c>
      <c r="I90" s="2" t="s">
        <v>92</v>
      </c>
      <c r="J90" s="2" t="s">
        <v>65</v>
      </c>
      <c r="K90" s="2" t="s">
        <v>304</v>
      </c>
      <c r="L90" s="2" t="s">
        <v>3773</v>
      </c>
      <c r="M90" s="8" t="str">
        <f>HYPERLINK("http://slimages.macys.com/is/image/MCY/14815615 ")</f>
        <v xml:space="preserve">http://slimages.macys.com/is/image/MCY/14815615 </v>
      </c>
    </row>
    <row r="91" spans="1:13" ht="144" x14ac:dyDescent="0.25">
      <c r="A91" s="7" t="s">
        <v>13577</v>
      </c>
      <c r="B91" s="2" t="s">
        <v>3775</v>
      </c>
      <c r="C91" s="4">
        <v>4</v>
      </c>
      <c r="D91" s="5">
        <v>12.5</v>
      </c>
      <c r="E91" s="5">
        <v>34.99</v>
      </c>
      <c r="F91" s="4" t="s">
        <v>3776</v>
      </c>
      <c r="G91" s="2" t="s">
        <v>752</v>
      </c>
      <c r="H91" s="7" t="s">
        <v>590</v>
      </c>
      <c r="I91" s="2" t="s">
        <v>92</v>
      </c>
      <c r="J91" s="2" t="s">
        <v>65</v>
      </c>
      <c r="K91" s="2" t="s">
        <v>304</v>
      </c>
      <c r="L91" s="2" t="s">
        <v>3777</v>
      </c>
      <c r="M91" s="8" t="str">
        <f>HYPERLINK("http://slimages.macys.com/is/image/MCY/15240491 ")</f>
        <v xml:space="preserve">http://slimages.macys.com/is/image/MCY/15240491 </v>
      </c>
    </row>
    <row r="92" spans="1:13" ht="156" x14ac:dyDescent="0.25">
      <c r="A92" s="7" t="s">
        <v>13573</v>
      </c>
      <c r="B92" s="2" t="s">
        <v>3771</v>
      </c>
      <c r="C92" s="4">
        <v>1</v>
      </c>
      <c r="D92" s="5">
        <v>12.5</v>
      </c>
      <c r="E92" s="5">
        <v>34.99</v>
      </c>
      <c r="F92" s="4" t="s">
        <v>3772</v>
      </c>
      <c r="G92" s="2" t="s">
        <v>129</v>
      </c>
      <c r="H92" s="7" t="s">
        <v>590</v>
      </c>
      <c r="I92" s="2" t="s">
        <v>92</v>
      </c>
      <c r="J92" s="2" t="s">
        <v>65</v>
      </c>
      <c r="K92" s="2" t="s">
        <v>304</v>
      </c>
      <c r="L92" s="2" t="s">
        <v>3773</v>
      </c>
      <c r="M92" s="8" t="str">
        <f>HYPERLINK("http://slimages.macys.com/is/image/MCY/14815615 ")</f>
        <v xml:space="preserve">http://slimages.macys.com/is/image/MCY/14815615 </v>
      </c>
    </row>
    <row r="93" spans="1:13" ht="120" x14ac:dyDescent="0.25">
      <c r="A93" s="7" t="s">
        <v>13574</v>
      </c>
      <c r="B93" s="2" t="s">
        <v>3053</v>
      </c>
      <c r="C93" s="4">
        <v>2</v>
      </c>
      <c r="D93" s="5">
        <v>12.5</v>
      </c>
      <c r="E93" s="5">
        <v>34.99</v>
      </c>
      <c r="F93" s="4" t="s">
        <v>3054</v>
      </c>
      <c r="G93" s="2" t="s">
        <v>62</v>
      </c>
      <c r="H93" s="7" t="s">
        <v>590</v>
      </c>
      <c r="I93" s="2" t="s">
        <v>92</v>
      </c>
      <c r="J93" s="2" t="s">
        <v>65</v>
      </c>
      <c r="K93" s="2" t="s">
        <v>304</v>
      </c>
      <c r="L93" s="2" t="s">
        <v>3055</v>
      </c>
      <c r="M93" s="8" t="str">
        <f>HYPERLINK("http://slimages.macys.com/is/image/MCY/14815658 ")</f>
        <v xml:space="preserve">http://slimages.macys.com/is/image/MCY/14815658 </v>
      </c>
    </row>
    <row r="94" spans="1:13" ht="144" x14ac:dyDescent="0.25">
      <c r="A94" s="7" t="s">
        <v>13284</v>
      </c>
      <c r="B94" s="2" t="s">
        <v>3775</v>
      </c>
      <c r="C94" s="4">
        <v>1</v>
      </c>
      <c r="D94" s="5">
        <v>12.5</v>
      </c>
      <c r="E94" s="5">
        <v>34.99</v>
      </c>
      <c r="F94" s="4" t="s">
        <v>3776</v>
      </c>
      <c r="G94" s="2" t="s">
        <v>752</v>
      </c>
      <c r="H94" s="7" t="s">
        <v>91</v>
      </c>
      <c r="I94" s="2" t="s">
        <v>92</v>
      </c>
      <c r="J94" s="2" t="s">
        <v>65</v>
      </c>
      <c r="K94" s="2" t="s">
        <v>304</v>
      </c>
      <c r="L94" s="2" t="s">
        <v>3777</v>
      </c>
      <c r="M94" s="8" t="str">
        <f>HYPERLINK("http://slimages.macys.com/is/image/MCY/15240491 ")</f>
        <v xml:space="preserve">http://slimages.macys.com/is/image/MCY/15240491 </v>
      </c>
    </row>
    <row r="95" spans="1:13" ht="168" x14ac:dyDescent="0.25">
      <c r="A95" s="7" t="s">
        <v>3074</v>
      </c>
      <c r="B95" s="2" t="s">
        <v>189</v>
      </c>
      <c r="C95" s="4">
        <v>2</v>
      </c>
      <c r="D95" s="5">
        <v>12.5</v>
      </c>
      <c r="E95" s="5">
        <v>34.99</v>
      </c>
      <c r="F95" s="4" t="s">
        <v>190</v>
      </c>
      <c r="G95" s="2" t="s">
        <v>129</v>
      </c>
      <c r="H95" s="7" t="s">
        <v>91</v>
      </c>
      <c r="I95" s="2" t="s">
        <v>92</v>
      </c>
      <c r="J95" s="2" t="s">
        <v>65</v>
      </c>
      <c r="K95" s="2" t="s">
        <v>304</v>
      </c>
      <c r="L95" s="2" t="s">
        <v>191</v>
      </c>
      <c r="M95" s="8" t="str">
        <f>HYPERLINK("http://slimages.macys.com/is/image/MCY/14815686 ")</f>
        <v xml:space="preserve">http://slimages.macys.com/is/image/MCY/14815686 </v>
      </c>
    </row>
    <row r="96" spans="1:13" ht="204" x14ac:dyDescent="0.25">
      <c r="A96" s="7" t="s">
        <v>1557</v>
      </c>
      <c r="B96" s="2" t="s">
        <v>1558</v>
      </c>
      <c r="C96" s="4">
        <v>1</v>
      </c>
      <c r="D96" s="5">
        <v>12.5</v>
      </c>
      <c r="E96" s="5">
        <v>34.99</v>
      </c>
      <c r="F96" s="4" t="s">
        <v>1559</v>
      </c>
      <c r="G96" s="2" t="s">
        <v>129</v>
      </c>
      <c r="H96" s="7" t="s">
        <v>91</v>
      </c>
      <c r="I96" s="2" t="s">
        <v>92</v>
      </c>
      <c r="J96" s="2" t="s">
        <v>65</v>
      </c>
      <c r="K96" s="2" t="s">
        <v>304</v>
      </c>
      <c r="L96" s="2" t="s">
        <v>1560</v>
      </c>
      <c r="M96" s="8" t="str">
        <f>HYPERLINK("http://slimages.macys.com/is/image/MCY/14815688 ")</f>
        <v xml:space="preserve">http://slimages.macys.com/is/image/MCY/14815688 </v>
      </c>
    </row>
    <row r="97" spans="1:13" ht="204" x14ac:dyDescent="0.25">
      <c r="A97" s="7" t="s">
        <v>5230</v>
      </c>
      <c r="B97" s="2" t="s">
        <v>1558</v>
      </c>
      <c r="C97" s="4">
        <v>2</v>
      </c>
      <c r="D97" s="5">
        <v>12.5</v>
      </c>
      <c r="E97" s="5">
        <v>34.99</v>
      </c>
      <c r="F97" s="4" t="s">
        <v>1559</v>
      </c>
      <c r="G97" s="2" t="s">
        <v>129</v>
      </c>
      <c r="H97" s="7" t="s">
        <v>590</v>
      </c>
      <c r="I97" s="2" t="s">
        <v>92</v>
      </c>
      <c r="J97" s="2" t="s">
        <v>65</v>
      </c>
      <c r="K97" s="2" t="s">
        <v>304</v>
      </c>
      <c r="L97" s="2" t="s">
        <v>1560</v>
      </c>
      <c r="M97" s="8" t="str">
        <f>HYPERLINK("http://slimages.macys.com/is/image/MCY/14815688 ")</f>
        <v xml:space="preserve">http://slimages.macys.com/is/image/MCY/14815688 </v>
      </c>
    </row>
    <row r="98" spans="1:13" ht="168" x14ac:dyDescent="0.25">
      <c r="A98" s="7" t="s">
        <v>188</v>
      </c>
      <c r="B98" s="2" t="s">
        <v>189</v>
      </c>
      <c r="C98" s="4">
        <v>1</v>
      </c>
      <c r="D98" s="5">
        <v>12.5</v>
      </c>
      <c r="E98" s="5">
        <v>34.99</v>
      </c>
      <c r="F98" s="4" t="s">
        <v>190</v>
      </c>
      <c r="G98" s="2" t="s">
        <v>129</v>
      </c>
      <c r="H98" s="7" t="s">
        <v>149</v>
      </c>
      <c r="I98" s="2" t="s">
        <v>92</v>
      </c>
      <c r="J98" s="2" t="s">
        <v>65</v>
      </c>
      <c r="K98" s="2" t="s">
        <v>304</v>
      </c>
      <c r="L98" s="2" t="s">
        <v>191</v>
      </c>
      <c r="M98" s="8" t="str">
        <f>HYPERLINK("http://slimages.macys.com/is/image/MCY/14815686 ")</f>
        <v xml:space="preserve">http://slimages.macys.com/is/image/MCY/14815686 </v>
      </c>
    </row>
    <row r="99" spans="1:13" ht="204" x14ac:dyDescent="0.25">
      <c r="A99" s="7" t="s">
        <v>3060</v>
      </c>
      <c r="B99" s="2" t="s">
        <v>1558</v>
      </c>
      <c r="C99" s="4">
        <v>1</v>
      </c>
      <c r="D99" s="5">
        <v>12.5</v>
      </c>
      <c r="E99" s="5">
        <v>34.99</v>
      </c>
      <c r="F99" s="4" t="s">
        <v>1559</v>
      </c>
      <c r="G99" s="2" t="s">
        <v>129</v>
      </c>
      <c r="H99" s="7" t="s">
        <v>149</v>
      </c>
      <c r="I99" s="2" t="s">
        <v>92</v>
      </c>
      <c r="J99" s="2" t="s">
        <v>65</v>
      </c>
      <c r="K99" s="2" t="s">
        <v>304</v>
      </c>
      <c r="L99" s="2" t="s">
        <v>1560</v>
      </c>
      <c r="M99" s="8" t="str">
        <f>HYPERLINK("http://slimages.macys.com/is/image/MCY/14815688 ")</f>
        <v xml:space="preserve">http://slimages.macys.com/is/image/MCY/14815688 </v>
      </c>
    </row>
    <row r="100" spans="1:13" ht="60" x14ac:dyDescent="0.25">
      <c r="A100" s="7" t="s">
        <v>779</v>
      </c>
      <c r="B100" s="2" t="s">
        <v>198</v>
      </c>
      <c r="C100" s="4">
        <v>1</v>
      </c>
      <c r="D100" s="5">
        <v>12.39</v>
      </c>
      <c r="E100" s="5">
        <v>29.5</v>
      </c>
      <c r="F100" s="4" t="s">
        <v>199</v>
      </c>
      <c r="G100" s="2" t="s">
        <v>200</v>
      </c>
      <c r="H100" s="7" t="s">
        <v>442</v>
      </c>
      <c r="I100" s="2" t="s">
        <v>135</v>
      </c>
      <c r="J100" s="2" t="s">
        <v>201</v>
      </c>
      <c r="K100" s="2" t="s">
        <v>304</v>
      </c>
      <c r="L100" s="2" t="s">
        <v>87</v>
      </c>
      <c r="M100" s="8" t="str">
        <f>HYPERLINK("http://slimages.macys.com/is/image/MCY/1477012 ")</f>
        <v xml:space="preserve">http://slimages.macys.com/is/image/MCY/1477012 </v>
      </c>
    </row>
    <row r="101" spans="1:13" ht="60" x14ac:dyDescent="0.25">
      <c r="A101" s="7" t="s">
        <v>14269</v>
      </c>
      <c r="B101" s="2" t="s">
        <v>14270</v>
      </c>
      <c r="C101" s="4">
        <v>1</v>
      </c>
      <c r="D101" s="5">
        <v>12.25</v>
      </c>
      <c r="E101" s="5">
        <v>30.99</v>
      </c>
      <c r="F101" s="4" t="s">
        <v>14271</v>
      </c>
      <c r="G101" s="2" t="s">
        <v>165</v>
      </c>
      <c r="H101" s="7" t="s">
        <v>144</v>
      </c>
      <c r="I101" s="2" t="s">
        <v>80</v>
      </c>
      <c r="J101" s="2" t="s">
        <v>145</v>
      </c>
      <c r="K101" s="2" t="s">
        <v>304</v>
      </c>
      <c r="L101" s="2" t="s">
        <v>119</v>
      </c>
      <c r="M101" s="8" t="str">
        <f>HYPERLINK("http://slimages.macys.com/is/image/MCY/13356699 ")</f>
        <v xml:space="preserve">http://slimages.macys.com/is/image/MCY/13356699 </v>
      </c>
    </row>
    <row r="102" spans="1:13" ht="60" x14ac:dyDescent="0.25">
      <c r="A102" s="7" t="s">
        <v>3801</v>
      </c>
      <c r="B102" s="2" t="s">
        <v>1491</v>
      </c>
      <c r="C102" s="4">
        <v>1</v>
      </c>
      <c r="D102" s="5">
        <v>11.7</v>
      </c>
      <c r="E102" s="5">
        <v>32.5</v>
      </c>
      <c r="F102" s="4" t="s">
        <v>3802</v>
      </c>
      <c r="G102" s="2" t="s">
        <v>800</v>
      </c>
      <c r="H102" s="7" t="s">
        <v>91</v>
      </c>
      <c r="I102" s="2" t="s">
        <v>92</v>
      </c>
      <c r="J102" s="2" t="s">
        <v>3633</v>
      </c>
      <c r="K102" s="2" t="s">
        <v>304</v>
      </c>
      <c r="L102" s="2" t="s">
        <v>119</v>
      </c>
      <c r="M102" s="8" t="str">
        <f>HYPERLINK("http://slimages.macys.com/is/image/MCY/13859676 ")</f>
        <v xml:space="preserve">http://slimages.macys.com/is/image/MCY/13859676 </v>
      </c>
    </row>
    <row r="103" spans="1:13" ht="60" x14ac:dyDescent="0.25">
      <c r="A103" s="7" t="s">
        <v>14272</v>
      </c>
      <c r="B103" s="2" t="s">
        <v>14273</v>
      </c>
      <c r="C103" s="4">
        <v>1</v>
      </c>
      <c r="D103" s="5">
        <v>11.5</v>
      </c>
      <c r="E103" s="5">
        <v>24.99</v>
      </c>
      <c r="F103" s="4" t="s">
        <v>14274</v>
      </c>
      <c r="G103" s="2" t="s">
        <v>86</v>
      </c>
      <c r="H103" s="7" t="s">
        <v>228</v>
      </c>
      <c r="I103" s="2" t="s">
        <v>218</v>
      </c>
      <c r="J103" s="2" t="s">
        <v>219</v>
      </c>
      <c r="K103" s="2" t="s">
        <v>304</v>
      </c>
      <c r="L103" s="2" t="s">
        <v>358</v>
      </c>
      <c r="M103" s="8" t="str">
        <f>HYPERLINK("http://slimages.macys.com/is/image/MCY/11952890 ")</f>
        <v xml:space="preserve">http://slimages.macys.com/is/image/MCY/11952890 </v>
      </c>
    </row>
    <row r="104" spans="1:13" ht="60" x14ac:dyDescent="0.25">
      <c r="A104" s="7" t="s">
        <v>14275</v>
      </c>
      <c r="B104" s="2" t="s">
        <v>14276</v>
      </c>
      <c r="C104" s="4">
        <v>1</v>
      </c>
      <c r="D104" s="5">
        <v>11.12</v>
      </c>
      <c r="E104" s="5">
        <v>22.99</v>
      </c>
      <c r="F104" s="4" t="s">
        <v>14277</v>
      </c>
      <c r="G104" s="2" t="s">
        <v>165</v>
      </c>
      <c r="H104" s="7" t="s">
        <v>284</v>
      </c>
      <c r="I104" s="2" t="s">
        <v>80</v>
      </c>
      <c r="J104" s="2" t="s">
        <v>160</v>
      </c>
      <c r="K104" s="2" t="s">
        <v>304</v>
      </c>
      <c r="L104" s="2" t="s">
        <v>125</v>
      </c>
      <c r="M104" s="8" t="str">
        <f>HYPERLINK("http://slimages.macys.com/is/image/MCY/13758384 ")</f>
        <v xml:space="preserve">http://slimages.macys.com/is/image/MCY/13758384 </v>
      </c>
    </row>
    <row r="105" spans="1:13" ht="144" x14ac:dyDescent="0.25">
      <c r="A105" s="7" t="s">
        <v>232</v>
      </c>
      <c r="B105" s="2" t="s">
        <v>152</v>
      </c>
      <c r="C105" s="4">
        <v>1</v>
      </c>
      <c r="D105" s="5">
        <v>11.1</v>
      </c>
      <c r="E105" s="5">
        <v>25.24</v>
      </c>
      <c r="F105" s="4">
        <v>19318310</v>
      </c>
      <c r="G105" s="2"/>
      <c r="H105" s="7" t="s">
        <v>233</v>
      </c>
      <c r="I105" s="2" t="s">
        <v>153</v>
      </c>
      <c r="J105" s="2" t="s">
        <v>154</v>
      </c>
      <c r="K105" s="2" t="s">
        <v>304</v>
      </c>
      <c r="L105" s="2" t="s">
        <v>234</v>
      </c>
      <c r="M105" s="8" t="str">
        <f>HYPERLINK("http://slimages.macys.com/is/image/MCY/14608343 ")</f>
        <v xml:space="preserve">http://slimages.macys.com/is/image/MCY/14608343 </v>
      </c>
    </row>
    <row r="106" spans="1:13" ht="144" x14ac:dyDescent="0.25">
      <c r="A106" s="7" t="s">
        <v>5253</v>
      </c>
      <c r="B106" s="2" t="s">
        <v>152</v>
      </c>
      <c r="C106" s="4">
        <v>3</v>
      </c>
      <c r="D106" s="5">
        <v>11.1</v>
      </c>
      <c r="E106" s="5">
        <v>25.24</v>
      </c>
      <c r="F106" s="4">
        <v>19318310</v>
      </c>
      <c r="G106" s="2"/>
      <c r="H106" s="7" t="s">
        <v>482</v>
      </c>
      <c r="I106" s="2" t="s">
        <v>153</v>
      </c>
      <c r="J106" s="2" t="s">
        <v>154</v>
      </c>
      <c r="K106" s="2" t="s">
        <v>304</v>
      </c>
      <c r="L106" s="2" t="s">
        <v>234</v>
      </c>
      <c r="M106" s="8" t="str">
        <f>HYPERLINK("http://slimages.macys.com/is/image/MCY/14608343 ")</f>
        <v xml:space="preserve">http://slimages.macys.com/is/image/MCY/14608343 </v>
      </c>
    </row>
    <row r="107" spans="1:13" ht="156" x14ac:dyDescent="0.25">
      <c r="A107" s="7" t="s">
        <v>14278</v>
      </c>
      <c r="B107" s="2" t="s">
        <v>14279</v>
      </c>
      <c r="C107" s="4">
        <v>1</v>
      </c>
      <c r="D107" s="5">
        <v>11</v>
      </c>
      <c r="E107" s="5">
        <v>32.99</v>
      </c>
      <c r="F107" s="4" t="s">
        <v>14280</v>
      </c>
      <c r="G107" s="2" t="s">
        <v>36</v>
      </c>
      <c r="H107" s="7" t="s">
        <v>590</v>
      </c>
      <c r="I107" s="2" t="s">
        <v>92</v>
      </c>
      <c r="J107" s="2" t="s">
        <v>239</v>
      </c>
      <c r="K107" s="2" t="s">
        <v>304</v>
      </c>
      <c r="L107" s="2" t="s">
        <v>14281</v>
      </c>
      <c r="M107" s="8" t="str">
        <f>HYPERLINK("http://slimages.macys.com/is/image/MCY/13933729 ")</f>
        <v xml:space="preserve">http://slimages.macys.com/is/image/MCY/13933729 </v>
      </c>
    </row>
    <row r="108" spans="1:13" ht="108" x14ac:dyDescent="0.25">
      <c r="A108" s="7" t="s">
        <v>14282</v>
      </c>
      <c r="B108" s="2" t="s">
        <v>14283</v>
      </c>
      <c r="C108" s="4">
        <v>1</v>
      </c>
      <c r="D108" s="5">
        <v>11</v>
      </c>
      <c r="E108" s="5">
        <v>29.99</v>
      </c>
      <c r="F108" s="4" t="s">
        <v>14284</v>
      </c>
      <c r="G108" s="2" t="s">
        <v>353</v>
      </c>
      <c r="H108" s="7" t="s">
        <v>442</v>
      </c>
      <c r="I108" s="2" t="s">
        <v>92</v>
      </c>
      <c r="J108" s="2" t="s">
        <v>239</v>
      </c>
      <c r="K108" s="2" t="s">
        <v>304</v>
      </c>
      <c r="L108" s="2" t="s">
        <v>13297</v>
      </c>
      <c r="M108" s="8" t="str">
        <f>HYPERLINK("http://slimages.macys.com/is/image/MCY/14989258 ")</f>
        <v xml:space="preserve">http://slimages.macys.com/is/image/MCY/14989258 </v>
      </c>
    </row>
    <row r="109" spans="1:13" ht="60" x14ac:dyDescent="0.25">
      <c r="A109" s="7" t="s">
        <v>13290</v>
      </c>
      <c r="B109" s="2" t="s">
        <v>13291</v>
      </c>
      <c r="C109" s="4">
        <v>1</v>
      </c>
      <c r="D109" s="5">
        <v>11</v>
      </c>
      <c r="E109" s="5">
        <v>29.99</v>
      </c>
      <c r="F109" s="4" t="s">
        <v>13292</v>
      </c>
      <c r="G109" s="2" t="s">
        <v>62</v>
      </c>
      <c r="H109" s="7" t="s">
        <v>590</v>
      </c>
      <c r="I109" s="2" t="s">
        <v>92</v>
      </c>
      <c r="J109" s="2" t="s">
        <v>239</v>
      </c>
      <c r="K109" s="2" t="s">
        <v>304</v>
      </c>
      <c r="L109" s="2" t="s">
        <v>100</v>
      </c>
      <c r="M109" s="8" t="str">
        <f>HYPERLINK("http://slimages.macys.com/is/image/MCY/13933713 ")</f>
        <v xml:space="preserve">http://slimages.macys.com/is/image/MCY/13933713 </v>
      </c>
    </row>
    <row r="110" spans="1:13" ht="96" x14ac:dyDescent="0.25">
      <c r="A110" s="7" t="s">
        <v>14285</v>
      </c>
      <c r="B110" s="2" t="s">
        <v>14286</v>
      </c>
      <c r="C110" s="4">
        <v>1</v>
      </c>
      <c r="D110" s="5">
        <v>11</v>
      </c>
      <c r="E110" s="5">
        <v>29.99</v>
      </c>
      <c r="F110" s="4" t="s">
        <v>14287</v>
      </c>
      <c r="G110" s="2" t="s">
        <v>455</v>
      </c>
      <c r="H110" s="7" t="s">
        <v>91</v>
      </c>
      <c r="I110" s="2" t="s">
        <v>92</v>
      </c>
      <c r="J110" s="2" t="s">
        <v>239</v>
      </c>
      <c r="K110" s="2" t="s">
        <v>304</v>
      </c>
      <c r="L110" s="2" t="s">
        <v>14288</v>
      </c>
      <c r="M110" s="8" t="str">
        <f>HYPERLINK("http://slimages.macys.com/is/image/MCY/13933697 ")</f>
        <v xml:space="preserve">http://slimages.macys.com/is/image/MCY/13933697 </v>
      </c>
    </row>
    <row r="111" spans="1:13" ht="180" x14ac:dyDescent="0.25">
      <c r="A111" s="7" t="s">
        <v>13599</v>
      </c>
      <c r="B111" s="2" t="s">
        <v>236</v>
      </c>
      <c r="C111" s="4">
        <v>1</v>
      </c>
      <c r="D111" s="5">
        <v>11</v>
      </c>
      <c r="E111" s="5">
        <v>32.99</v>
      </c>
      <c r="F111" s="4" t="s">
        <v>237</v>
      </c>
      <c r="G111" s="2" t="s">
        <v>238</v>
      </c>
      <c r="H111" s="7" t="s">
        <v>149</v>
      </c>
      <c r="I111" s="2" t="s">
        <v>92</v>
      </c>
      <c r="J111" s="2" t="s">
        <v>239</v>
      </c>
      <c r="K111" s="2" t="s">
        <v>304</v>
      </c>
      <c r="L111" s="2" t="s">
        <v>240</v>
      </c>
      <c r="M111" s="8" t="str">
        <f>HYPERLINK("http://slimages.macys.com/is/image/MCY/13933736 ")</f>
        <v xml:space="preserve">http://slimages.macys.com/is/image/MCY/13933736 </v>
      </c>
    </row>
    <row r="112" spans="1:13" ht="108" x14ac:dyDescent="0.25">
      <c r="A112" s="7" t="s">
        <v>13793</v>
      </c>
      <c r="B112" s="2" t="s">
        <v>2515</v>
      </c>
      <c r="C112" s="4">
        <v>1</v>
      </c>
      <c r="D112" s="5">
        <v>10.75</v>
      </c>
      <c r="E112" s="5">
        <v>27.99</v>
      </c>
      <c r="F112" s="4" t="s">
        <v>2516</v>
      </c>
      <c r="G112" s="2" t="s">
        <v>874</v>
      </c>
      <c r="H112" s="7" t="s">
        <v>63</v>
      </c>
      <c r="I112" s="2" t="s">
        <v>73</v>
      </c>
      <c r="J112" s="2" t="s">
        <v>778</v>
      </c>
      <c r="K112" s="2" t="s">
        <v>304</v>
      </c>
      <c r="L112" s="2" t="s">
        <v>2517</v>
      </c>
      <c r="M112" s="8" t="str">
        <f>HYPERLINK("http://slimages.macys.com/is/image/MCY/12793385 ")</f>
        <v xml:space="preserve">http://slimages.macys.com/is/image/MCY/12793385 </v>
      </c>
    </row>
    <row r="113" spans="1:13" ht="60" x14ac:dyDescent="0.25">
      <c r="A113" s="7" t="s">
        <v>2522</v>
      </c>
      <c r="B113" s="2" t="s">
        <v>255</v>
      </c>
      <c r="C113" s="4">
        <v>5</v>
      </c>
      <c r="D113" s="5">
        <v>10.5</v>
      </c>
      <c r="E113" s="5">
        <v>24.99</v>
      </c>
      <c r="F113" s="4" t="s">
        <v>256</v>
      </c>
      <c r="G113" s="2" t="s">
        <v>86</v>
      </c>
      <c r="H113" s="7" t="s">
        <v>172</v>
      </c>
      <c r="I113" s="2" t="s">
        <v>257</v>
      </c>
      <c r="J113" s="2" t="s">
        <v>258</v>
      </c>
      <c r="K113" s="2" t="s">
        <v>304</v>
      </c>
      <c r="L113" s="2" t="s">
        <v>206</v>
      </c>
      <c r="M113" s="8" t="str">
        <f>HYPERLINK("http://slimages.macys.com/is/image/MCY/11722980 ")</f>
        <v xml:space="preserve">http://slimages.macys.com/is/image/MCY/11722980 </v>
      </c>
    </row>
    <row r="114" spans="1:13" ht="60" x14ac:dyDescent="0.25">
      <c r="A114" s="7" t="s">
        <v>264</v>
      </c>
      <c r="B114" s="2" t="s">
        <v>255</v>
      </c>
      <c r="C114" s="4">
        <v>3</v>
      </c>
      <c r="D114" s="5">
        <v>10.5</v>
      </c>
      <c r="E114" s="5">
        <v>24.99</v>
      </c>
      <c r="F114" s="4" t="s">
        <v>256</v>
      </c>
      <c r="G114" s="2" t="s">
        <v>86</v>
      </c>
      <c r="H114" s="7" t="s">
        <v>177</v>
      </c>
      <c r="I114" s="2" t="s">
        <v>257</v>
      </c>
      <c r="J114" s="2" t="s">
        <v>258</v>
      </c>
      <c r="K114" s="2" t="s">
        <v>304</v>
      </c>
      <c r="L114" s="2" t="s">
        <v>206</v>
      </c>
      <c r="M114" s="8" t="str">
        <f>HYPERLINK("http://slimages.macys.com/is/image/MCY/11722980 ")</f>
        <v xml:space="preserve">http://slimages.macys.com/is/image/MCY/11722980 </v>
      </c>
    </row>
    <row r="115" spans="1:13" ht="60" x14ac:dyDescent="0.25">
      <c r="A115" s="7" t="s">
        <v>254</v>
      </c>
      <c r="B115" s="2" t="s">
        <v>255</v>
      </c>
      <c r="C115" s="4">
        <v>2</v>
      </c>
      <c r="D115" s="5">
        <v>10.5</v>
      </c>
      <c r="E115" s="5">
        <v>24.99</v>
      </c>
      <c r="F115" s="4" t="s">
        <v>256</v>
      </c>
      <c r="G115" s="2" t="s">
        <v>86</v>
      </c>
      <c r="H115" s="7" t="s">
        <v>56</v>
      </c>
      <c r="I115" s="2" t="s">
        <v>257</v>
      </c>
      <c r="J115" s="2" t="s">
        <v>258</v>
      </c>
      <c r="K115" s="2" t="s">
        <v>304</v>
      </c>
      <c r="L115" s="2" t="s">
        <v>206</v>
      </c>
      <c r="M115" s="8" t="str">
        <f>HYPERLINK("http://slimages.macys.com/is/image/MCY/11722980 ")</f>
        <v xml:space="preserve">http://slimages.macys.com/is/image/MCY/11722980 </v>
      </c>
    </row>
    <row r="116" spans="1:13" ht="60" x14ac:dyDescent="0.25">
      <c r="A116" s="7" t="s">
        <v>14289</v>
      </c>
      <c r="B116" s="2" t="s">
        <v>255</v>
      </c>
      <c r="C116" s="4">
        <v>1</v>
      </c>
      <c r="D116" s="5">
        <v>10.5</v>
      </c>
      <c r="E116" s="5">
        <v>24.99</v>
      </c>
      <c r="F116" s="4" t="s">
        <v>256</v>
      </c>
      <c r="G116" s="2" t="s">
        <v>86</v>
      </c>
      <c r="H116" s="7" t="s">
        <v>2740</v>
      </c>
      <c r="I116" s="2" t="s">
        <v>257</v>
      </c>
      <c r="J116" s="2" t="s">
        <v>258</v>
      </c>
      <c r="K116" s="2" t="s">
        <v>304</v>
      </c>
      <c r="L116" s="2" t="s">
        <v>206</v>
      </c>
      <c r="M116" s="8" t="str">
        <f>HYPERLINK("http://slimages.macys.com/is/image/MCY/11722980 ")</f>
        <v xml:space="preserve">http://slimages.macys.com/is/image/MCY/11722980 </v>
      </c>
    </row>
    <row r="117" spans="1:13" ht="84" x14ac:dyDescent="0.25">
      <c r="A117" s="7" t="s">
        <v>2521</v>
      </c>
      <c r="B117" s="2" t="s">
        <v>809</v>
      </c>
      <c r="C117" s="4">
        <v>1</v>
      </c>
      <c r="D117" s="5">
        <v>10.5</v>
      </c>
      <c r="E117" s="5">
        <v>25.25</v>
      </c>
      <c r="F117" s="4">
        <v>19318710</v>
      </c>
      <c r="G117" s="2"/>
      <c r="H117" s="7" t="s">
        <v>438</v>
      </c>
      <c r="I117" s="2" t="s">
        <v>153</v>
      </c>
      <c r="J117" s="2" t="s">
        <v>154</v>
      </c>
      <c r="K117" s="2" t="s">
        <v>304</v>
      </c>
      <c r="L117" s="2" t="s">
        <v>810</v>
      </c>
      <c r="M117" s="8" t="str">
        <f>HYPERLINK("http://slimages.macys.com/is/image/MCY/14662007 ")</f>
        <v xml:space="preserve">http://slimages.macys.com/is/image/MCY/14662007 </v>
      </c>
    </row>
    <row r="118" spans="1:13" ht="60" x14ac:dyDescent="0.25">
      <c r="A118" s="7" t="s">
        <v>822</v>
      </c>
      <c r="B118" s="2" t="s">
        <v>255</v>
      </c>
      <c r="C118" s="4">
        <v>2</v>
      </c>
      <c r="D118" s="5">
        <v>10.5</v>
      </c>
      <c r="E118" s="5">
        <v>24.99</v>
      </c>
      <c r="F118" s="4" t="s">
        <v>256</v>
      </c>
      <c r="G118" s="2" t="s">
        <v>86</v>
      </c>
      <c r="H118" s="7" t="s">
        <v>97</v>
      </c>
      <c r="I118" s="2" t="s">
        <v>257</v>
      </c>
      <c r="J118" s="2" t="s">
        <v>258</v>
      </c>
      <c r="K118" s="2" t="s">
        <v>304</v>
      </c>
      <c r="L118" s="2" t="s">
        <v>206</v>
      </c>
      <c r="M118" s="8" t="str">
        <f>HYPERLINK("http://slimages.macys.com/is/image/MCY/11722980 ")</f>
        <v xml:space="preserve">http://slimages.macys.com/is/image/MCY/11722980 </v>
      </c>
    </row>
    <row r="119" spans="1:13" ht="60" x14ac:dyDescent="0.25">
      <c r="A119" s="7" t="s">
        <v>1603</v>
      </c>
      <c r="B119" s="2" t="s">
        <v>255</v>
      </c>
      <c r="C119" s="4">
        <v>2</v>
      </c>
      <c r="D119" s="5">
        <v>10.5</v>
      </c>
      <c r="E119" s="5">
        <v>24.99</v>
      </c>
      <c r="F119" s="4" t="s">
        <v>256</v>
      </c>
      <c r="G119" s="2" t="s">
        <v>86</v>
      </c>
      <c r="H119" s="7" t="s">
        <v>1411</v>
      </c>
      <c r="I119" s="2" t="s">
        <v>257</v>
      </c>
      <c r="J119" s="2" t="s">
        <v>258</v>
      </c>
      <c r="K119" s="2" t="s">
        <v>304</v>
      </c>
      <c r="L119" s="2" t="s">
        <v>206</v>
      </c>
      <c r="M119" s="8" t="str">
        <f>HYPERLINK("http://slimages.macys.com/is/image/MCY/11722980 ")</f>
        <v xml:space="preserve">http://slimages.macys.com/is/image/MCY/11722980 </v>
      </c>
    </row>
    <row r="120" spans="1:13" ht="156" x14ac:dyDescent="0.25">
      <c r="A120" s="7" t="s">
        <v>14290</v>
      </c>
      <c r="B120" s="2" t="s">
        <v>3160</v>
      </c>
      <c r="C120" s="4">
        <v>1</v>
      </c>
      <c r="D120" s="5">
        <v>10</v>
      </c>
      <c r="E120" s="5">
        <v>29.99</v>
      </c>
      <c r="F120" s="4" t="s">
        <v>3161</v>
      </c>
      <c r="G120" s="2" t="s">
        <v>36</v>
      </c>
      <c r="H120" s="7" t="s">
        <v>91</v>
      </c>
      <c r="I120" s="2" t="s">
        <v>92</v>
      </c>
      <c r="J120" s="2" t="s">
        <v>239</v>
      </c>
      <c r="K120" s="2" t="s">
        <v>304</v>
      </c>
      <c r="L120" s="2" t="s">
        <v>3162</v>
      </c>
      <c r="M120" s="8" t="str">
        <f>HYPERLINK("http://slimages.macys.com/is/image/MCY/14542905 ")</f>
        <v xml:space="preserve">http://slimages.macys.com/is/image/MCY/14542905 </v>
      </c>
    </row>
    <row r="121" spans="1:13" ht="156" x14ac:dyDescent="0.25">
      <c r="A121" s="7" t="s">
        <v>13620</v>
      </c>
      <c r="B121" s="2" t="s">
        <v>3160</v>
      </c>
      <c r="C121" s="4">
        <v>1</v>
      </c>
      <c r="D121" s="5">
        <v>10</v>
      </c>
      <c r="E121" s="5">
        <v>29.99</v>
      </c>
      <c r="F121" s="4" t="s">
        <v>3161</v>
      </c>
      <c r="G121" s="2" t="s">
        <v>36</v>
      </c>
      <c r="H121" s="7" t="s">
        <v>590</v>
      </c>
      <c r="I121" s="2" t="s">
        <v>92</v>
      </c>
      <c r="J121" s="2" t="s">
        <v>239</v>
      </c>
      <c r="K121" s="2" t="s">
        <v>304</v>
      </c>
      <c r="L121" s="2" t="s">
        <v>3162</v>
      </c>
      <c r="M121" s="8" t="str">
        <f>HYPERLINK("http://slimages.macys.com/is/image/MCY/14542905 ")</f>
        <v xml:space="preserve">http://slimages.macys.com/is/image/MCY/14542905 </v>
      </c>
    </row>
    <row r="122" spans="1:13" ht="60" x14ac:dyDescent="0.25">
      <c r="A122" s="7" t="s">
        <v>14291</v>
      </c>
      <c r="B122" s="2" t="s">
        <v>14292</v>
      </c>
      <c r="C122" s="4">
        <v>1</v>
      </c>
      <c r="D122" s="5">
        <v>9.4700000000000006</v>
      </c>
      <c r="E122" s="5">
        <v>38</v>
      </c>
      <c r="F122" s="4" t="s">
        <v>14293</v>
      </c>
      <c r="G122" s="2" t="s">
        <v>657</v>
      </c>
      <c r="H122" s="7" t="s">
        <v>63</v>
      </c>
      <c r="I122" s="2" t="s">
        <v>173</v>
      </c>
      <c r="J122" s="2" t="s">
        <v>1967</v>
      </c>
      <c r="K122" s="2" t="s">
        <v>304</v>
      </c>
      <c r="L122" s="2" t="s">
        <v>14294</v>
      </c>
      <c r="M122" s="8" t="str">
        <f>HYPERLINK("http://slimages.macys.com/is/image/MCY/12803253 ")</f>
        <v xml:space="preserve">http://slimages.macys.com/is/image/MCY/12803253 </v>
      </c>
    </row>
    <row r="123" spans="1:13" ht="60" x14ac:dyDescent="0.25">
      <c r="A123" s="7" t="s">
        <v>14295</v>
      </c>
      <c r="B123" s="2" t="s">
        <v>14292</v>
      </c>
      <c r="C123" s="4">
        <v>2</v>
      </c>
      <c r="D123" s="5">
        <v>9.4700000000000006</v>
      </c>
      <c r="E123" s="5">
        <v>38</v>
      </c>
      <c r="F123" s="4" t="s">
        <v>14293</v>
      </c>
      <c r="G123" s="2" t="s">
        <v>657</v>
      </c>
      <c r="H123" s="7" t="s">
        <v>123</v>
      </c>
      <c r="I123" s="2" t="s">
        <v>173</v>
      </c>
      <c r="J123" s="2" t="s">
        <v>1967</v>
      </c>
      <c r="K123" s="2" t="s">
        <v>304</v>
      </c>
      <c r="L123" s="2" t="s">
        <v>14294</v>
      </c>
      <c r="M123" s="8" t="str">
        <f>HYPERLINK("http://slimages.macys.com/is/image/MCY/12803253 ")</f>
        <v xml:space="preserve">http://slimages.macys.com/is/image/MCY/12803253 </v>
      </c>
    </row>
    <row r="124" spans="1:13" ht="60" x14ac:dyDescent="0.25">
      <c r="A124" s="7" t="s">
        <v>14296</v>
      </c>
      <c r="B124" s="2" t="s">
        <v>14292</v>
      </c>
      <c r="C124" s="4">
        <v>2</v>
      </c>
      <c r="D124" s="5">
        <v>9.4700000000000006</v>
      </c>
      <c r="E124" s="5">
        <v>38</v>
      </c>
      <c r="F124" s="4" t="s">
        <v>14293</v>
      </c>
      <c r="G124" s="2" t="s">
        <v>657</v>
      </c>
      <c r="H124" s="7" t="s">
        <v>311</v>
      </c>
      <c r="I124" s="2" t="s">
        <v>173</v>
      </c>
      <c r="J124" s="2" t="s">
        <v>1967</v>
      </c>
      <c r="K124" s="2" t="s">
        <v>304</v>
      </c>
      <c r="L124" s="2" t="s">
        <v>14294</v>
      </c>
      <c r="M124" s="8" t="str">
        <f>HYPERLINK("http://slimages.macys.com/is/image/MCY/12803253 ")</f>
        <v xml:space="preserve">http://slimages.macys.com/is/image/MCY/12803253 </v>
      </c>
    </row>
    <row r="125" spans="1:13" ht="60" x14ac:dyDescent="0.25">
      <c r="A125" s="7" t="s">
        <v>14297</v>
      </c>
      <c r="B125" s="2" t="s">
        <v>14292</v>
      </c>
      <c r="C125" s="4">
        <v>1</v>
      </c>
      <c r="D125" s="5">
        <v>9.4700000000000006</v>
      </c>
      <c r="E125" s="5">
        <v>38</v>
      </c>
      <c r="F125" s="4" t="s">
        <v>14293</v>
      </c>
      <c r="G125" s="2" t="s">
        <v>657</v>
      </c>
      <c r="H125" s="7" t="s">
        <v>317</v>
      </c>
      <c r="I125" s="2" t="s">
        <v>173</v>
      </c>
      <c r="J125" s="2" t="s">
        <v>1967</v>
      </c>
      <c r="K125" s="2" t="s">
        <v>304</v>
      </c>
      <c r="L125" s="2" t="s">
        <v>14294</v>
      </c>
      <c r="M125" s="8" t="str">
        <f>HYPERLINK("http://slimages.macys.com/is/image/MCY/12803253 ")</f>
        <v xml:space="preserve">http://slimages.macys.com/is/image/MCY/12803253 </v>
      </c>
    </row>
    <row r="126" spans="1:13" ht="216" x14ac:dyDescent="0.25">
      <c r="A126" s="7" t="s">
        <v>13634</v>
      </c>
      <c r="B126" s="2" t="s">
        <v>13631</v>
      </c>
      <c r="C126" s="4">
        <v>1</v>
      </c>
      <c r="D126" s="5">
        <v>9.42</v>
      </c>
      <c r="E126" s="5">
        <v>33.99</v>
      </c>
      <c r="F126" s="4" t="s">
        <v>13632</v>
      </c>
      <c r="G126" s="2" t="s">
        <v>297</v>
      </c>
      <c r="H126" s="7" t="s">
        <v>91</v>
      </c>
      <c r="I126" s="2" t="s">
        <v>483</v>
      </c>
      <c r="J126" s="2" t="s">
        <v>536</v>
      </c>
      <c r="K126" s="2" t="s">
        <v>304</v>
      </c>
      <c r="L126" s="2" t="s">
        <v>13633</v>
      </c>
      <c r="M126" s="8" t="str">
        <f>HYPERLINK("http://slimages.macys.com/is/image/MCY/14385202 ")</f>
        <v xml:space="preserve">http://slimages.macys.com/is/image/MCY/14385202 </v>
      </c>
    </row>
    <row r="127" spans="1:13" ht="60" x14ac:dyDescent="0.25">
      <c r="A127" s="7" t="s">
        <v>3208</v>
      </c>
      <c r="B127" s="2" t="s">
        <v>3209</v>
      </c>
      <c r="C127" s="4">
        <v>1</v>
      </c>
      <c r="D127" s="5">
        <v>9.25</v>
      </c>
      <c r="E127" s="5">
        <v>19.989999999999998</v>
      </c>
      <c r="F127" s="4" t="s">
        <v>3210</v>
      </c>
      <c r="G127" s="2" t="s">
        <v>353</v>
      </c>
      <c r="H127" s="7" t="s">
        <v>531</v>
      </c>
      <c r="I127" s="2" t="s">
        <v>815</v>
      </c>
      <c r="J127" s="2" t="s">
        <v>3211</v>
      </c>
      <c r="K127" s="2" t="s">
        <v>304</v>
      </c>
      <c r="L127" s="2" t="s">
        <v>3212</v>
      </c>
      <c r="M127" s="8" t="str">
        <f>HYPERLINK("http://slimages.macys.com/is/image/MCY/13054653 ")</f>
        <v xml:space="preserve">http://slimages.macys.com/is/image/MCY/13054653 </v>
      </c>
    </row>
    <row r="128" spans="1:13" ht="72" x14ac:dyDescent="0.25">
      <c r="A128" s="7" t="s">
        <v>14298</v>
      </c>
      <c r="B128" s="2" t="s">
        <v>13812</v>
      </c>
      <c r="C128" s="4">
        <v>1</v>
      </c>
      <c r="D128" s="5">
        <v>9.0500000000000007</v>
      </c>
      <c r="E128" s="5">
        <v>18.100000000000001</v>
      </c>
      <c r="F128" s="4">
        <v>37881811</v>
      </c>
      <c r="G128" s="2"/>
      <c r="H128" s="7" t="s">
        <v>177</v>
      </c>
      <c r="I128" s="2" t="s">
        <v>487</v>
      </c>
      <c r="J128" s="2" t="s">
        <v>2424</v>
      </c>
      <c r="K128" s="2" t="s">
        <v>304</v>
      </c>
      <c r="L128" s="2" t="s">
        <v>13813</v>
      </c>
      <c r="M128" s="8" t="str">
        <f>HYPERLINK("http://slimages.macys.com/is/image/MCY/13728952 ")</f>
        <v xml:space="preserve">http://slimages.macys.com/is/image/MCY/13728952 </v>
      </c>
    </row>
    <row r="129" spans="1:13" ht="60" x14ac:dyDescent="0.25">
      <c r="A129" s="7" t="s">
        <v>14299</v>
      </c>
      <c r="B129" s="2" t="s">
        <v>14300</v>
      </c>
      <c r="C129" s="4">
        <v>1</v>
      </c>
      <c r="D129" s="5">
        <v>8.82</v>
      </c>
      <c r="E129" s="5">
        <v>24.5</v>
      </c>
      <c r="F129" s="4" t="s">
        <v>14301</v>
      </c>
      <c r="G129" s="2" t="s">
        <v>800</v>
      </c>
      <c r="H129" s="7" t="s">
        <v>91</v>
      </c>
      <c r="I129" s="2" t="s">
        <v>92</v>
      </c>
      <c r="J129" s="2" t="s">
        <v>3633</v>
      </c>
      <c r="K129" s="2" t="s">
        <v>304</v>
      </c>
      <c r="L129" s="2" t="s">
        <v>596</v>
      </c>
      <c r="M129" s="8" t="str">
        <f>HYPERLINK("http://slimages.macys.com/is/image/MCY/14840004 ")</f>
        <v xml:space="preserve">http://slimages.macys.com/is/image/MCY/14840004 </v>
      </c>
    </row>
    <row r="130" spans="1:13" ht="60" x14ac:dyDescent="0.25">
      <c r="A130" s="7" t="s">
        <v>14302</v>
      </c>
      <c r="B130" s="2" t="s">
        <v>11452</v>
      </c>
      <c r="C130" s="4">
        <v>1</v>
      </c>
      <c r="D130" s="5">
        <v>8.65</v>
      </c>
      <c r="E130" s="5">
        <v>22.99</v>
      </c>
      <c r="F130" s="4">
        <v>103382</v>
      </c>
      <c r="G130" s="2" t="s">
        <v>892</v>
      </c>
      <c r="H130" s="7" t="s">
        <v>311</v>
      </c>
      <c r="I130" s="2" t="s">
        <v>321</v>
      </c>
      <c r="J130" s="2" t="s">
        <v>322</v>
      </c>
      <c r="K130" s="2" t="s">
        <v>304</v>
      </c>
      <c r="L130" s="2" t="s">
        <v>323</v>
      </c>
      <c r="M130" s="8" t="str">
        <f>HYPERLINK("http://slimages.macys.com/is/image/MCY/10628281 ")</f>
        <v xml:space="preserve">http://slimages.macys.com/is/image/MCY/10628281 </v>
      </c>
    </row>
    <row r="131" spans="1:13" ht="72" x14ac:dyDescent="0.25">
      <c r="A131" s="7" t="s">
        <v>14303</v>
      </c>
      <c r="B131" s="2" t="s">
        <v>14304</v>
      </c>
      <c r="C131" s="4">
        <v>1</v>
      </c>
      <c r="D131" s="5">
        <v>8.6</v>
      </c>
      <c r="E131" s="5">
        <v>22.99</v>
      </c>
      <c r="F131" s="4" t="s">
        <v>14305</v>
      </c>
      <c r="G131" s="2" t="s">
        <v>165</v>
      </c>
      <c r="H131" s="7" t="s">
        <v>144</v>
      </c>
      <c r="I131" s="2" t="s">
        <v>380</v>
      </c>
      <c r="J131" s="2" t="s">
        <v>258</v>
      </c>
      <c r="K131" s="2" t="s">
        <v>304</v>
      </c>
      <c r="L131" s="2" t="s">
        <v>14306</v>
      </c>
      <c r="M131" s="8" t="str">
        <f>HYPERLINK("http://slimages.macys.com/is/image/MCY/11722564 ")</f>
        <v xml:space="preserve">http://slimages.macys.com/is/image/MCY/11722564 </v>
      </c>
    </row>
    <row r="132" spans="1:13" ht="96" x14ac:dyDescent="0.25">
      <c r="A132" s="7" t="s">
        <v>6816</v>
      </c>
      <c r="B132" s="2" t="s">
        <v>3254</v>
      </c>
      <c r="C132" s="4">
        <v>1</v>
      </c>
      <c r="D132" s="5">
        <v>8.5399999999999991</v>
      </c>
      <c r="E132" s="5">
        <v>21.99</v>
      </c>
      <c r="F132" s="4" t="s">
        <v>3255</v>
      </c>
      <c r="G132" s="2" t="s">
        <v>62</v>
      </c>
      <c r="H132" s="7" t="s">
        <v>311</v>
      </c>
      <c r="I132" s="2" t="s">
        <v>218</v>
      </c>
      <c r="J132" s="2" t="s">
        <v>2008</v>
      </c>
      <c r="K132" s="2" t="s">
        <v>304</v>
      </c>
      <c r="L132" s="2" t="s">
        <v>3256</v>
      </c>
      <c r="M132" s="8" t="str">
        <f>HYPERLINK("http://slimages.macys.com/is/image/MCY/12742405 ")</f>
        <v xml:space="preserve">http://slimages.macys.com/is/image/MCY/12742405 </v>
      </c>
    </row>
    <row r="133" spans="1:13" ht="60" x14ac:dyDescent="0.25">
      <c r="A133" s="7" t="s">
        <v>14307</v>
      </c>
      <c r="B133" s="2" t="s">
        <v>8812</v>
      </c>
      <c r="C133" s="4">
        <v>1</v>
      </c>
      <c r="D133" s="5">
        <v>8.3800000000000008</v>
      </c>
      <c r="E133" s="5">
        <v>19.989999999999998</v>
      </c>
      <c r="F133" s="4" t="s">
        <v>8813</v>
      </c>
      <c r="G133" s="2" t="s">
        <v>582</v>
      </c>
      <c r="H133" s="7" t="s">
        <v>578</v>
      </c>
      <c r="I133" s="2" t="s">
        <v>1689</v>
      </c>
      <c r="J133" s="2" t="s">
        <v>354</v>
      </c>
      <c r="K133" s="2" t="s">
        <v>304</v>
      </c>
      <c r="L133" s="2" t="s">
        <v>87</v>
      </c>
      <c r="M133" s="8" t="str">
        <f>HYPERLINK("http://slimages.macys.com/is/image/MCY/12507127 ")</f>
        <v xml:space="preserve">http://slimages.macys.com/is/image/MCY/12507127 </v>
      </c>
    </row>
    <row r="134" spans="1:13" ht="60" x14ac:dyDescent="0.25">
      <c r="A134" s="7" t="s">
        <v>2563</v>
      </c>
      <c r="B134" s="2" t="s">
        <v>2564</v>
      </c>
      <c r="C134" s="4">
        <v>1</v>
      </c>
      <c r="D134" s="5">
        <v>8.25</v>
      </c>
      <c r="E134" s="5">
        <v>22.99</v>
      </c>
      <c r="F134" s="4" t="s">
        <v>2565</v>
      </c>
      <c r="G134" s="2" t="s">
        <v>62</v>
      </c>
      <c r="H134" s="7" t="s">
        <v>159</v>
      </c>
      <c r="I134" s="2" t="s">
        <v>468</v>
      </c>
      <c r="J134" s="2" t="s">
        <v>544</v>
      </c>
      <c r="K134" s="2" t="s">
        <v>304</v>
      </c>
      <c r="L134" s="2" t="s">
        <v>119</v>
      </c>
      <c r="M134" s="8" t="str">
        <f>HYPERLINK("http://slimages.macys.com/is/image/MCY/15447987 ")</f>
        <v xml:space="preserve">http://slimages.macys.com/is/image/MCY/15447987 </v>
      </c>
    </row>
    <row r="135" spans="1:13" ht="60" x14ac:dyDescent="0.25">
      <c r="A135" s="7" t="s">
        <v>13648</v>
      </c>
      <c r="B135" s="2" t="s">
        <v>2564</v>
      </c>
      <c r="C135" s="4">
        <v>2</v>
      </c>
      <c r="D135" s="5">
        <v>8.25</v>
      </c>
      <c r="E135" s="5">
        <v>22.99</v>
      </c>
      <c r="F135" s="4" t="s">
        <v>2565</v>
      </c>
      <c r="G135" s="2" t="s">
        <v>62</v>
      </c>
      <c r="H135" s="7" t="s">
        <v>228</v>
      </c>
      <c r="I135" s="2" t="s">
        <v>468</v>
      </c>
      <c r="J135" s="2" t="s">
        <v>544</v>
      </c>
      <c r="K135" s="2" t="s">
        <v>304</v>
      </c>
      <c r="L135" s="2" t="s">
        <v>119</v>
      </c>
      <c r="M135" s="8" t="str">
        <f>HYPERLINK("http://slimages.macys.com/is/image/MCY/15447987 ")</f>
        <v xml:space="preserve">http://slimages.macys.com/is/image/MCY/15447987 </v>
      </c>
    </row>
    <row r="136" spans="1:13" ht="60" x14ac:dyDescent="0.25">
      <c r="A136" s="7" t="s">
        <v>14308</v>
      </c>
      <c r="B136" s="2" t="s">
        <v>14309</v>
      </c>
      <c r="C136" s="4">
        <v>1</v>
      </c>
      <c r="D136" s="5">
        <v>8.0500000000000007</v>
      </c>
      <c r="E136" s="5">
        <v>18.3</v>
      </c>
      <c r="F136" s="4">
        <v>18486910</v>
      </c>
      <c r="G136" s="2" t="s">
        <v>28</v>
      </c>
      <c r="H136" s="7" t="s">
        <v>91</v>
      </c>
      <c r="I136" s="2" t="s">
        <v>153</v>
      </c>
      <c r="J136" s="2" t="s">
        <v>154</v>
      </c>
      <c r="K136" s="2" t="s">
        <v>304</v>
      </c>
      <c r="L136" s="2" t="s">
        <v>206</v>
      </c>
      <c r="M136" s="8" t="str">
        <f>HYPERLINK("http://slimages.macys.com/is/image/MCY/15184967 ")</f>
        <v xml:space="preserve">http://slimages.macys.com/is/image/MCY/15184967 </v>
      </c>
    </row>
    <row r="137" spans="1:13" ht="60" x14ac:dyDescent="0.25">
      <c r="A137" s="7" t="s">
        <v>14310</v>
      </c>
      <c r="B137" s="2" t="s">
        <v>14311</v>
      </c>
      <c r="C137" s="4">
        <v>1</v>
      </c>
      <c r="D137" s="5">
        <v>8</v>
      </c>
      <c r="E137" s="5">
        <v>16</v>
      </c>
      <c r="F137" s="4">
        <v>38345411</v>
      </c>
      <c r="G137" s="2"/>
      <c r="H137" s="7" t="s">
        <v>2740</v>
      </c>
      <c r="I137" s="2" t="s">
        <v>487</v>
      </c>
      <c r="J137" s="2" t="s">
        <v>2424</v>
      </c>
      <c r="K137" s="2" t="s">
        <v>304</v>
      </c>
      <c r="L137" s="2" t="s">
        <v>38</v>
      </c>
      <c r="M137" s="8" t="str">
        <f>HYPERLINK("http://slimages.macys.com/is/image/MCY/14661856 ")</f>
        <v xml:space="preserve">http://slimages.macys.com/is/image/MCY/14661856 </v>
      </c>
    </row>
    <row r="138" spans="1:13" ht="60" x14ac:dyDescent="0.25">
      <c r="A138" s="7" t="s">
        <v>14312</v>
      </c>
      <c r="B138" s="2" t="s">
        <v>14313</v>
      </c>
      <c r="C138" s="4">
        <v>1</v>
      </c>
      <c r="D138" s="5">
        <v>7.8</v>
      </c>
      <c r="E138" s="5">
        <v>17.329999999999998</v>
      </c>
      <c r="F138" s="4" t="s">
        <v>14314</v>
      </c>
      <c r="G138" s="2" t="s">
        <v>4218</v>
      </c>
      <c r="H138" s="7"/>
      <c r="I138" s="2" t="s">
        <v>468</v>
      </c>
      <c r="J138" s="2" t="s">
        <v>10998</v>
      </c>
      <c r="K138" s="2" t="s">
        <v>304</v>
      </c>
      <c r="L138" s="2" t="s">
        <v>206</v>
      </c>
      <c r="M138" s="8" t="str">
        <f>HYPERLINK("http://slimages.macys.com/is/image/MCY/12301428 ")</f>
        <v xml:space="preserve">http://slimages.macys.com/is/image/MCY/12301428 </v>
      </c>
    </row>
    <row r="139" spans="1:13" ht="168" x14ac:dyDescent="0.25">
      <c r="A139" s="7" t="s">
        <v>6840</v>
      </c>
      <c r="B139" s="2" t="s">
        <v>3997</v>
      </c>
      <c r="C139" s="4">
        <v>1</v>
      </c>
      <c r="D139" s="5">
        <v>7.6</v>
      </c>
      <c r="E139" s="5">
        <v>17.28</v>
      </c>
      <c r="F139" s="4">
        <v>18374410</v>
      </c>
      <c r="G139" s="2" t="s">
        <v>62</v>
      </c>
      <c r="H139" s="7" t="s">
        <v>42</v>
      </c>
      <c r="I139" s="2" t="s">
        <v>153</v>
      </c>
      <c r="J139" s="2" t="s">
        <v>154</v>
      </c>
      <c r="K139" s="2" t="s">
        <v>304</v>
      </c>
      <c r="L139" s="2" t="s">
        <v>3998</v>
      </c>
      <c r="M139" s="8" t="str">
        <f>HYPERLINK("http://slimages.macys.com/is/image/MCY/14662110 ")</f>
        <v xml:space="preserve">http://slimages.macys.com/is/image/MCY/14662110 </v>
      </c>
    </row>
    <row r="140" spans="1:13" ht="60" x14ac:dyDescent="0.25">
      <c r="A140" s="7" t="s">
        <v>14315</v>
      </c>
      <c r="B140" s="2" t="s">
        <v>14316</v>
      </c>
      <c r="C140" s="4">
        <v>1</v>
      </c>
      <c r="D140" s="5">
        <v>7.6</v>
      </c>
      <c r="E140" s="5">
        <v>21.99</v>
      </c>
      <c r="F140" s="4" t="s">
        <v>14317</v>
      </c>
      <c r="G140" s="2" t="s">
        <v>195</v>
      </c>
      <c r="H140" s="7" t="s">
        <v>123</v>
      </c>
      <c r="I140" s="2" t="s">
        <v>64</v>
      </c>
      <c r="J140" s="2" t="s">
        <v>65</v>
      </c>
      <c r="K140" s="2" t="s">
        <v>304</v>
      </c>
      <c r="L140" s="2" t="s">
        <v>125</v>
      </c>
      <c r="M140" s="8" t="str">
        <f>HYPERLINK("http://slimages.macys.com/is/image/MCY/13534827 ")</f>
        <v xml:space="preserve">http://slimages.macys.com/is/image/MCY/13534827 </v>
      </c>
    </row>
    <row r="141" spans="1:13" ht="108" x14ac:dyDescent="0.25">
      <c r="A141" s="7" t="s">
        <v>14318</v>
      </c>
      <c r="B141" s="2" t="s">
        <v>14319</v>
      </c>
      <c r="C141" s="4">
        <v>1</v>
      </c>
      <c r="D141" s="5">
        <v>7.55</v>
      </c>
      <c r="E141" s="5">
        <v>13.98</v>
      </c>
      <c r="F141" s="4">
        <v>16662011</v>
      </c>
      <c r="G141" s="2" t="s">
        <v>36</v>
      </c>
      <c r="H141" s="7" t="s">
        <v>233</v>
      </c>
      <c r="I141" s="2" t="s">
        <v>153</v>
      </c>
      <c r="J141" s="2" t="s">
        <v>154</v>
      </c>
      <c r="K141" s="2" t="s">
        <v>304</v>
      </c>
      <c r="L141" s="2" t="s">
        <v>14320</v>
      </c>
      <c r="M141" s="8" t="str">
        <f>HYPERLINK("http://slimages.macys.com/is/image/MCY/11386266 ")</f>
        <v xml:space="preserve">http://slimages.macys.com/is/image/MCY/11386266 </v>
      </c>
    </row>
    <row r="142" spans="1:13" ht="60" x14ac:dyDescent="0.25">
      <c r="A142" s="7" t="s">
        <v>14321</v>
      </c>
      <c r="B142" s="2" t="s">
        <v>14322</v>
      </c>
      <c r="C142" s="4">
        <v>1</v>
      </c>
      <c r="D142" s="5">
        <v>7.5</v>
      </c>
      <c r="E142" s="5">
        <v>18.989999999999998</v>
      </c>
      <c r="F142" s="4">
        <v>811944075</v>
      </c>
      <c r="G142" s="2" t="s">
        <v>892</v>
      </c>
      <c r="H142" s="7" t="s">
        <v>159</v>
      </c>
      <c r="I142" s="2" t="s">
        <v>73</v>
      </c>
      <c r="J142" s="2" t="s">
        <v>5955</v>
      </c>
      <c r="K142" s="2" t="s">
        <v>304</v>
      </c>
      <c r="L142" s="2" t="s">
        <v>119</v>
      </c>
      <c r="M142" s="8" t="str">
        <f>HYPERLINK("http://slimages.macys.com/is/image/MCY/12754172 ")</f>
        <v xml:space="preserve">http://slimages.macys.com/is/image/MCY/12754172 </v>
      </c>
    </row>
    <row r="143" spans="1:13" ht="60" x14ac:dyDescent="0.25">
      <c r="A143" s="7" t="s">
        <v>14323</v>
      </c>
      <c r="B143" s="2" t="s">
        <v>4904</v>
      </c>
      <c r="C143" s="4">
        <v>1</v>
      </c>
      <c r="D143" s="5">
        <v>7.4</v>
      </c>
      <c r="E143" s="5">
        <v>18.5</v>
      </c>
      <c r="F143" s="4" t="s">
        <v>14324</v>
      </c>
      <c r="G143" s="2" t="s">
        <v>41</v>
      </c>
      <c r="H143" s="7" t="s">
        <v>317</v>
      </c>
      <c r="I143" s="2" t="s">
        <v>690</v>
      </c>
      <c r="J143" s="2" t="s">
        <v>58</v>
      </c>
      <c r="K143" s="2" t="s">
        <v>304</v>
      </c>
      <c r="L143" s="2" t="s">
        <v>38</v>
      </c>
      <c r="M143" s="8" t="str">
        <f>HYPERLINK("http://slimages.macys.com/is/image/MCY/12899346 ")</f>
        <v xml:space="preserve">http://slimages.macys.com/is/image/MCY/12899346 </v>
      </c>
    </row>
    <row r="144" spans="1:13" ht="60" x14ac:dyDescent="0.25">
      <c r="A144" s="7" t="s">
        <v>1780</v>
      </c>
      <c r="B144" s="2" t="s">
        <v>1776</v>
      </c>
      <c r="C144" s="4">
        <v>1</v>
      </c>
      <c r="D144" s="5">
        <v>6.84</v>
      </c>
      <c r="E144" s="5">
        <v>19.989999999999998</v>
      </c>
      <c r="F144" s="4" t="s">
        <v>1777</v>
      </c>
      <c r="G144" s="2" t="s">
        <v>388</v>
      </c>
      <c r="H144" s="7" t="s">
        <v>123</v>
      </c>
      <c r="I144" s="2" t="s">
        <v>1689</v>
      </c>
      <c r="J144" s="2" t="s">
        <v>354</v>
      </c>
      <c r="K144" s="2" t="s">
        <v>304</v>
      </c>
      <c r="L144" s="2" t="s">
        <v>390</v>
      </c>
      <c r="M144" s="8" t="str">
        <f>HYPERLINK("http://slimages.macys.com/is/image/MCY/12890114 ")</f>
        <v xml:space="preserve">http://slimages.macys.com/is/image/MCY/12890114 </v>
      </c>
    </row>
    <row r="145" spans="1:13" ht="60" x14ac:dyDescent="0.25">
      <c r="A145" s="7" t="s">
        <v>3339</v>
      </c>
      <c r="B145" s="2" t="s">
        <v>1002</v>
      </c>
      <c r="C145" s="4">
        <v>1</v>
      </c>
      <c r="D145" s="5">
        <v>6.75</v>
      </c>
      <c r="E145" s="5">
        <v>16.989999999999998</v>
      </c>
      <c r="F145" s="4" t="s">
        <v>1003</v>
      </c>
      <c r="G145" s="2" t="s">
        <v>107</v>
      </c>
      <c r="H145" s="7" t="s">
        <v>42</v>
      </c>
      <c r="I145" s="2" t="s">
        <v>92</v>
      </c>
      <c r="J145" s="2" t="s">
        <v>65</v>
      </c>
      <c r="K145" s="2" t="s">
        <v>304</v>
      </c>
      <c r="L145" s="2" t="s">
        <v>1004</v>
      </c>
      <c r="M145" s="8" t="str">
        <f>HYPERLINK("http://slimages.macys.com/is/image/MCY/14803429 ")</f>
        <v xml:space="preserve">http://slimages.macys.com/is/image/MCY/14803429 </v>
      </c>
    </row>
    <row r="146" spans="1:13" ht="60" x14ac:dyDescent="0.25">
      <c r="A146" s="7" t="s">
        <v>13356</v>
      </c>
      <c r="B146" s="2" t="s">
        <v>4105</v>
      </c>
      <c r="C146" s="4">
        <v>3</v>
      </c>
      <c r="D146" s="5">
        <v>6.6</v>
      </c>
      <c r="E146" s="5">
        <v>30.5</v>
      </c>
      <c r="F146" s="4" t="s">
        <v>4106</v>
      </c>
      <c r="G146" s="2" t="s">
        <v>437</v>
      </c>
      <c r="H146" s="7" t="s">
        <v>172</v>
      </c>
      <c r="I146" s="2" t="s">
        <v>468</v>
      </c>
      <c r="J146" s="2" t="s">
        <v>4107</v>
      </c>
      <c r="K146" s="2" t="s">
        <v>304</v>
      </c>
      <c r="L146" s="2" t="s">
        <v>100</v>
      </c>
      <c r="M146" s="8" t="str">
        <f>HYPERLINK("http://slimages.macys.com/is/image/MCY/10751477 ")</f>
        <v xml:space="preserve">http://slimages.macys.com/is/image/MCY/10751477 </v>
      </c>
    </row>
    <row r="147" spans="1:13" ht="60" x14ac:dyDescent="0.25">
      <c r="A147" s="7" t="s">
        <v>14325</v>
      </c>
      <c r="B147" s="2" t="s">
        <v>4105</v>
      </c>
      <c r="C147" s="4">
        <v>1</v>
      </c>
      <c r="D147" s="5">
        <v>6.6</v>
      </c>
      <c r="E147" s="5">
        <v>30.5</v>
      </c>
      <c r="F147" s="4" t="s">
        <v>4106</v>
      </c>
      <c r="G147" s="2" t="s">
        <v>437</v>
      </c>
      <c r="H147" s="7" t="s">
        <v>179</v>
      </c>
      <c r="I147" s="2" t="s">
        <v>468</v>
      </c>
      <c r="J147" s="2" t="s">
        <v>4107</v>
      </c>
      <c r="K147" s="2" t="s">
        <v>304</v>
      </c>
      <c r="L147" s="2" t="s">
        <v>100</v>
      </c>
      <c r="M147" s="8" t="str">
        <f>HYPERLINK("http://slimages.macys.com/is/image/MCY/10751477 ")</f>
        <v xml:space="preserve">http://slimages.macys.com/is/image/MCY/10751477 </v>
      </c>
    </row>
    <row r="148" spans="1:13" ht="60" x14ac:dyDescent="0.25">
      <c r="A148" s="7" t="s">
        <v>4940</v>
      </c>
      <c r="B148" s="2" t="s">
        <v>4109</v>
      </c>
      <c r="C148" s="4">
        <v>1</v>
      </c>
      <c r="D148" s="5">
        <v>6.5</v>
      </c>
      <c r="E148" s="5">
        <v>15.99</v>
      </c>
      <c r="F148" s="4" t="s">
        <v>4110</v>
      </c>
      <c r="G148" s="2" t="s">
        <v>28</v>
      </c>
      <c r="H148" s="7"/>
      <c r="I148" s="2" t="s">
        <v>312</v>
      </c>
      <c r="J148" s="2" t="s">
        <v>4111</v>
      </c>
      <c r="K148" s="2" t="s">
        <v>304</v>
      </c>
      <c r="L148" s="2" t="s">
        <v>125</v>
      </c>
      <c r="M148" s="8" t="str">
        <f>HYPERLINK("http://slimages.macys.com/is/image/MCY/12080775 ")</f>
        <v xml:space="preserve">http://slimages.macys.com/is/image/MCY/12080775 </v>
      </c>
    </row>
    <row r="149" spans="1:13" ht="60" x14ac:dyDescent="0.25">
      <c r="A149" s="7" t="s">
        <v>6913</v>
      </c>
      <c r="B149" s="2" t="s">
        <v>3385</v>
      </c>
      <c r="C149" s="4">
        <v>1</v>
      </c>
      <c r="D149" s="5">
        <v>6</v>
      </c>
      <c r="E149" s="5">
        <v>11.98</v>
      </c>
      <c r="F149" s="4" t="s">
        <v>3386</v>
      </c>
      <c r="G149" s="2" t="s">
        <v>28</v>
      </c>
      <c r="H149" s="7" t="s">
        <v>482</v>
      </c>
      <c r="I149" s="2" t="s">
        <v>43</v>
      </c>
      <c r="J149" s="2" t="s">
        <v>497</v>
      </c>
      <c r="K149" s="2" t="s">
        <v>304</v>
      </c>
      <c r="L149" s="2" t="s">
        <v>87</v>
      </c>
      <c r="M149" s="8" t="str">
        <f>HYPERLINK("http://slimages.macys.com/is/image/MCY/2666350 ")</f>
        <v xml:space="preserve">http://slimages.macys.com/is/image/MCY/2666350 </v>
      </c>
    </row>
    <row r="150" spans="1:13" ht="60" x14ac:dyDescent="0.25">
      <c r="A150" s="7" t="s">
        <v>4979</v>
      </c>
      <c r="B150" s="2" t="s">
        <v>1031</v>
      </c>
      <c r="C150" s="4">
        <v>1</v>
      </c>
      <c r="D150" s="5">
        <v>6</v>
      </c>
      <c r="E150" s="5">
        <v>11.98</v>
      </c>
      <c r="F150" s="4" t="s">
        <v>1032</v>
      </c>
      <c r="G150" s="2" t="s">
        <v>171</v>
      </c>
      <c r="H150" s="7" t="s">
        <v>482</v>
      </c>
      <c r="I150" s="2" t="s">
        <v>43</v>
      </c>
      <c r="J150" s="2" t="s">
        <v>497</v>
      </c>
      <c r="K150" s="2" t="s">
        <v>304</v>
      </c>
      <c r="L150" s="2" t="s">
        <v>87</v>
      </c>
      <c r="M150" s="8" t="str">
        <f>HYPERLINK("http://slimages.macys.com/is/image/MCY/3134527 ")</f>
        <v xml:space="preserve">http://slimages.macys.com/is/image/MCY/3134527 </v>
      </c>
    </row>
    <row r="151" spans="1:13" ht="60" x14ac:dyDescent="0.25">
      <c r="A151" s="7" t="s">
        <v>14326</v>
      </c>
      <c r="B151" s="2" t="s">
        <v>2618</v>
      </c>
      <c r="C151" s="4">
        <v>1</v>
      </c>
      <c r="D151" s="5">
        <v>6</v>
      </c>
      <c r="E151" s="5">
        <v>11.98</v>
      </c>
      <c r="F151" s="4" t="s">
        <v>2619</v>
      </c>
      <c r="G151" s="2" t="s">
        <v>171</v>
      </c>
      <c r="H151" s="7" t="s">
        <v>233</v>
      </c>
      <c r="I151" s="2" t="s">
        <v>43</v>
      </c>
      <c r="J151" s="2" t="s">
        <v>497</v>
      </c>
      <c r="K151" s="2" t="s">
        <v>304</v>
      </c>
      <c r="L151" s="2" t="s">
        <v>87</v>
      </c>
      <c r="M151" s="8" t="str">
        <f>HYPERLINK("http://slimages.macys.com/is/image/MCY/2946660 ")</f>
        <v xml:space="preserve">http://slimages.macys.com/is/image/MCY/2946660 </v>
      </c>
    </row>
    <row r="152" spans="1:13" ht="60" x14ac:dyDescent="0.25">
      <c r="A152" s="7" t="s">
        <v>4120</v>
      </c>
      <c r="B152" s="2" t="s">
        <v>4121</v>
      </c>
      <c r="C152" s="4">
        <v>8</v>
      </c>
      <c r="D152" s="5">
        <v>5.95</v>
      </c>
      <c r="E152" s="5">
        <v>16.8</v>
      </c>
      <c r="F152" s="4" t="s">
        <v>4122</v>
      </c>
      <c r="G152" s="2" t="s">
        <v>86</v>
      </c>
      <c r="H152" s="7"/>
      <c r="I152" s="2" t="s">
        <v>483</v>
      </c>
      <c r="J152" s="2" t="s">
        <v>536</v>
      </c>
      <c r="K152" s="2" t="s">
        <v>304</v>
      </c>
      <c r="L152" s="2" t="s">
        <v>4123</v>
      </c>
      <c r="M152" s="8" t="str">
        <f>HYPERLINK("http://slimages.macys.com/is/image/MCY/13061384 ")</f>
        <v xml:space="preserve">http://slimages.macys.com/is/image/MCY/13061384 </v>
      </c>
    </row>
    <row r="153" spans="1:13" ht="60" x14ac:dyDescent="0.25">
      <c r="A153" s="7" t="s">
        <v>4124</v>
      </c>
      <c r="B153" s="2" t="s">
        <v>4121</v>
      </c>
      <c r="C153" s="4">
        <v>2</v>
      </c>
      <c r="D153" s="5">
        <v>5.95</v>
      </c>
      <c r="E153" s="5">
        <v>16.8</v>
      </c>
      <c r="F153" s="4" t="s">
        <v>4122</v>
      </c>
      <c r="G153" s="2" t="s">
        <v>86</v>
      </c>
      <c r="H153" s="7" t="s">
        <v>590</v>
      </c>
      <c r="I153" s="2" t="s">
        <v>483</v>
      </c>
      <c r="J153" s="2" t="s">
        <v>536</v>
      </c>
      <c r="K153" s="2" t="s">
        <v>304</v>
      </c>
      <c r="L153" s="2" t="s">
        <v>4123</v>
      </c>
      <c r="M153" s="8" t="str">
        <f>HYPERLINK("http://slimages.macys.com/is/image/MCY/13061384 ")</f>
        <v xml:space="preserve">http://slimages.macys.com/is/image/MCY/13061384 </v>
      </c>
    </row>
    <row r="154" spans="1:13" ht="60" x14ac:dyDescent="0.25">
      <c r="A154" s="7" t="s">
        <v>13678</v>
      </c>
      <c r="B154" s="2" t="s">
        <v>4121</v>
      </c>
      <c r="C154" s="4">
        <v>3</v>
      </c>
      <c r="D154" s="5">
        <v>5.95</v>
      </c>
      <c r="E154" s="5">
        <v>16.8</v>
      </c>
      <c r="F154" s="4" t="s">
        <v>4122</v>
      </c>
      <c r="G154" s="2" t="s">
        <v>86</v>
      </c>
      <c r="H154" s="7" t="s">
        <v>149</v>
      </c>
      <c r="I154" s="2" t="s">
        <v>483</v>
      </c>
      <c r="J154" s="2" t="s">
        <v>536</v>
      </c>
      <c r="K154" s="2" t="s">
        <v>304</v>
      </c>
      <c r="L154" s="2" t="s">
        <v>4123</v>
      </c>
      <c r="M154" s="8" t="str">
        <f>HYPERLINK("http://slimages.macys.com/is/image/MCY/13061384 ")</f>
        <v xml:space="preserve">http://slimages.macys.com/is/image/MCY/13061384 </v>
      </c>
    </row>
    <row r="155" spans="1:13" ht="60" x14ac:dyDescent="0.25">
      <c r="A155" s="7" t="s">
        <v>13679</v>
      </c>
      <c r="B155" s="2" t="s">
        <v>4121</v>
      </c>
      <c r="C155" s="4">
        <v>1</v>
      </c>
      <c r="D155" s="5">
        <v>5.95</v>
      </c>
      <c r="E155" s="5">
        <v>16.8</v>
      </c>
      <c r="F155" s="4" t="s">
        <v>4122</v>
      </c>
      <c r="G155" s="2" t="s">
        <v>86</v>
      </c>
      <c r="H155" s="7" t="s">
        <v>42</v>
      </c>
      <c r="I155" s="2" t="s">
        <v>483</v>
      </c>
      <c r="J155" s="2" t="s">
        <v>536</v>
      </c>
      <c r="K155" s="2" t="s">
        <v>304</v>
      </c>
      <c r="L155" s="2" t="s">
        <v>4123</v>
      </c>
      <c r="M155" s="8" t="str">
        <f>HYPERLINK("http://slimages.macys.com/is/image/MCY/13061384 ")</f>
        <v xml:space="preserve">http://slimages.macys.com/is/image/MCY/13061384 </v>
      </c>
    </row>
    <row r="156" spans="1:13" ht="96" x14ac:dyDescent="0.25">
      <c r="A156" s="7" t="s">
        <v>4151</v>
      </c>
      <c r="B156" s="2" t="s">
        <v>4152</v>
      </c>
      <c r="C156" s="4">
        <v>1</v>
      </c>
      <c r="D156" s="5">
        <v>5.67</v>
      </c>
      <c r="E156" s="5">
        <v>14.99</v>
      </c>
      <c r="F156" s="4" t="s">
        <v>4153</v>
      </c>
      <c r="G156" s="2" t="s">
        <v>41</v>
      </c>
      <c r="H156" s="7" t="s">
        <v>91</v>
      </c>
      <c r="I156" s="2" t="s">
        <v>483</v>
      </c>
      <c r="J156" s="2" t="s">
        <v>536</v>
      </c>
      <c r="K156" s="2" t="s">
        <v>304</v>
      </c>
      <c r="L156" s="2" t="s">
        <v>4154</v>
      </c>
      <c r="M156" s="8" t="str">
        <f>HYPERLINK("http://slimages.macys.com/is/image/MCY/14384813 ")</f>
        <v xml:space="preserve">http://slimages.macys.com/is/image/MCY/14384813 </v>
      </c>
    </row>
    <row r="157" spans="1:13" ht="60" x14ac:dyDescent="0.25">
      <c r="A157" s="7" t="s">
        <v>2641</v>
      </c>
      <c r="B157" s="2" t="s">
        <v>2639</v>
      </c>
      <c r="C157" s="4">
        <v>1</v>
      </c>
      <c r="D157" s="5">
        <v>5.6</v>
      </c>
      <c r="E157" s="5">
        <v>13.99</v>
      </c>
      <c r="F157" s="4" t="s">
        <v>2640</v>
      </c>
      <c r="G157" s="2" t="s">
        <v>874</v>
      </c>
      <c r="H157" s="7" t="s">
        <v>42</v>
      </c>
      <c r="I157" s="2" t="s">
        <v>483</v>
      </c>
      <c r="J157" s="2" t="s">
        <v>536</v>
      </c>
      <c r="K157" s="2" t="s">
        <v>304</v>
      </c>
      <c r="L157" s="2" t="s">
        <v>125</v>
      </c>
      <c r="M157" s="8" t="str">
        <f>HYPERLINK("http://slimages.macys.com/is/image/MCY/14446785 ")</f>
        <v xml:space="preserve">http://slimages.macys.com/is/image/MCY/14446785 </v>
      </c>
    </row>
    <row r="158" spans="1:13" ht="60" x14ac:dyDescent="0.25">
      <c r="A158" s="7" t="s">
        <v>14327</v>
      </c>
      <c r="B158" s="2" t="s">
        <v>3961</v>
      </c>
      <c r="C158" s="4">
        <v>1</v>
      </c>
      <c r="D158" s="5">
        <v>5.55</v>
      </c>
      <c r="E158" s="5">
        <v>11.1</v>
      </c>
      <c r="F158" s="4">
        <v>28441513</v>
      </c>
      <c r="G158" s="2"/>
      <c r="H158" s="7"/>
      <c r="I158" s="2" t="s">
        <v>487</v>
      </c>
      <c r="J158" s="2" t="s">
        <v>2424</v>
      </c>
      <c r="K158" s="2" t="s">
        <v>304</v>
      </c>
      <c r="L158" s="2" t="s">
        <v>206</v>
      </c>
      <c r="M158" s="8" t="str">
        <f>HYPERLINK("http://slimages.macys.com/is/image/MCY/14661875 ")</f>
        <v xml:space="preserve">http://slimages.macys.com/is/image/MCY/14661875 </v>
      </c>
    </row>
    <row r="159" spans="1:13" ht="60" x14ac:dyDescent="0.25">
      <c r="A159" s="7" t="s">
        <v>3409</v>
      </c>
      <c r="B159" s="2" t="s">
        <v>3410</v>
      </c>
      <c r="C159" s="4">
        <v>2</v>
      </c>
      <c r="D159" s="5">
        <v>5.52</v>
      </c>
      <c r="E159" s="5">
        <v>13.99</v>
      </c>
      <c r="F159" s="4" t="s">
        <v>3411</v>
      </c>
      <c r="G159" s="2" t="s">
        <v>62</v>
      </c>
      <c r="H159" s="7" t="s">
        <v>149</v>
      </c>
      <c r="I159" s="2" t="s">
        <v>483</v>
      </c>
      <c r="J159" s="2" t="s">
        <v>536</v>
      </c>
      <c r="K159" s="2" t="s">
        <v>304</v>
      </c>
      <c r="L159" s="2" t="s">
        <v>596</v>
      </c>
      <c r="M159" s="8" t="str">
        <f>HYPERLINK("http://slimages.macys.com/is/image/MCY/14630640 ")</f>
        <v xml:space="preserve">http://slimages.macys.com/is/image/MCY/14630640 </v>
      </c>
    </row>
    <row r="160" spans="1:13" ht="60" x14ac:dyDescent="0.25">
      <c r="A160" s="7" t="s">
        <v>4165</v>
      </c>
      <c r="B160" s="2" t="s">
        <v>3410</v>
      </c>
      <c r="C160" s="4">
        <v>1</v>
      </c>
      <c r="D160" s="5">
        <v>5.52</v>
      </c>
      <c r="E160" s="5">
        <v>13.99</v>
      </c>
      <c r="F160" s="4" t="s">
        <v>3411</v>
      </c>
      <c r="G160" s="2" t="s">
        <v>62</v>
      </c>
      <c r="H160" s="7" t="s">
        <v>590</v>
      </c>
      <c r="I160" s="2" t="s">
        <v>483</v>
      </c>
      <c r="J160" s="2" t="s">
        <v>536</v>
      </c>
      <c r="K160" s="2" t="s">
        <v>304</v>
      </c>
      <c r="L160" s="2" t="s">
        <v>596</v>
      </c>
      <c r="M160" s="8" t="str">
        <f>HYPERLINK("http://slimages.macys.com/is/image/MCY/14630640 ")</f>
        <v xml:space="preserve">http://slimages.macys.com/is/image/MCY/14630640 </v>
      </c>
    </row>
    <row r="161" spans="1:13" ht="60" x14ac:dyDescent="0.25">
      <c r="A161" s="7" t="s">
        <v>4164</v>
      </c>
      <c r="B161" s="2" t="s">
        <v>3410</v>
      </c>
      <c r="C161" s="4">
        <v>1</v>
      </c>
      <c r="D161" s="5">
        <v>5.52</v>
      </c>
      <c r="E161" s="5">
        <v>13.99</v>
      </c>
      <c r="F161" s="4" t="s">
        <v>3411</v>
      </c>
      <c r="G161" s="2" t="s">
        <v>62</v>
      </c>
      <c r="H161" s="7" t="s">
        <v>42</v>
      </c>
      <c r="I161" s="2" t="s">
        <v>483</v>
      </c>
      <c r="J161" s="2" t="s">
        <v>536</v>
      </c>
      <c r="K161" s="2" t="s">
        <v>304</v>
      </c>
      <c r="L161" s="2" t="s">
        <v>596</v>
      </c>
      <c r="M161" s="8" t="str">
        <f>HYPERLINK("http://slimages.macys.com/is/image/MCY/14630640 ")</f>
        <v xml:space="preserve">http://slimages.macys.com/is/image/MCY/14630640 </v>
      </c>
    </row>
    <row r="162" spans="1:13" ht="60" x14ac:dyDescent="0.25">
      <c r="A162" s="7" t="s">
        <v>14328</v>
      </c>
      <c r="B162" s="2" t="s">
        <v>14329</v>
      </c>
      <c r="C162" s="4">
        <v>1</v>
      </c>
      <c r="D162" s="5">
        <v>5.5</v>
      </c>
      <c r="E162" s="5">
        <v>13.99</v>
      </c>
      <c r="F162" s="4">
        <v>811933427</v>
      </c>
      <c r="G162" s="2" t="s">
        <v>892</v>
      </c>
      <c r="H162" s="7" t="s">
        <v>159</v>
      </c>
      <c r="I162" s="2" t="s">
        <v>73</v>
      </c>
      <c r="J162" s="2" t="s">
        <v>5955</v>
      </c>
      <c r="K162" s="2" t="s">
        <v>304</v>
      </c>
      <c r="L162" s="2" t="s">
        <v>119</v>
      </c>
      <c r="M162" s="8" t="str">
        <f>HYPERLINK("http://slimages.macys.com/is/image/MCY/12754177 ")</f>
        <v xml:space="preserve">http://slimages.macys.com/is/image/MCY/12754177 </v>
      </c>
    </row>
    <row r="163" spans="1:13" ht="84" x14ac:dyDescent="0.25">
      <c r="A163" s="7" t="s">
        <v>4180</v>
      </c>
      <c r="B163" s="2" t="s">
        <v>4174</v>
      </c>
      <c r="C163" s="4">
        <v>4</v>
      </c>
      <c r="D163" s="5">
        <v>5.44</v>
      </c>
      <c r="E163" s="5">
        <v>14.99</v>
      </c>
      <c r="F163" s="4" t="s">
        <v>4175</v>
      </c>
      <c r="G163" s="2" t="s">
        <v>195</v>
      </c>
      <c r="H163" s="7" t="s">
        <v>91</v>
      </c>
      <c r="I163" s="2" t="s">
        <v>483</v>
      </c>
      <c r="J163" s="2" t="s">
        <v>4176</v>
      </c>
      <c r="K163" s="2" t="s">
        <v>304</v>
      </c>
      <c r="L163" s="2" t="s">
        <v>4177</v>
      </c>
      <c r="M163" s="8" t="str">
        <f>HYPERLINK("http://slimages.macys.com/is/image/MCY/14601081 ")</f>
        <v xml:space="preserve">http://slimages.macys.com/is/image/MCY/14601081 </v>
      </c>
    </row>
    <row r="164" spans="1:13" ht="84" x14ac:dyDescent="0.25">
      <c r="A164" s="7" t="s">
        <v>4179</v>
      </c>
      <c r="B164" s="2" t="s">
        <v>4174</v>
      </c>
      <c r="C164" s="4">
        <v>1</v>
      </c>
      <c r="D164" s="5">
        <v>5.44</v>
      </c>
      <c r="E164" s="5">
        <v>14.99</v>
      </c>
      <c r="F164" s="4" t="s">
        <v>4175</v>
      </c>
      <c r="G164" s="2" t="s">
        <v>195</v>
      </c>
      <c r="H164" s="7" t="s">
        <v>442</v>
      </c>
      <c r="I164" s="2" t="s">
        <v>483</v>
      </c>
      <c r="J164" s="2" t="s">
        <v>4176</v>
      </c>
      <c r="K164" s="2" t="s">
        <v>304</v>
      </c>
      <c r="L164" s="2" t="s">
        <v>4177</v>
      </c>
      <c r="M164" s="8" t="str">
        <f>HYPERLINK("http://slimages.macys.com/is/image/MCY/14601081 ")</f>
        <v xml:space="preserve">http://slimages.macys.com/is/image/MCY/14601081 </v>
      </c>
    </row>
    <row r="165" spans="1:13" ht="84" x14ac:dyDescent="0.25">
      <c r="A165" s="7" t="s">
        <v>14330</v>
      </c>
      <c r="B165" s="2" t="s">
        <v>4174</v>
      </c>
      <c r="C165" s="4">
        <v>1</v>
      </c>
      <c r="D165" s="5">
        <v>5.44</v>
      </c>
      <c r="E165" s="5">
        <v>14.99</v>
      </c>
      <c r="F165" s="4" t="s">
        <v>4175</v>
      </c>
      <c r="G165" s="2" t="s">
        <v>195</v>
      </c>
      <c r="H165" s="7" t="s">
        <v>42</v>
      </c>
      <c r="I165" s="2" t="s">
        <v>483</v>
      </c>
      <c r="J165" s="2" t="s">
        <v>4176</v>
      </c>
      <c r="K165" s="2" t="s">
        <v>304</v>
      </c>
      <c r="L165" s="2" t="s">
        <v>4177</v>
      </c>
      <c r="M165" s="8" t="str">
        <f>HYPERLINK("http://slimages.macys.com/is/image/MCY/14601081 ")</f>
        <v xml:space="preserve">http://slimages.macys.com/is/image/MCY/14601081 </v>
      </c>
    </row>
    <row r="166" spans="1:13" ht="60" x14ac:dyDescent="0.25">
      <c r="A166" s="7" t="s">
        <v>533</v>
      </c>
      <c r="B166" s="2" t="s">
        <v>534</v>
      </c>
      <c r="C166" s="4">
        <v>1</v>
      </c>
      <c r="D166" s="5">
        <v>5.0999999999999996</v>
      </c>
      <c r="E166" s="5">
        <v>13.5</v>
      </c>
      <c r="F166" s="4" t="s">
        <v>535</v>
      </c>
      <c r="G166" s="2" t="s">
        <v>86</v>
      </c>
      <c r="H166" s="7"/>
      <c r="I166" s="2" t="s">
        <v>483</v>
      </c>
      <c r="J166" s="2" t="s">
        <v>536</v>
      </c>
      <c r="K166" s="2" t="s">
        <v>304</v>
      </c>
      <c r="L166" s="2" t="s">
        <v>537</v>
      </c>
      <c r="M166" s="8" t="str">
        <f>HYPERLINK("http://slimages.macys.com/is/image/MCY/9157948 ")</f>
        <v xml:space="preserve">http://slimages.macys.com/is/image/MCY/9157948 </v>
      </c>
    </row>
    <row r="167" spans="1:13" ht="60" x14ac:dyDescent="0.25">
      <c r="A167" s="7" t="s">
        <v>14331</v>
      </c>
      <c r="B167" s="2" t="s">
        <v>1965</v>
      </c>
      <c r="C167" s="4">
        <v>1</v>
      </c>
      <c r="D167" s="5">
        <v>5</v>
      </c>
      <c r="E167" s="5">
        <v>11.99</v>
      </c>
      <c r="F167" s="4" t="s">
        <v>1966</v>
      </c>
      <c r="G167" s="2" t="s">
        <v>48</v>
      </c>
      <c r="H167" s="7" t="s">
        <v>144</v>
      </c>
      <c r="I167" s="2" t="s">
        <v>173</v>
      </c>
      <c r="J167" s="2" t="s">
        <v>1967</v>
      </c>
      <c r="K167" s="2" t="s">
        <v>304</v>
      </c>
      <c r="L167" s="2" t="s">
        <v>119</v>
      </c>
      <c r="M167" s="8" t="str">
        <f>HYPERLINK("http://slimages.macys.com/is/image/MCY/12284132 ")</f>
        <v xml:space="preserve">http://slimages.macys.com/is/image/MCY/12284132 </v>
      </c>
    </row>
    <row r="168" spans="1:13" ht="60" x14ac:dyDescent="0.25">
      <c r="A168" s="7" t="s">
        <v>5505</v>
      </c>
      <c r="B168" s="2" t="s">
        <v>5506</v>
      </c>
      <c r="C168" s="4">
        <v>1</v>
      </c>
      <c r="D168" s="5">
        <v>4.92</v>
      </c>
      <c r="E168" s="5">
        <v>11.99</v>
      </c>
      <c r="F168" s="4" t="s">
        <v>5507</v>
      </c>
      <c r="G168" s="2" t="s">
        <v>657</v>
      </c>
      <c r="H168" s="7" t="s">
        <v>159</v>
      </c>
      <c r="I168" s="2" t="s">
        <v>292</v>
      </c>
      <c r="J168" s="2" t="s">
        <v>293</v>
      </c>
      <c r="K168" s="2" t="s">
        <v>304</v>
      </c>
      <c r="L168" s="2" t="s">
        <v>571</v>
      </c>
      <c r="M168" s="8" t="str">
        <f>HYPERLINK("http://slimages.macys.com/is/image/MCY/12951035 ")</f>
        <v xml:space="preserve">http://slimages.macys.com/is/image/MCY/12951035 </v>
      </c>
    </row>
    <row r="169" spans="1:13" ht="60" x14ac:dyDescent="0.25">
      <c r="A169" s="7" t="s">
        <v>2663</v>
      </c>
      <c r="B169" s="2" t="s">
        <v>2661</v>
      </c>
      <c r="C169" s="4">
        <v>3</v>
      </c>
      <c r="D169" s="5">
        <v>4.88</v>
      </c>
      <c r="E169" s="5">
        <v>12.99</v>
      </c>
      <c r="F169" s="4" t="s">
        <v>2662</v>
      </c>
      <c r="G169" s="2" t="s">
        <v>134</v>
      </c>
      <c r="H169" s="7" t="s">
        <v>590</v>
      </c>
      <c r="I169" s="2" t="s">
        <v>483</v>
      </c>
      <c r="J169" s="2" t="s">
        <v>536</v>
      </c>
      <c r="K169" s="2" t="s">
        <v>304</v>
      </c>
      <c r="L169" s="2" t="s">
        <v>38</v>
      </c>
      <c r="M169" s="8" t="str">
        <f>HYPERLINK("http://slimages.macys.com/is/image/MCY/14517553 ")</f>
        <v xml:space="preserve">http://slimages.macys.com/is/image/MCY/14517553 </v>
      </c>
    </row>
    <row r="170" spans="1:13" ht="60" x14ac:dyDescent="0.25">
      <c r="A170" s="7" t="s">
        <v>3440</v>
      </c>
      <c r="B170" s="2" t="s">
        <v>2661</v>
      </c>
      <c r="C170" s="4">
        <v>1</v>
      </c>
      <c r="D170" s="5">
        <v>4.88</v>
      </c>
      <c r="E170" s="5">
        <v>12.99</v>
      </c>
      <c r="F170" s="4" t="s">
        <v>2662</v>
      </c>
      <c r="G170" s="2" t="s">
        <v>134</v>
      </c>
      <c r="H170" s="7" t="s">
        <v>442</v>
      </c>
      <c r="I170" s="2" t="s">
        <v>483</v>
      </c>
      <c r="J170" s="2" t="s">
        <v>536</v>
      </c>
      <c r="K170" s="2" t="s">
        <v>304</v>
      </c>
      <c r="L170" s="2" t="s">
        <v>38</v>
      </c>
      <c r="M170" s="8" t="str">
        <f>HYPERLINK("http://slimages.macys.com/is/image/MCY/14517553 ")</f>
        <v xml:space="preserve">http://slimages.macys.com/is/image/MCY/14517553 </v>
      </c>
    </row>
    <row r="171" spans="1:13" ht="60" x14ac:dyDescent="0.25">
      <c r="A171" s="7" t="s">
        <v>5041</v>
      </c>
      <c r="B171" s="2" t="s">
        <v>2661</v>
      </c>
      <c r="C171" s="4">
        <v>3</v>
      </c>
      <c r="D171" s="5">
        <v>4.88</v>
      </c>
      <c r="E171" s="5">
        <v>12.99</v>
      </c>
      <c r="F171" s="4" t="s">
        <v>2662</v>
      </c>
      <c r="G171" s="2" t="s">
        <v>134</v>
      </c>
      <c r="H171" s="7" t="s">
        <v>149</v>
      </c>
      <c r="I171" s="2" t="s">
        <v>483</v>
      </c>
      <c r="J171" s="2" t="s">
        <v>536</v>
      </c>
      <c r="K171" s="2" t="s">
        <v>304</v>
      </c>
      <c r="L171" s="2" t="s">
        <v>38</v>
      </c>
      <c r="M171" s="8" t="str">
        <f>HYPERLINK("http://slimages.macys.com/is/image/MCY/14517553 ")</f>
        <v xml:space="preserve">http://slimages.macys.com/is/image/MCY/14517553 </v>
      </c>
    </row>
    <row r="172" spans="1:13" ht="60" x14ac:dyDescent="0.25">
      <c r="A172" s="7" t="s">
        <v>3439</v>
      </c>
      <c r="B172" s="2" t="s">
        <v>2661</v>
      </c>
      <c r="C172" s="4">
        <v>4</v>
      </c>
      <c r="D172" s="5">
        <v>4.88</v>
      </c>
      <c r="E172" s="5">
        <v>12.99</v>
      </c>
      <c r="F172" s="4" t="s">
        <v>2662</v>
      </c>
      <c r="G172" s="2" t="s">
        <v>134</v>
      </c>
      <c r="H172" s="7" t="s">
        <v>42</v>
      </c>
      <c r="I172" s="2" t="s">
        <v>483</v>
      </c>
      <c r="J172" s="2" t="s">
        <v>536</v>
      </c>
      <c r="K172" s="2" t="s">
        <v>304</v>
      </c>
      <c r="L172" s="2" t="s">
        <v>38</v>
      </c>
      <c r="M172" s="8" t="str">
        <f>HYPERLINK("http://slimages.macys.com/is/image/MCY/14517553 ")</f>
        <v xml:space="preserve">http://slimages.macys.com/is/image/MCY/14517553 </v>
      </c>
    </row>
    <row r="173" spans="1:13" ht="60" x14ac:dyDescent="0.25">
      <c r="A173" s="7" t="s">
        <v>2660</v>
      </c>
      <c r="B173" s="2" t="s">
        <v>2661</v>
      </c>
      <c r="C173" s="4">
        <v>3</v>
      </c>
      <c r="D173" s="5">
        <v>4.88</v>
      </c>
      <c r="E173" s="5">
        <v>12.99</v>
      </c>
      <c r="F173" s="4" t="s">
        <v>2662</v>
      </c>
      <c r="G173" s="2" t="s">
        <v>134</v>
      </c>
      <c r="H173" s="7" t="s">
        <v>91</v>
      </c>
      <c r="I173" s="2" t="s">
        <v>483</v>
      </c>
      <c r="J173" s="2" t="s">
        <v>536</v>
      </c>
      <c r="K173" s="2" t="s">
        <v>304</v>
      </c>
      <c r="L173" s="2" t="s">
        <v>38</v>
      </c>
      <c r="M173" s="8" t="str">
        <f>HYPERLINK("http://slimages.macys.com/is/image/MCY/14517553 ")</f>
        <v xml:space="preserve">http://slimages.macys.com/is/image/MCY/14517553 </v>
      </c>
    </row>
    <row r="174" spans="1:13" ht="60" x14ac:dyDescent="0.25">
      <c r="A174" s="7" t="s">
        <v>552</v>
      </c>
      <c r="B174" s="2" t="s">
        <v>553</v>
      </c>
      <c r="C174" s="4">
        <v>1</v>
      </c>
      <c r="D174" s="5">
        <v>3.54</v>
      </c>
      <c r="E174" s="5">
        <v>7.99</v>
      </c>
      <c r="F174" s="4" t="s">
        <v>554</v>
      </c>
      <c r="G174" s="2" t="s">
        <v>134</v>
      </c>
      <c r="H174" s="7" t="s">
        <v>514</v>
      </c>
      <c r="I174" s="2" t="s">
        <v>483</v>
      </c>
      <c r="J174" s="2" t="s">
        <v>536</v>
      </c>
      <c r="K174" s="2" t="s">
        <v>304</v>
      </c>
      <c r="L174" s="2" t="s">
        <v>119</v>
      </c>
      <c r="M174" s="8" t="str">
        <f>HYPERLINK("http://slimages.macys.com/is/image/MCY/14532191 ")</f>
        <v xml:space="preserve">http://slimages.macys.com/is/image/MCY/14532191 </v>
      </c>
    </row>
    <row r="175" spans="1:13" ht="60" x14ac:dyDescent="0.25">
      <c r="A175" s="7" t="s">
        <v>14332</v>
      </c>
      <c r="B175" s="2" t="s">
        <v>9735</v>
      </c>
      <c r="C175" s="4">
        <v>1</v>
      </c>
      <c r="D175" s="5">
        <v>2.97</v>
      </c>
      <c r="E175" s="5">
        <v>7.99</v>
      </c>
      <c r="F175" s="4" t="s">
        <v>9736</v>
      </c>
      <c r="G175" s="2" t="s">
        <v>1147</v>
      </c>
      <c r="H175" s="7" t="s">
        <v>42</v>
      </c>
      <c r="I175" s="2" t="s">
        <v>483</v>
      </c>
      <c r="J175" s="2" t="s">
        <v>536</v>
      </c>
      <c r="K175" s="2" t="s">
        <v>304</v>
      </c>
      <c r="L175" s="2" t="s">
        <v>100</v>
      </c>
      <c r="M175" s="8" t="str">
        <f>HYPERLINK("http://slimages.macys.com/is/image/MCY/12465404 ")</f>
        <v xml:space="preserve">http://slimages.macys.com/is/image/MCY/12465404 </v>
      </c>
    </row>
    <row r="176" spans="1:13" ht="60" x14ac:dyDescent="0.25">
      <c r="A176" s="7" t="s">
        <v>3510</v>
      </c>
      <c r="B176" s="2" t="s">
        <v>593</v>
      </c>
      <c r="C176" s="4">
        <v>13</v>
      </c>
      <c r="D176" s="5">
        <v>2.9</v>
      </c>
      <c r="E176" s="5">
        <v>7.99</v>
      </c>
      <c r="F176" s="4" t="s">
        <v>594</v>
      </c>
      <c r="G176" s="2" t="s">
        <v>595</v>
      </c>
      <c r="H176" s="7" t="s">
        <v>1151</v>
      </c>
      <c r="I176" s="2" t="s">
        <v>483</v>
      </c>
      <c r="J176" s="2" t="s">
        <v>536</v>
      </c>
      <c r="K176" s="2" t="s">
        <v>304</v>
      </c>
      <c r="L176" s="2" t="s">
        <v>596</v>
      </c>
      <c r="M176" s="8" t="str">
        <f>HYPERLINK("http://slimages.macys.com/is/image/MCY/14885497 ")</f>
        <v xml:space="preserve">http://slimages.macys.com/is/image/MCY/14885497 </v>
      </c>
    </row>
    <row r="177" spans="1:13" ht="60" x14ac:dyDescent="0.25">
      <c r="A177" s="7" t="s">
        <v>4443</v>
      </c>
      <c r="B177" s="2" t="s">
        <v>593</v>
      </c>
      <c r="C177" s="4">
        <v>14</v>
      </c>
      <c r="D177" s="5">
        <v>2.9</v>
      </c>
      <c r="E177" s="5">
        <v>7.99</v>
      </c>
      <c r="F177" s="4" t="s">
        <v>594</v>
      </c>
      <c r="G177" s="2" t="s">
        <v>595</v>
      </c>
      <c r="H177" s="7" t="s">
        <v>514</v>
      </c>
      <c r="I177" s="2" t="s">
        <v>483</v>
      </c>
      <c r="J177" s="2" t="s">
        <v>536</v>
      </c>
      <c r="K177" s="2" t="s">
        <v>304</v>
      </c>
      <c r="L177" s="2" t="s">
        <v>596</v>
      </c>
      <c r="M177" s="8" t="str">
        <f>HYPERLINK("http://slimages.macys.com/is/image/MCY/14885497 ")</f>
        <v xml:space="preserve">http://slimages.macys.com/is/image/MCY/14885497 </v>
      </c>
    </row>
    <row r="178" spans="1:13" ht="60" x14ac:dyDescent="0.25">
      <c r="A178" s="7" t="s">
        <v>4503</v>
      </c>
      <c r="B178" s="2" t="s">
        <v>607</v>
      </c>
      <c r="C178" s="4">
        <v>1</v>
      </c>
      <c r="D178" s="5">
        <v>2.62</v>
      </c>
      <c r="E178" s="5">
        <v>6.99</v>
      </c>
      <c r="F178" s="4" t="s">
        <v>608</v>
      </c>
      <c r="G178" s="2" t="s">
        <v>41</v>
      </c>
      <c r="H178" s="7" t="s">
        <v>590</v>
      </c>
      <c r="I178" s="2" t="s">
        <v>483</v>
      </c>
      <c r="J178" s="2" t="s">
        <v>536</v>
      </c>
      <c r="K178" s="2" t="s">
        <v>304</v>
      </c>
      <c r="L178" s="2" t="s">
        <v>100</v>
      </c>
      <c r="M178" s="8" t="str">
        <f>HYPERLINK("http://slimages.macys.com/is/image/MCY/13336572 ")</f>
        <v xml:space="preserve">http://slimages.macys.com/is/image/MCY/13336572 </v>
      </c>
    </row>
    <row r="179" spans="1:13" ht="48" x14ac:dyDescent="0.25">
      <c r="A179" s="7" t="s">
        <v>4618</v>
      </c>
      <c r="B179" s="2" t="s">
        <v>4619</v>
      </c>
      <c r="C179" s="4">
        <v>1</v>
      </c>
      <c r="D179" s="5">
        <v>9.65</v>
      </c>
      <c r="E179" s="5">
        <v>19.3</v>
      </c>
      <c r="F179" s="4">
        <v>37865410</v>
      </c>
      <c r="G179" s="2"/>
      <c r="H179" s="7" t="s">
        <v>166</v>
      </c>
      <c r="I179" s="2" t="s">
        <v>487</v>
      </c>
      <c r="J179" s="2" t="s">
        <v>488</v>
      </c>
      <c r="K179" s="2"/>
      <c r="L179" s="2"/>
      <c r="M179" s="8"/>
    </row>
  </sheetData>
  <pageMargins left="0.5" right="0.5" top="0.25" bottom="0.25" header="0.3" footer="0.3"/>
  <pageSetup scale="65" orientation="landscape" horizontalDpi="0" verticalDpi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47"/>
  <sheetViews>
    <sheetView workbookViewId="0">
      <selection activeCell="N10" sqref="N10"/>
    </sheetView>
  </sheetViews>
  <sheetFormatPr defaultRowHeight="15" x14ac:dyDescent="0.25"/>
  <cols>
    <col min="1" max="1" width="14.28515625" customWidth="1"/>
    <col min="2" max="2" width="41.42578125" customWidth="1"/>
    <col min="3" max="3" width="15" customWidth="1"/>
    <col min="4" max="4" width="10.85546875" customWidth="1"/>
    <col min="5" max="6" width="15" customWidth="1"/>
    <col min="7" max="7" width="10.28515625" customWidth="1"/>
    <col min="8" max="8" width="12.5703125" customWidth="1"/>
    <col min="9" max="10" width="11.42578125" customWidth="1"/>
    <col min="11" max="11" width="10.85546875" customWidth="1"/>
    <col min="12" max="12" width="7.42578125" customWidth="1"/>
    <col min="13" max="13" width="10.85546875" customWidth="1"/>
    <col min="14" max="14" width="12.140625" customWidth="1"/>
    <col min="15" max="15" width="36.5703125" bestFit="1" customWidth="1"/>
    <col min="16" max="17" width="20.7109375" customWidth="1"/>
    <col min="18" max="18" width="64.28515625" customWidth="1"/>
  </cols>
  <sheetData>
    <row r="1" spans="1:13" ht="36" x14ac:dyDescent="0.25">
      <c r="A1" s="17" t="s">
        <v>0</v>
      </c>
      <c r="B1" s="17" t="s">
        <v>1</v>
      </c>
      <c r="C1" s="17" t="s">
        <v>2</v>
      </c>
      <c r="D1" s="17" t="s">
        <v>3</v>
      </c>
      <c r="E1" s="17" t="s">
        <v>4</v>
      </c>
      <c r="F1" s="17" t="s">
        <v>5</v>
      </c>
      <c r="G1" s="17" t="s">
        <v>6</v>
      </c>
      <c r="H1" s="17" t="s">
        <v>7</v>
      </c>
      <c r="I1" s="17" t="s">
        <v>8</v>
      </c>
      <c r="J1" s="17" t="s">
        <v>9</v>
      </c>
    </row>
    <row r="2" spans="1:13" ht="36" x14ac:dyDescent="0.25">
      <c r="A2" s="2" t="s">
        <v>10</v>
      </c>
      <c r="B2" s="3">
        <v>12449080</v>
      </c>
      <c r="C2" s="2" t="s">
        <v>11</v>
      </c>
      <c r="D2" s="2" t="s">
        <v>12</v>
      </c>
      <c r="E2" s="4">
        <v>1</v>
      </c>
      <c r="F2" s="4">
        <v>11</v>
      </c>
      <c r="G2" s="2">
        <v>117</v>
      </c>
      <c r="H2" s="5">
        <v>2222.67</v>
      </c>
      <c r="I2" s="5">
        <v>5429.57</v>
      </c>
      <c r="J2" s="2">
        <v>364</v>
      </c>
    </row>
    <row r="4" spans="1:13" s="6" customFormat="1" x14ac:dyDescent="0.25"/>
    <row r="8" spans="1:13" s="6" customFormat="1" x14ac:dyDescent="0.25"/>
    <row r="9" spans="1:13" ht="36" x14ac:dyDescent="0.25">
      <c r="A9" s="17" t="s">
        <v>13</v>
      </c>
      <c r="B9" s="17" t="s">
        <v>14</v>
      </c>
      <c r="C9" s="17" t="s">
        <v>15</v>
      </c>
      <c r="D9" s="17" t="s">
        <v>16</v>
      </c>
      <c r="E9" s="17" t="s">
        <v>17</v>
      </c>
      <c r="F9" s="17" t="s">
        <v>18</v>
      </c>
      <c r="G9" s="17" t="s">
        <v>19</v>
      </c>
      <c r="H9" s="17" t="s">
        <v>20</v>
      </c>
      <c r="I9" s="17" t="s">
        <v>21</v>
      </c>
      <c r="J9" s="17" t="s">
        <v>22</v>
      </c>
      <c r="K9" s="17" t="s">
        <v>2737</v>
      </c>
      <c r="L9" s="17" t="s">
        <v>23</v>
      </c>
      <c r="M9" s="17" t="s">
        <v>24</v>
      </c>
    </row>
    <row r="10" spans="1:13" ht="60" x14ac:dyDescent="0.25">
      <c r="A10" s="7" t="s">
        <v>5809</v>
      </c>
      <c r="B10" s="2" t="s">
        <v>5810</v>
      </c>
      <c r="C10" s="4">
        <v>1</v>
      </c>
      <c r="D10" s="5">
        <v>79.75</v>
      </c>
      <c r="E10" s="5">
        <v>190</v>
      </c>
      <c r="F10" s="4">
        <v>8006314</v>
      </c>
      <c r="G10" s="2" t="s">
        <v>657</v>
      </c>
      <c r="H10" s="7" t="s">
        <v>774</v>
      </c>
      <c r="I10" s="2" t="s">
        <v>487</v>
      </c>
      <c r="J10" s="2" t="s">
        <v>5811</v>
      </c>
      <c r="K10" s="2" t="s">
        <v>2752</v>
      </c>
      <c r="L10" s="2" t="s">
        <v>87</v>
      </c>
      <c r="M10" s="8" t="str">
        <f>HYPERLINK("http://images.bloomingdales.com/is/image/BLM/10104944 ")</f>
        <v xml:space="preserve">http://images.bloomingdales.com/is/image/BLM/10104944 </v>
      </c>
    </row>
    <row r="11" spans="1:13" ht="60" x14ac:dyDescent="0.25">
      <c r="A11" s="7" t="s">
        <v>5812</v>
      </c>
      <c r="B11" s="2" t="s">
        <v>5813</v>
      </c>
      <c r="C11" s="4">
        <v>1</v>
      </c>
      <c r="D11" s="5">
        <v>37</v>
      </c>
      <c r="E11" s="5">
        <v>18.11</v>
      </c>
      <c r="F11" s="4">
        <v>747999</v>
      </c>
      <c r="G11" s="2" t="s">
        <v>62</v>
      </c>
      <c r="H11" s="7" t="s">
        <v>5814</v>
      </c>
      <c r="I11" s="2" t="s">
        <v>815</v>
      </c>
      <c r="J11" s="2" t="s">
        <v>5815</v>
      </c>
      <c r="K11" s="2"/>
      <c r="L11" s="2"/>
      <c r="M11" s="8" t="str">
        <f>HYPERLINK("http://slimages.macys.com/is/image/MCY/8327823 ")</f>
        <v xml:space="preserve">http://slimages.macys.com/is/image/MCY/8327823 </v>
      </c>
    </row>
    <row r="12" spans="1:13" ht="60" x14ac:dyDescent="0.25">
      <c r="A12" s="7" t="s">
        <v>5816</v>
      </c>
      <c r="B12" s="2" t="s">
        <v>5138</v>
      </c>
      <c r="C12" s="4">
        <v>1</v>
      </c>
      <c r="D12" s="5">
        <v>22.28</v>
      </c>
      <c r="E12" s="5">
        <v>49.5</v>
      </c>
      <c r="F12" s="4">
        <v>323737144001</v>
      </c>
      <c r="G12" s="2" t="s">
        <v>28</v>
      </c>
      <c r="H12" s="7" t="s">
        <v>172</v>
      </c>
      <c r="I12" s="2" t="s">
        <v>204</v>
      </c>
      <c r="J12" s="2" t="s">
        <v>205</v>
      </c>
      <c r="K12" s="2" t="s">
        <v>304</v>
      </c>
      <c r="L12" s="2" t="s">
        <v>87</v>
      </c>
      <c r="M12" s="8" t="str">
        <f>HYPERLINK("http://slimages.macys.com/is/image/MCY/12238353 ")</f>
        <v xml:space="preserve">http://slimages.macys.com/is/image/MCY/12238353 </v>
      </c>
    </row>
    <row r="13" spans="1:13" ht="60" x14ac:dyDescent="0.25">
      <c r="A13" s="7" t="s">
        <v>5817</v>
      </c>
      <c r="B13" s="2" t="s">
        <v>5138</v>
      </c>
      <c r="C13" s="4">
        <v>1</v>
      </c>
      <c r="D13" s="5">
        <v>22.28</v>
      </c>
      <c r="E13" s="5">
        <v>49.5</v>
      </c>
      <c r="F13" s="4">
        <v>323737144001</v>
      </c>
      <c r="G13" s="2" t="s">
        <v>28</v>
      </c>
      <c r="H13" s="7" t="s">
        <v>97</v>
      </c>
      <c r="I13" s="2" t="s">
        <v>204</v>
      </c>
      <c r="J13" s="2" t="s">
        <v>205</v>
      </c>
      <c r="K13" s="2" t="s">
        <v>304</v>
      </c>
      <c r="L13" s="2" t="s">
        <v>87</v>
      </c>
      <c r="M13" s="8" t="str">
        <f>HYPERLINK("http://slimages.macys.com/is/image/MCY/12238353 ")</f>
        <v xml:space="preserve">http://slimages.macys.com/is/image/MCY/12238353 </v>
      </c>
    </row>
    <row r="14" spans="1:13" ht="60" x14ac:dyDescent="0.25">
      <c r="A14" s="7" t="s">
        <v>5818</v>
      </c>
      <c r="B14" s="2" t="s">
        <v>5138</v>
      </c>
      <c r="C14" s="4">
        <v>1</v>
      </c>
      <c r="D14" s="5">
        <v>22.28</v>
      </c>
      <c r="E14" s="5">
        <v>49.5</v>
      </c>
      <c r="F14" s="4">
        <v>323737144001</v>
      </c>
      <c r="G14" s="2" t="s">
        <v>28</v>
      </c>
      <c r="H14" s="7" t="s">
        <v>56</v>
      </c>
      <c r="I14" s="2" t="s">
        <v>204</v>
      </c>
      <c r="J14" s="2" t="s">
        <v>205</v>
      </c>
      <c r="K14" s="2" t="s">
        <v>304</v>
      </c>
      <c r="L14" s="2" t="s">
        <v>87</v>
      </c>
      <c r="M14" s="8" t="str">
        <f>HYPERLINK("http://slimages.macys.com/is/image/MCY/12238353 ")</f>
        <v xml:space="preserve">http://slimages.macys.com/is/image/MCY/12238353 </v>
      </c>
    </row>
    <row r="15" spans="1:13" ht="60" x14ac:dyDescent="0.25">
      <c r="A15" s="7" t="s">
        <v>5819</v>
      </c>
      <c r="B15" s="2" t="s">
        <v>5138</v>
      </c>
      <c r="C15" s="4">
        <v>1</v>
      </c>
      <c r="D15" s="5">
        <v>22.28</v>
      </c>
      <c r="E15" s="5">
        <v>49.5</v>
      </c>
      <c r="F15" s="4">
        <v>323737144001</v>
      </c>
      <c r="G15" s="2" t="s">
        <v>28</v>
      </c>
      <c r="H15" s="7" t="s">
        <v>1411</v>
      </c>
      <c r="I15" s="2" t="s">
        <v>204</v>
      </c>
      <c r="J15" s="2" t="s">
        <v>205</v>
      </c>
      <c r="K15" s="2" t="s">
        <v>304</v>
      </c>
      <c r="L15" s="2" t="s">
        <v>87</v>
      </c>
      <c r="M15" s="8" t="str">
        <f>HYPERLINK("http://slimages.macys.com/is/image/MCY/12238353 ")</f>
        <v xml:space="preserve">http://slimages.macys.com/is/image/MCY/12238353 </v>
      </c>
    </row>
    <row r="16" spans="1:13" ht="60" x14ac:dyDescent="0.25">
      <c r="A16" s="7" t="s">
        <v>5820</v>
      </c>
      <c r="B16" s="2" t="s">
        <v>2448</v>
      </c>
      <c r="C16" s="4">
        <v>1</v>
      </c>
      <c r="D16" s="5">
        <v>22.28</v>
      </c>
      <c r="E16" s="5">
        <v>49.5</v>
      </c>
      <c r="F16" s="4">
        <v>323767529002</v>
      </c>
      <c r="G16" s="2" t="s">
        <v>28</v>
      </c>
      <c r="H16" s="7" t="s">
        <v>284</v>
      </c>
      <c r="I16" s="2" t="s">
        <v>204</v>
      </c>
      <c r="J16" s="2" t="s">
        <v>205</v>
      </c>
      <c r="K16" s="2" t="s">
        <v>304</v>
      </c>
      <c r="L16" s="2" t="s">
        <v>119</v>
      </c>
      <c r="M16" s="8" t="str">
        <f>HYPERLINK("http://slimages.macys.com/is/image/MCY/13745321 ")</f>
        <v xml:space="preserve">http://slimages.macys.com/is/image/MCY/13745321 </v>
      </c>
    </row>
    <row r="17" spans="1:13" ht="60" x14ac:dyDescent="0.25">
      <c r="A17" s="7" t="s">
        <v>5821</v>
      </c>
      <c r="B17" s="2" t="s">
        <v>2448</v>
      </c>
      <c r="C17" s="4">
        <v>1</v>
      </c>
      <c r="D17" s="5">
        <v>22.28</v>
      </c>
      <c r="E17" s="5">
        <v>49.5</v>
      </c>
      <c r="F17" s="4">
        <v>323767529001</v>
      </c>
      <c r="G17" s="2" t="s">
        <v>657</v>
      </c>
      <c r="H17" s="7" t="s">
        <v>284</v>
      </c>
      <c r="I17" s="2" t="s">
        <v>204</v>
      </c>
      <c r="J17" s="2" t="s">
        <v>205</v>
      </c>
      <c r="K17" s="2" t="s">
        <v>304</v>
      </c>
      <c r="L17" s="2" t="s">
        <v>119</v>
      </c>
      <c r="M17" s="8" t="str">
        <f>HYPERLINK("http://slimages.macys.com/is/image/MCY/13745321 ")</f>
        <v xml:space="preserve">http://slimages.macys.com/is/image/MCY/13745321 </v>
      </c>
    </row>
    <row r="18" spans="1:13" ht="60" x14ac:dyDescent="0.25">
      <c r="A18" s="7" t="s">
        <v>5822</v>
      </c>
      <c r="B18" s="2" t="s">
        <v>5823</v>
      </c>
      <c r="C18" s="4">
        <v>1</v>
      </c>
      <c r="D18" s="5">
        <v>22.28</v>
      </c>
      <c r="E18" s="5">
        <v>49.5</v>
      </c>
      <c r="F18" s="4">
        <v>322736977001</v>
      </c>
      <c r="G18" s="2" t="s">
        <v>28</v>
      </c>
      <c r="H18" s="7" t="s">
        <v>166</v>
      </c>
      <c r="I18" s="2" t="s">
        <v>700</v>
      </c>
      <c r="J18" s="2" t="s">
        <v>205</v>
      </c>
      <c r="K18" s="2" t="s">
        <v>304</v>
      </c>
      <c r="L18" s="2" t="s">
        <v>75</v>
      </c>
      <c r="M18" s="8" t="str">
        <f>HYPERLINK("http://slimages.macys.com/is/image/MCY/12223636 ")</f>
        <v xml:space="preserve">http://slimages.macys.com/is/image/MCY/12223636 </v>
      </c>
    </row>
    <row r="19" spans="1:13" ht="60" x14ac:dyDescent="0.25">
      <c r="A19" s="7" t="s">
        <v>1428</v>
      </c>
      <c r="B19" s="2" t="s">
        <v>40</v>
      </c>
      <c r="C19" s="4">
        <v>1</v>
      </c>
      <c r="D19" s="5">
        <v>21</v>
      </c>
      <c r="E19" s="5">
        <v>55</v>
      </c>
      <c r="F19" s="4">
        <v>1201</v>
      </c>
      <c r="G19" s="2" t="s">
        <v>41</v>
      </c>
      <c r="H19" s="7" t="s">
        <v>590</v>
      </c>
      <c r="I19" s="2" t="s">
        <v>43</v>
      </c>
      <c r="J19" s="2" t="s">
        <v>44</v>
      </c>
      <c r="K19" s="2" t="s">
        <v>2746</v>
      </c>
      <c r="L19" s="2" t="s">
        <v>125</v>
      </c>
      <c r="M19" s="8" t="str">
        <f>HYPERLINK("http://slimages.macys.com/is/image/MCY/1087909 ")</f>
        <v xml:space="preserve">http://slimages.macys.com/is/image/MCY/1087909 </v>
      </c>
    </row>
    <row r="20" spans="1:13" ht="60" x14ac:dyDescent="0.25">
      <c r="A20" s="7" t="s">
        <v>2447</v>
      </c>
      <c r="B20" s="2" t="s">
        <v>2448</v>
      </c>
      <c r="C20" s="4">
        <v>1</v>
      </c>
      <c r="D20" s="5">
        <v>20.25</v>
      </c>
      <c r="E20" s="5">
        <v>45</v>
      </c>
      <c r="F20" s="4">
        <v>321767529001</v>
      </c>
      <c r="G20" s="2" t="s">
        <v>657</v>
      </c>
      <c r="H20" s="7" t="s">
        <v>68</v>
      </c>
      <c r="I20" s="2" t="s">
        <v>204</v>
      </c>
      <c r="J20" s="2" t="s">
        <v>205</v>
      </c>
      <c r="K20" s="2" t="s">
        <v>304</v>
      </c>
      <c r="L20" s="2" t="s">
        <v>119</v>
      </c>
      <c r="M20" s="8" t="str">
        <f>HYPERLINK("http://slimages.macys.com/is/image/MCY/13745323 ")</f>
        <v xml:space="preserve">http://slimages.macys.com/is/image/MCY/13745323 </v>
      </c>
    </row>
    <row r="21" spans="1:13" ht="60" x14ac:dyDescent="0.25">
      <c r="A21" s="7" t="s">
        <v>5824</v>
      </c>
      <c r="B21" s="2" t="s">
        <v>5825</v>
      </c>
      <c r="C21" s="4">
        <v>1</v>
      </c>
      <c r="D21" s="5">
        <v>20.25</v>
      </c>
      <c r="E21" s="5">
        <v>45</v>
      </c>
      <c r="F21" s="4">
        <v>323749981001</v>
      </c>
      <c r="G21" s="2" t="s">
        <v>28</v>
      </c>
      <c r="H21" s="7" t="s">
        <v>228</v>
      </c>
      <c r="I21" s="2" t="s">
        <v>204</v>
      </c>
      <c r="J21" s="2" t="s">
        <v>205</v>
      </c>
      <c r="K21" s="2" t="s">
        <v>304</v>
      </c>
      <c r="L21" s="2" t="s">
        <v>38</v>
      </c>
      <c r="M21" s="8" t="str">
        <f>HYPERLINK("http://slimages.macys.com/is/image/MCY/14356542 ")</f>
        <v xml:space="preserve">http://slimages.macys.com/is/image/MCY/14356542 </v>
      </c>
    </row>
    <row r="22" spans="1:13" ht="60" x14ac:dyDescent="0.25">
      <c r="A22" s="7" t="s">
        <v>5826</v>
      </c>
      <c r="B22" s="2" t="s">
        <v>2448</v>
      </c>
      <c r="C22" s="4">
        <v>1</v>
      </c>
      <c r="D22" s="5">
        <v>20.25</v>
      </c>
      <c r="E22" s="5">
        <v>45</v>
      </c>
      <c r="F22" s="4">
        <v>322767529002</v>
      </c>
      <c r="G22" s="2" t="s">
        <v>28</v>
      </c>
      <c r="H22" s="7" t="s">
        <v>311</v>
      </c>
      <c r="I22" s="2" t="s">
        <v>204</v>
      </c>
      <c r="J22" s="2" t="s">
        <v>205</v>
      </c>
      <c r="K22" s="2" t="s">
        <v>304</v>
      </c>
      <c r="L22" s="2" t="s">
        <v>119</v>
      </c>
      <c r="M22" s="8" t="str">
        <f>HYPERLINK("http://slimages.macys.com/is/image/MCY/13745323 ")</f>
        <v xml:space="preserve">http://slimages.macys.com/is/image/MCY/13745323 </v>
      </c>
    </row>
    <row r="23" spans="1:13" ht="60" x14ac:dyDescent="0.25">
      <c r="A23" s="7" t="s">
        <v>5827</v>
      </c>
      <c r="B23" s="2" t="s">
        <v>5828</v>
      </c>
      <c r="C23" s="4">
        <v>1</v>
      </c>
      <c r="D23" s="5">
        <v>20.25</v>
      </c>
      <c r="E23" s="5">
        <v>45</v>
      </c>
      <c r="F23" s="4">
        <v>323750003001</v>
      </c>
      <c r="G23" s="2" t="s">
        <v>28</v>
      </c>
      <c r="H23" s="7" t="s">
        <v>284</v>
      </c>
      <c r="I23" s="2" t="s">
        <v>204</v>
      </c>
      <c r="J23" s="2" t="s">
        <v>205</v>
      </c>
      <c r="K23" s="2" t="s">
        <v>304</v>
      </c>
      <c r="L23" s="2" t="s">
        <v>38</v>
      </c>
      <c r="M23" s="8" t="str">
        <f>HYPERLINK("http://slimages.macys.com/is/image/MCY/13290571 ")</f>
        <v xml:space="preserve">http://slimages.macys.com/is/image/MCY/13290571 </v>
      </c>
    </row>
    <row r="24" spans="1:13" ht="60" x14ac:dyDescent="0.25">
      <c r="A24" s="7" t="s">
        <v>5829</v>
      </c>
      <c r="B24" s="2" t="s">
        <v>2448</v>
      </c>
      <c r="C24" s="4">
        <v>1</v>
      </c>
      <c r="D24" s="5">
        <v>20.25</v>
      </c>
      <c r="E24" s="5">
        <v>45</v>
      </c>
      <c r="F24" s="4">
        <v>321767529001</v>
      </c>
      <c r="G24" s="2" t="s">
        <v>657</v>
      </c>
      <c r="H24" s="7" t="s">
        <v>209</v>
      </c>
      <c r="I24" s="2" t="s">
        <v>204</v>
      </c>
      <c r="J24" s="2" t="s">
        <v>205</v>
      </c>
      <c r="K24" s="2" t="s">
        <v>304</v>
      </c>
      <c r="L24" s="2" t="s">
        <v>119</v>
      </c>
      <c r="M24" s="8" t="str">
        <f>HYPERLINK("http://slimages.macys.com/is/image/MCY/13745323 ")</f>
        <v xml:space="preserve">http://slimages.macys.com/is/image/MCY/13745323 </v>
      </c>
    </row>
    <row r="25" spans="1:13" ht="60" x14ac:dyDescent="0.25">
      <c r="A25" s="7" t="s">
        <v>5830</v>
      </c>
      <c r="B25" s="2" t="s">
        <v>2448</v>
      </c>
      <c r="C25" s="4">
        <v>1</v>
      </c>
      <c r="D25" s="5">
        <v>20.25</v>
      </c>
      <c r="E25" s="5">
        <v>45</v>
      </c>
      <c r="F25" s="4">
        <v>321767529002</v>
      </c>
      <c r="G25" s="2" t="s">
        <v>28</v>
      </c>
      <c r="H25" s="7" t="s">
        <v>144</v>
      </c>
      <c r="I25" s="2" t="s">
        <v>204</v>
      </c>
      <c r="J25" s="2" t="s">
        <v>205</v>
      </c>
      <c r="K25" s="2" t="s">
        <v>304</v>
      </c>
      <c r="L25" s="2" t="s">
        <v>119</v>
      </c>
      <c r="M25" s="8" t="str">
        <f>HYPERLINK("http://slimages.macys.com/is/image/MCY/13745323 ")</f>
        <v xml:space="preserve">http://slimages.macys.com/is/image/MCY/13745323 </v>
      </c>
    </row>
    <row r="26" spans="1:13" ht="60" x14ac:dyDescent="0.25">
      <c r="A26" s="7" t="s">
        <v>5831</v>
      </c>
      <c r="B26" s="2" t="s">
        <v>5832</v>
      </c>
      <c r="C26" s="4">
        <v>1</v>
      </c>
      <c r="D26" s="5">
        <v>18</v>
      </c>
      <c r="E26" s="5">
        <v>45</v>
      </c>
      <c r="F26" s="4" t="s">
        <v>5833</v>
      </c>
      <c r="G26" s="2" t="s">
        <v>165</v>
      </c>
      <c r="H26" s="7" t="s">
        <v>5834</v>
      </c>
      <c r="I26" s="2" t="s">
        <v>700</v>
      </c>
      <c r="J26" s="2" t="s">
        <v>701</v>
      </c>
      <c r="K26" s="2" t="s">
        <v>304</v>
      </c>
      <c r="L26" s="2" t="s">
        <v>224</v>
      </c>
      <c r="M26" s="8" t="str">
        <f>HYPERLINK("http://slimages.macys.com/is/image/MCY/11644882 ")</f>
        <v xml:space="preserve">http://slimages.macys.com/is/image/MCY/11644882 </v>
      </c>
    </row>
    <row r="27" spans="1:13" ht="60" x14ac:dyDescent="0.25">
      <c r="A27" s="7" t="s">
        <v>5835</v>
      </c>
      <c r="B27" s="2" t="s">
        <v>1443</v>
      </c>
      <c r="C27" s="4">
        <v>1</v>
      </c>
      <c r="D27" s="5">
        <v>17.78</v>
      </c>
      <c r="E27" s="5">
        <v>39.5</v>
      </c>
      <c r="F27" s="4">
        <v>323736959007</v>
      </c>
      <c r="G27" s="2" t="s">
        <v>129</v>
      </c>
      <c r="H27" s="7" t="s">
        <v>172</v>
      </c>
      <c r="I27" s="2" t="s">
        <v>204</v>
      </c>
      <c r="J27" s="2" t="s">
        <v>205</v>
      </c>
      <c r="K27" s="2" t="s">
        <v>304</v>
      </c>
      <c r="L27" s="2" t="s">
        <v>38</v>
      </c>
      <c r="M27" s="8" t="str">
        <f>HYPERLINK("http://slimages.macys.com/is/image/MCY/13895756 ")</f>
        <v xml:space="preserve">http://slimages.macys.com/is/image/MCY/13895756 </v>
      </c>
    </row>
    <row r="28" spans="1:13" ht="60" x14ac:dyDescent="0.25">
      <c r="A28" s="7" t="s">
        <v>5836</v>
      </c>
      <c r="B28" s="2" t="s">
        <v>5837</v>
      </c>
      <c r="C28" s="4">
        <v>1</v>
      </c>
      <c r="D28" s="5">
        <v>17.78</v>
      </c>
      <c r="E28" s="5">
        <v>39.5</v>
      </c>
      <c r="F28" s="4">
        <v>311736110001</v>
      </c>
      <c r="G28" s="2" t="s">
        <v>41</v>
      </c>
      <c r="H28" s="7" t="s">
        <v>209</v>
      </c>
      <c r="I28" s="2" t="s">
        <v>3028</v>
      </c>
      <c r="J28" s="2" t="s">
        <v>205</v>
      </c>
      <c r="K28" s="2" t="s">
        <v>304</v>
      </c>
      <c r="L28" s="2" t="s">
        <v>206</v>
      </c>
      <c r="M28" s="8" t="str">
        <f>HYPERLINK("http://slimages.macys.com/is/image/MCY/12448454 ")</f>
        <v xml:space="preserve">http://slimages.macys.com/is/image/MCY/12448454 </v>
      </c>
    </row>
    <row r="29" spans="1:13" ht="60" x14ac:dyDescent="0.25">
      <c r="A29" s="7" t="s">
        <v>5838</v>
      </c>
      <c r="B29" s="2" t="s">
        <v>5839</v>
      </c>
      <c r="C29" s="4">
        <v>1</v>
      </c>
      <c r="D29" s="5">
        <v>16.72</v>
      </c>
      <c r="E29" s="5">
        <v>44</v>
      </c>
      <c r="F29" s="4" t="s">
        <v>5840</v>
      </c>
      <c r="G29" s="2" t="s">
        <v>134</v>
      </c>
      <c r="H29" s="7" t="s">
        <v>166</v>
      </c>
      <c r="I29" s="2" t="s">
        <v>3685</v>
      </c>
      <c r="J29" s="2" t="s">
        <v>3686</v>
      </c>
      <c r="K29" s="2" t="s">
        <v>304</v>
      </c>
      <c r="L29" s="2" t="s">
        <v>263</v>
      </c>
      <c r="M29" s="8" t="str">
        <f>HYPERLINK("http://slimages.macys.com/is/image/MCY/3784706 ")</f>
        <v xml:space="preserve">http://slimages.macys.com/is/image/MCY/3784706 </v>
      </c>
    </row>
    <row r="30" spans="1:13" ht="60" x14ac:dyDescent="0.25">
      <c r="A30" s="7" t="s">
        <v>5841</v>
      </c>
      <c r="B30" s="2" t="s">
        <v>5842</v>
      </c>
      <c r="C30" s="4">
        <v>1</v>
      </c>
      <c r="D30" s="5">
        <v>16.72</v>
      </c>
      <c r="E30" s="5">
        <v>44</v>
      </c>
      <c r="F30" s="4" t="s">
        <v>5843</v>
      </c>
      <c r="G30" s="2" t="s">
        <v>1047</v>
      </c>
      <c r="H30" s="7" t="s">
        <v>166</v>
      </c>
      <c r="I30" s="2" t="s">
        <v>3685</v>
      </c>
      <c r="J30" s="2" t="s">
        <v>3686</v>
      </c>
      <c r="K30" s="2" t="s">
        <v>304</v>
      </c>
      <c r="L30" s="2" t="s">
        <v>87</v>
      </c>
      <c r="M30" s="8" t="str">
        <f>HYPERLINK("http://slimages.macys.com/is/image/MCY/3866325 ")</f>
        <v xml:space="preserve">http://slimages.macys.com/is/image/MCY/3866325 </v>
      </c>
    </row>
    <row r="31" spans="1:13" ht="60" x14ac:dyDescent="0.25">
      <c r="A31" s="7" t="s">
        <v>5844</v>
      </c>
      <c r="B31" s="2" t="s">
        <v>5845</v>
      </c>
      <c r="C31" s="4">
        <v>1</v>
      </c>
      <c r="D31" s="5">
        <v>15.8</v>
      </c>
      <c r="E31" s="5">
        <v>39.5</v>
      </c>
      <c r="F31" s="4" t="s">
        <v>5846</v>
      </c>
      <c r="G31" s="2" t="s">
        <v>86</v>
      </c>
      <c r="H31" s="7"/>
      <c r="I31" s="2" t="s">
        <v>57</v>
      </c>
      <c r="J31" s="2" t="s">
        <v>58</v>
      </c>
      <c r="K31" s="2" t="s">
        <v>304</v>
      </c>
      <c r="L31" s="2" t="s">
        <v>100</v>
      </c>
      <c r="M31" s="8" t="str">
        <f>HYPERLINK("http://slimages.macys.com/is/image/MCY/13815553 ")</f>
        <v xml:space="preserve">http://slimages.macys.com/is/image/MCY/13815553 </v>
      </c>
    </row>
    <row r="32" spans="1:13" ht="60" x14ac:dyDescent="0.25">
      <c r="A32" s="7" t="s">
        <v>5847</v>
      </c>
      <c r="B32" s="2" t="s">
        <v>5848</v>
      </c>
      <c r="C32" s="4">
        <v>1</v>
      </c>
      <c r="D32" s="5">
        <v>15.75</v>
      </c>
      <c r="E32" s="5">
        <v>35</v>
      </c>
      <c r="F32" s="4">
        <v>321736959007</v>
      </c>
      <c r="G32" s="2" t="s">
        <v>129</v>
      </c>
      <c r="H32" s="7" t="s">
        <v>68</v>
      </c>
      <c r="I32" s="2" t="s">
        <v>204</v>
      </c>
      <c r="J32" s="2" t="s">
        <v>205</v>
      </c>
      <c r="K32" s="2" t="s">
        <v>304</v>
      </c>
      <c r="L32" s="2" t="s">
        <v>38</v>
      </c>
      <c r="M32" s="8" t="str">
        <f>HYPERLINK("http://slimages.macys.com/is/image/MCY/13895755 ")</f>
        <v xml:space="preserve">http://slimages.macys.com/is/image/MCY/13895755 </v>
      </c>
    </row>
    <row r="33" spans="1:13" ht="60" x14ac:dyDescent="0.25">
      <c r="A33" s="7" t="s">
        <v>5849</v>
      </c>
      <c r="B33" s="2" t="s">
        <v>5850</v>
      </c>
      <c r="C33" s="4">
        <v>1</v>
      </c>
      <c r="D33" s="5">
        <v>15.57</v>
      </c>
      <c r="E33" s="5">
        <v>31.99</v>
      </c>
      <c r="F33" s="4" t="s">
        <v>5851</v>
      </c>
      <c r="G33" s="2" t="s">
        <v>165</v>
      </c>
      <c r="H33" s="7" t="s">
        <v>228</v>
      </c>
      <c r="I33" s="2" t="s">
        <v>73</v>
      </c>
      <c r="J33" s="2" t="s">
        <v>160</v>
      </c>
      <c r="K33" s="2" t="s">
        <v>304</v>
      </c>
      <c r="L33" s="2" t="s">
        <v>100</v>
      </c>
      <c r="M33" s="8" t="str">
        <f>HYPERLINK("http://slimages.macys.com/is/image/MCY/11484959 ")</f>
        <v xml:space="preserve">http://slimages.macys.com/is/image/MCY/11484959 </v>
      </c>
    </row>
    <row r="34" spans="1:13" ht="60" x14ac:dyDescent="0.25">
      <c r="A34" s="7" t="s">
        <v>5852</v>
      </c>
      <c r="B34" s="2" t="s">
        <v>5176</v>
      </c>
      <c r="C34" s="4">
        <v>1</v>
      </c>
      <c r="D34" s="5">
        <v>15</v>
      </c>
      <c r="E34" s="5">
        <v>37.5</v>
      </c>
      <c r="F34" s="4" t="s">
        <v>5177</v>
      </c>
      <c r="G34" s="2" t="s">
        <v>41</v>
      </c>
      <c r="H34" s="7" t="s">
        <v>68</v>
      </c>
      <c r="I34" s="2" t="s">
        <v>690</v>
      </c>
      <c r="J34" s="2" t="s">
        <v>58</v>
      </c>
      <c r="K34" s="2" t="s">
        <v>304</v>
      </c>
      <c r="L34" s="2" t="s">
        <v>100</v>
      </c>
      <c r="M34" s="8" t="str">
        <f>HYPERLINK("http://slimages.macys.com/is/image/MCY/13049148 ")</f>
        <v xml:space="preserve">http://slimages.macys.com/is/image/MCY/13049148 </v>
      </c>
    </row>
    <row r="35" spans="1:13" ht="60" x14ac:dyDescent="0.25">
      <c r="A35" s="7" t="s">
        <v>4773</v>
      </c>
      <c r="B35" s="2" t="s">
        <v>4774</v>
      </c>
      <c r="C35" s="4">
        <v>2</v>
      </c>
      <c r="D35" s="5">
        <v>14</v>
      </c>
      <c r="E35" s="5">
        <v>31.99</v>
      </c>
      <c r="F35" s="4" t="s">
        <v>4775</v>
      </c>
      <c r="G35" s="2" t="s">
        <v>262</v>
      </c>
      <c r="H35" s="7" t="s">
        <v>166</v>
      </c>
      <c r="I35" s="2" t="s">
        <v>80</v>
      </c>
      <c r="J35" s="2" t="s">
        <v>167</v>
      </c>
      <c r="K35" s="2" t="s">
        <v>304</v>
      </c>
      <c r="L35" s="2" t="s">
        <v>125</v>
      </c>
      <c r="M35" s="8" t="str">
        <f>HYPERLINK("http://slimages.macys.com/is/image/MCY/13117110 ")</f>
        <v xml:space="preserve">http://slimages.macys.com/is/image/MCY/13117110 </v>
      </c>
    </row>
    <row r="36" spans="1:13" ht="60" x14ac:dyDescent="0.25">
      <c r="A36" s="7" t="s">
        <v>5853</v>
      </c>
      <c r="B36" s="2" t="s">
        <v>5854</v>
      </c>
      <c r="C36" s="4">
        <v>1</v>
      </c>
      <c r="D36" s="5">
        <v>13.35</v>
      </c>
      <c r="E36" s="5">
        <v>26.99</v>
      </c>
      <c r="F36" s="4" t="s">
        <v>5855</v>
      </c>
      <c r="G36" s="2" t="s">
        <v>165</v>
      </c>
      <c r="H36" s="7" t="s">
        <v>217</v>
      </c>
      <c r="I36" s="2" t="s">
        <v>80</v>
      </c>
      <c r="J36" s="2" t="s">
        <v>160</v>
      </c>
      <c r="K36" s="2" t="s">
        <v>304</v>
      </c>
      <c r="L36" s="2" t="s">
        <v>125</v>
      </c>
      <c r="M36" s="8" t="str">
        <f>HYPERLINK("http://slimages.macys.com/is/image/MCY/12337025 ")</f>
        <v xml:space="preserve">http://slimages.macys.com/is/image/MCY/12337025 </v>
      </c>
    </row>
    <row r="37" spans="1:13" ht="60" x14ac:dyDescent="0.25">
      <c r="A37" s="7" t="s">
        <v>5856</v>
      </c>
      <c r="B37" s="2" t="s">
        <v>5203</v>
      </c>
      <c r="C37" s="4">
        <v>1</v>
      </c>
      <c r="D37" s="5">
        <v>12.95</v>
      </c>
      <c r="E37" s="5">
        <v>37</v>
      </c>
      <c r="F37" s="4" t="s">
        <v>5857</v>
      </c>
      <c r="G37" s="2" t="s">
        <v>347</v>
      </c>
      <c r="H37" s="7" t="s">
        <v>144</v>
      </c>
      <c r="I37" s="2" t="s">
        <v>700</v>
      </c>
      <c r="J37" s="2" t="s">
        <v>2123</v>
      </c>
      <c r="K37" s="2" t="s">
        <v>304</v>
      </c>
      <c r="L37" s="2" t="s">
        <v>5206</v>
      </c>
      <c r="M37" s="8" t="str">
        <f>HYPERLINK("http://slimages.macys.com/is/image/MCY/9476872 ")</f>
        <v xml:space="preserve">http://slimages.macys.com/is/image/MCY/9476872 </v>
      </c>
    </row>
    <row r="38" spans="1:13" ht="60" x14ac:dyDescent="0.25">
      <c r="A38" s="7" t="s">
        <v>5858</v>
      </c>
      <c r="B38" s="2" t="s">
        <v>3760</v>
      </c>
      <c r="C38" s="4">
        <v>1</v>
      </c>
      <c r="D38" s="5">
        <v>12.92</v>
      </c>
      <c r="E38" s="5">
        <v>34.99</v>
      </c>
      <c r="F38" s="4" t="s">
        <v>3761</v>
      </c>
      <c r="G38" s="2" t="s">
        <v>62</v>
      </c>
      <c r="H38" s="7" t="s">
        <v>284</v>
      </c>
      <c r="I38" s="2" t="s">
        <v>218</v>
      </c>
      <c r="J38" s="2" t="s">
        <v>1740</v>
      </c>
      <c r="K38" s="2" t="s">
        <v>304</v>
      </c>
      <c r="L38" s="2" t="s">
        <v>3452</v>
      </c>
      <c r="M38" s="8" t="str">
        <f>HYPERLINK("http://slimages.macys.com/is/image/MCY/11946901 ")</f>
        <v xml:space="preserve">http://slimages.macys.com/is/image/MCY/11946901 </v>
      </c>
    </row>
    <row r="39" spans="1:13" ht="168" x14ac:dyDescent="0.25">
      <c r="A39" s="7" t="s">
        <v>1549</v>
      </c>
      <c r="B39" s="2" t="s">
        <v>1550</v>
      </c>
      <c r="C39" s="4">
        <v>1</v>
      </c>
      <c r="D39" s="5">
        <v>12.5</v>
      </c>
      <c r="E39" s="5">
        <v>32.99</v>
      </c>
      <c r="F39" s="4" t="s">
        <v>1551</v>
      </c>
      <c r="G39" s="2" t="s">
        <v>582</v>
      </c>
      <c r="H39" s="7" t="s">
        <v>590</v>
      </c>
      <c r="I39" s="2" t="s">
        <v>92</v>
      </c>
      <c r="J39" s="2" t="s">
        <v>65</v>
      </c>
      <c r="K39" s="2" t="s">
        <v>304</v>
      </c>
      <c r="L39" s="2" t="s">
        <v>1552</v>
      </c>
      <c r="M39" s="8" t="str">
        <f>HYPERLINK("http://slimages.macys.com/is/image/MCY/13782957 ")</f>
        <v xml:space="preserve">http://slimages.macys.com/is/image/MCY/13782957 </v>
      </c>
    </row>
    <row r="40" spans="1:13" ht="60" x14ac:dyDescent="0.25">
      <c r="A40" s="7" t="s">
        <v>214</v>
      </c>
      <c r="B40" s="2" t="s">
        <v>215</v>
      </c>
      <c r="C40" s="4">
        <v>1</v>
      </c>
      <c r="D40" s="5">
        <v>11.73</v>
      </c>
      <c r="E40" s="5">
        <v>32.99</v>
      </c>
      <c r="F40" s="4" t="s">
        <v>216</v>
      </c>
      <c r="G40" s="2" t="s">
        <v>62</v>
      </c>
      <c r="H40" s="7" t="s">
        <v>217</v>
      </c>
      <c r="I40" s="2" t="s">
        <v>218</v>
      </c>
      <c r="J40" s="2" t="s">
        <v>219</v>
      </c>
      <c r="K40" s="2" t="s">
        <v>304</v>
      </c>
      <c r="L40" s="2" t="s">
        <v>125</v>
      </c>
      <c r="M40" s="8" t="str">
        <f>HYPERLINK("http://slimages.macys.com/is/image/MCY/11526462 ")</f>
        <v xml:space="preserve">http://slimages.macys.com/is/image/MCY/11526462 </v>
      </c>
    </row>
    <row r="41" spans="1:13" ht="60" x14ac:dyDescent="0.25">
      <c r="A41" s="7" t="s">
        <v>5859</v>
      </c>
      <c r="B41" s="2" t="s">
        <v>5860</v>
      </c>
      <c r="C41" s="4">
        <v>1</v>
      </c>
      <c r="D41" s="5">
        <v>11.5</v>
      </c>
      <c r="E41" s="5">
        <v>27.99</v>
      </c>
      <c r="F41" s="4" t="s">
        <v>5861</v>
      </c>
      <c r="G41" s="2" t="s">
        <v>874</v>
      </c>
      <c r="H41" s="7" t="s">
        <v>228</v>
      </c>
      <c r="I41" s="2" t="s">
        <v>321</v>
      </c>
      <c r="J41" s="2" t="s">
        <v>4829</v>
      </c>
      <c r="K41" s="2" t="s">
        <v>304</v>
      </c>
      <c r="L41" s="2" t="s">
        <v>125</v>
      </c>
      <c r="M41" s="8" t="str">
        <f>HYPERLINK("http://slimages.macys.com/is/image/MCY/12339219 ")</f>
        <v xml:space="preserve">http://slimages.macys.com/is/image/MCY/12339219 </v>
      </c>
    </row>
    <row r="42" spans="1:13" ht="60" x14ac:dyDescent="0.25">
      <c r="A42" s="7" t="s">
        <v>5862</v>
      </c>
      <c r="B42" s="2" t="s">
        <v>203</v>
      </c>
      <c r="C42" s="4">
        <v>1</v>
      </c>
      <c r="D42" s="5">
        <v>11.25</v>
      </c>
      <c r="E42" s="5">
        <v>25</v>
      </c>
      <c r="F42" s="4">
        <v>321767900002</v>
      </c>
      <c r="G42" s="2" t="s">
        <v>41</v>
      </c>
      <c r="H42" s="7" t="s">
        <v>144</v>
      </c>
      <c r="I42" s="2" t="s">
        <v>204</v>
      </c>
      <c r="J42" s="2" t="s">
        <v>205</v>
      </c>
      <c r="K42" s="2" t="s">
        <v>304</v>
      </c>
      <c r="L42" s="2" t="s">
        <v>206</v>
      </c>
      <c r="M42" s="8" t="str">
        <f>HYPERLINK("http://slimages.macys.com/is/image/MCY/13936000 ")</f>
        <v xml:space="preserve">http://slimages.macys.com/is/image/MCY/13936000 </v>
      </c>
    </row>
    <row r="43" spans="1:13" ht="60" x14ac:dyDescent="0.25">
      <c r="A43" s="7" t="s">
        <v>5863</v>
      </c>
      <c r="B43" s="2" t="s">
        <v>203</v>
      </c>
      <c r="C43" s="4">
        <v>1</v>
      </c>
      <c r="D43" s="5">
        <v>11.25</v>
      </c>
      <c r="E43" s="5">
        <v>25</v>
      </c>
      <c r="F43" s="4">
        <v>321753363001</v>
      </c>
      <c r="G43" s="2" t="s">
        <v>28</v>
      </c>
      <c r="H43" s="7" t="s">
        <v>68</v>
      </c>
      <c r="I43" s="2" t="s">
        <v>204</v>
      </c>
      <c r="J43" s="2" t="s">
        <v>205</v>
      </c>
      <c r="K43" s="2" t="s">
        <v>304</v>
      </c>
      <c r="L43" s="2" t="s">
        <v>206</v>
      </c>
      <c r="M43" s="8" t="str">
        <f>HYPERLINK("http://slimages.macys.com/is/image/MCY/14356741 ")</f>
        <v xml:space="preserve">http://slimages.macys.com/is/image/MCY/14356741 </v>
      </c>
    </row>
    <row r="44" spans="1:13" ht="60" x14ac:dyDescent="0.25">
      <c r="A44" s="7" t="s">
        <v>5864</v>
      </c>
      <c r="B44" s="2" t="s">
        <v>5865</v>
      </c>
      <c r="C44" s="4">
        <v>1</v>
      </c>
      <c r="D44" s="5">
        <v>11.25</v>
      </c>
      <c r="E44" s="5">
        <v>25</v>
      </c>
      <c r="F44" s="4">
        <v>321753365001</v>
      </c>
      <c r="G44" s="2" t="s">
        <v>41</v>
      </c>
      <c r="H44" s="7" t="s">
        <v>68</v>
      </c>
      <c r="I44" s="2" t="s">
        <v>204</v>
      </c>
      <c r="J44" s="2" t="s">
        <v>205</v>
      </c>
      <c r="K44" s="2" t="s">
        <v>304</v>
      </c>
      <c r="L44" s="2" t="s">
        <v>206</v>
      </c>
      <c r="M44" s="8" t="str">
        <f>HYPERLINK("http://slimages.macys.com/is/image/MCY/14356749 ")</f>
        <v xml:space="preserve">http://slimages.macys.com/is/image/MCY/14356749 </v>
      </c>
    </row>
    <row r="45" spans="1:13" ht="60" x14ac:dyDescent="0.25">
      <c r="A45" s="7" t="s">
        <v>5866</v>
      </c>
      <c r="B45" s="2" t="s">
        <v>5867</v>
      </c>
      <c r="C45" s="4">
        <v>1</v>
      </c>
      <c r="D45" s="5">
        <v>11.12</v>
      </c>
      <c r="E45" s="5">
        <v>22.99</v>
      </c>
      <c r="F45" s="4" t="s">
        <v>5868</v>
      </c>
      <c r="G45" s="2" t="s">
        <v>165</v>
      </c>
      <c r="H45" s="7" t="s">
        <v>217</v>
      </c>
      <c r="I45" s="2" t="s">
        <v>80</v>
      </c>
      <c r="J45" s="2" t="s">
        <v>160</v>
      </c>
      <c r="K45" s="2" t="s">
        <v>304</v>
      </c>
      <c r="L45" s="2" t="s">
        <v>125</v>
      </c>
      <c r="M45" s="8" t="str">
        <f>HYPERLINK("http://slimages.macys.com/is/image/MCY/10207998 ")</f>
        <v xml:space="preserve">http://slimages.macys.com/is/image/MCY/10207998 </v>
      </c>
    </row>
    <row r="46" spans="1:13" ht="108" x14ac:dyDescent="0.25">
      <c r="A46" s="7" t="s">
        <v>5869</v>
      </c>
      <c r="B46" s="2" t="s">
        <v>5870</v>
      </c>
      <c r="C46" s="4">
        <v>1</v>
      </c>
      <c r="D46" s="5">
        <v>11</v>
      </c>
      <c r="E46" s="5">
        <v>21.99</v>
      </c>
      <c r="F46" s="4" t="s">
        <v>5871</v>
      </c>
      <c r="G46" s="2" t="s">
        <v>657</v>
      </c>
      <c r="H46" s="7" t="s">
        <v>42</v>
      </c>
      <c r="I46" s="2" t="s">
        <v>92</v>
      </c>
      <c r="J46" s="2" t="s">
        <v>778</v>
      </c>
      <c r="K46" s="2" t="s">
        <v>304</v>
      </c>
      <c r="L46" s="2" t="s">
        <v>5872</v>
      </c>
      <c r="M46" s="8" t="str">
        <f>HYPERLINK("http://slimages.macys.com/is/image/MCY/11860099 ")</f>
        <v xml:space="preserve">http://slimages.macys.com/is/image/MCY/11860099 </v>
      </c>
    </row>
    <row r="47" spans="1:13" ht="108" x14ac:dyDescent="0.25">
      <c r="A47" s="7" t="s">
        <v>5873</v>
      </c>
      <c r="B47" s="2" t="s">
        <v>5870</v>
      </c>
      <c r="C47" s="4">
        <v>2</v>
      </c>
      <c r="D47" s="5">
        <v>11</v>
      </c>
      <c r="E47" s="5">
        <v>21.99</v>
      </c>
      <c r="F47" s="4" t="s">
        <v>5871</v>
      </c>
      <c r="G47" s="2" t="s">
        <v>657</v>
      </c>
      <c r="H47" s="7" t="s">
        <v>442</v>
      </c>
      <c r="I47" s="2" t="s">
        <v>92</v>
      </c>
      <c r="J47" s="2" t="s">
        <v>778</v>
      </c>
      <c r="K47" s="2" t="s">
        <v>304</v>
      </c>
      <c r="L47" s="2" t="s">
        <v>5872</v>
      </c>
      <c r="M47" s="8" t="str">
        <f>HYPERLINK("http://slimages.macys.com/is/image/MCY/11860099 ")</f>
        <v xml:space="preserve">http://slimages.macys.com/is/image/MCY/11860099 </v>
      </c>
    </row>
    <row r="48" spans="1:13" ht="60" x14ac:dyDescent="0.25">
      <c r="A48" s="7" t="s">
        <v>5874</v>
      </c>
      <c r="B48" s="2" t="s">
        <v>255</v>
      </c>
      <c r="C48" s="4">
        <v>1</v>
      </c>
      <c r="D48" s="5">
        <v>10.5</v>
      </c>
      <c r="E48" s="5">
        <v>24.99</v>
      </c>
      <c r="F48" s="4" t="s">
        <v>256</v>
      </c>
      <c r="G48" s="2" t="s">
        <v>262</v>
      </c>
      <c r="H48" s="7" t="s">
        <v>172</v>
      </c>
      <c r="I48" s="2" t="s">
        <v>257</v>
      </c>
      <c r="J48" s="2" t="s">
        <v>258</v>
      </c>
      <c r="K48" s="2" t="s">
        <v>304</v>
      </c>
      <c r="L48" s="2" t="s">
        <v>206</v>
      </c>
      <c r="M48" s="8" t="str">
        <f>HYPERLINK("http://slimages.macys.com/is/image/MCY/11722983 ")</f>
        <v xml:space="preserve">http://slimages.macys.com/is/image/MCY/11722983 </v>
      </c>
    </row>
    <row r="49" spans="1:13" ht="60" x14ac:dyDescent="0.25">
      <c r="A49" s="7" t="s">
        <v>5284</v>
      </c>
      <c r="B49" s="2" t="s">
        <v>5282</v>
      </c>
      <c r="C49" s="4">
        <v>1</v>
      </c>
      <c r="D49" s="5">
        <v>10.5</v>
      </c>
      <c r="E49" s="5">
        <v>24.99</v>
      </c>
      <c r="F49" s="4" t="s">
        <v>5283</v>
      </c>
      <c r="G49" s="2" t="s">
        <v>171</v>
      </c>
      <c r="H49" s="7" t="s">
        <v>97</v>
      </c>
      <c r="I49" s="2" t="s">
        <v>257</v>
      </c>
      <c r="J49" s="2" t="s">
        <v>258</v>
      </c>
      <c r="K49" s="2" t="s">
        <v>304</v>
      </c>
      <c r="L49" s="2" t="s">
        <v>38</v>
      </c>
      <c r="M49" s="8" t="str">
        <f>HYPERLINK("http://slimages.macys.com/is/image/MCY/11723088 ")</f>
        <v xml:space="preserve">http://slimages.macys.com/is/image/MCY/11723088 </v>
      </c>
    </row>
    <row r="50" spans="1:13" ht="60" x14ac:dyDescent="0.25">
      <c r="A50" s="7" t="s">
        <v>5875</v>
      </c>
      <c r="B50" s="2" t="s">
        <v>5876</v>
      </c>
      <c r="C50" s="4">
        <v>1</v>
      </c>
      <c r="D50" s="5">
        <v>10.5</v>
      </c>
      <c r="E50" s="5">
        <v>22.99</v>
      </c>
      <c r="F50" s="4" t="s">
        <v>3135</v>
      </c>
      <c r="G50" s="2" t="s">
        <v>79</v>
      </c>
      <c r="H50" s="7" t="s">
        <v>123</v>
      </c>
      <c r="I50" s="2" t="s">
        <v>173</v>
      </c>
      <c r="J50" s="2" t="s">
        <v>1967</v>
      </c>
      <c r="K50" s="2" t="s">
        <v>304</v>
      </c>
      <c r="L50" s="2" t="s">
        <v>100</v>
      </c>
      <c r="M50" s="8" t="str">
        <f>HYPERLINK("http://slimages.macys.com/is/image/MCY/1632702 ")</f>
        <v xml:space="preserve">http://slimages.macys.com/is/image/MCY/1632702 </v>
      </c>
    </row>
    <row r="51" spans="1:13" ht="60" x14ac:dyDescent="0.25">
      <c r="A51" s="7" t="s">
        <v>5877</v>
      </c>
      <c r="B51" s="2" t="s">
        <v>1605</v>
      </c>
      <c r="C51" s="4">
        <v>1</v>
      </c>
      <c r="D51" s="5">
        <v>10.35</v>
      </c>
      <c r="E51" s="5">
        <v>24.99</v>
      </c>
      <c r="F51" s="4" t="s">
        <v>1606</v>
      </c>
      <c r="G51" s="2" t="s">
        <v>28</v>
      </c>
      <c r="H51" s="7" t="s">
        <v>159</v>
      </c>
      <c r="I51" s="2" t="s">
        <v>389</v>
      </c>
      <c r="J51" s="2" t="s">
        <v>354</v>
      </c>
      <c r="K51" s="2" t="s">
        <v>304</v>
      </c>
      <c r="L51" s="2" t="s">
        <v>1607</v>
      </c>
      <c r="M51" s="8" t="str">
        <f>HYPERLINK("http://slimages.macys.com/is/image/MCY/12000846 ")</f>
        <v xml:space="preserve">http://slimages.macys.com/is/image/MCY/12000846 </v>
      </c>
    </row>
    <row r="52" spans="1:13" ht="60" x14ac:dyDescent="0.25">
      <c r="A52" s="7" t="s">
        <v>5878</v>
      </c>
      <c r="B52" s="2" t="s">
        <v>5879</v>
      </c>
      <c r="C52" s="4">
        <v>2</v>
      </c>
      <c r="D52" s="5">
        <v>10.29</v>
      </c>
      <c r="E52" s="5">
        <v>22.99</v>
      </c>
      <c r="F52" s="4" t="s">
        <v>5880</v>
      </c>
      <c r="G52" s="2" t="s">
        <v>28</v>
      </c>
      <c r="H52" s="7" t="s">
        <v>217</v>
      </c>
      <c r="I52" s="2" t="s">
        <v>292</v>
      </c>
      <c r="J52" s="2" t="s">
        <v>293</v>
      </c>
      <c r="K52" s="2" t="s">
        <v>304</v>
      </c>
      <c r="L52" s="2" t="s">
        <v>596</v>
      </c>
      <c r="M52" s="8" t="str">
        <f>HYPERLINK("http://slimages.macys.com/is/image/MCY/11527671 ")</f>
        <v xml:space="preserve">http://slimages.macys.com/is/image/MCY/11527671 </v>
      </c>
    </row>
    <row r="53" spans="1:13" ht="60" x14ac:dyDescent="0.25">
      <c r="A53" s="7" t="s">
        <v>5881</v>
      </c>
      <c r="B53" s="2" t="s">
        <v>4860</v>
      </c>
      <c r="C53" s="4">
        <v>1</v>
      </c>
      <c r="D53" s="5">
        <v>9.8000000000000007</v>
      </c>
      <c r="E53" s="5">
        <v>24.5</v>
      </c>
      <c r="F53" s="4" t="s">
        <v>4861</v>
      </c>
      <c r="G53" s="2" t="s">
        <v>62</v>
      </c>
      <c r="H53" s="7"/>
      <c r="I53" s="2" t="s">
        <v>57</v>
      </c>
      <c r="J53" s="2" t="s">
        <v>58</v>
      </c>
      <c r="K53" s="2" t="s">
        <v>304</v>
      </c>
      <c r="L53" s="2" t="s">
        <v>119</v>
      </c>
      <c r="M53" s="8" t="str">
        <f>HYPERLINK("http://slimages.macys.com/is/image/MCY/12899348 ")</f>
        <v xml:space="preserve">http://slimages.macys.com/is/image/MCY/12899348 </v>
      </c>
    </row>
    <row r="54" spans="1:13" ht="60" x14ac:dyDescent="0.25">
      <c r="A54" s="7" t="s">
        <v>5882</v>
      </c>
      <c r="B54" s="2" t="s">
        <v>5342</v>
      </c>
      <c r="C54" s="4">
        <v>1</v>
      </c>
      <c r="D54" s="5">
        <v>9.8000000000000007</v>
      </c>
      <c r="E54" s="5">
        <v>24.5</v>
      </c>
      <c r="F54" s="4" t="s">
        <v>5883</v>
      </c>
      <c r="G54" s="2" t="s">
        <v>86</v>
      </c>
      <c r="H54" s="7"/>
      <c r="I54" s="2" t="s">
        <v>57</v>
      </c>
      <c r="J54" s="2" t="s">
        <v>58</v>
      </c>
      <c r="K54" s="2" t="s">
        <v>304</v>
      </c>
      <c r="L54" s="2" t="s">
        <v>206</v>
      </c>
      <c r="M54" s="8" t="str">
        <f>HYPERLINK("http://slimages.macys.com/is/image/MCY/13804046 ")</f>
        <v xml:space="preserve">http://slimages.macys.com/is/image/MCY/13804046 </v>
      </c>
    </row>
    <row r="55" spans="1:13" ht="60" x14ac:dyDescent="0.25">
      <c r="A55" s="7" t="s">
        <v>5884</v>
      </c>
      <c r="B55" s="2" t="s">
        <v>5885</v>
      </c>
      <c r="C55" s="4">
        <v>1</v>
      </c>
      <c r="D55" s="5">
        <v>9.6</v>
      </c>
      <c r="E55" s="5">
        <v>23.99</v>
      </c>
      <c r="F55" s="4" t="s">
        <v>3186</v>
      </c>
      <c r="G55" s="2" t="s">
        <v>262</v>
      </c>
      <c r="H55" s="7" t="s">
        <v>179</v>
      </c>
      <c r="I55" s="2" t="s">
        <v>173</v>
      </c>
      <c r="J55" s="2" t="s">
        <v>174</v>
      </c>
      <c r="K55" s="2" t="s">
        <v>304</v>
      </c>
      <c r="L55" s="2" t="s">
        <v>87</v>
      </c>
      <c r="M55" s="8" t="str">
        <f>HYPERLINK("http://slimages.macys.com/is/image/MCY/12035086 ")</f>
        <v xml:space="preserve">http://slimages.macys.com/is/image/MCY/12035086 </v>
      </c>
    </row>
    <row r="56" spans="1:13" ht="60" x14ac:dyDescent="0.25">
      <c r="A56" s="7" t="s">
        <v>5886</v>
      </c>
      <c r="B56" s="2" t="s">
        <v>5887</v>
      </c>
      <c r="C56" s="4">
        <v>1</v>
      </c>
      <c r="D56" s="5">
        <v>9.58</v>
      </c>
      <c r="E56" s="5">
        <v>26.99</v>
      </c>
      <c r="F56" s="4" t="s">
        <v>5888</v>
      </c>
      <c r="G56" s="2" t="s">
        <v>171</v>
      </c>
      <c r="H56" s="7" t="s">
        <v>284</v>
      </c>
      <c r="I56" s="2" t="s">
        <v>389</v>
      </c>
      <c r="J56" s="2" t="s">
        <v>354</v>
      </c>
      <c r="K56" s="2" t="s">
        <v>304</v>
      </c>
      <c r="L56" s="2" t="s">
        <v>87</v>
      </c>
      <c r="M56" s="8" t="str">
        <f>HYPERLINK("http://slimages.macys.com/is/image/MCY/12938534 ")</f>
        <v xml:space="preserve">http://slimages.macys.com/is/image/MCY/12938534 </v>
      </c>
    </row>
    <row r="57" spans="1:13" ht="60" x14ac:dyDescent="0.25">
      <c r="A57" s="7" t="s">
        <v>1632</v>
      </c>
      <c r="B57" s="2" t="s">
        <v>1633</v>
      </c>
      <c r="C57" s="4">
        <v>2</v>
      </c>
      <c r="D57" s="5">
        <v>9.5299999999999994</v>
      </c>
      <c r="E57" s="5">
        <v>22.99</v>
      </c>
      <c r="F57" s="4" t="s">
        <v>1634</v>
      </c>
      <c r="G57" s="2" t="s">
        <v>28</v>
      </c>
      <c r="H57" s="7" t="s">
        <v>217</v>
      </c>
      <c r="I57" s="2" t="s">
        <v>292</v>
      </c>
      <c r="J57" s="2" t="s">
        <v>293</v>
      </c>
      <c r="K57" s="2" t="s">
        <v>304</v>
      </c>
      <c r="L57" s="2" t="s">
        <v>206</v>
      </c>
      <c r="M57" s="8" t="str">
        <f>HYPERLINK("http://slimages.macys.com/is/image/MCY/11776336 ")</f>
        <v xml:space="preserve">http://slimages.macys.com/is/image/MCY/11776336 </v>
      </c>
    </row>
    <row r="58" spans="1:13" ht="60" x14ac:dyDescent="0.25">
      <c r="A58" s="7" t="s">
        <v>5889</v>
      </c>
      <c r="B58" s="2" t="s">
        <v>333</v>
      </c>
      <c r="C58" s="4">
        <v>1</v>
      </c>
      <c r="D58" s="5">
        <v>9.1</v>
      </c>
      <c r="E58" s="5">
        <v>19.989999999999998</v>
      </c>
      <c r="F58" s="4" t="s">
        <v>841</v>
      </c>
      <c r="G58" s="2" t="s">
        <v>62</v>
      </c>
      <c r="H58" s="7" t="s">
        <v>172</v>
      </c>
      <c r="I58" s="2" t="s">
        <v>73</v>
      </c>
      <c r="J58" s="2" t="s">
        <v>249</v>
      </c>
      <c r="K58" s="2" t="s">
        <v>304</v>
      </c>
      <c r="L58" s="2" t="s">
        <v>335</v>
      </c>
      <c r="M58" s="8" t="str">
        <f>HYPERLINK("http://slimages.macys.com/is/image/MCY/14365354 ")</f>
        <v xml:space="preserve">http://slimages.macys.com/is/image/MCY/14365354 </v>
      </c>
    </row>
    <row r="59" spans="1:13" ht="60" x14ac:dyDescent="0.25">
      <c r="A59" s="7" t="s">
        <v>5890</v>
      </c>
      <c r="B59" s="2" t="s">
        <v>333</v>
      </c>
      <c r="C59" s="4">
        <v>1</v>
      </c>
      <c r="D59" s="5">
        <v>9.1</v>
      </c>
      <c r="E59" s="5">
        <v>19.989999999999998</v>
      </c>
      <c r="F59" s="4" t="s">
        <v>841</v>
      </c>
      <c r="G59" s="2" t="s">
        <v>62</v>
      </c>
      <c r="H59" s="7" t="s">
        <v>166</v>
      </c>
      <c r="I59" s="2" t="s">
        <v>73</v>
      </c>
      <c r="J59" s="2" t="s">
        <v>249</v>
      </c>
      <c r="K59" s="2" t="s">
        <v>304</v>
      </c>
      <c r="L59" s="2" t="s">
        <v>335</v>
      </c>
      <c r="M59" s="8" t="str">
        <f>HYPERLINK("http://slimages.macys.com/is/image/MCY/14365354 ")</f>
        <v xml:space="preserve">http://slimages.macys.com/is/image/MCY/14365354 </v>
      </c>
    </row>
    <row r="60" spans="1:13" ht="60" x14ac:dyDescent="0.25">
      <c r="A60" s="7" t="s">
        <v>5891</v>
      </c>
      <c r="B60" s="2" t="s">
        <v>5342</v>
      </c>
      <c r="C60" s="4">
        <v>1</v>
      </c>
      <c r="D60" s="5">
        <v>9</v>
      </c>
      <c r="E60" s="5">
        <v>22.5</v>
      </c>
      <c r="F60" s="4" t="s">
        <v>5343</v>
      </c>
      <c r="G60" s="2" t="s">
        <v>86</v>
      </c>
      <c r="H60" s="7" t="s">
        <v>144</v>
      </c>
      <c r="I60" s="2" t="s">
        <v>690</v>
      </c>
      <c r="J60" s="2" t="s">
        <v>58</v>
      </c>
      <c r="K60" s="2" t="s">
        <v>304</v>
      </c>
      <c r="L60" s="2" t="s">
        <v>38</v>
      </c>
      <c r="M60" s="8" t="str">
        <f>HYPERLINK("http://slimages.macys.com/is/image/MCY/13804046 ")</f>
        <v xml:space="preserve">http://slimages.macys.com/is/image/MCY/13804046 </v>
      </c>
    </row>
    <row r="61" spans="1:13" ht="60" x14ac:dyDescent="0.25">
      <c r="A61" s="7" t="s">
        <v>5892</v>
      </c>
      <c r="B61" s="2" t="s">
        <v>1659</v>
      </c>
      <c r="C61" s="4">
        <v>1</v>
      </c>
      <c r="D61" s="5">
        <v>8.75</v>
      </c>
      <c r="E61" s="5">
        <v>19.989999999999998</v>
      </c>
      <c r="F61" s="4" t="s">
        <v>1660</v>
      </c>
      <c r="G61" s="2" t="s">
        <v>667</v>
      </c>
      <c r="H61" s="7" t="s">
        <v>438</v>
      </c>
      <c r="I61" s="2" t="s">
        <v>92</v>
      </c>
      <c r="J61" s="2" t="s">
        <v>778</v>
      </c>
      <c r="K61" s="2" t="s">
        <v>304</v>
      </c>
      <c r="L61" s="2" t="s">
        <v>125</v>
      </c>
      <c r="M61" s="8" t="str">
        <f>HYPERLINK("http://slimages.macys.com/is/image/MCY/12953479 ")</f>
        <v xml:space="preserve">http://slimages.macys.com/is/image/MCY/12953479 </v>
      </c>
    </row>
    <row r="62" spans="1:13" ht="60" x14ac:dyDescent="0.25">
      <c r="A62" s="7" t="s">
        <v>5893</v>
      </c>
      <c r="B62" s="2" t="s">
        <v>1659</v>
      </c>
      <c r="C62" s="4">
        <v>1</v>
      </c>
      <c r="D62" s="5">
        <v>8.75</v>
      </c>
      <c r="E62" s="5">
        <v>19.989999999999998</v>
      </c>
      <c r="F62" s="4" t="s">
        <v>1660</v>
      </c>
      <c r="G62" s="2" t="s">
        <v>667</v>
      </c>
      <c r="H62" s="7" t="s">
        <v>233</v>
      </c>
      <c r="I62" s="2" t="s">
        <v>92</v>
      </c>
      <c r="J62" s="2" t="s">
        <v>778</v>
      </c>
      <c r="K62" s="2" t="s">
        <v>304</v>
      </c>
      <c r="L62" s="2" t="s">
        <v>125</v>
      </c>
      <c r="M62" s="8" t="str">
        <f>HYPERLINK("http://slimages.macys.com/is/image/MCY/12953479 ")</f>
        <v xml:space="preserve">http://slimages.macys.com/is/image/MCY/12953479 </v>
      </c>
    </row>
    <row r="63" spans="1:13" ht="60" x14ac:dyDescent="0.25">
      <c r="A63" s="7" t="s">
        <v>1658</v>
      </c>
      <c r="B63" s="2" t="s">
        <v>1659</v>
      </c>
      <c r="C63" s="4">
        <v>1</v>
      </c>
      <c r="D63" s="5">
        <v>8.75</v>
      </c>
      <c r="E63" s="5">
        <v>19.989999999999998</v>
      </c>
      <c r="F63" s="4" t="s">
        <v>1660</v>
      </c>
      <c r="G63" s="2" t="s">
        <v>667</v>
      </c>
      <c r="H63" s="7" t="s">
        <v>1661</v>
      </c>
      <c r="I63" s="2" t="s">
        <v>92</v>
      </c>
      <c r="J63" s="2" t="s">
        <v>778</v>
      </c>
      <c r="K63" s="2" t="s">
        <v>304</v>
      </c>
      <c r="L63" s="2" t="s">
        <v>125</v>
      </c>
      <c r="M63" s="8" t="str">
        <f>HYPERLINK("http://slimages.macys.com/is/image/MCY/12953479 ")</f>
        <v xml:space="preserve">http://slimages.macys.com/is/image/MCY/12953479 </v>
      </c>
    </row>
    <row r="64" spans="1:13" ht="60" x14ac:dyDescent="0.25">
      <c r="A64" s="7" t="s">
        <v>5894</v>
      </c>
      <c r="B64" s="2" t="s">
        <v>5895</v>
      </c>
      <c r="C64" s="4">
        <v>1</v>
      </c>
      <c r="D64" s="5">
        <v>8.6999999999999993</v>
      </c>
      <c r="E64" s="5">
        <v>24.99</v>
      </c>
      <c r="F64" s="4" t="s">
        <v>5896</v>
      </c>
      <c r="G64" s="2" t="s">
        <v>310</v>
      </c>
      <c r="H64" s="7" t="s">
        <v>2740</v>
      </c>
      <c r="I64" s="2" t="s">
        <v>312</v>
      </c>
      <c r="J64" s="2" t="s">
        <v>1618</v>
      </c>
      <c r="K64" s="2" t="s">
        <v>304</v>
      </c>
      <c r="L64" s="2" t="s">
        <v>125</v>
      </c>
      <c r="M64" s="8" t="str">
        <f>HYPERLINK("http://slimages.macys.com/is/image/MCY/14540221 ")</f>
        <v xml:space="preserve">http://slimages.macys.com/is/image/MCY/14540221 </v>
      </c>
    </row>
    <row r="65" spans="1:13" ht="84" x14ac:dyDescent="0.25">
      <c r="A65" s="7" t="s">
        <v>5897</v>
      </c>
      <c r="B65" s="2" t="s">
        <v>1665</v>
      </c>
      <c r="C65" s="4">
        <v>1</v>
      </c>
      <c r="D65" s="5">
        <v>8.65</v>
      </c>
      <c r="E65" s="5">
        <v>22.99</v>
      </c>
      <c r="F65" s="4">
        <v>103402</v>
      </c>
      <c r="G65" s="2" t="s">
        <v>892</v>
      </c>
      <c r="H65" s="7"/>
      <c r="I65" s="2" t="s">
        <v>321</v>
      </c>
      <c r="J65" s="2" t="s">
        <v>322</v>
      </c>
      <c r="K65" s="2" t="s">
        <v>304</v>
      </c>
      <c r="L65" s="2" t="s">
        <v>1460</v>
      </c>
      <c r="M65" s="8" t="str">
        <f>HYPERLINK("http://slimages.macys.com/is/image/MCY/12045191 ")</f>
        <v xml:space="preserve">http://slimages.macys.com/is/image/MCY/12045191 </v>
      </c>
    </row>
    <row r="66" spans="1:13" ht="60" x14ac:dyDescent="0.25">
      <c r="A66" s="7" t="s">
        <v>5898</v>
      </c>
      <c r="B66" s="2" t="s">
        <v>5899</v>
      </c>
      <c r="C66" s="4">
        <v>1</v>
      </c>
      <c r="D66" s="5">
        <v>8.5</v>
      </c>
      <c r="E66" s="5">
        <v>21.99</v>
      </c>
      <c r="F66" s="4" t="s">
        <v>5900</v>
      </c>
      <c r="G66" s="2" t="s">
        <v>86</v>
      </c>
      <c r="H66" s="7"/>
      <c r="I66" s="2" t="s">
        <v>321</v>
      </c>
      <c r="J66" s="2" t="s">
        <v>5901</v>
      </c>
      <c r="K66" s="2" t="s">
        <v>304</v>
      </c>
      <c r="L66" s="2" t="s">
        <v>358</v>
      </c>
      <c r="M66" s="8" t="str">
        <f>HYPERLINK("http://slimages.macys.com/is/image/MCY/11647250 ")</f>
        <v xml:space="preserve">http://slimages.macys.com/is/image/MCY/11647250 </v>
      </c>
    </row>
    <row r="67" spans="1:13" ht="84" x14ac:dyDescent="0.25">
      <c r="A67" s="7" t="s">
        <v>3924</v>
      </c>
      <c r="B67" s="2" t="s">
        <v>3925</v>
      </c>
      <c r="C67" s="4">
        <v>1</v>
      </c>
      <c r="D67" s="5">
        <v>8.5</v>
      </c>
      <c r="E67" s="5">
        <v>20</v>
      </c>
      <c r="F67" s="4" t="s">
        <v>3926</v>
      </c>
      <c r="G67" s="2" t="s">
        <v>171</v>
      </c>
      <c r="H67" s="7" t="s">
        <v>618</v>
      </c>
      <c r="I67" s="2" t="s">
        <v>380</v>
      </c>
      <c r="J67" s="2" t="s">
        <v>381</v>
      </c>
      <c r="K67" s="2" t="s">
        <v>304</v>
      </c>
      <c r="L67" s="2" t="s">
        <v>382</v>
      </c>
      <c r="M67" s="8" t="str">
        <f>HYPERLINK("http://slimages.macys.com/is/image/MCY/12550115 ")</f>
        <v xml:space="preserve">http://slimages.macys.com/is/image/MCY/12550115 </v>
      </c>
    </row>
    <row r="68" spans="1:13" ht="60" x14ac:dyDescent="0.25">
      <c r="A68" s="7" t="s">
        <v>5902</v>
      </c>
      <c r="B68" s="2" t="s">
        <v>386</v>
      </c>
      <c r="C68" s="4">
        <v>1</v>
      </c>
      <c r="D68" s="5">
        <v>8.43</v>
      </c>
      <c r="E68" s="5">
        <v>26.99</v>
      </c>
      <c r="F68" s="4" t="s">
        <v>387</v>
      </c>
      <c r="G68" s="2" t="s">
        <v>388</v>
      </c>
      <c r="H68" s="7" t="s">
        <v>228</v>
      </c>
      <c r="I68" s="2" t="s">
        <v>389</v>
      </c>
      <c r="J68" s="2" t="s">
        <v>354</v>
      </c>
      <c r="K68" s="2" t="s">
        <v>304</v>
      </c>
      <c r="L68" s="2" t="s">
        <v>390</v>
      </c>
      <c r="M68" s="8" t="str">
        <f>HYPERLINK("http://slimages.macys.com/is/image/MCY/12938536 ")</f>
        <v xml:space="preserve">http://slimages.macys.com/is/image/MCY/12938536 </v>
      </c>
    </row>
    <row r="69" spans="1:13" ht="60" x14ac:dyDescent="0.25">
      <c r="A69" s="7" t="s">
        <v>5903</v>
      </c>
      <c r="B69" s="2" t="s">
        <v>883</v>
      </c>
      <c r="C69" s="4">
        <v>1</v>
      </c>
      <c r="D69" s="5">
        <v>8.3000000000000007</v>
      </c>
      <c r="E69" s="5">
        <v>19.989999999999998</v>
      </c>
      <c r="F69" s="4">
        <v>10005486000</v>
      </c>
      <c r="G69" s="2" t="s">
        <v>171</v>
      </c>
      <c r="H69" s="7" t="s">
        <v>442</v>
      </c>
      <c r="I69" s="2" t="s">
        <v>483</v>
      </c>
      <c r="J69" s="2" t="s">
        <v>536</v>
      </c>
      <c r="K69" s="2" t="s">
        <v>304</v>
      </c>
      <c r="L69" s="2" t="s">
        <v>87</v>
      </c>
      <c r="M69" s="8" t="str">
        <f>HYPERLINK("http://slimages.macys.com/is/image/MCY/12466147 ")</f>
        <v xml:space="preserve">http://slimages.macys.com/is/image/MCY/12466147 </v>
      </c>
    </row>
    <row r="70" spans="1:13" ht="60" x14ac:dyDescent="0.25">
      <c r="A70" s="7" t="s">
        <v>5904</v>
      </c>
      <c r="B70" s="2" t="s">
        <v>883</v>
      </c>
      <c r="C70" s="4">
        <v>1</v>
      </c>
      <c r="D70" s="5">
        <v>8.3000000000000007</v>
      </c>
      <c r="E70" s="5">
        <v>19.989999999999998</v>
      </c>
      <c r="F70" s="4">
        <v>10005486000</v>
      </c>
      <c r="G70" s="2" t="s">
        <v>171</v>
      </c>
      <c r="H70" s="7" t="s">
        <v>482</v>
      </c>
      <c r="I70" s="2" t="s">
        <v>483</v>
      </c>
      <c r="J70" s="2" t="s">
        <v>536</v>
      </c>
      <c r="K70" s="2" t="s">
        <v>304</v>
      </c>
      <c r="L70" s="2" t="s">
        <v>87</v>
      </c>
      <c r="M70" s="8" t="str">
        <f>HYPERLINK("http://slimages.macys.com/is/image/MCY/12466147 ")</f>
        <v xml:space="preserve">http://slimages.macys.com/is/image/MCY/12466147 </v>
      </c>
    </row>
    <row r="71" spans="1:13" ht="60" x14ac:dyDescent="0.25">
      <c r="A71" s="7" t="s">
        <v>5905</v>
      </c>
      <c r="B71" s="2" t="s">
        <v>883</v>
      </c>
      <c r="C71" s="4">
        <v>3</v>
      </c>
      <c r="D71" s="5">
        <v>8.3000000000000007</v>
      </c>
      <c r="E71" s="5">
        <v>19.989999999999998</v>
      </c>
      <c r="F71" s="4">
        <v>10005486000</v>
      </c>
      <c r="G71" s="2" t="s">
        <v>171</v>
      </c>
      <c r="H71" s="7" t="s">
        <v>590</v>
      </c>
      <c r="I71" s="2" t="s">
        <v>483</v>
      </c>
      <c r="J71" s="2" t="s">
        <v>536</v>
      </c>
      <c r="K71" s="2" t="s">
        <v>304</v>
      </c>
      <c r="L71" s="2" t="s">
        <v>87</v>
      </c>
      <c r="M71" s="8" t="str">
        <f>HYPERLINK("http://slimages.macys.com/is/image/MCY/12466147 ")</f>
        <v xml:space="preserve">http://slimages.macys.com/is/image/MCY/12466147 </v>
      </c>
    </row>
    <row r="72" spans="1:13" ht="60" x14ac:dyDescent="0.25">
      <c r="A72" s="7" t="s">
        <v>5906</v>
      </c>
      <c r="B72" s="2" t="s">
        <v>5907</v>
      </c>
      <c r="C72" s="4">
        <v>3</v>
      </c>
      <c r="D72" s="5">
        <v>8.3000000000000007</v>
      </c>
      <c r="E72" s="5">
        <v>19.989999999999998</v>
      </c>
      <c r="F72" s="4" t="s">
        <v>5908</v>
      </c>
      <c r="G72" s="2" t="s">
        <v>527</v>
      </c>
      <c r="H72" s="7"/>
      <c r="I72" s="2" t="s">
        <v>483</v>
      </c>
      <c r="J72" s="2" t="s">
        <v>536</v>
      </c>
      <c r="K72" s="2" t="s">
        <v>304</v>
      </c>
      <c r="L72" s="2" t="s">
        <v>206</v>
      </c>
      <c r="M72" s="8" t="str">
        <f>HYPERLINK("http://slimages.macys.com/is/image/MCY/12465889 ")</f>
        <v xml:space="preserve">http://slimages.macys.com/is/image/MCY/12465889 </v>
      </c>
    </row>
    <row r="73" spans="1:13" ht="60" x14ac:dyDescent="0.25">
      <c r="A73" s="7" t="s">
        <v>5909</v>
      </c>
      <c r="B73" s="2" t="s">
        <v>5907</v>
      </c>
      <c r="C73" s="4">
        <v>1</v>
      </c>
      <c r="D73" s="5">
        <v>8.3000000000000007</v>
      </c>
      <c r="E73" s="5">
        <v>19.989999999999998</v>
      </c>
      <c r="F73" s="4" t="s">
        <v>5908</v>
      </c>
      <c r="G73" s="2" t="s">
        <v>527</v>
      </c>
      <c r="H73" s="7" t="s">
        <v>442</v>
      </c>
      <c r="I73" s="2" t="s">
        <v>483</v>
      </c>
      <c r="J73" s="2" t="s">
        <v>536</v>
      </c>
      <c r="K73" s="2" t="s">
        <v>304</v>
      </c>
      <c r="L73" s="2" t="s">
        <v>206</v>
      </c>
      <c r="M73" s="8" t="str">
        <f>HYPERLINK("http://slimages.macys.com/is/image/MCY/12465889 ")</f>
        <v xml:space="preserve">http://slimages.macys.com/is/image/MCY/12465889 </v>
      </c>
    </row>
    <row r="74" spans="1:13" ht="60" x14ac:dyDescent="0.25">
      <c r="A74" s="7" t="s">
        <v>5910</v>
      </c>
      <c r="B74" s="2" t="s">
        <v>5907</v>
      </c>
      <c r="C74" s="4">
        <v>4</v>
      </c>
      <c r="D74" s="5">
        <v>8.3000000000000007</v>
      </c>
      <c r="E74" s="5">
        <v>19.989999999999998</v>
      </c>
      <c r="F74" s="4" t="s">
        <v>5908</v>
      </c>
      <c r="G74" s="2" t="s">
        <v>527</v>
      </c>
      <c r="H74" s="7" t="s">
        <v>149</v>
      </c>
      <c r="I74" s="2" t="s">
        <v>483</v>
      </c>
      <c r="J74" s="2" t="s">
        <v>536</v>
      </c>
      <c r="K74" s="2" t="s">
        <v>304</v>
      </c>
      <c r="L74" s="2" t="s">
        <v>206</v>
      </c>
      <c r="M74" s="8" t="str">
        <f>HYPERLINK("http://slimages.macys.com/is/image/MCY/12465889 ")</f>
        <v xml:space="preserve">http://slimages.macys.com/is/image/MCY/12465889 </v>
      </c>
    </row>
    <row r="75" spans="1:13" ht="60" x14ac:dyDescent="0.25">
      <c r="A75" s="7" t="s">
        <v>882</v>
      </c>
      <c r="B75" s="2" t="s">
        <v>883</v>
      </c>
      <c r="C75" s="4">
        <v>2</v>
      </c>
      <c r="D75" s="5">
        <v>8.3000000000000007</v>
      </c>
      <c r="E75" s="5">
        <v>19.989999999999998</v>
      </c>
      <c r="F75" s="4">
        <v>10005486000</v>
      </c>
      <c r="G75" s="2" t="s">
        <v>171</v>
      </c>
      <c r="H75" s="7"/>
      <c r="I75" s="2" t="s">
        <v>483</v>
      </c>
      <c r="J75" s="2" t="s">
        <v>536</v>
      </c>
      <c r="K75" s="2" t="s">
        <v>304</v>
      </c>
      <c r="L75" s="2" t="s">
        <v>87</v>
      </c>
      <c r="M75" s="8" t="str">
        <f>HYPERLINK("http://slimages.macys.com/is/image/MCY/12466147 ")</f>
        <v xml:space="preserve">http://slimages.macys.com/is/image/MCY/12466147 </v>
      </c>
    </row>
    <row r="76" spans="1:13" ht="60" x14ac:dyDescent="0.25">
      <c r="A76" s="7" t="s">
        <v>5911</v>
      </c>
      <c r="B76" s="2" t="s">
        <v>883</v>
      </c>
      <c r="C76" s="4">
        <v>1</v>
      </c>
      <c r="D76" s="5">
        <v>8.3000000000000007</v>
      </c>
      <c r="E76" s="5">
        <v>19.989999999999998</v>
      </c>
      <c r="F76" s="4">
        <v>10005486000</v>
      </c>
      <c r="G76" s="2" t="s">
        <v>171</v>
      </c>
      <c r="H76" s="7" t="s">
        <v>149</v>
      </c>
      <c r="I76" s="2" t="s">
        <v>483</v>
      </c>
      <c r="J76" s="2" t="s">
        <v>536</v>
      </c>
      <c r="K76" s="2" t="s">
        <v>304</v>
      </c>
      <c r="L76" s="2" t="s">
        <v>87</v>
      </c>
      <c r="M76" s="8" t="str">
        <f>HYPERLINK("http://slimages.macys.com/is/image/MCY/12466147 ")</f>
        <v xml:space="preserve">http://slimages.macys.com/is/image/MCY/12466147 </v>
      </c>
    </row>
    <row r="77" spans="1:13" ht="60" x14ac:dyDescent="0.25">
      <c r="A77" s="7" t="s">
        <v>5912</v>
      </c>
      <c r="B77" s="2" t="s">
        <v>5907</v>
      </c>
      <c r="C77" s="4">
        <v>2</v>
      </c>
      <c r="D77" s="5">
        <v>8.3000000000000007</v>
      </c>
      <c r="E77" s="5">
        <v>19.989999999999998</v>
      </c>
      <c r="F77" s="4" t="s">
        <v>5908</v>
      </c>
      <c r="G77" s="2" t="s">
        <v>527</v>
      </c>
      <c r="H77" s="7" t="s">
        <v>590</v>
      </c>
      <c r="I77" s="2" t="s">
        <v>483</v>
      </c>
      <c r="J77" s="2" t="s">
        <v>536</v>
      </c>
      <c r="K77" s="2" t="s">
        <v>304</v>
      </c>
      <c r="L77" s="2" t="s">
        <v>206</v>
      </c>
      <c r="M77" s="8" t="str">
        <f>HYPERLINK("http://slimages.macys.com/is/image/MCY/12465889 ")</f>
        <v xml:space="preserve">http://slimages.macys.com/is/image/MCY/12465889 </v>
      </c>
    </row>
    <row r="78" spans="1:13" ht="60" x14ac:dyDescent="0.25">
      <c r="A78" s="7" t="s">
        <v>5913</v>
      </c>
      <c r="B78" s="2" t="s">
        <v>5907</v>
      </c>
      <c r="C78" s="4">
        <v>1</v>
      </c>
      <c r="D78" s="5">
        <v>8.3000000000000007</v>
      </c>
      <c r="E78" s="5">
        <v>19.989999999999998</v>
      </c>
      <c r="F78" s="4" t="s">
        <v>5908</v>
      </c>
      <c r="G78" s="2" t="s">
        <v>527</v>
      </c>
      <c r="H78" s="7" t="s">
        <v>482</v>
      </c>
      <c r="I78" s="2" t="s">
        <v>483</v>
      </c>
      <c r="J78" s="2" t="s">
        <v>536</v>
      </c>
      <c r="K78" s="2" t="s">
        <v>304</v>
      </c>
      <c r="L78" s="2" t="s">
        <v>206</v>
      </c>
      <c r="M78" s="8" t="str">
        <f>HYPERLINK("http://slimages.macys.com/is/image/MCY/12465889 ")</f>
        <v xml:space="preserve">http://slimages.macys.com/is/image/MCY/12465889 </v>
      </c>
    </row>
    <row r="79" spans="1:13" ht="96" x14ac:dyDescent="0.25">
      <c r="A79" s="7" t="s">
        <v>5914</v>
      </c>
      <c r="B79" s="2" t="s">
        <v>5915</v>
      </c>
      <c r="C79" s="4">
        <v>1</v>
      </c>
      <c r="D79" s="5">
        <v>7.6</v>
      </c>
      <c r="E79" s="5">
        <v>17.28</v>
      </c>
      <c r="F79" s="4">
        <v>18015810</v>
      </c>
      <c r="G79" s="2" t="s">
        <v>41</v>
      </c>
      <c r="H79" s="7" t="s">
        <v>42</v>
      </c>
      <c r="I79" s="2" t="s">
        <v>153</v>
      </c>
      <c r="J79" s="2" t="s">
        <v>154</v>
      </c>
      <c r="K79" s="2" t="s">
        <v>304</v>
      </c>
      <c r="L79" s="2" t="s">
        <v>439</v>
      </c>
      <c r="M79" s="8" t="str">
        <f>HYPERLINK("http://slimages.macys.com/is/image/MCY/13382603 ")</f>
        <v xml:space="preserve">http://slimages.macys.com/is/image/MCY/13382603 </v>
      </c>
    </row>
    <row r="80" spans="1:13" ht="60" x14ac:dyDescent="0.25">
      <c r="A80" s="7" t="s">
        <v>5916</v>
      </c>
      <c r="B80" s="2" t="s">
        <v>5917</v>
      </c>
      <c r="C80" s="4">
        <v>1</v>
      </c>
      <c r="D80" s="5">
        <v>7.6</v>
      </c>
      <c r="E80" s="5">
        <v>20</v>
      </c>
      <c r="F80" s="4" t="s">
        <v>5918</v>
      </c>
      <c r="G80" s="2" t="s">
        <v>582</v>
      </c>
      <c r="H80" s="7" t="s">
        <v>4129</v>
      </c>
      <c r="I80" s="2" t="s">
        <v>700</v>
      </c>
      <c r="J80" s="2" t="s">
        <v>1475</v>
      </c>
      <c r="K80" s="2" t="s">
        <v>304</v>
      </c>
      <c r="L80" s="2" t="s">
        <v>38</v>
      </c>
      <c r="M80" s="8" t="str">
        <f>HYPERLINK("http://slimages.macys.com/is/image/MCY/13041506 ")</f>
        <v xml:space="preserve">http://slimages.macys.com/is/image/MCY/13041506 </v>
      </c>
    </row>
    <row r="81" spans="1:13" ht="108" x14ac:dyDescent="0.25">
      <c r="A81" s="7" t="s">
        <v>5919</v>
      </c>
      <c r="B81" s="2" t="s">
        <v>5920</v>
      </c>
      <c r="C81" s="4">
        <v>1</v>
      </c>
      <c r="D81" s="5">
        <v>7.6</v>
      </c>
      <c r="E81" s="5">
        <v>17.28</v>
      </c>
      <c r="F81" s="4">
        <v>18821210</v>
      </c>
      <c r="G81" s="2" t="s">
        <v>353</v>
      </c>
      <c r="H81" s="7" t="s">
        <v>438</v>
      </c>
      <c r="I81" s="2" t="s">
        <v>153</v>
      </c>
      <c r="J81" s="2" t="s">
        <v>154</v>
      </c>
      <c r="K81" s="2" t="s">
        <v>304</v>
      </c>
      <c r="L81" s="2" t="s">
        <v>5921</v>
      </c>
      <c r="M81" s="8" t="str">
        <f>HYPERLINK("http://slimages.macys.com/is/image/MCY/13382581 ")</f>
        <v xml:space="preserve">http://slimages.macys.com/is/image/MCY/13382581 </v>
      </c>
    </row>
    <row r="82" spans="1:13" ht="60" x14ac:dyDescent="0.25">
      <c r="A82" s="7" t="s">
        <v>5922</v>
      </c>
      <c r="B82" s="2" t="s">
        <v>5923</v>
      </c>
      <c r="C82" s="4">
        <v>1</v>
      </c>
      <c r="D82" s="5">
        <v>7.59</v>
      </c>
      <c r="E82" s="5">
        <v>17.989999999999998</v>
      </c>
      <c r="F82" s="4" t="s">
        <v>5924</v>
      </c>
      <c r="G82" s="2" t="s">
        <v>595</v>
      </c>
      <c r="H82" s="7" t="s">
        <v>63</v>
      </c>
      <c r="I82" s="2" t="s">
        <v>515</v>
      </c>
      <c r="J82" s="2" t="s">
        <v>875</v>
      </c>
      <c r="K82" s="2" t="s">
        <v>304</v>
      </c>
      <c r="L82" s="2" t="s">
        <v>4196</v>
      </c>
      <c r="M82" s="8" t="str">
        <f>HYPERLINK("http://slimages.macys.com/is/image/MCY/11603707 ")</f>
        <v xml:space="preserve">http://slimages.macys.com/is/image/MCY/11603707 </v>
      </c>
    </row>
    <row r="83" spans="1:13" ht="120" x14ac:dyDescent="0.25">
      <c r="A83" s="7" t="s">
        <v>5925</v>
      </c>
      <c r="B83" s="2" t="s">
        <v>2573</v>
      </c>
      <c r="C83" s="4">
        <v>1</v>
      </c>
      <c r="D83" s="5">
        <v>7.5</v>
      </c>
      <c r="E83" s="5">
        <v>17.05</v>
      </c>
      <c r="F83" s="4">
        <v>18658610</v>
      </c>
      <c r="G83" s="2"/>
      <c r="H83" s="7" t="s">
        <v>438</v>
      </c>
      <c r="I83" s="2" t="s">
        <v>153</v>
      </c>
      <c r="J83" s="2" t="s">
        <v>154</v>
      </c>
      <c r="K83" s="2" t="s">
        <v>304</v>
      </c>
      <c r="L83" s="2" t="s">
        <v>2574</v>
      </c>
      <c r="M83" s="8" t="str">
        <f>HYPERLINK("http://slimages.macys.com/is/image/MCY/14662046 ")</f>
        <v xml:space="preserve">http://slimages.macys.com/is/image/MCY/14662046 </v>
      </c>
    </row>
    <row r="84" spans="1:13" ht="60" x14ac:dyDescent="0.25">
      <c r="A84" s="7" t="s">
        <v>5926</v>
      </c>
      <c r="B84" s="2" t="s">
        <v>2571</v>
      </c>
      <c r="C84" s="4">
        <v>1</v>
      </c>
      <c r="D84" s="5">
        <v>7.05</v>
      </c>
      <c r="E84" s="5">
        <v>16.04</v>
      </c>
      <c r="F84" s="4">
        <v>17879610</v>
      </c>
      <c r="G84" s="2"/>
      <c r="H84" s="7" t="s">
        <v>442</v>
      </c>
      <c r="I84" s="2" t="s">
        <v>153</v>
      </c>
      <c r="J84" s="2" t="s">
        <v>154</v>
      </c>
      <c r="K84" s="2" t="s">
        <v>304</v>
      </c>
      <c r="L84" s="2" t="s">
        <v>38</v>
      </c>
      <c r="M84" s="8" t="str">
        <f>HYPERLINK("http://slimages.macys.com/is/image/MCY/13853132 ")</f>
        <v xml:space="preserve">http://slimages.macys.com/is/image/MCY/13853132 </v>
      </c>
    </row>
    <row r="85" spans="1:13" ht="60" x14ac:dyDescent="0.25">
      <c r="A85" s="7" t="s">
        <v>4927</v>
      </c>
      <c r="B85" s="2" t="s">
        <v>968</v>
      </c>
      <c r="C85" s="4">
        <v>1</v>
      </c>
      <c r="D85" s="5">
        <v>7</v>
      </c>
      <c r="E85" s="5">
        <v>14.99</v>
      </c>
      <c r="F85" s="4">
        <v>7135</v>
      </c>
      <c r="G85" s="2" t="s">
        <v>657</v>
      </c>
      <c r="H85" s="7" t="s">
        <v>228</v>
      </c>
      <c r="I85" s="2" t="s">
        <v>523</v>
      </c>
      <c r="J85" s="2" t="s">
        <v>969</v>
      </c>
      <c r="K85" s="2" t="s">
        <v>304</v>
      </c>
      <c r="L85" s="2" t="s">
        <v>970</v>
      </c>
      <c r="M85" s="8" t="str">
        <f>HYPERLINK("http://slimages.macys.com/is/image/MCY/13040252 ")</f>
        <v xml:space="preserve">http://slimages.macys.com/is/image/MCY/13040252 </v>
      </c>
    </row>
    <row r="86" spans="1:13" ht="60" x14ac:dyDescent="0.25">
      <c r="A86" s="7" t="s">
        <v>5407</v>
      </c>
      <c r="B86" s="2" t="s">
        <v>1768</v>
      </c>
      <c r="C86" s="4">
        <v>2</v>
      </c>
      <c r="D86" s="5">
        <v>6.85</v>
      </c>
      <c r="E86" s="5">
        <v>18</v>
      </c>
      <c r="F86" s="4" t="s">
        <v>1769</v>
      </c>
      <c r="G86" s="2" t="s">
        <v>48</v>
      </c>
      <c r="H86" s="7" t="s">
        <v>159</v>
      </c>
      <c r="I86" s="2" t="s">
        <v>468</v>
      </c>
      <c r="J86" s="2" t="s">
        <v>469</v>
      </c>
      <c r="K86" s="2" t="s">
        <v>304</v>
      </c>
      <c r="L86" s="2" t="s">
        <v>100</v>
      </c>
      <c r="M86" s="8" t="str">
        <f>HYPERLINK("http://slimages.macys.com/is/image/MCY/12809150 ")</f>
        <v xml:space="preserve">http://slimages.macys.com/is/image/MCY/12809150 </v>
      </c>
    </row>
    <row r="87" spans="1:13" ht="60" x14ac:dyDescent="0.25">
      <c r="A87" s="7" t="s">
        <v>5927</v>
      </c>
      <c r="B87" s="2" t="s">
        <v>1768</v>
      </c>
      <c r="C87" s="4">
        <v>2</v>
      </c>
      <c r="D87" s="5">
        <v>6.85</v>
      </c>
      <c r="E87" s="5">
        <v>18</v>
      </c>
      <c r="F87" s="4" t="s">
        <v>1769</v>
      </c>
      <c r="G87" s="2" t="s">
        <v>48</v>
      </c>
      <c r="H87" s="7" t="s">
        <v>284</v>
      </c>
      <c r="I87" s="2" t="s">
        <v>468</v>
      </c>
      <c r="J87" s="2" t="s">
        <v>469</v>
      </c>
      <c r="K87" s="2" t="s">
        <v>304</v>
      </c>
      <c r="L87" s="2" t="s">
        <v>100</v>
      </c>
      <c r="M87" s="8" t="str">
        <f>HYPERLINK("http://slimages.macys.com/is/image/MCY/12809150 ")</f>
        <v xml:space="preserve">http://slimages.macys.com/is/image/MCY/12809150 </v>
      </c>
    </row>
    <row r="88" spans="1:13" ht="60" x14ac:dyDescent="0.25">
      <c r="A88" s="7" t="s">
        <v>5928</v>
      </c>
      <c r="B88" s="2" t="s">
        <v>1762</v>
      </c>
      <c r="C88" s="4">
        <v>1</v>
      </c>
      <c r="D88" s="5">
        <v>6.85</v>
      </c>
      <c r="E88" s="5">
        <v>18</v>
      </c>
      <c r="F88" s="4" t="s">
        <v>1763</v>
      </c>
      <c r="G88" s="2" t="s">
        <v>1160</v>
      </c>
      <c r="H88" s="7" t="s">
        <v>217</v>
      </c>
      <c r="I88" s="2" t="s">
        <v>468</v>
      </c>
      <c r="J88" s="2" t="s">
        <v>469</v>
      </c>
      <c r="K88" s="2" t="s">
        <v>304</v>
      </c>
      <c r="L88" s="2" t="s">
        <v>119</v>
      </c>
      <c r="M88" s="8" t="str">
        <f>HYPERLINK("http://slimages.macys.com/is/image/MCY/11387122 ")</f>
        <v xml:space="preserve">http://slimages.macys.com/is/image/MCY/11387122 </v>
      </c>
    </row>
    <row r="89" spans="1:13" ht="60" x14ac:dyDescent="0.25">
      <c r="A89" s="7" t="s">
        <v>1759</v>
      </c>
      <c r="B89" s="2" t="s">
        <v>993</v>
      </c>
      <c r="C89" s="4">
        <v>1</v>
      </c>
      <c r="D89" s="5">
        <v>6.85</v>
      </c>
      <c r="E89" s="5">
        <v>18</v>
      </c>
      <c r="F89" s="4" t="s">
        <v>994</v>
      </c>
      <c r="G89" s="2" t="s">
        <v>657</v>
      </c>
      <c r="H89" s="7" t="s">
        <v>284</v>
      </c>
      <c r="I89" s="2" t="s">
        <v>468</v>
      </c>
      <c r="J89" s="2" t="s">
        <v>469</v>
      </c>
      <c r="K89" s="2" t="s">
        <v>304</v>
      </c>
      <c r="L89" s="2" t="s">
        <v>537</v>
      </c>
      <c r="M89" s="8" t="str">
        <f>HYPERLINK("http://slimages.macys.com/is/image/MCY/13468835 ")</f>
        <v xml:space="preserve">http://slimages.macys.com/is/image/MCY/13468835 </v>
      </c>
    </row>
    <row r="90" spans="1:13" ht="60" x14ac:dyDescent="0.25">
      <c r="A90" s="7" t="s">
        <v>1767</v>
      </c>
      <c r="B90" s="2" t="s">
        <v>1768</v>
      </c>
      <c r="C90" s="4">
        <v>1</v>
      </c>
      <c r="D90" s="5">
        <v>6.85</v>
      </c>
      <c r="E90" s="5">
        <v>18</v>
      </c>
      <c r="F90" s="4" t="s">
        <v>1769</v>
      </c>
      <c r="G90" s="2" t="s">
        <v>48</v>
      </c>
      <c r="H90" s="7" t="s">
        <v>217</v>
      </c>
      <c r="I90" s="2" t="s">
        <v>468</v>
      </c>
      <c r="J90" s="2" t="s">
        <v>469</v>
      </c>
      <c r="K90" s="2" t="s">
        <v>304</v>
      </c>
      <c r="L90" s="2" t="s">
        <v>100</v>
      </c>
      <c r="M90" s="8" t="str">
        <f>HYPERLINK("http://slimages.macys.com/is/image/MCY/12809150 ")</f>
        <v xml:space="preserve">http://slimages.macys.com/is/image/MCY/12809150 </v>
      </c>
    </row>
    <row r="91" spans="1:13" ht="60" x14ac:dyDescent="0.25">
      <c r="A91" s="7" t="s">
        <v>1771</v>
      </c>
      <c r="B91" s="2" t="s">
        <v>1772</v>
      </c>
      <c r="C91" s="4">
        <v>1</v>
      </c>
      <c r="D91" s="5">
        <v>6.85</v>
      </c>
      <c r="E91" s="5">
        <v>18</v>
      </c>
      <c r="F91" s="4" t="s">
        <v>1773</v>
      </c>
      <c r="G91" s="2" t="s">
        <v>79</v>
      </c>
      <c r="H91" s="7" t="s">
        <v>1411</v>
      </c>
      <c r="I91" s="2" t="s">
        <v>468</v>
      </c>
      <c r="J91" s="2" t="s">
        <v>469</v>
      </c>
      <c r="K91" s="2" t="s">
        <v>304</v>
      </c>
      <c r="L91" s="2" t="s">
        <v>38</v>
      </c>
      <c r="M91" s="8" t="str">
        <f>HYPERLINK("http://slimages.macys.com/is/image/MCY/11959705 ")</f>
        <v xml:space="preserve">http://slimages.macys.com/is/image/MCY/11959705 </v>
      </c>
    </row>
    <row r="92" spans="1:13" ht="60" x14ac:dyDescent="0.25">
      <c r="A92" s="7" t="s">
        <v>5929</v>
      </c>
      <c r="B92" s="2" t="s">
        <v>1772</v>
      </c>
      <c r="C92" s="4">
        <v>1</v>
      </c>
      <c r="D92" s="5">
        <v>6.85</v>
      </c>
      <c r="E92" s="5">
        <v>18</v>
      </c>
      <c r="F92" s="4" t="s">
        <v>1773</v>
      </c>
      <c r="G92" s="2" t="s">
        <v>79</v>
      </c>
      <c r="H92" s="7" t="s">
        <v>56</v>
      </c>
      <c r="I92" s="2" t="s">
        <v>468</v>
      </c>
      <c r="J92" s="2" t="s">
        <v>469</v>
      </c>
      <c r="K92" s="2" t="s">
        <v>304</v>
      </c>
      <c r="L92" s="2" t="s">
        <v>38</v>
      </c>
      <c r="M92" s="8" t="str">
        <f>HYPERLINK("http://slimages.macys.com/is/image/MCY/11959705 ")</f>
        <v xml:space="preserve">http://slimages.macys.com/is/image/MCY/11959705 </v>
      </c>
    </row>
    <row r="93" spans="1:13" ht="60" x14ac:dyDescent="0.25">
      <c r="A93" s="7" t="s">
        <v>5930</v>
      </c>
      <c r="B93" s="2" t="s">
        <v>987</v>
      </c>
      <c r="C93" s="4">
        <v>1</v>
      </c>
      <c r="D93" s="5">
        <v>6.85</v>
      </c>
      <c r="E93" s="5">
        <v>13.99</v>
      </c>
      <c r="F93" s="4" t="s">
        <v>988</v>
      </c>
      <c r="G93" s="2" t="s">
        <v>303</v>
      </c>
      <c r="H93" s="7" t="s">
        <v>228</v>
      </c>
      <c r="I93" s="2" t="s">
        <v>523</v>
      </c>
      <c r="J93" s="2" t="s">
        <v>969</v>
      </c>
      <c r="K93" s="2" t="s">
        <v>304</v>
      </c>
      <c r="L93" s="2" t="s">
        <v>970</v>
      </c>
      <c r="M93" s="8" t="str">
        <f>HYPERLINK("http://slimages.macys.com/is/image/MCY/11646814 ")</f>
        <v xml:space="preserve">http://slimages.macys.com/is/image/MCY/11646814 </v>
      </c>
    </row>
    <row r="94" spans="1:13" ht="60" x14ac:dyDescent="0.25">
      <c r="A94" s="7" t="s">
        <v>1760</v>
      </c>
      <c r="B94" s="2" t="s">
        <v>993</v>
      </c>
      <c r="C94" s="4">
        <v>1</v>
      </c>
      <c r="D94" s="5">
        <v>6.85</v>
      </c>
      <c r="E94" s="5">
        <v>18</v>
      </c>
      <c r="F94" s="4" t="s">
        <v>994</v>
      </c>
      <c r="G94" s="2" t="s">
        <v>657</v>
      </c>
      <c r="H94" s="7" t="s">
        <v>228</v>
      </c>
      <c r="I94" s="2" t="s">
        <v>468</v>
      </c>
      <c r="J94" s="2" t="s">
        <v>469</v>
      </c>
      <c r="K94" s="2" t="s">
        <v>304</v>
      </c>
      <c r="L94" s="2" t="s">
        <v>537</v>
      </c>
      <c r="M94" s="8" t="str">
        <f>HYPERLINK("http://slimages.macys.com/is/image/MCY/13468835 ")</f>
        <v xml:space="preserve">http://slimages.macys.com/is/image/MCY/13468835 </v>
      </c>
    </row>
    <row r="95" spans="1:13" ht="60" x14ac:dyDescent="0.25">
      <c r="A95" s="7" t="s">
        <v>992</v>
      </c>
      <c r="B95" s="2" t="s">
        <v>993</v>
      </c>
      <c r="C95" s="4">
        <v>1</v>
      </c>
      <c r="D95" s="5">
        <v>6.85</v>
      </c>
      <c r="E95" s="5">
        <v>18</v>
      </c>
      <c r="F95" s="4" t="s">
        <v>994</v>
      </c>
      <c r="G95" s="2" t="s">
        <v>657</v>
      </c>
      <c r="H95" s="7" t="s">
        <v>159</v>
      </c>
      <c r="I95" s="2" t="s">
        <v>468</v>
      </c>
      <c r="J95" s="2" t="s">
        <v>469</v>
      </c>
      <c r="K95" s="2" t="s">
        <v>304</v>
      </c>
      <c r="L95" s="2" t="s">
        <v>537</v>
      </c>
      <c r="M95" s="8" t="str">
        <f>HYPERLINK("http://slimages.macys.com/is/image/MCY/13468835 ")</f>
        <v xml:space="preserve">http://slimages.macys.com/is/image/MCY/13468835 </v>
      </c>
    </row>
    <row r="96" spans="1:13" ht="60" x14ac:dyDescent="0.25">
      <c r="A96" s="7" t="s">
        <v>5414</v>
      </c>
      <c r="B96" s="2" t="s">
        <v>1762</v>
      </c>
      <c r="C96" s="4">
        <v>1</v>
      </c>
      <c r="D96" s="5">
        <v>6.85</v>
      </c>
      <c r="E96" s="5">
        <v>18</v>
      </c>
      <c r="F96" s="4" t="s">
        <v>1763</v>
      </c>
      <c r="G96" s="2" t="s">
        <v>1160</v>
      </c>
      <c r="H96" s="7" t="s">
        <v>284</v>
      </c>
      <c r="I96" s="2" t="s">
        <v>468</v>
      </c>
      <c r="J96" s="2" t="s">
        <v>469</v>
      </c>
      <c r="K96" s="2" t="s">
        <v>304</v>
      </c>
      <c r="L96" s="2" t="s">
        <v>119</v>
      </c>
      <c r="M96" s="8" t="str">
        <f>HYPERLINK("http://slimages.macys.com/is/image/MCY/11387122 ")</f>
        <v xml:space="preserve">http://slimages.macys.com/is/image/MCY/11387122 </v>
      </c>
    </row>
    <row r="97" spans="1:13" ht="60" x14ac:dyDescent="0.25">
      <c r="A97" s="7" t="s">
        <v>1770</v>
      </c>
      <c r="B97" s="2" t="s">
        <v>1768</v>
      </c>
      <c r="C97" s="4">
        <v>2</v>
      </c>
      <c r="D97" s="5">
        <v>6.85</v>
      </c>
      <c r="E97" s="5">
        <v>18</v>
      </c>
      <c r="F97" s="4" t="s">
        <v>1769</v>
      </c>
      <c r="G97" s="2" t="s">
        <v>48</v>
      </c>
      <c r="H97" s="7" t="s">
        <v>228</v>
      </c>
      <c r="I97" s="2" t="s">
        <v>468</v>
      </c>
      <c r="J97" s="2" t="s">
        <v>469</v>
      </c>
      <c r="K97" s="2" t="s">
        <v>304</v>
      </c>
      <c r="L97" s="2" t="s">
        <v>100</v>
      </c>
      <c r="M97" s="8" t="str">
        <f>HYPERLINK("http://slimages.macys.com/is/image/MCY/12809150 ")</f>
        <v xml:space="preserve">http://slimages.macys.com/is/image/MCY/12809150 </v>
      </c>
    </row>
    <row r="98" spans="1:13" ht="60" x14ac:dyDescent="0.25">
      <c r="A98" s="7" t="s">
        <v>5931</v>
      </c>
      <c r="B98" s="2" t="s">
        <v>5932</v>
      </c>
      <c r="C98" s="4">
        <v>1</v>
      </c>
      <c r="D98" s="5">
        <v>6.75</v>
      </c>
      <c r="E98" s="5">
        <v>16.989999999999998</v>
      </c>
      <c r="F98" s="4" t="s">
        <v>5933</v>
      </c>
      <c r="G98" s="2" t="s">
        <v>36</v>
      </c>
      <c r="H98" s="7" t="s">
        <v>42</v>
      </c>
      <c r="I98" s="2" t="s">
        <v>92</v>
      </c>
      <c r="J98" s="2" t="s">
        <v>65</v>
      </c>
      <c r="K98" s="2" t="s">
        <v>304</v>
      </c>
      <c r="L98" s="2" t="s">
        <v>206</v>
      </c>
      <c r="M98" s="8" t="str">
        <f>HYPERLINK("http://slimages.macys.com/is/image/MCY/11706444 ")</f>
        <v xml:space="preserve">http://slimages.macys.com/is/image/MCY/11706444 </v>
      </c>
    </row>
    <row r="99" spans="1:13" ht="60" x14ac:dyDescent="0.25">
      <c r="A99" s="7" t="s">
        <v>5934</v>
      </c>
      <c r="B99" s="2" t="s">
        <v>3347</v>
      </c>
      <c r="C99" s="4">
        <v>2</v>
      </c>
      <c r="D99" s="5">
        <v>6.7</v>
      </c>
      <c r="E99" s="5">
        <v>11.99</v>
      </c>
      <c r="F99" s="4" t="s">
        <v>3348</v>
      </c>
      <c r="G99" s="2" t="s">
        <v>48</v>
      </c>
      <c r="H99" s="7" t="s">
        <v>317</v>
      </c>
      <c r="I99" s="2" t="s">
        <v>73</v>
      </c>
      <c r="J99" s="2" t="s">
        <v>1963</v>
      </c>
      <c r="K99" s="2" t="s">
        <v>304</v>
      </c>
      <c r="L99" s="2" t="s">
        <v>100</v>
      </c>
      <c r="M99" s="8" t="str">
        <f>HYPERLINK("http://slimages.macys.com/is/image/MCY/11229110 ")</f>
        <v xml:space="preserve">http://slimages.macys.com/is/image/MCY/11229110 </v>
      </c>
    </row>
    <row r="100" spans="1:13" ht="60" x14ac:dyDescent="0.25">
      <c r="A100" s="7" t="s">
        <v>3349</v>
      </c>
      <c r="B100" s="2" t="s">
        <v>3347</v>
      </c>
      <c r="C100" s="4">
        <v>1</v>
      </c>
      <c r="D100" s="5">
        <v>6.7</v>
      </c>
      <c r="E100" s="5">
        <v>11.99</v>
      </c>
      <c r="F100" s="4" t="s">
        <v>3348</v>
      </c>
      <c r="G100" s="2" t="s">
        <v>48</v>
      </c>
      <c r="H100" s="7" t="s">
        <v>68</v>
      </c>
      <c r="I100" s="2" t="s">
        <v>73</v>
      </c>
      <c r="J100" s="2" t="s">
        <v>1963</v>
      </c>
      <c r="K100" s="2" t="s">
        <v>304</v>
      </c>
      <c r="L100" s="2" t="s">
        <v>100</v>
      </c>
      <c r="M100" s="8" t="str">
        <f>HYPERLINK("http://slimages.macys.com/is/image/MCY/11229110 ")</f>
        <v xml:space="preserve">http://slimages.macys.com/is/image/MCY/11229110 </v>
      </c>
    </row>
    <row r="101" spans="1:13" ht="60" x14ac:dyDescent="0.25">
      <c r="A101" s="7" t="s">
        <v>5935</v>
      </c>
      <c r="B101" s="2" t="s">
        <v>1815</v>
      </c>
      <c r="C101" s="4">
        <v>1</v>
      </c>
      <c r="D101" s="5">
        <v>6.43</v>
      </c>
      <c r="E101" s="5">
        <v>16.989999999999998</v>
      </c>
      <c r="F101" s="4" t="s">
        <v>1816</v>
      </c>
      <c r="G101" s="2" t="s">
        <v>353</v>
      </c>
      <c r="H101" s="7" t="s">
        <v>284</v>
      </c>
      <c r="I101" s="2" t="s">
        <v>515</v>
      </c>
      <c r="J101" s="2" t="s">
        <v>827</v>
      </c>
      <c r="K101" s="2" t="s">
        <v>304</v>
      </c>
      <c r="L101" s="2" t="s">
        <v>358</v>
      </c>
      <c r="M101" s="8" t="str">
        <f>HYPERLINK("http://slimages.macys.com/is/image/MCY/13118981 ")</f>
        <v xml:space="preserve">http://slimages.macys.com/is/image/MCY/13118981 </v>
      </c>
    </row>
    <row r="102" spans="1:13" ht="72" x14ac:dyDescent="0.25">
      <c r="A102" s="7" t="s">
        <v>5936</v>
      </c>
      <c r="B102" s="2" t="s">
        <v>5937</v>
      </c>
      <c r="C102" s="4">
        <v>1</v>
      </c>
      <c r="D102" s="5">
        <v>6.4</v>
      </c>
      <c r="E102" s="5">
        <v>14.55</v>
      </c>
      <c r="F102" s="4">
        <v>17960710</v>
      </c>
      <c r="G102" s="2"/>
      <c r="H102" s="7" t="s">
        <v>438</v>
      </c>
      <c r="I102" s="2" t="s">
        <v>153</v>
      </c>
      <c r="J102" s="2" t="s">
        <v>154</v>
      </c>
      <c r="K102" s="2" t="s">
        <v>304</v>
      </c>
      <c r="L102" s="2" t="s">
        <v>3368</v>
      </c>
      <c r="M102" s="8" t="str">
        <f>HYPERLINK("http://slimages.macys.com/is/image/MCY/13341511 ")</f>
        <v xml:space="preserve">http://slimages.macys.com/is/image/MCY/13341511 </v>
      </c>
    </row>
    <row r="103" spans="1:13" ht="60" x14ac:dyDescent="0.25">
      <c r="A103" s="7" t="s">
        <v>5938</v>
      </c>
      <c r="B103" s="2" t="s">
        <v>5939</v>
      </c>
      <c r="C103" s="4">
        <v>1</v>
      </c>
      <c r="D103" s="5">
        <v>6.3</v>
      </c>
      <c r="E103" s="5">
        <v>10.99</v>
      </c>
      <c r="F103" s="4" t="s">
        <v>5940</v>
      </c>
      <c r="G103" s="2" t="s">
        <v>36</v>
      </c>
      <c r="H103" s="7" t="s">
        <v>159</v>
      </c>
      <c r="I103" s="2" t="s">
        <v>73</v>
      </c>
      <c r="J103" s="2" t="s">
        <v>1917</v>
      </c>
      <c r="K103" s="2" t="s">
        <v>304</v>
      </c>
      <c r="L103" s="2" t="s">
        <v>100</v>
      </c>
      <c r="M103" s="8" t="str">
        <f>HYPERLINK("http://slimages.macys.com/is/image/MCY/11228231 ")</f>
        <v xml:space="preserve">http://slimages.macys.com/is/image/MCY/11228231 </v>
      </c>
    </row>
    <row r="104" spans="1:13" ht="60" x14ac:dyDescent="0.25">
      <c r="A104" s="7" t="s">
        <v>5941</v>
      </c>
      <c r="B104" s="2" t="s">
        <v>5942</v>
      </c>
      <c r="C104" s="4">
        <v>1</v>
      </c>
      <c r="D104" s="5">
        <v>6.07</v>
      </c>
      <c r="E104" s="5">
        <v>11.99</v>
      </c>
      <c r="F104" s="4" t="s">
        <v>5943</v>
      </c>
      <c r="G104" s="2" t="s">
        <v>785</v>
      </c>
      <c r="H104" s="7" t="s">
        <v>590</v>
      </c>
      <c r="I104" s="2" t="s">
        <v>483</v>
      </c>
      <c r="J104" s="2" t="s">
        <v>484</v>
      </c>
      <c r="K104" s="2" t="s">
        <v>304</v>
      </c>
      <c r="L104" s="2" t="s">
        <v>87</v>
      </c>
      <c r="M104" s="8" t="str">
        <f>HYPERLINK("http://slimages.macys.com/is/image/MCY/8018021 ")</f>
        <v xml:space="preserve">http://slimages.macys.com/is/image/MCY/8018021 </v>
      </c>
    </row>
    <row r="105" spans="1:13" ht="156" x14ac:dyDescent="0.25">
      <c r="A105" s="7" t="s">
        <v>5944</v>
      </c>
      <c r="B105" s="2" t="s">
        <v>5945</v>
      </c>
      <c r="C105" s="4">
        <v>1</v>
      </c>
      <c r="D105" s="5">
        <v>6</v>
      </c>
      <c r="E105" s="5">
        <v>14</v>
      </c>
      <c r="F105" s="4" t="s">
        <v>5946</v>
      </c>
      <c r="G105" s="2" t="s">
        <v>62</v>
      </c>
      <c r="H105" s="7" t="s">
        <v>284</v>
      </c>
      <c r="I105" s="2" t="s">
        <v>468</v>
      </c>
      <c r="J105" s="2" t="s">
        <v>5947</v>
      </c>
      <c r="K105" s="2" t="s">
        <v>304</v>
      </c>
      <c r="L105" s="2" t="s">
        <v>5948</v>
      </c>
      <c r="M105" s="8" t="str">
        <f>HYPERLINK("http://slimages.macys.com/is/image/MCY/13936126 ")</f>
        <v xml:space="preserve">http://slimages.macys.com/is/image/MCY/13936126 </v>
      </c>
    </row>
    <row r="106" spans="1:13" ht="156" x14ac:dyDescent="0.25">
      <c r="A106" s="7" t="s">
        <v>5949</v>
      </c>
      <c r="B106" s="2" t="s">
        <v>5950</v>
      </c>
      <c r="C106" s="4">
        <v>2</v>
      </c>
      <c r="D106" s="5">
        <v>6</v>
      </c>
      <c r="E106" s="5">
        <v>14</v>
      </c>
      <c r="F106" s="4" t="s">
        <v>5946</v>
      </c>
      <c r="G106" s="2" t="s">
        <v>785</v>
      </c>
      <c r="H106" s="7" t="s">
        <v>284</v>
      </c>
      <c r="I106" s="2" t="s">
        <v>468</v>
      </c>
      <c r="J106" s="2" t="s">
        <v>5947</v>
      </c>
      <c r="K106" s="2" t="s">
        <v>304</v>
      </c>
      <c r="L106" s="2" t="s">
        <v>5948</v>
      </c>
      <c r="M106" s="8" t="str">
        <f>HYPERLINK("http://slimages.macys.com/is/image/MCY/13936125 ")</f>
        <v xml:space="preserve">http://slimages.macys.com/is/image/MCY/13936125 </v>
      </c>
    </row>
    <row r="107" spans="1:13" ht="156" x14ac:dyDescent="0.25">
      <c r="A107" s="7" t="s">
        <v>5951</v>
      </c>
      <c r="B107" s="2" t="s">
        <v>5950</v>
      </c>
      <c r="C107" s="4">
        <v>4</v>
      </c>
      <c r="D107" s="5">
        <v>6</v>
      </c>
      <c r="E107" s="5">
        <v>14</v>
      </c>
      <c r="F107" s="4" t="s">
        <v>5946</v>
      </c>
      <c r="G107" s="2" t="s">
        <v>785</v>
      </c>
      <c r="H107" s="7" t="s">
        <v>159</v>
      </c>
      <c r="I107" s="2" t="s">
        <v>468</v>
      </c>
      <c r="J107" s="2" t="s">
        <v>5947</v>
      </c>
      <c r="K107" s="2" t="s">
        <v>304</v>
      </c>
      <c r="L107" s="2" t="s">
        <v>5948</v>
      </c>
      <c r="M107" s="8" t="str">
        <f>HYPERLINK("http://slimages.macys.com/is/image/MCY/13936125 ")</f>
        <v xml:space="preserve">http://slimages.macys.com/is/image/MCY/13936125 </v>
      </c>
    </row>
    <row r="108" spans="1:13" ht="156" x14ac:dyDescent="0.25">
      <c r="A108" s="7" t="s">
        <v>5952</v>
      </c>
      <c r="B108" s="2" t="s">
        <v>5945</v>
      </c>
      <c r="C108" s="4">
        <v>4</v>
      </c>
      <c r="D108" s="5">
        <v>6</v>
      </c>
      <c r="E108" s="5">
        <v>14</v>
      </c>
      <c r="F108" s="4" t="s">
        <v>5946</v>
      </c>
      <c r="G108" s="2" t="s">
        <v>62</v>
      </c>
      <c r="H108" s="7" t="s">
        <v>159</v>
      </c>
      <c r="I108" s="2" t="s">
        <v>468</v>
      </c>
      <c r="J108" s="2" t="s">
        <v>5947</v>
      </c>
      <c r="K108" s="2" t="s">
        <v>304</v>
      </c>
      <c r="L108" s="2" t="s">
        <v>5948</v>
      </c>
      <c r="M108" s="8" t="str">
        <f>HYPERLINK("http://slimages.macys.com/is/image/MCY/13936126 ")</f>
        <v xml:space="preserve">http://slimages.macys.com/is/image/MCY/13936126 </v>
      </c>
    </row>
    <row r="109" spans="1:13" ht="60" x14ac:dyDescent="0.25">
      <c r="A109" s="7" t="s">
        <v>4119</v>
      </c>
      <c r="B109" s="2" t="s">
        <v>4117</v>
      </c>
      <c r="C109" s="4">
        <v>1</v>
      </c>
      <c r="D109" s="5">
        <v>6</v>
      </c>
      <c r="E109" s="5">
        <v>11.99</v>
      </c>
      <c r="F109" s="4" t="s">
        <v>4118</v>
      </c>
      <c r="G109" s="2" t="s">
        <v>41</v>
      </c>
      <c r="H109" s="7" t="s">
        <v>317</v>
      </c>
      <c r="I109" s="2" t="s">
        <v>173</v>
      </c>
      <c r="J109" s="2" t="s">
        <v>1967</v>
      </c>
      <c r="K109" s="2" t="s">
        <v>304</v>
      </c>
      <c r="L109" s="2" t="s">
        <v>87</v>
      </c>
      <c r="M109" s="8" t="str">
        <f>HYPERLINK("http://slimages.macys.com/is/image/MCY/12282974 ")</f>
        <v xml:space="preserve">http://slimages.macys.com/is/image/MCY/12282974 </v>
      </c>
    </row>
    <row r="110" spans="1:13" ht="60" x14ac:dyDescent="0.25">
      <c r="A110" s="7" t="s">
        <v>5953</v>
      </c>
      <c r="B110" s="2" t="s">
        <v>5954</v>
      </c>
      <c r="C110" s="4">
        <v>1</v>
      </c>
      <c r="D110" s="5">
        <v>6</v>
      </c>
      <c r="E110" s="5">
        <v>14.99</v>
      </c>
      <c r="F110" s="4">
        <v>811933431</v>
      </c>
      <c r="G110" s="2" t="s">
        <v>62</v>
      </c>
      <c r="H110" s="7" t="s">
        <v>228</v>
      </c>
      <c r="I110" s="2" t="s">
        <v>73</v>
      </c>
      <c r="J110" s="2" t="s">
        <v>5955</v>
      </c>
      <c r="K110" s="2" t="s">
        <v>304</v>
      </c>
      <c r="L110" s="2" t="s">
        <v>125</v>
      </c>
      <c r="M110" s="8" t="str">
        <f>HYPERLINK("http://slimages.macys.com/is/image/MCY/12754157 ")</f>
        <v xml:space="preserve">http://slimages.macys.com/is/image/MCY/12754157 </v>
      </c>
    </row>
    <row r="111" spans="1:13" ht="60" x14ac:dyDescent="0.25">
      <c r="A111" s="7" t="s">
        <v>1044</v>
      </c>
      <c r="B111" s="2" t="s">
        <v>1045</v>
      </c>
      <c r="C111" s="4">
        <v>1</v>
      </c>
      <c r="D111" s="5">
        <v>5.87</v>
      </c>
      <c r="E111" s="5">
        <v>16</v>
      </c>
      <c r="F111" s="4" t="s">
        <v>1046</v>
      </c>
      <c r="G111" s="2" t="s">
        <v>1047</v>
      </c>
      <c r="H111" s="7" t="s">
        <v>789</v>
      </c>
      <c r="I111" s="2" t="s">
        <v>523</v>
      </c>
      <c r="J111" s="2" t="s">
        <v>1042</v>
      </c>
      <c r="K111" s="2" t="s">
        <v>304</v>
      </c>
      <c r="L111" s="2" t="s">
        <v>1043</v>
      </c>
      <c r="M111" s="8" t="str">
        <f>HYPERLINK("http://slimages.macys.com/is/image/MCY/11647571 ")</f>
        <v xml:space="preserve">http://slimages.macys.com/is/image/MCY/11647571 </v>
      </c>
    </row>
    <row r="112" spans="1:13" ht="60" x14ac:dyDescent="0.25">
      <c r="A112" s="7" t="s">
        <v>5956</v>
      </c>
      <c r="B112" s="2" t="s">
        <v>5957</v>
      </c>
      <c r="C112" s="4">
        <v>1</v>
      </c>
      <c r="D112" s="5">
        <v>5.87</v>
      </c>
      <c r="E112" s="5">
        <v>11.99</v>
      </c>
      <c r="F112" s="4" t="s">
        <v>5958</v>
      </c>
      <c r="G112" s="2" t="s">
        <v>785</v>
      </c>
      <c r="H112" s="7" t="s">
        <v>442</v>
      </c>
      <c r="I112" s="2" t="s">
        <v>483</v>
      </c>
      <c r="J112" s="2" t="s">
        <v>484</v>
      </c>
      <c r="K112" s="2" t="s">
        <v>304</v>
      </c>
      <c r="L112" s="2" t="s">
        <v>87</v>
      </c>
      <c r="M112" s="8" t="str">
        <f>HYPERLINK("http://slimages.macys.com/is/image/MCY/8018018 ")</f>
        <v xml:space="preserve">http://slimages.macys.com/is/image/MCY/8018018 </v>
      </c>
    </row>
    <row r="113" spans="1:13" ht="60" x14ac:dyDescent="0.25">
      <c r="A113" s="7" t="s">
        <v>5959</v>
      </c>
      <c r="B113" s="2" t="s">
        <v>1877</v>
      </c>
      <c r="C113" s="4">
        <v>1</v>
      </c>
      <c r="D113" s="5">
        <v>5.8</v>
      </c>
      <c r="E113" s="5">
        <v>13.19</v>
      </c>
      <c r="F113" s="4">
        <v>18633210</v>
      </c>
      <c r="G113" s="2"/>
      <c r="H113" s="7" t="s">
        <v>91</v>
      </c>
      <c r="I113" s="2" t="s">
        <v>153</v>
      </c>
      <c r="J113" s="2" t="s">
        <v>154</v>
      </c>
      <c r="K113" s="2" t="s">
        <v>304</v>
      </c>
      <c r="L113" s="2" t="s">
        <v>38</v>
      </c>
      <c r="M113" s="8" t="str">
        <f>HYPERLINK("http://slimages.macys.com/is/image/MCY/13941923 ")</f>
        <v xml:space="preserve">http://slimages.macys.com/is/image/MCY/13941923 </v>
      </c>
    </row>
    <row r="114" spans="1:13" ht="60" x14ac:dyDescent="0.25">
      <c r="A114" s="7" t="s">
        <v>5960</v>
      </c>
      <c r="B114" s="2" t="s">
        <v>5961</v>
      </c>
      <c r="C114" s="4">
        <v>1</v>
      </c>
      <c r="D114" s="5">
        <v>5.8</v>
      </c>
      <c r="E114" s="5">
        <v>13.19</v>
      </c>
      <c r="F114" s="4">
        <v>17893810</v>
      </c>
      <c r="G114" s="2" t="s">
        <v>28</v>
      </c>
      <c r="H114" s="7" t="s">
        <v>233</v>
      </c>
      <c r="I114" s="2" t="s">
        <v>153</v>
      </c>
      <c r="J114" s="2" t="s">
        <v>154</v>
      </c>
      <c r="K114" s="2" t="s">
        <v>304</v>
      </c>
      <c r="L114" s="2" t="s">
        <v>38</v>
      </c>
      <c r="M114" s="8" t="str">
        <f>HYPERLINK("http://slimages.macys.com/is/image/MCY/13852866 ")</f>
        <v xml:space="preserve">http://slimages.macys.com/is/image/MCY/13852866 </v>
      </c>
    </row>
    <row r="115" spans="1:13" ht="60" x14ac:dyDescent="0.25">
      <c r="A115" s="7" t="s">
        <v>5962</v>
      </c>
      <c r="B115" s="2" t="s">
        <v>1899</v>
      </c>
      <c r="C115" s="4">
        <v>2</v>
      </c>
      <c r="D115" s="5">
        <v>5.68</v>
      </c>
      <c r="E115" s="5">
        <v>16.989999999999998</v>
      </c>
      <c r="F115" s="4" t="s">
        <v>1900</v>
      </c>
      <c r="G115" s="2" t="s">
        <v>165</v>
      </c>
      <c r="H115" s="7" t="s">
        <v>228</v>
      </c>
      <c r="I115" s="2" t="s">
        <v>515</v>
      </c>
      <c r="J115" s="2" t="s">
        <v>827</v>
      </c>
      <c r="K115" s="2" t="s">
        <v>304</v>
      </c>
      <c r="L115" s="2" t="s">
        <v>358</v>
      </c>
      <c r="M115" s="8" t="str">
        <f>HYPERLINK("http://slimages.macys.com/is/image/MCY/3487948 ")</f>
        <v xml:space="preserve">http://slimages.macys.com/is/image/MCY/3487948 </v>
      </c>
    </row>
    <row r="116" spans="1:13" ht="60" x14ac:dyDescent="0.25">
      <c r="A116" s="7" t="s">
        <v>5963</v>
      </c>
      <c r="B116" s="2" t="s">
        <v>3370</v>
      </c>
      <c r="C116" s="4">
        <v>1</v>
      </c>
      <c r="D116" s="5">
        <v>5.64</v>
      </c>
      <c r="E116" s="5">
        <v>12.99</v>
      </c>
      <c r="F116" s="4" t="s">
        <v>5964</v>
      </c>
      <c r="G116" s="2" t="s">
        <v>62</v>
      </c>
      <c r="H116" s="7" t="s">
        <v>166</v>
      </c>
      <c r="I116" s="2" t="s">
        <v>218</v>
      </c>
      <c r="J116" s="2" t="s">
        <v>2008</v>
      </c>
      <c r="K116" s="2" t="s">
        <v>304</v>
      </c>
      <c r="L116" s="2" t="s">
        <v>125</v>
      </c>
      <c r="M116" s="8" t="str">
        <f>HYPERLINK("http://slimages.macys.com/is/image/MCY/12742409 ")</f>
        <v xml:space="preserve">http://slimages.macys.com/is/image/MCY/12742409 </v>
      </c>
    </row>
    <row r="117" spans="1:13" ht="60" x14ac:dyDescent="0.25">
      <c r="A117" s="7" t="s">
        <v>511</v>
      </c>
      <c r="B117" s="2" t="s">
        <v>512</v>
      </c>
      <c r="C117" s="4">
        <v>1</v>
      </c>
      <c r="D117" s="5">
        <v>5.59</v>
      </c>
      <c r="E117" s="5">
        <v>14.99</v>
      </c>
      <c r="F117" s="4" t="s">
        <v>513</v>
      </c>
      <c r="G117" s="2" t="s">
        <v>171</v>
      </c>
      <c r="H117" s="7" t="s">
        <v>514</v>
      </c>
      <c r="I117" s="2" t="s">
        <v>515</v>
      </c>
      <c r="J117" s="2" t="s">
        <v>516</v>
      </c>
      <c r="K117" s="2" t="s">
        <v>304</v>
      </c>
      <c r="L117" s="2" t="s">
        <v>358</v>
      </c>
      <c r="M117" s="8" t="str">
        <f>HYPERLINK("http://slimages.macys.com/is/image/MCY/11464206 ")</f>
        <v xml:space="preserve">http://slimages.macys.com/is/image/MCY/11464206 </v>
      </c>
    </row>
    <row r="118" spans="1:13" ht="60" x14ac:dyDescent="0.25">
      <c r="A118" s="7" t="s">
        <v>5965</v>
      </c>
      <c r="B118" s="2" t="s">
        <v>1750</v>
      </c>
      <c r="C118" s="4">
        <v>1</v>
      </c>
      <c r="D118" s="5">
        <v>5.5</v>
      </c>
      <c r="E118" s="5">
        <v>10.99</v>
      </c>
      <c r="F118" s="4" t="s">
        <v>5966</v>
      </c>
      <c r="G118" s="2" t="s">
        <v>36</v>
      </c>
      <c r="H118" s="7" t="s">
        <v>159</v>
      </c>
      <c r="I118" s="2" t="s">
        <v>73</v>
      </c>
      <c r="J118" s="2" t="s">
        <v>1917</v>
      </c>
      <c r="K118" s="2" t="s">
        <v>304</v>
      </c>
      <c r="L118" s="2" t="s">
        <v>5967</v>
      </c>
      <c r="M118" s="8" t="str">
        <f>HYPERLINK("http://slimages.macys.com/is/image/MCY/12789105 ")</f>
        <v xml:space="preserve">http://slimages.macys.com/is/image/MCY/12789105 </v>
      </c>
    </row>
    <row r="119" spans="1:13" ht="60" x14ac:dyDescent="0.25">
      <c r="A119" s="7" t="s">
        <v>5968</v>
      </c>
      <c r="B119" s="2" t="s">
        <v>5969</v>
      </c>
      <c r="C119" s="4">
        <v>1</v>
      </c>
      <c r="D119" s="5">
        <v>5.37</v>
      </c>
      <c r="E119" s="5">
        <v>12.99</v>
      </c>
      <c r="F119" s="4">
        <v>100013040</v>
      </c>
      <c r="G119" s="2" t="s">
        <v>41</v>
      </c>
      <c r="H119" s="7" t="s">
        <v>228</v>
      </c>
      <c r="I119" s="2" t="s">
        <v>515</v>
      </c>
      <c r="J119" s="2" t="s">
        <v>1971</v>
      </c>
      <c r="K119" s="2" t="s">
        <v>304</v>
      </c>
      <c r="L119" s="2" t="s">
        <v>119</v>
      </c>
      <c r="M119" s="8" t="str">
        <f>HYPERLINK("http://slimages.macys.com/is/image/MCY/12686955 ")</f>
        <v xml:space="preserve">http://slimages.macys.com/is/image/MCY/12686955 </v>
      </c>
    </row>
    <row r="120" spans="1:13" ht="60" x14ac:dyDescent="0.25">
      <c r="A120" s="7" t="s">
        <v>5970</v>
      </c>
      <c r="B120" s="2" t="s">
        <v>5971</v>
      </c>
      <c r="C120" s="4">
        <v>1</v>
      </c>
      <c r="D120" s="5">
        <v>5.25</v>
      </c>
      <c r="E120" s="5">
        <v>12.99</v>
      </c>
      <c r="F120" s="4" t="s">
        <v>5972</v>
      </c>
      <c r="G120" s="2" t="s">
        <v>1360</v>
      </c>
      <c r="H120" s="7" t="s">
        <v>217</v>
      </c>
      <c r="I120" s="2" t="s">
        <v>218</v>
      </c>
      <c r="J120" s="2" t="s">
        <v>1740</v>
      </c>
      <c r="K120" s="2" t="s">
        <v>304</v>
      </c>
      <c r="L120" s="2" t="s">
        <v>119</v>
      </c>
      <c r="M120" s="8" t="str">
        <f>HYPERLINK("http://slimages.macys.com/is/image/MCY/12688051 ")</f>
        <v xml:space="preserve">http://slimages.macys.com/is/image/MCY/12688051 </v>
      </c>
    </row>
    <row r="121" spans="1:13" ht="60" x14ac:dyDescent="0.25">
      <c r="A121" s="7" t="s">
        <v>5973</v>
      </c>
      <c r="B121" s="2" t="s">
        <v>5974</v>
      </c>
      <c r="C121" s="4">
        <v>1</v>
      </c>
      <c r="D121" s="5">
        <v>5.15</v>
      </c>
      <c r="E121" s="5">
        <v>11.99</v>
      </c>
      <c r="F121" s="4" t="s">
        <v>5975</v>
      </c>
      <c r="G121" s="2" t="s">
        <v>657</v>
      </c>
      <c r="H121" s="7" t="s">
        <v>228</v>
      </c>
      <c r="I121" s="2" t="s">
        <v>292</v>
      </c>
      <c r="J121" s="2" t="s">
        <v>293</v>
      </c>
      <c r="K121" s="2" t="s">
        <v>304</v>
      </c>
      <c r="L121" s="2" t="s">
        <v>571</v>
      </c>
      <c r="M121" s="8" t="str">
        <f>HYPERLINK("http://slimages.macys.com/is/image/MCY/12000702 ")</f>
        <v xml:space="preserve">http://slimages.macys.com/is/image/MCY/12000702 </v>
      </c>
    </row>
    <row r="122" spans="1:13" ht="60" x14ac:dyDescent="0.25">
      <c r="A122" s="7" t="s">
        <v>5976</v>
      </c>
      <c r="B122" s="2" t="s">
        <v>1969</v>
      </c>
      <c r="C122" s="4">
        <v>1</v>
      </c>
      <c r="D122" s="5">
        <v>4.9800000000000004</v>
      </c>
      <c r="E122" s="5">
        <v>12.99</v>
      </c>
      <c r="F122" s="4" t="s">
        <v>1970</v>
      </c>
      <c r="G122" s="2" t="s">
        <v>41</v>
      </c>
      <c r="H122" s="7" t="s">
        <v>159</v>
      </c>
      <c r="I122" s="2" t="s">
        <v>515</v>
      </c>
      <c r="J122" s="2" t="s">
        <v>1971</v>
      </c>
      <c r="K122" s="2" t="s">
        <v>304</v>
      </c>
      <c r="L122" s="2" t="s">
        <v>119</v>
      </c>
      <c r="M122" s="8" t="str">
        <f>HYPERLINK("http://slimages.macys.com/is/image/MCY/12688527 ")</f>
        <v xml:space="preserve">http://slimages.macys.com/is/image/MCY/12688527 </v>
      </c>
    </row>
    <row r="123" spans="1:13" ht="84" x14ac:dyDescent="0.25">
      <c r="A123" s="7" t="s">
        <v>1978</v>
      </c>
      <c r="B123" s="2" t="s">
        <v>1979</v>
      </c>
      <c r="C123" s="4">
        <v>1</v>
      </c>
      <c r="D123" s="5">
        <v>4.92</v>
      </c>
      <c r="E123" s="5">
        <v>12.99</v>
      </c>
      <c r="F123" s="4" t="s">
        <v>1980</v>
      </c>
      <c r="G123" s="2" t="s">
        <v>62</v>
      </c>
      <c r="H123" s="7" t="s">
        <v>284</v>
      </c>
      <c r="I123" s="2" t="s">
        <v>515</v>
      </c>
      <c r="J123" s="2" t="s">
        <v>827</v>
      </c>
      <c r="K123" s="2" t="s">
        <v>304</v>
      </c>
      <c r="L123" s="2" t="s">
        <v>1117</v>
      </c>
      <c r="M123" s="8" t="str">
        <f>HYPERLINK("http://slimages.macys.com/is/image/MCY/12687243 ")</f>
        <v xml:space="preserve">http://slimages.macys.com/is/image/MCY/12687243 </v>
      </c>
    </row>
    <row r="124" spans="1:13" ht="60" x14ac:dyDescent="0.25">
      <c r="A124" s="7" t="s">
        <v>5977</v>
      </c>
      <c r="B124" s="2" t="s">
        <v>5978</v>
      </c>
      <c r="C124" s="4">
        <v>1</v>
      </c>
      <c r="D124" s="5">
        <v>4.8499999999999996</v>
      </c>
      <c r="E124" s="5">
        <v>10.99</v>
      </c>
      <c r="F124" s="4" t="s">
        <v>5979</v>
      </c>
      <c r="G124" s="2" t="s">
        <v>86</v>
      </c>
      <c r="H124" s="7" t="s">
        <v>159</v>
      </c>
      <c r="I124" s="2" t="s">
        <v>389</v>
      </c>
      <c r="J124" s="2" t="s">
        <v>354</v>
      </c>
      <c r="K124" s="2" t="s">
        <v>304</v>
      </c>
      <c r="L124" s="2" t="s">
        <v>100</v>
      </c>
      <c r="M124" s="8" t="str">
        <f>HYPERLINK("http://slimages.macys.com/is/image/MCY/11135810 ")</f>
        <v xml:space="preserve">http://slimages.macys.com/is/image/MCY/11135810 </v>
      </c>
    </row>
    <row r="125" spans="1:13" ht="60" x14ac:dyDescent="0.25">
      <c r="A125" s="7" t="s">
        <v>5980</v>
      </c>
      <c r="B125" s="2" t="s">
        <v>5978</v>
      </c>
      <c r="C125" s="4">
        <v>2</v>
      </c>
      <c r="D125" s="5">
        <v>4.8499999999999996</v>
      </c>
      <c r="E125" s="5">
        <v>10.99</v>
      </c>
      <c r="F125" s="4" t="s">
        <v>5979</v>
      </c>
      <c r="G125" s="2" t="s">
        <v>86</v>
      </c>
      <c r="H125" s="7" t="s">
        <v>284</v>
      </c>
      <c r="I125" s="2" t="s">
        <v>389</v>
      </c>
      <c r="J125" s="2" t="s">
        <v>354</v>
      </c>
      <c r="K125" s="2" t="s">
        <v>304</v>
      </c>
      <c r="L125" s="2" t="s">
        <v>100</v>
      </c>
      <c r="M125" s="8" t="str">
        <f>HYPERLINK("http://slimages.macys.com/is/image/MCY/11135810 ")</f>
        <v xml:space="preserve">http://slimages.macys.com/is/image/MCY/11135810 </v>
      </c>
    </row>
    <row r="126" spans="1:13" ht="60" x14ac:dyDescent="0.25">
      <c r="A126" s="7" t="s">
        <v>5981</v>
      </c>
      <c r="B126" s="2" t="s">
        <v>5978</v>
      </c>
      <c r="C126" s="4">
        <v>1</v>
      </c>
      <c r="D126" s="5">
        <v>4.8499999999999996</v>
      </c>
      <c r="E126" s="5">
        <v>10.99</v>
      </c>
      <c r="F126" s="4" t="s">
        <v>5979</v>
      </c>
      <c r="G126" s="2" t="s">
        <v>86</v>
      </c>
      <c r="H126" s="7" t="s">
        <v>196</v>
      </c>
      <c r="I126" s="2" t="s">
        <v>389</v>
      </c>
      <c r="J126" s="2" t="s">
        <v>354</v>
      </c>
      <c r="K126" s="2" t="s">
        <v>304</v>
      </c>
      <c r="L126" s="2" t="s">
        <v>100</v>
      </c>
      <c r="M126" s="8" t="str">
        <f>HYPERLINK("http://slimages.macys.com/is/image/MCY/11135810 ")</f>
        <v xml:space="preserve">http://slimages.macys.com/is/image/MCY/11135810 </v>
      </c>
    </row>
    <row r="127" spans="1:13" ht="60" x14ac:dyDescent="0.25">
      <c r="A127" s="7" t="s">
        <v>5982</v>
      </c>
      <c r="B127" s="2" t="s">
        <v>5983</v>
      </c>
      <c r="C127" s="4">
        <v>1</v>
      </c>
      <c r="D127" s="5">
        <v>4.72</v>
      </c>
      <c r="E127" s="5">
        <v>10.99</v>
      </c>
      <c r="F127" s="4" t="s">
        <v>5984</v>
      </c>
      <c r="G127" s="2" t="s">
        <v>657</v>
      </c>
      <c r="H127" s="7" t="s">
        <v>284</v>
      </c>
      <c r="I127" s="2" t="s">
        <v>389</v>
      </c>
      <c r="J127" s="2" t="s">
        <v>354</v>
      </c>
      <c r="K127" s="2" t="s">
        <v>304</v>
      </c>
      <c r="L127" s="2" t="s">
        <v>358</v>
      </c>
      <c r="M127" s="8" t="str">
        <f>HYPERLINK("http://slimages.macys.com/is/image/MCY/9439416 ")</f>
        <v xml:space="preserve">http://slimages.macys.com/is/image/MCY/9439416 </v>
      </c>
    </row>
    <row r="128" spans="1:13" ht="60" x14ac:dyDescent="0.25">
      <c r="A128" s="7" t="s">
        <v>5985</v>
      </c>
      <c r="B128" s="2" t="s">
        <v>2002</v>
      </c>
      <c r="C128" s="4">
        <v>1</v>
      </c>
      <c r="D128" s="5">
        <v>4.6500000000000004</v>
      </c>
      <c r="E128" s="5">
        <v>14.99</v>
      </c>
      <c r="F128" s="4" t="s">
        <v>2003</v>
      </c>
      <c r="G128" s="2" t="s">
        <v>657</v>
      </c>
      <c r="H128" s="7" t="s">
        <v>618</v>
      </c>
      <c r="I128" s="2" t="s">
        <v>292</v>
      </c>
      <c r="J128" s="2" t="s">
        <v>354</v>
      </c>
      <c r="K128" s="2" t="s">
        <v>304</v>
      </c>
      <c r="L128" s="2" t="s">
        <v>125</v>
      </c>
      <c r="M128" s="8" t="str">
        <f>HYPERLINK("http://slimages.macys.com/is/image/MCY/13893167 ")</f>
        <v xml:space="preserve">http://slimages.macys.com/is/image/MCY/13893167 </v>
      </c>
    </row>
    <row r="129" spans="1:13" ht="60" x14ac:dyDescent="0.25">
      <c r="A129" s="7" t="s">
        <v>5986</v>
      </c>
      <c r="B129" s="2" t="s">
        <v>5987</v>
      </c>
      <c r="C129" s="4">
        <v>1</v>
      </c>
      <c r="D129" s="5">
        <v>4.6500000000000004</v>
      </c>
      <c r="E129" s="5">
        <v>11.99</v>
      </c>
      <c r="F129" s="4" t="s">
        <v>5988</v>
      </c>
      <c r="G129" s="2" t="s">
        <v>41</v>
      </c>
      <c r="H129" s="7"/>
      <c r="I129" s="2" t="s">
        <v>312</v>
      </c>
      <c r="J129" s="2" t="s">
        <v>2077</v>
      </c>
      <c r="K129" s="2" t="s">
        <v>304</v>
      </c>
      <c r="L129" s="2" t="s">
        <v>125</v>
      </c>
      <c r="M129" s="8" t="str">
        <f>HYPERLINK("http://slimages.macys.com/is/image/MCY/12045144 ")</f>
        <v xml:space="preserve">http://slimages.macys.com/is/image/MCY/12045144 </v>
      </c>
    </row>
    <row r="130" spans="1:13" ht="60" x14ac:dyDescent="0.25">
      <c r="A130" s="7" t="s">
        <v>2026</v>
      </c>
      <c r="B130" s="2" t="s">
        <v>2023</v>
      </c>
      <c r="C130" s="4">
        <v>2</v>
      </c>
      <c r="D130" s="5">
        <v>4.46</v>
      </c>
      <c r="E130" s="5">
        <v>12</v>
      </c>
      <c r="F130" s="4" t="s">
        <v>2024</v>
      </c>
      <c r="G130" s="2" t="s">
        <v>437</v>
      </c>
      <c r="H130" s="7" t="s">
        <v>604</v>
      </c>
      <c r="I130" s="2" t="s">
        <v>483</v>
      </c>
      <c r="J130" s="2" t="s">
        <v>536</v>
      </c>
      <c r="K130" s="2" t="s">
        <v>304</v>
      </c>
      <c r="L130" s="2" t="s">
        <v>1207</v>
      </c>
      <c r="M130" s="8" t="str">
        <f>HYPERLINK("http://slimages.macys.com/is/image/MCY/12466266 ")</f>
        <v xml:space="preserve">http://slimages.macys.com/is/image/MCY/12466266 </v>
      </c>
    </row>
    <row r="131" spans="1:13" ht="60" x14ac:dyDescent="0.25">
      <c r="A131" s="7" t="s">
        <v>2022</v>
      </c>
      <c r="B131" s="2" t="s">
        <v>2023</v>
      </c>
      <c r="C131" s="4">
        <v>3</v>
      </c>
      <c r="D131" s="5">
        <v>4.46</v>
      </c>
      <c r="E131" s="5">
        <v>12</v>
      </c>
      <c r="F131" s="4" t="s">
        <v>2024</v>
      </c>
      <c r="G131" s="2" t="s">
        <v>437</v>
      </c>
      <c r="H131" s="7" t="s">
        <v>586</v>
      </c>
      <c r="I131" s="2" t="s">
        <v>483</v>
      </c>
      <c r="J131" s="2" t="s">
        <v>536</v>
      </c>
      <c r="K131" s="2" t="s">
        <v>304</v>
      </c>
      <c r="L131" s="2" t="s">
        <v>1207</v>
      </c>
      <c r="M131" s="8" t="str">
        <f>HYPERLINK("http://slimages.macys.com/is/image/MCY/12466266 ")</f>
        <v xml:space="preserve">http://slimages.macys.com/is/image/MCY/12466266 </v>
      </c>
    </row>
    <row r="132" spans="1:13" ht="60" x14ac:dyDescent="0.25">
      <c r="A132" s="7" t="s">
        <v>5989</v>
      </c>
      <c r="B132" s="2" t="s">
        <v>5990</v>
      </c>
      <c r="C132" s="4">
        <v>1</v>
      </c>
      <c r="D132" s="5">
        <v>4.43</v>
      </c>
      <c r="E132" s="5">
        <v>10.99</v>
      </c>
      <c r="F132" s="4" t="s">
        <v>5991</v>
      </c>
      <c r="G132" s="2" t="s">
        <v>134</v>
      </c>
      <c r="H132" s="7" t="s">
        <v>166</v>
      </c>
      <c r="I132" s="2" t="s">
        <v>218</v>
      </c>
      <c r="J132" s="2" t="s">
        <v>2008</v>
      </c>
      <c r="K132" s="2" t="s">
        <v>304</v>
      </c>
      <c r="L132" s="2" t="s">
        <v>119</v>
      </c>
      <c r="M132" s="8" t="str">
        <f>HYPERLINK("http://slimages.macys.com/is/image/MCY/11953331 ")</f>
        <v xml:space="preserve">http://slimages.macys.com/is/image/MCY/11953331 </v>
      </c>
    </row>
    <row r="133" spans="1:13" ht="60" x14ac:dyDescent="0.25">
      <c r="A133" s="7" t="s">
        <v>5992</v>
      </c>
      <c r="B133" s="2" t="s">
        <v>5993</v>
      </c>
      <c r="C133" s="4">
        <v>1</v>
      </c>
      <c r="D133" s="5">
        <v>4.2699999999999996</v>
      </c>
      <c r="E133" s="5">
        <v>10.99</v>
      </c>
      <c r="F133" s="4" t="s">
        <v>5994</v>
      </c>
      <c r="G133" s="2" t="s">
        <v>41</v>
      </c>
      <c r="H133" s="7" t="s">
        <v>123</v>
      </c>
      <c r="I133" s="2" t="s">
        <v>218</v>
      </c>
      <c r="J133" s="2" t="s">
        <v>2008</v>
      </c>
      <c r="K133" s="2" t="s">
        <v>304</v>
      </c>
      <c r="L133" s="2" t="s">
        <v>119</v>
      </c>
      <c r="M133" s="8" t="str">
        <f>HYPERLINK("http://slimages.macys.com/is/image/MCY/12684312 ")</f>
        <v xml:space="preserve">http://slimages.macys.com/is/image/MCY/12684312 </v>
      </c>
    </row>
    <row r="134" spans="1:13" ht="60" x14ac:dyDescent="0.25">
      <c r="A134" s="7" t="s">
        <v>5995</v>
      </c>
      <c r="B134" s="2" t="s">
        <v>4238</v>
      </c>
      <c r="C134" s="4">
        <v>1</v>
      </c>
      <c r="D134" s="5">
        <v>4.26</v>
      </c>
      <c r="E134" s="5">
        <v>12.99</v>
      </c>
      <c r="F134" s="4" t="s">
        <v>4239</v>
      </c>
      <c r="G134" s="2" t="s">
        <v>62</v>
      </c>
      <c r="H134" s="7" t="s">
        <v>196</v>
      </c>
      <c r="I134" s="2" t="s">
        <v>515</v>
      </c>
      <c r="J134" s="2" t="s">
        <v>1971</v>
      </c>
      <c r="K134" s="2" t="s">
        <v>304</v>
      </c>
      <c r="L134" s="2" t="s">
        <v>119</v>
      </c>
      <c r="M134" s="8" t="str">
        <f>HYPERLINK("http://slimages.macys.com/is/image/MCY/13120668 ")</f>
        <v xml:space="preserve">http://slimages.macys.com/is/image/MCY/13120668 </v>
      </c>
    </row>
    <row r="135" spans="1:13" ht="60" x14ac:dyDescent="0.25">
      <c r="A135" s="7" t="s">
        <v>5996</v>
      </c>
      <c r="B135" s="2" t="s">
        <v>2068</v>
      </c>
      <c r="C135" s="4">
        <v>2</v>
      </c>
      <c r="D135" s="5">
        <v>4.25</v>
      </c>
      <c r="E135" s="5">
        <v>9.99</v>
      </c>
      <c r="F135" s="4" t="s">
        <v>2069</v>
      </c>
      <c r="G135" s="2" t="s">
        <v>297</v>
      </c>
      <c r="H135" s="7" t="s">
        <v>233</v>
      </c>
      <c r="I135" s="2" t="s">
        <v>92</v>
      </c>
      <c r="J135" s="2" t="s">
        <v>778</v>
      </c>
      <c r="K135" s="2" t="s">
        <v>304</v>
      </c>
      <c r="L135" s="2" t="s">
        <v>206</v>
      </c>
      <c r="M135" s="8" t="str">
        <f>HYPERLINK("http://slimages.macys.com/is/image/MCY/12340287 ")</f>
        <v xml:space="preserve">http://slimages.macys.com/is/image/MCY/12340287 </v>
      </c>
    </row>
    <row r="136" spans="1:13" ht="60" x14ac:dyDescent="0.25">
      <c r="A136" s="7" t="s">
        <v>5997</v>
      </c>
      <c r="B136" s="2" t="s">
        <v>2068</v>
      </c>
      <c r="C136" s="4">
        <v>1</v>
      </c>
      <c r="D136" s="5">
        <v>4.25</v>
      </c>
      <c r="E136" s="5">
        <v>9.99</v>
      </c>
      <c r="F136" s="4" t="s">
        <v>2069</v>
      </c>
      <c r="G136" s="2" t="s">
        <v>297</v>
      </c>
      <c r="H136" s="7" t="s">
        <v>1661</v>
      </c>
      <c r="I136" s="2" t="s">
        <v>92</v>
      </c>
      <c r="J136" s="2" t="s">
        <v>778</v>
      </c>
      <c r="K136" s="2" t="s">
        <v>304</v>
      </c>
      <c r="L136" s="2" t="s">
        <v>206</v>
      </c>
      <c r="M136" s="8" t="str">
        <f>HYPERLINK("http://slimages.macys.com/is/image/MCY/12340287 ")</f>
        <v xml:space="preserve">http://slimages.macys.com/is/image/MCY/12340287 </v>
      </c>
    </row>
    <row r="137" spans="1:13" ht="60" x14ac:dyDescent="0.25">
      <c r="A137" s="7" t="s">
        <v>5998</v>
      </c>
      <c r="B137" s="2" t="s">
        <v>2068</v>
      </c>
      <c r="C137" s="4">
        <v>1</v>
      </c>
      <c r="D137" s="5">
        <v>4.25</v>
      </c>
      <c r="E137" s="5">
        <v>9.99</v>
      </c>
      <c r="F137" s="4" t="s">
        <v>2069</v>
      </c>
      <c r="G137" s="2" t="s">
        <v>297</v>
      </c>
      <c r="H137" s="7" t="s">
        <v>675</v>
      </c>
      <c r="I137" s="2" t="s">
        <v>92</v>
      </c>
      <c r="J137" s="2" t="s">
        <v>778</v>
      </c>
      <c r="K137" s="2" t="s">
        <v>304</v>
      </c>
      <c r="L137" s="2" t="s">
        <v>206</v>
      </c>
      <c r="M137" s="8" t="str">
        <f>HYPERLINK("http://slimages.macys.com/is/image/MCY/12340287 ")</f>
        <v xml:space="preserve">http://slimages.macys.com/is/image/MCY/12340287 </v>
      </c>
    </row>
    <row r="138" spans="1:13" ht="60" x14ac:dyDescent="0.25">
      <c r="A138" s="7" t="s">
        <v>5999</v>
      </c>
      <c r="B138" s="2" t="s">
        <v>6000</v>
      </c>
      <c r="C138" s="4">
        <v>1</v>
      </c>
      <c r="D138" s="5">
        <v>4.25</v>
      </c>
      <c r="E138" s="5">
        <v>9.99</v>
      </c>
      <c r="F138" s="4" t="s">
        <v>6001</v>
      </c>
      <c r="G138" s="2" t="s">
        <v>41</v>
      </c>
      <c r="H138" s="7"/>
      <c r="I138" s="2" t="s">
        <v>92</v>
      </c>
      <c r="J138" s="2" t="s">
        <v>778</v>
      </c>
      <c r="K138" s="2" t="s">
        <v>304</v>
      </c>
      <c r="L138" s="2" t="s">
        <v>119</v>
      </c>
      <c r="M138" s="8" t="str">
        <f>HYPERLINK("http://slimages.macys.com/is/image/MCY/12340318 ")</f>
        <v xml:space="preserve">http://slimages.macys.com/is/image/MCY/12340318 </v>
      </c>
    </row>
    <row r="139" spans="1:13" ht="60" x14ac:dyDescent="0.25">
      <c r="A139" s="7" t="s">
        <v>6002</v>
      </c>
      <c r="B139" s="2" t="s">
        <v>6003</v>
      </c>
      <c r="C139" s="4">
        <v>1</v>
      </c>
      <c r="D139" s="5">
        <v>4.25</v>
      </c>
      <c r="E139" s="5">
        <v>9.99</v>
      </c>
      <c r="F139" s="4" t="s">
        <v>6004</v>
      </c>
      <c r="G139" s="2" t="s">
        <v>41</v>
      </c>
      <c r="H139" s="7" t="s">
        <v>675</v>
      </c>
      <c r="I139" s="2" t="s">
        <v>92</v>
      </c>
      <c r="J139" s="2" t="s">
        <v>778</v>
      </c>
      <c r="K139" s="2" t="s">
        <v>304</v>
      </c>
      <c r="L139" s="2" t="s">
        <v>119</v>
      </c>
      <c r="M139" s="8" t="str">
        <f>HYPERLINK("http://slimages.macys.com/is/image/MCY/12340312 ")</f>
        <v xml:space="preserve">http://slimages.macys.com/is/image/MCY/12340312 </v>
      </c>
    </row>
    <row r="140" spans="1:13" ht="60" x14ac:dyDescent="0.25">
      <c r="A140" s="7" t="s">
        <v>2067</v>
      </c>
      <c r="B140" s="2" t="s">
        <v>2068</v>
      </c>
      <c r="C140" s="4">
        <v>2</v>
      </c>
      <c r="D140" s="5">
        <v>4.25</v>
      </c>
      <c r="E140" s="5">
        <v>9.99</v>
      </c>
      <c r="F140" s="4" t="s">
        <v>2069</v>
      </c>
      <c r="G140" s="2" t="s">
        <v>297</v>
      </c>
      <c r="H140" s="7" t="s">
        <v>438</v>
      </c>
      <c r="I140" s="2" t="s">
        <v>92</v>
      </c>
      <c r="J140" s="2" t="s">
        <v>778</v>
      </c>
      <c r="K140" s="2" t="s">
        <v>304</v>
      </c>
      <c r="L140" s="2" t="s">
        <v>206</v>
      </c>
      <c r="M140" s="8" t="str">
        <f>HYPERLINK("http://slimages.macys.com/is/image/MCY/12340287 ")</f>
        <v xml:space="preserve">http://slimages.macys.com/is/image/MCY/12340287 </v>
      </c>
    </row>
    <row r="141" spans="1:13" ht="60" x14ac:dyDescent="0.25">
      <c r="A141" s="7" t="s">
        <v>2079</v>
      </c>
      <c r="B141" s="2" t="s">
        <v>2075</v>
      </c>
      <c r="C141" s="4">
        <v>1</v>
      </c>
      <c r="D141" s="5">
        <v>4.1500000000000004</v>
      </c>
      <c r="E141" s="5">
        <v>10.99</v>
      </c>
      <c r="F141" s="4" t="s">
        <v>2076</v>
      </c>
      <c r="G141" s="2"/>
      <c r="H141" s="7"/>
      <c r="I141" s="2" t="s">
        <v>312</v>
      </c>
      <c r="J141" s="2" t="s">
        <v>2077</v>
      </c>
      <c r="K141" s="2" t="s">
        <v>304</v>
      </c>
      <c r="L141" s="2" t="s">
        <v>2078</v>
      </c>
      <c r="M141" s="8" t="str">
        <f>HYPERLINK("http://slimages.macys.com/is/image/MCY/12045142 ")</f>
        <v xml:space="preserve">http://slimages.macys.com/is/image/MCY/12045142 </v>
      </c>
    </row>
    <row r="142" spans="1:13" ht="60" x14ac:dyDescent="0.25">
      <c r="A142" s="7" t="s">
        <v>2080</v>
      </c>
      <c r="B142" s="2" t="s">
        <v>2075</v>
      </c>
      <c r="C142" s="4">
        <v>1</v>
      </c>
      <c r="D142" s="5">
        <v>4.1500000000000004</v>
      </c>
      <c r="E142" s="5">
        <v>10.99</v>
      </c>
      <c r="F142" s="4" t="s">
        <v>2076</v>
      </c>
      <c r="G142" s="2"/>
      <c r="H142" s="7"/>
      <c r="I142" s="2" t="s">
        <v>312</v>
      </c>
      <c r="J142" s="2" t="s">
        <v>2077</v>
      </c>
      <c r="K142" s="2" t="s">
        <v>304</v>
      </c>
      <c r="L142" s="2" t="s">
        <v>2078</v>
      </c>
      <c r="M142" s="8" t="str">
        <f>HYPERLINK("http://slimages.macys.com/is/image/MCY/12045142 ")</f>
        <v xml:space="preserve">http://slimages.macys.com/is/image/MCY/12045142 </v>
      </c>
    </row>
    <row r="143" spans="1:13" ht="60" x14ac:dyDescent="0.25">
      <c r="A143" s="7" t="s">
        <v>6005</v>
      </c>
      <c r="B143" s="2" t="s">
        <v>6006</v>
      </c>
      <c r="C143" s="4">
        <v>1</v>
      </c>
      <c r="D143" s="5">
        <v>4.05</v>
      </c>
      <c r="E143" s="5">
        <v>12.99</v>
      </c>
      <c r="F143" s="4" t="s">
        <v>6007</v>
      </c>
      <c r="G143" s="2" t="s">
        <v>437</v>
      </c>
      <c r="H143" s="7" t="s">
        <v>531</v>
      </c>
      <c r="I143" s="2" t="s">
        <v>483</v>
      </c>
      <c r="J143" s="2" t="s">
        <v>536</v>
      </c>
      <c r="K143" s="2" t="s">
        <v>304</v>
      </c>
      <c r="L143" s="2" t="s">
        <v>2711</v>
      </c>
      <c r="M143" s="8" t="str">
        <f>HYPERLINK("http://slimages.macys.com/is/image/MCY/12230704 ")</f>
        <v xml:space="preserve">http://slimages.macys.com/is/image/MCY/12230704 </v>
      </c>
    </row>
    <row r="144" spans="1:13" ht="60" x14ac:dyDescent="0.25">
      <c r="A144" s="7" t="s">
        <v>6008</v>
      </c>
      <c r="B144" s="2" t="s">
        <v>6009</v>
      </c>
      <c r="C144" s="4">
        <v>1</v>
      </c>
      <c r="D144" s="5">
        <v>4.05</v>
      </c>
      <c r="E144" s="5">
        <v>8.1</v>
      </c>
      <c r="F144" s="4" t="s">
        <v>6010</v>
      </c>
      <c r="G144" s="2"/>
      <c r="H144" s="7" t="s">
        <v>68</v>
      </c>
      <c r="I144" s="2" t="s">
        <v>487</v>
      </c>
      <c r="J144" s="2" t="s">
        <v>488</v>
      </c>
      <c r="K144" s="2" t="s">
        <v>304</v>
      </c>
      <c r="L144" s="2" t="s">
        <v>75</v>
      </c>
      <c r="M144" s="8" t="str">
        <f>HYPERLINK("http://slimages.macys.com/is/image/MCY/11867736 ")</f>
        <v xml:space="preserve">http://slimages.macys.com/is/image/MCY/11867736 </v>
      </c>
    </row>
    <row r="145" spans="1:13" ht="60" x14ac:dyDescent="0.25">
      <c r="A145" s="7" t="s">
        <v>6011</v>
      </c>
      <c r="B145" s="2" t="s">
        <v>6012</v>
      </c>
      <c r="C145" s="4">
        <v>1</v>
      </c>
      <c r="D145" s="5">
        <v>4</v>
      </c>
      <c r="E145" s="5">
        <v>8</v>
      </c>
      <c r="F145" s="4" t="s">
        <v>6013</v>
      </c>
      <c r="G145" s="2"/>
      <c r="H145" s="7"/>
      <c r="I145" s="2" t="s">
        <v>487</v>
      </c>
      <c r="J145" s="2" t="s">
        <v>488</v>
      </c>
      <c r="K145" s="2" t="s">
        <v>304</v>
      </c>
      <c r="L145" s="2" t="s">
        <v>206</v>
      </c>
      <c r="M145" s="8" t="str">
        <f>HYPERLINK("http://slimages.macys.com/is/image/MCY/12236155 ")</f>
        <v xml:space="preserve">http://slimages.macys.com/is/image/MCY/12236155 </v>
      </c>
    </row>
    <row r="146" spans="1:13" ht="72" x14ac:dyDescent="0.25">
      <c r="A146" s="7" t="s">
        <v>6014</v>
      </c>
      <c r="B146" s="2" t="s">
        <v>6015</v>
      </c>
      <c r="C146" s="4">
        <v>1</v>
      </c>
      <c r="D146" s="5">
        <v>3.83</v>
      </c>
      <c r="E146" s="5">
        <v>9.99</v>
      </c>
      <c r="F146" s="4" t="s">
        <v>6016</v>
      </c>
      <c r="G146" s="2" t="s">
        <v>353</v>
      </c>
      <c r="H146" s="7" t="s">
        <v>1151</v>
      </c>
      <c r="I146" s="2" t="s">
        <v>515</v>
      </c>
      <c r="J146" s="2" t="s">
        <v>875</v>
      </c>
      <c r="K146" s="2" t="s">
        <v>304</v>
      </c>
      <c r="L146" s="2" t="s">
        <v>6017</v>
      </c>
      <c r="M146" s="8" t="str">
        <f>HYPERLINK("http://slimages.macys.com/is/image/MCY/12387472 ")</f>
        <v xml:space="preserve">http://slimages.macys.com/is/image/MCY/12387472 </v>
      </c>
    </row>
    <row r="147" spans="1:13" ht="60" x14ac:dyDescent="0.25">
      <c r="A147" s="7" t="s">
        <v>6018</v>
      </c>
      <c r="B147" s="2" t="s">
        <v>5601</v>
      </c>
      <c r="C147" s="4">
        <v>1</v>
      </c>
      <c r="D147" s="5">
        <v>3.58</v>
      </c>
      <c r="E147" s="5">
        <v>7.99</v>
      </c>
      <c r="F147" s="4" t="s">
        <v>5602</v>
      </c>
      <c r="G147" s="2" t="s">
        <v>657</v>
      </c>
      <c r="H147" s="7" t="s">
        <v>1151</v>
      </c>
      <c r="I147" s="2" t="s">
        <v>483</v>
      </c>
      <c r="J147" s="2" t="s">
        <v>536</v>
      </c>
      <c r="K147" s="2" t="s">
        <v>304</v>
      </c>
      <c r="L147" s="2" t="s">
        <v>119</v>
      </c>
      <c r="M147" s="8" t="str">
        <f>HYPERLINK("http://slimages.macys.com/is/image/MCY/13531944 ")</f>
        <v xml:space="preserve">http://slimages.macys.com/is/image/MCY/13531944 </v>
      </c>
    </row>
    <row r="148" spans="1:13" ht="60" x14ac:dyDescent="0.25">
      <c r="A148" s="7" t="s">
        <v>6019</v>
      </c>
      <c r="B148" s="2" t="s">
        <v>3489</v>
      </c>
      <c r="C148" s="4">
        <v>1</v>
      </c>
      <c r="D148" s="5">
        <v>3.5</v>
      </c>
      <c r="E148" s="5">
        <v>7.99</v>
      </c>
      <c r="F148" s="4">
        <v>18187210</v>
      </c>
      <c r="G148" s="2"/>
      <c r="H148" s="7" t="s">
        <v>442</v>
      </c>
      <c r="I148" s="2" t="s">
        <v>153</v>
      </c>
      <c r="J148" s="2" t="s">
        <v>154</v>
      </c>
      <c r="K148" s="2" t="s">
        <v>304</v>
      </c>
      <c r="L148" s="2" t="s">
        <v>206</v>
      </c>
      <c r="M148" s="8" t="str">
        <f>HYPERLINK("http://slimages.macys.com/is/image/MCY/14608360 ")</f>
        <v xml:space="preserve">http://slimages.macys.com/is/image/MCY/14608360 </v>
      </c>
    </row>
    <row r="149" spans="1:13" ht="60" x14ac:dyDescent="0.25">
      <c r="A149" s="7" t="s">
        <v>6020</v>
      </c>
      <c r="B149" s="2" t="s">
        <v>1176</v>
      </c>
      <c r="C149" s="4">
        <v>1</v>
      </c>
      <c r="D149" s="5">
        <v>3.21</v>
      </c>
      <c r="E149" s="5">
        <v>7.99</v>
      </c>
      <c r="F149" s="4" t="s">
        <v>1177</v>
      </c>
      <c r="G149" s="2" t="s">
        <v>527</v>
      </c>
      <c r="H149" s="7" t="s">
        <v>578</v>
      </c>
      <c r="I149" s="2" t="s">
        <v>483</v>
      </c>
      <c r="J149" s="2" t="s">
        <v>536</v>
      </c>
      <c r="K149" s="2" t="s">
        <v>304</v>
      </c>
      <c r="L149" s="2" t="s">
        <v>119</v>
      </c>
      <c r="M149" s="8" t="str">
        <f>HYPERLINK("http://slimages.macys.com/is/image/MCY/13987326 ")</f>
        <v xml:space="preserve">http://slimages.macys.com/is/image/MCY/13987326 </v>
      </c>
    </row>
    <row r="150" spans="1:13" ht="60" x14ac:dyDescent="0.25">
      <c r="A150" s="7" t="s">
        <v>1179</v>
      </c>
      <c r="B150" s="2" t="s">
        <v>1180</v>
      </c>
      <c r="C150" s="4">
        <v>1</v>
      </c>
      <c r="D150" s="5">
        <v>3.05</v>
      </c>
      <c r="E150" s="5">
        <v>7.99</v>
      </c>
      <c r="F150" s="4" t="s">
        <v>1181</v>
      </c>
      <c r="G150" s="2" t="s">
        <v>41</v>
      </c>
      <c r="H150" s="7" t="s">
        <v>514</v>
      </c>
      <c r="I150" s="2" t="s">
        <v>483</v>
      </c>
      <c r="J150" s="2" t="s">
        <v>536</v>
      </c>
      <c r="K150" s="2" t="s">
        <v>304</v>
      </c>
      <c r="L150" s="2" t="s">
        <v>38</v>
      </c>
      <c r="M150" s="8" t="str">
        <f>HYPERLINK("http://slimages.macys.com/is/image/MCY/13337374 ")</f>
        <v xml:space="preserve">http://slimages.macys.com/is/image/MCY/13337374 </v>
      </c>
    </row>
    <row r="151" spans="1:13" ht="60" x14ac:dyDescent="0.25">
      <c r="A151" s="7" t="s">
        <v>6021</v>
      </c>
      <c r="B151" s="2" t="s">
        <v>1193</v>
      </c>
      <c r="C151" s="4">
        <v>1</v>
      </c>
      <c r="D151" s="5">
        <v>3.01</v>
      </c>
      <c r="E151" s="5">
        <v>7.99</v>
      </c>
      <c r="F151" s="4" t="s">
        <v>1194</v>
      </c>
      <c r="G151" s="2" t="s">
        <v>1147</v>
      </c>
      <c r="H151" s="7" t="s">
        <v>514</v>
      </c>
      <c r="I151" s="2" t="s">
        <v>483</v>
      </c>
      <c r="J151" s="2" t="s">
        <v>536</v>
      </c>
      <c r="K151" s="2" t="s">
        <v>304</v>
      </c>
      <c r="L151" s="2" t="s">
        <v>100</v>
      </c>
      <c r="M151" s="8" t="str">
        <f>HYPERLINK("http://slimages.macys.com/is/image/MCY/13987297 ")</f>
        <v xml:space="preserve">http://slimages.macys.com/is/image/MCY/13987297 </v>
      </c>
    </row>
    <row r="152" spans="1:13" ht="60" x14ac:dyDescent="0.25">
      <c r="A152" s="7" t="s">
        <v>6022</v>
      </c>
      <c r="B152" s="2" t="s">
        <v>2187</v>
      </c>
      <c r="C152" s="4">
        <v>1</v>
      </c>
      <c r="D152" s="5">
        <v>2.94</v>
      </c>
      <c r="E152" s="5">
        <v>7.99</v>
      </c>
      <c r="F152" s="4" t="s">
        <v>2188</v>
      </c>
      <c r="G152" s="2" t="s">
        <v>353</v>
      </c>
      <c r="H152" s="7" t="s">
        <v>514</v>
      </c>
      <c r="I152" s="2" t="s">
        <v>483</v>
      </c>
      <c r="J152" s="2" t="s">
        <v>536</v>
      </c>
      <c r="K152" s="2" t="s">
        <v>304</v>
      </c>
      <c r="L152" s="2" t="s">
        <v>206</v>
      </c>
      <c r="M152" s="8" t="str">
        <f>HYPERLINK("http://slimages.macys.com/is/image/MCY/13386702 ")</f>
        <v xml:space="preserve">http://slimages.macys.com/is/image/MCY/13386702 </v>
      </c>
    </row>
    <row r="153" spans="1:13" ht="60" x14ac:dyDescent="0.25">
      <c r="A153" s="7" t="s">
        <v>6023</v>
      </c>
      <c r="B153" s="2" t="s">
        <v>4428</v>
      </c>
      <c r="C153" s="4">
        <v>1</v>
      </c>
      <c r="D153" s="5">
        <v>2.93</v>
      </c>
      <c r="E153" s="5">
        <v>8.99</v>
      </c>
      <c r="F153" s="4">
        <v>10006317700</v>
      </c>
      <c r="G153" s="2" t="s">
        <v>134</v>
      </c>
      <c r="H153" s="7" t="s">
        <v>590</v>
      </c>
      <c r="I153" s="2" t="s">
        <v>483</v>
      </c>
      <c r="J153" s="2" t="s">
        <v>536</v>
      </c>
      <c r="K153" s="2" t="s">
        <v>304</v>
      </c>
      <c r="L153" s="2" t="s">
        <v>38</v>
      </c>
      <c r="M153" s="8" t="str">
        <f>HYPERLINK("http://slimages.macys.com/is/image/MCY/13987487 ")</f>
        <v xml:space="preserve">http://slimages.macys.com/is/image/MCY/13987487 </v>
      </c>
    </row>
    <row r="154" spans="1:13" ht="60" x14ac:dyDescent="0.25">
      <c r="A154" s="7" t="s">
        <v>1204</v>
      </c>
      <c r="B154" s="2" t="s">
        <v>1205</v>
      </c>
      <c r="C154" s="4">
        <v>5</v>
      </c>
      <c r="D154" s="5">
        <v>2.87</v>
      </c>
      <c r="E154" s="5">
        <v>7.99</v>
      </c>
      <c r="F154" s="4" t="s">
        <v>1206</v>
      </c>
      <c r="G154" s="2" t="s">
        <v>437</v>
      </c>
      <c r="H154" s="7" t="s">
        <v>531</v>
      </c>
      <c r="I154" s="2" t="s">
        <v>483</v>
      </c>
      <c r="J154" s="2" t="s">
        <v>536</v>
      </c>
      <c r="K154" s="2" t="s">
        <v>304</v>
      </c>
      <c r="L154" s="2" t="s">
        <v>1207</v>
      </c>
      <c r="M154" s="8" t="str">
        <f>HYPERLINK("http://slimages.macys.com/is/image/MCY/12466264 ")</f>
        <v xml:space="preserve">http://slimages.macys.com/is/image/MCY/12466264 </v>
      </c>
    </row>
    <row r="155" spans="1:13" ht="60" x14ac:dyDescent="0.25">
      <c r="A155" s="7" t="s">
        <v>6024</v>
      </c>
      <c r="B155" s="2" t="s">
        <v>1213</v>
      </c>
      <c r="C155" s="4">
        <v>1</v>
      </c>
      <c r="D155" s="5">
        <v>2.82</v>
      </c>
      <c r="E155" s="5">
        <v>7.99</v>
      </c>
      <c r="F155" s="4" t="s">
        <v>1214</v>
      </c>
      <c r="G155" s="2" t="s">
        <v>657</v>
      </c>
      <c r="H155" s="7" t="s">
        <v>514</v>
      </c>
      <c r="I155" s="2" t="s">
        <v>483</v>
      </c>
      <c r="J155" s="2" t="s">
        <v>536</v>
      </c>
      <c r="K155" s="2" t="s">
        <v>304</v>
      </c>
      <c r="L155" s="2" t="s">
        <v>119</v>
      </c>
      <c r="M155" s="8" t="str">
        <f>HYPERLINK("http://slimages.macys.com/is/image/MCY/13987252 ")</f>
        <v xml:space="preserve">http://slimages.macys.com/is/image/MCY/13987252 </v>
      </c>
    </row>
    <row r="156" spans="1:13" ht="60" x14ac:dyDescent="0.25">
      <c r="A156" s="7" t="s">
        <v>6025</v>
      </c>
      <c r="B156" s="2" t="s">
        <v>1219</v>
      </c>
      <c r="C156" s="4">
        <v>1</v>
      </c>
      <c r="D156" s="5">
        <v>2.75</v>
      </c>
      <c r="E156" s="5">
        <v>6.99</v>
      </c>
      <c r="F156" s="4" t="s">
        <v>1220</v>
      </c>
      <c r="G156" s="2" t="s">
        <v>527</v>
      </c>
      <c r="H156" s="7" t="s">
        <v>91</v>
      </c>
      <c r="I156" s="2" t="s">
        <v>483</v>
      </c>
      <c r="J156" s="2" t="s">
        <v>536</v>
      </c>
      <c r="K156" s="2" t="s">
        <v>304</v>
      </c>
      <c r="L156" s="2" t="s">
        <v>119</v>
      </c>
      <c r="M156" s="8" t="str">
        <f>HYPERLINK("http://slimages.macys.com/is/image/MCY/13987326 ")</f>
        <v xml:space="preserve">http://slimages.macys.com/is/image/MCY/13987326 </v>
      </c>
    </row>
    <row r="157" spans="1:13" ht="60" x14ac:dyDescent="0.25">
      <c r="A157" s="7" t="s">
        <v>2217</v>
      </c>
      <c r="B157" s="2" t="s">
        <v>1219</v>
      </c>
      <c r="C157" s="4">
        <v>1</v>
      </c>
      <c r="D157" s="5">
        <v>2.75</v>
      </c>
      <c r="E157" s="5">
        <v>6.99</v>
      </c>
      <c r="F157" s="4" t="s">
        <v>1220</v>
      </c>
      <c r="G157" s="2" t="s">
        <v>527</v>
      </c>
      <c r="H157" s="7" t="s">
        <v>42</v>
      </c>
      <c r="I157" s="2" t="s">
        <v>483</v>
      </c>
      <c r="J157" s="2" t="s">
        <v>536</v>
      </c>
      <c r="K157" s="2" t="s">
        <v>304</v>
      </c>
      <c r="L157" s="2" t="s">
        <v>119</v>
      </c>
      <c r="M157" s="8" t="str">
        <f>HYPERLINK("http://slimages.macys.com/is/image/MCY/13987326 ")</f>
        <v xml:space="preserve">http://slimages.macys.com/is/image/MCY/13987326 </v>
      </c>
    </row>
    <row r="158" spans="1:13" ht="60" x14ac:dyDescent="0.25">
      <c r="A158" s="7" t="s">
        <v>6026</v>
      </c>
      <c r="B158" s="2" t="s">
        <v>2223</v>
      </c>
      <c r="C158" s="4">
        <v>7</v>
      </c>
      <c r="D158" s="5">
        <v>2.69</v>
      </c>
      <c r="E158" s="5">
        <v>5.99</v>
      </c>
      <c r="F158" s="4" t="s">
        <v>2224</v>
      </c>
      <c r="G158" s="2" t="s">
        <v>238</v>
      </c>
      <c r="H158" s="7" t="s">
        <v>442</v>
      </c>
      <c r="I158" s="2" t="s">
        <v>483</v>
      </c>
      <c r="J158" s="2" t="s">
        <v>536</v>
      </c>
      <c r="K158" s="2" t="s">
        <v>304</v>
      </c>
      <c r="L158" s="2" t="s">
        <v>206</v>
      </c>
      <c r="M158" s="8" t="str">
        <f>HYPERLINK("http://slimages.macys.com/is/image/MCY/11436881 ")</f>
        <v xml:space="preserve">http://slimages.macys.com/is/image/MCY/11436881 </v>
      </c>
    </row>
    <row r="159" spans="1:13" ht="60" x14ac:dyDescent="0.25">
      <c r="A159" s="7" t="s">
        <v>6027</v>
      </c>
      <c r="B159" s="2" t="s">
        <v>2223</v>
      </c>
      <c r="C159" s="4">
        <v>10</v>
      </c>
      <c r="D159" s="5">
        <v>2.69</v>
      </c>
      <c r="E159" s="5">
        <v>5.99</v>
      </c>
      <c r="F159" s="4" t="s">
        <v>2224</v>
      </c>
      <c r="G159" s="2" t="s">
        <v>238</v>
      </c>
      <c r="H159" s="7" t="s">
        <v>91</v>
      </c>
      <c r="I159" s="2" t="s">
        <v>483</v>
      </c>
      <c r="J159" s="2" t="s">
        <v>536</v>
      </c>
      <c r="K159" s="2" t="s">
        <v>304</v>
      </c>
      <c r="L159" s="2" t="s">
        <v>206</v>
      </c>
      <c r="M159" s="8" t="str">
        <f>HYPERLINK("http://slimages.macys.com/is/image/MCY/11436881 ")</f>
        <v xml:space="preserve">http://slimages.macys.com/is/image/MCY/11436881 </v>
      </c>
    </row>
    <row r="160" spans="1:13" ht="60" x14ac:dyDescent="0.25">
      <c r="A160" s="7" t="s">
        <v>4467</v>
      </c>
      <c r="B160" s="2" t="s">
        <v>2223</v>
      </c>
      <c r="C160" s="4">
        <v>11</v>
      </c>
      <c r="D160" s="5">
        <v>2.69</v>
      </c>
      <c r="E160" s="5">
        <v>5.99</v>
      </c>
      <c r="F160" s="4" t="s">
        <v>2224</v>
      </c>
      <c r="G160" s="2" t="s">
        <v>238</v>
      </c>
      <c r="H160" s="7" t="s">
        <v>42</v>
      </c>
      <c r="I160" s="2" t="s">
        <v>483</v>
      </c>
      <c r="J160" s="2" t="s">
        <v>536</v>
      </c>
      <c r="K160" s="2" t="s">
        <v>304</v>
      </c>
      <c r="L160" s="2" t="s">
        <v>206</v>
      </c>
      <c r="M160" s="8" t="str">
        <f>HYPERLINK("http://slimages.macys.com/is/image/MCY/11436881 ")</f>
        <v xml:space="preserve">http://slimages.macys.com/is/image/MCY/11436881 </v>
      </c>
    </row>
    <row r="161" spans="1:13" ht="60" x14ac:dyDescent="0.25">
      <c r="A161" s="7" t="s">
        <v>6028</v>
      </c>
      <c r="B161" s="2" t="s">
        <v>2223</v>
      </c>
      <c r="C161" s="4">
        <v>5</v>
      </c>
      <c r="D161" s="5">
        <v>2.69</v>
      </c>
      <c r="E161" s="5">
        <v>5.99</v>
      </c>
      <c r="F161" s="4" t="s">
        <v>2224</v>
      </c>
      <c r="G161" s="2" t="s">
        <v>238</v>
      </c>
      <c r="H161" s="7" t="s">
        <v>590</v>
      </c>
      <c r="I161" s="2" t="s">
        <v>483</v>
      </c>
      <c r="J161" s="2" t="s">
        <v>536</v>
      </c>
      <c r="K161" s="2" t="s">
        <v>304</v>
      </c>
      <c r="L161" s="2" t="s">
        <v>206</v>
      </c>
      <c r="M161" s="8" t="str">
        <f>HYPERLINK("http://slimages.macys.com/is/image/MCY/11436881 ")</f>
        <v xml:space="preserve">http://slimages.macys.com/is/image/MCY/11436881 </v>
      </c>
    </row>
    <row r="162" spans="1:13" ht="60" x14ac:dyDescent="0.25">
      <c r="A162" s="7" t="s">
        <v>6029</v>
      </c>
      <c r="B162" s="2" t="s">
        <v>2223</v>
      </c>
      <c r="C162" s="4">
        <v>3</v>
      </c>
      <c r="D162" s="5">
        <v>2.69</v>
      </c>
      <c r="E162" s="5">
        <v>5.99</v>
      </c>
      <c r="F162" s="4" t="s">
        <v>2224</v>
      </c>
      <c r="G162" s="2" t="s">
        <v>238</v>
      </c>
      <c r="H162" s="7" t="s">
        <v>149</v>
      </c>
      <c r="I162" s="2" t="s">
        <v>483</v>
      </c>
      <c r="J162" s="2" t="s">
        <v>536</v>
      </c>
      <c r="K162" s="2" t="s">
        <v>304</v>
      </c>
      <c r="L162" s="2" t="s">
        <v>206</v>
      </c>
      <c r="M162" s="8" t="str">
        <f>HYPERLINK("http://slimages.macys.com/is/image/MCY/11436881 ")</f>
        <v xml:space="preserve">http://slimages.macys.com/is/image/MCY/11436881 </v>
      </c>
    </row>
    <row r="163" spans="1:13" ht="60" x14ac:dyDescent="0.25">
      <c r="A163" s="7" t="s">
        <v>6030</v>
      </c>
      <c r="B163" s="2" t="s">
        <v>1236</v>
      </c>
      <c r="C163" s="4">
        <v>3</v>
      </c>
      <c r="D163" s="5">
        <v>2.65</v>
      </c>
      <c r="E163" s="5">
        <v>6.99</v>
      </c>
      <c r="F163" s="4" t="s">
        <v>1237</v>
      </c>
      <c r="G163" s="2" t="s">
        <v>41</v>
      </c>
      <c r="H163" s="7" t="s">
        <v>42</v>
      </c>
      <c r="I163" s="2" t="s">
        <v>483</v>
      </c>
      <c r="J163" s="2" t="s">
        <v>536</v>
      </c>
      <c r="K163" s="2" t="s">
        <v>304</v>
      </c>
      <c r="L163" s="2" t="s">
        <v>100</v>
      </c>
      <c r="M163" s="8" t="str">
        <f>HYPERLINK("http://slimages.macys.com/is/image/MCY/13337374 ")</f>
        <v xml:space="preserve">http://slimages.macys.com/is/image/MCY/13337374 </v>
      </c>
    </row>
    <row r="164" spans="1:13" ht="60" x14ac:dyDescent="0.25">
      <c r="A164" s="7" t="s">
        <v>2243</v>
      </c>
      <c r="B164" s="2" t="s">
        <v>1236</v>
      </c>
      <c r="C164" s="4">
        <v>2</v>
      </c>
      <c r="D164" s="5">
        <v>2.65</v>
      </c>
      <c r="E164" s="5">
        <v>6.99</v>
      </c>
      <c r="F164" s="4" t="s">
        <v>1237</v>
      </c>
      <c r="G164" s="2" t="s">
        <v>41</v>
      </c>
      <c r="H164" s="7" t="s">
        <v>91</v>
      </c>
      <c r="I164" s="2" t="s">
        <v>483</v>
      </c>
      <c r="J164" s="2" t="s">
        <v>536</v>
      </c>
      <c r="K164" s="2" t="s">
        <v>304</v>
      </c>
      <c r="L164" s="2" t="s">
        <v>100</v>
      </c>
      <c r="M164" s="8" t="str">
        <f>HYPERLINK("http://slimages.macys.com/is/image/MCY/13337374 ")</f>
        <v xml:space="preserve">http://slimages.macys.com/is/image/MCY/13337374 </v>
      </c>
    </row>
    <row r="165" spans="1:13" ht="60" x14ac:dyDescent="0.25">
      <c r="A165" s="7" t="s">
        <v>2244</v>
      </c>
      <c r="B165" s="2" t="s">
        <v>1236</v>
      </c>
      <c r="C165" s="4">
        <v>3</v>
      </c>
      <c r="D165" s="5">
        <v>2.65</v>
      </c>
      <c r="E165" s="5">
        <v>6.99</v>
      </c>
      <c r="F165" s="4" t="s">
        <v>1237</v>
      </c>
      <c r="G165" s="2" t="s">
        <v>41</v>
      </c>
      <c r="H165" s="7" t="s">
        <v>590</v>
      </c>
      <c r="I165" s="2" t="s">
        <v>483</v>
      </c>
      <c r="J165" s="2" t="s">
        <v>536</v>
      </c>
      <c r="K165" s="2" t="s">
        <v>304</v>
      </c>
      <c r="L165" s="2" t="s">
        <v>100</v>
      </c>
      <c r="M165" s="8" t="str">
        <f>HYPERLINK("http://slimages.macys.com/is/image/MCY/13337374 ")</f>
        <v xml:space="preserve">http://slimages.macys.com/is/image/MCY/13337374 </v>
      </c>
    </row>
    <row r="166" spans="1:13" ht="60" x14ac:dyDescent="0.25">
      <c r="A166" s="7" t="s">
        <v>1235</v>
      </c>
      <c r="B166" s="2" t="s">
        <v>1236</v>
      </c>
      <c r="C166" s="4">
        <v>3</v>
      </c>
      <c r="D166" s="5">
        <v>2.65</v>
      </c>
      <c r="E166" s="5">
        <v>6.99</v>
      </c>
      <c r="F166" s="4" t="s">
        <v>1237</v>
      </c>
      <c r="G166" s="2" t="s">
        <v>41</v>
      </c>
      <c r="H166" s="7" t="s">
        <v>442</v>
      </c>
      <c r="I166" s="2" t="s">
        <v>483</v>
      </c>
      <c r="J166" s="2" t="s">
        <v>536</v>
      </c>
      <c r="K166" s="2" t="s">
        <v>304</v>
      </c>
      <c r="L166" s="2" t="s">
        <v>100</v>
      </c>
      <c r="M166" s="8" t="str">
        <f>HYPERLINK("http://slimages.macys.com/is/image/MCY/13337374 ")</f>
        <v xml:space="preserve">http://slimages.macys.com/is/image/MCY/13337374 </v>
      </c>
    </row>
    <row r="167" spans="1:13" ht="60" x14ac:dyDescent="0.25">
      <c r="A167" s="7" t="s">
        <v>6031</v>
      </c>
      <c r="B167" s="2" t="s">
        <v>6032</v>
      </c>
      <c r="C167" s="4">
        <v>2</v>
      </c>
      <c r="D167" s="5">
        <v>2.63</v>
      </c>
      <c r="E167" s="5">
        <v>6.99</v>
      </c>
      <c r="F167" s="4" t="s">
        <v>6033</v>
      </c>
      <c r="G167" s="2" t="s">
        <v>1265</v>
      </c>
      <c r="H167" s="7" t="s">
        <v>442</v>
      </c>
      <c r="I167" s="2" t="s">
        <v>483</v>
      </c>
      <c r="J167" s="2" t="s">
        <v>536</v>
      </c>
      <c r="K167" s="2" t="s">
        <v>304</v>
      </c>
      <c r="L167" s="2" t="s">
        <v>100</v>
      </c>
      <c r="M167" s="8" t="str">
        <f>HYPERLINK("http://slimages.macys.com/is/image/MCY/11378279 ")</f>
        <v xml:space="preserve">http://slimages.macys.com/is/image/MCY/11378279 </v>
      </c>
    </row>
    <row r="168" spans="1:13" ht="60" x14ac:dyDescent="0.25">
      <c r="A168" s="7" t="s">
        <v>6034</v>
      </c>
      <c r="B168" s="2" t="s">
        <v>6032</v>
      </c>
      <c r="C168" s="4">
        <v>2</v>
      </c>
      <c r="D168" s="5">
        <v>2.63</v>
      </c>
      <c r="E168" s="5">
        <v>6.99</v>
      </c>
      <c r="F168" s="4" t="s">
        <v>6033</v>
      </c>
      <c r="G168" s="2" t="s">
        <v>297</v>
      </c>
      <c r="H168" s="7" t="s">
        <v>42</v>
      </c>
      <c r="I168" s="2" t="s">
        <v>483</v>
      </c>
      <c r="J168" s="2" t="s">
        <v>536</v>
      </c>
      <c r="K168" s="2" t="s">
        <v>304</v>
      </c>
      <c r="L168" s="2" t="s">
        <v>100</v>
      </c>
      <c r="M168" s="8" t="str">
        <f>HYPERLINK("http://slimages.macys.com/is/image/MCY/11378313 ")</f>
        <v xml:space="preserve">http://slimages.macys.com/is/image/MCY/11378313 </v>
      </c>
    </row>
    <row r="169" spans="1:13" ht="60" x14ac:dyDescent="0.25">
      <c r="A169" s="7" t="s">
        <v>6035</v>
      </c>
      <c r="B169" s="2" t="s">
        <v>1246</v>
      </c>
      <c r="C169" s="4">
        <v>2</v>
      </c>
      <c r="D169" s="5">
        <v>2.62</v>
      </c>
      <c r="E169" s="5">
        <v>6.99</v>
      </c>
      <c r="F169" s="4" t="s">
        <v>1247</v>
      </c>
      <c r="G169" s="2" t="s">
        <v>41</v>
      </c>
      <c r="H169" s="7" t="s">
        <v>442</v>
      </c>
      <c r="I169" s="2" t="s">
        <v>483</v>
      </c>
      <c r="J169" s="2" t="s">
        <v>536</v>
      </c>
      <c r="K169" s="2" t="s">
        <v>304</v>
      </c>
      <c r="L169" s="2" t="s">
        <v>100</v>
      </c>
      <c r="M169" s="8" t="str">
        <f>HYPERLINK("http://slimages.macys.com/is/image/MCY/13337544 ")</f>
        <v xml:space="preserve">http://slimages.macys.com/is/image/MCY/13337544 </v>
      </c>
    </row>
    <row r="170" spans="1:13" ht="60" x14ac:dyDescent="0.25">
      <c r="A170" s="7" t="s">
        <v>5688</v>
      </c>
      <c r="B170" s="2" t="s">
        <v>1246</v>
      </c>
      <c r="C170" s="4">
        <v>5</v>
      </c>
      <c r="D170" s="5">
        <v>2.62</v>
      </c>
      <c r="E170" s="5">
        <v>6.99</v>
      </c>
      <c r="F170" s="4" t="s">
        <v>1247</v>
      </c>
      <c r="G170" s="2" t="s">
        <v>41</v>
      </c>
      <c r="H170" s="7" t="s">
        <v>91</v>
      </c>
      <c r="I170" s="2" t="s">
        <v>483</v>
      </c>
      <c r="J170" s="2" t="s">
        <v>536</v>
      </c>
      <c r="K170" s="2" t="s">
        <v>304</v>
      </c>
      <c r="L170" s="2" t="s">
        <v>100</v>
      </c>
      <c r="M170" s="8" t="str">
        <f>HYPERLINK("http://slimages.macys.com/is/image/MCY/13337544 ")</f>
        <v xml:space="preserve">http://slimages.macys.com/is/image/MCY/13337544 </v>
      </c>
    </row>
    <row r="171" spans="1:13" ht="60" x14ac:dyDescent="0.25">
      <c r="A171" s="7" t="s">
        <v>6036</v>
      </c>
      <c r="B171" s="2" t="s">
        <v>1246</v>
      </c>
      <c r="C171" s="4">
        <v>3</v>
      </c>
      <c r="D171" s="5">
        <v>2.62</v>
      </c>
      <c r="E171" s="5">
        <v>6.99</v>
      </c>
      <c r="F171" s="4" t="s">
        <v>1247</v>
      </c>
      <c r="G171" s="2" t="s">
        <v>41</v>
      </c>
      <c r="H171" s="7" t="s">
        <v>42</v>
      </c>
      <c r="I171" s="2" t="s">
        <v>483</v>
      </c>
      <c r="J171" s="2" t="s">
        <v>536</v>
      </c>
      <c r="K171" s="2" t="s">
        <v>304</v>
      </c>
      <c r="L171" s="2" t="s">
        <v>100</v>
      </c>
      <c r="M171" s="8" t="str">
        <f>HYPERLINK("http://slimages.macys.com/is/image/MCY/13337544 ")</f>
        <v xml:space="preserve">http://slimages.macys.com/is/image/MCY/13337544 </v>
      </c>
    </row>
    <row r="172" spans="1:13" ht="60" x14ac:dyDescent="0.25">
      <c r="A172" s="7" t="s">
        <v>6037</v>
      </c>
      <c r="B172" s="2" t="s">
        <v>2276</v>
      </c>
      <c r="C172" s="4">
        <v>1</v>
      </c>
      <c r="D172" s="5">
        <v>2.61</v>
      </c>
      <c r="E172" s="5">
        <v>6.99</v>
      </c>
      <c r="F172" s="4" t="s">
        <v>2277</v>
      </c>
      <c r="G172" s="2" t="s">
        <v>527</v>
      </c>
      <c r="H172" s="7" t="s">
        <v>42</v>
      </c>
      <c r="I172" s="2" t="s">
        <v>483</v>
      </c>
      <c r="J172" s="2" t="s">
        <v>536</v>
      </c>
      <c r="K172" s="2" t="s">
        <v>304</v>
      </c>
      <c r="L172" s="2" t="s">
        <v>206</v>
      </c>
      <c r="M172" s="8" t="str">
        <f>HYPERLINK("http://slimages.macys.com/is/image/MCY/13336562 ")</f>
        <v xml:space="preserve">http://slimages.macys.com/is/image/MCY/13336562 </v>
      </c>
    </row>
    <row r="173" spans="1:13" ht="60" x14ac:dyDescent="0.25">
      <c r="A173" s="7" t="s">
        <v>5082</v>
      </c>
      <c r="B173" s="2" t="s">
        <v>2276</v>
      </c>
      <c r="C173" s="4">
        <v>1</v>
      </c>
      <c r="D173" s="5">
        <v>2.61</v>
      </c>
      <c r="E173" s="5">
        <v>6.99</v>
      </c>
      <c r="F173" s="4" t="s">
        <v>2277</v>
      </c>
      <c r="G173" s="2" t="s">
        <v>527</v>
      </c>
      <c r="H173" s="7" t="s">
        <v>149</v>
      </c>
      <c r="I173" s="2" t="s">
        <v>483</v>
      </c>
      <c r="J173" s="2" t="s">
        <v>536</v>
      </c>
      <c r="K173" s="2" t="s">
        <v>304</v>
      </c>
      <c r="L173" s="2" t="s">
        <v>206</v>
      </c>
      <c r="M173" s="8" t="str">
        <f>HYPERLINK("http://slimages.macys.com/is/image/MCY/13336562 ")</f>
        <v xml:space="preserve">http://slimages.macys.com/is/image/MCY/13336562 </v>
      </c>
    </row>
    <row r="174" spans="1:13" ht="60" x14ac:dyDescent="0.25">
      <c r="A174" s="7" t="s">
        <v>6038</v>
      </c>
      <c r="B174" s="2" t="s">
        <v>6032</v>
      </c>
      <c r="C174" s="4">
        <v>1</v>
      </c>
      <c r="D174" s="5">
        <v>2.57</v>
      </c>
      <c r="E174" s="5">
        <v>6.99</v>
      </c>
      <c r="F174" s="4" t="s">
        <v>6033</v>
      </c>
      <c r="G174" s="2" t="s">
        <v>41</v>
      </c>
      <c r="H174" s="7" t="s">
        <v>149</v>
      </c>
      <c r="I174" s="2" t="s">
        <v>483</v>
      </c>
      <c r="J174" s="2" t="s">
        <v>536</v>
      </c>
      <c r="K174" s="2" t="s">
        <v>304</v>
      </c>
      <c r="L174" s="2" t="s">
        <v>100</v>
      </c>
      <c r="M174" s="8" t="str">
        <f>HYPERLINK("http://slimages.macys.com/is/image/MCY/11378313 ")</f>
        <v xml:space="preserve">http://slimages.macys.com/is/image/MCY/11378313 </v>
      </c>
    </row>
    <row r="175" spans="1:13" ht="60" x14ac:dyDescent="0.25">
      <c r="A175" s="7" t="s">
        <v>6039</v>
      </c>
      <c r="B175" s="2" t="s">
        <v>6032</v>
      </c>
      <c r="C175" s="4">
        <v>1</v>
      </c>
      <c r="D175" s="5">
        <v>2.57</v>
      </c>
      <c r="E175" s="5">
        <v>6.99</v>
      </c>
      <c r="F175" s="4" t="s">
        <v>6033</v>
      </c>
      <c r="G175" s="2" t="s">
        <v>297</v>
      </c>
      <c r="H175" s="7" t="s">
        <v>149</v>
      </c>
      <c r="I175" s="2" t="s">
        <v>483</v>
      </c>
      <c r="J175" s="2" t="s">
        <v>536</v>
      </c>
      <c r="K175" s="2" t="s">
        <v>304</v>
      </c>
      <c r="L175" s="2" t="s">
        <v>100</v>
      </c>
      <c r="M175" s="8" t="str">
        <f>HYPERLINK("http://slimages.macys.com/is/image/MCY/11378313 ")</f>
        <v xml:space="preserve">http://slimages.macys.com/is/image/MCY/11378313 </v>
      </c>
    </row>
    <row r="176" spans="1:13" ht="60" x14ac:dyDescent="0.25">
      <c r="A176" s="7" t="s">
        <v>6040</v>
      </c>
      <c r="B176" s="2" t="s">
        <v>6032</v>
      </c>
      <c r="C176" s="4">
        <v>1</v>
      </c>
      <c r="D176" s="5">
        <v>2.57</v>
      </c>
      <c r="E176" s="5">
        <v>6.99</v>
      </c>
      <c r="F176" s="4" t="s">
        <v>6033</v>
      </c>
      <c r="G176" s="2" t="s">
        <v>41</v>
      </c>
      <c r="H176" s="7" t="s">
        <v>590</v>
      </c>
      <c r="I176" s="2" t="s">
        <v>483</v>
      </c>
      <c r="J176" s="2" t="s">
        <v>536</v>
      </c>
      <c r="K176" s="2" t="s">
        <v>304</v>
      </c>
      <c r="L176" s="2" t="s">
        <v>100</v>
      </c>
      <c r="M176" s="8" t="str">
        <f>HYPERLINK("http://slimages.macys.com/is/image/MCY/11378313 ")</f>
        <v xml:space="preserve">http://slimages.macys.com/is/image/MCY/11378313 </v>
      </c>
    </row>
    <row r="177" spans="1:13" ht="60" x14ac:dyDescent="0.25">
      <c r="A177" s="7" t="s">
        <v>6041</v>
      </c>
      <c r="B177" s="2" t="s">
        <v>6032</v>
      </c>
      <c r="C177" s="4">
        <v>2</v>
      </c>
      <c r="D177" s="5">
        <v>2.57</v>
      </c>
      <c r="E177" s="5">
        <v>6.99</v>
      </c>
      <c r="F177" s="4" t="s">
        <v>6033</v>
      </c>
      <c r="G177" s="2" t="s">
        <v>41</v>
      </c>
      <c r="H177" s="7" t="s">
        <v>442</v>
      </c>
      <c r="I177" s="2" t="s">
        <v>483</v>
      </c>
      <c r="J177" s="2" t="s">
        <v>536</v>
      </c>
      <c r="K177" s="2" t="s">
        <v>304</v>
      </c>
      <c r="L177" s="2" t="s">
        <v>100</v>
      </c>
      <c r="M177" s="8" t="str">
        <f>HYPERLINK("http://slimages.macys.com/is/image/MCY/11378313 ")</f>
        <v xml:space="preserve">http://slimages.macys.com/is/image/MCY/11378313 </v>
      </c>
    </row>
    <row r="178" spans="1:13" ht="60" x14ac:dyDescent="0.25">
      <c r="A178" s="7" t="s">
        <v>6042</v>
      </c>
      <c r="B178" s="2" t="s">
        <v>4532</v>
      </c>
      <c r="C178" s="4">
        <v>1</v>
      </c>
      <c r="D178" s="5">
        <v>2.57</v>
      </c>
      <c r="E178" s="5">
        <v>6.99</v>
      </c>
      <c r="F178" s="4">
        <v>100021102</v>
      </c>
      <c r="G178" s="2" t="s">
        <v>793</v>
      </c>
      <c r="H178" s="7" t="s">
        <v>91</v>
      </c>
      <c r="I178" s="2" t="s">
        <v>483</v>
      </c>
      <c r="J178" s="2" t="s">
        <v>536</v>
      </c>
      <c r="K178" s="2" t="s">
        <v>304</v>
      </c>
      <c r="L178" s="2" t="s">
        <v>596</v>
      </c>
      <c r="M178" s="8" t="str">
        <f>HYPERLINK("http://slimages.macys.com/is/image/MCY/9648773 ")</f>
        <v xml:space="preserve">http://slimages.macys.com/is/image/MCY/9648773 </v>
      </c>
    </row>
    <row r="179" spans="1:13" ht="60" x14ac:dyDescent="0.25">
      <c r="A179" s="7" t="s">
        <v>6043</v>
      </c>
      <c r="B179" s="2" t="s">
        <v>6032</v>
      </c>
      <c r="C179" s="4">
        <v>3</v>
      </c>
      <c r="D179" s="5">
        <v>2.57</v>
      </c>
      <c r="E179" s="5">
        <v>6.99</v>
      </c>
      <c r="F179" s="4" t="s">
        <v>6033</v>
      </c>
      <c r="G179" s="2" t="s">
        <v>1265</v>
      </c>
      <c r="H179" s="7" t="s">
        <v>149</v>
      </c>
      <c r="I179" s="2" t="s">
        <v>483</v>
      </c>
      <c r="J179" s="2" t="s">
        <v>536</v>
      </c>
      <c r="K179" s="2" t="s">
        <v>304</v>
      </c>
      <c r="L179" s="2" t="s">
        <v>100</v>
      </c>
      <c r="M179" s="8" t="str">
        <f>HYPERLINK("http://slimages.macys.com/is/image/MCY/11378279 ")</f>
        <v xml:space="preserve">http://slimages.macys.com/is/image/MCY/11378279 </v>
      </c>
    </row>
    <row r="180" spans="1:13" ht="60" x14ac:dyDescent="0.25">
      <c r="A180" s="7" t="s">
        <v>6044</v>
      </c>
      <c r="B180" s="2" t="s">
        <v>6032</v>
      </c>
      <c r="C180" s="4">
        <v>1</v>
      </c>
      <c r="D180" s="5">
        <v>2.57</v>
      </c>
      <c r="E180" s="5">
        <v>6.99</v>
      </c>
      <c r="F180" s="4" t="s">
        <v>6033</v>
      </c>
      <c r="G180" s="2" t="s">
        <v>297</v>
      </c>
      <c r="H180" s="7" t="s">
        <v>590</v>
      </c>
      <c r="I180" s="2" t="s">
        <v>483</v>
      </c>
      <c r="J180" s="2" t="s">
        <v>536</v>
      </c>
      <c r="K180" s="2" t="s">
        <v>304</v>
      </c>
      <c r="L180" s="2" t="s">
        <v>100</v>
      </c>
      <c r="M180" s="8" t="str">
        <f>HYPERLINK("http://slimages.macys.com/is/image/MCY/11378313 ")</f>
        <v xml:space="preserve">http://slimages.macys.com/is/image/MCY/11378313 </v>
      </c>
    </row>
    <row r="181" spans="1:13" ht="60" x14ac:dyDescent="0.25">
      <c r="A181" s="7" t="s">
        <v>6045</v>
      </c>
      <c r="B181" s="2" t="s">
        <v>6032</v>
      </c>
      <c r="C181" s="4">
        <v>2</v>
      </c>
      <c r="D181" s="5">
        <v>2.57</v>
      </c>
      <c r="E181" s="5">
        <v>6.99</v>
      </c>
      <c r="F181" s="4" t="s">
        <v>6033</v>
      </c>
      <c r="G181" s="2" t="s">
        <v>62</v>
      </c>
      <c r="H181" s="7" t="s">
        <v>91</v>
      </c>
      <c r="I181" s="2" t="s">
        <v>483</v>
      </c>
      <c r="J181" s="2" t="s">
        <v>536</v>
      </c>
      <c r="K181" s="2" t="s">
        <v>304</v>
      </c>
      <c r="L181" s="2" t="s">
        <v>100</v>
      </c>
      <c r="M181" s="8" t="str">
        <f>HYPERLINK("http://slimages.macys.com/is/image/MCY/11378313 ")</f>
        <v xml:space="preserve">http://slimages.macys.com/is/image/MCY/11378313 </v>
      </c>
    </row>
    <row r="182" spans="1:13" ht="60" x14ac:dyDescent="0.25">
      <c r="A182" s="7" t="s">
        <v>6046</v>
      </c>
      <c r="B182" s="2" t="s">
        <v>6032</v>
      </c>
      <c r="C182" s="4">
        <v>1</v>
      </c>
      <c r="D182" s="5">
        <v>2.57</v>
      </c>
      <c r="E182" s="5">
        <v>6.99</v>
      </c>
      <c r="F182" s="4" t="s">
        <v>6033</v>
      </c>
      <c r="G182" s="2" t="s">
        <v>62</v>
      </c>
      <c r="H182" s="7" t="s">
        <v>42</v>
      </c>
      <c r="I182" s="2" t="s">
        <v>483</v>
      </c>
      <c r="J182" s="2" t="s">
        <v>536</v>
      </c>
      <c r="K182" s="2" t="s">
        <v>304</v>
      </c>
      <c r="L182" s="2" t="s">
        <v>100</v>
      </c>
      <c r="M182" s="8" t="str">
        <f>HYPERLINK("http://slimages.macys.com/is/image/MCY/11378313 ")</f>
        <v xml:space="preserve">http://slimages.macys.com/is/image/MCY/11378313 </v>
      </c>
    </row>
    <row r="183" spans="1:13" ht="60" x14ac:dyDescent="0.25">
      <c r="A183" s="7" t="s">
        <v>6047</v>
      </c>
      <c r="B183" s="2" t="s">
        <v>6032</v>
      </c>
      <c r="C183" s="4">
        <v>2</v>
      </c>
      <c r="D183" s="5">
        <v>2.57</v>
      </c>
      <c r="E183" s="5">
        <v>6.99</v>
      </c>
      <c r="F183" s="4" t="s">
        <v>6033</v>
      </c>
      <c r="G183" s="2" t="s">
        <v>297</v>
      </c>
      <c r="H183" s="7" t="s">
        <v>149</v>
      </c>
      <c r="I183" s="2" t="s">
        <v>483</v>
      </c>
      <c r="J183" s="2" t="s">
        <v>536</v>
      </c>
      <c r="K183" s="2" t="s">
        <v>304</v>
      </c>
      <c r="L183" s="2" t="s">
        <v>100</v>
      </c>
      <c r="M183" s="8" t="str">
        <f>HYPERLINK("http://slimages.macys.com/is/image/MCY/11378279 ")</f>
        <v xml:space="preserve">http://slimages.macys.com/is/image/MCY/11378279 </v>
      </c>
    </row>
    <row r="184" spans="1:13" ht="60" x14ac:dyDescent="0.25">
      <c r="A184" s="7" t="s">
        <v>6048</v>
      </c>
      <c r="B184" s="2" t="s">
        <v>6032</v>
      </c>
      <c r="C184" s="4">
        <v>2</v>
      </c>
      <c r="D184" s="5">
        <v>2.57</v>
      </c>
      <c r="E184" s="5">
        <v>6.99</v>
      </c>
      <c r="F184" s="4" t="s">
        <v>6033</v>
      </c>
      <c r="G184" s="2" t="s">
        <v>297</v>
      </c>
      <c r="H184" s="7" t="s">
        <v>42</v>
      </c>
      <c r="I184" s="2" t="s">
        <v>483</v>
      </c>
      <c r="J184" s="2" t="s">
        <v>536</v>
      </c>
      <c r="K184" s="2" t="s">
        <v>304</v>
      </c>
      <c r="L184" s="2" t="s">
        <v>100</v>
      </c>
      <c r="M184" s="8" t="str">
        <f>HYPERLINK("http://slimages.macys.com/is/image/MCY/11378279 ")</f>
        <v xml:space="preserve">http://slimages.macys.com/is/image/MCY/11378279 </v>
      </c>
    </row>
    <row r="185" spans="1:13" ht="60" x14ac:dyDescent="0.25">
      <c r="A185" s="7" t="s">
        <v>6049</v>
      </c>
      <c r="B185" s="2" t="s">
        <v>6032</v>
      </c>
      <c r="C185" s="4">
        <v>1</v>
      </c>
      <c r="D185" s="5">
        <v>2.57</v>
      </c>
      <c r="E185" s="5">
        <v>6.99</v>
      </c>
      <c r="F185" s="4" t="s">
        <v>6033</v>
      </c>
      <c r="G185" s="2" t="s">
        <v>41</v>
      </c>
      <c r="H185" s="7" t="s">
        <v>42</v>
      </c>
      <c r="I185" s="2" t="s">
        <v>483</v>
      </c>
      <c r="J185" s="2" t="s">
        <v>536</v>
      </c>
      <c r="K185" s="2" t="s">
        <v>304</v>
      </c>
      <c r="L185" s="2" t="s">
        <v>100</v>
      </c>
      <c r="M185" s="8" t="str">
        <f>HYPERLINK("http://slimages.macys.com/is/image/MCY/11378313 ")</f>
        <v xml:space="preserve">http://slimages.macys.com/is/image/MCY/11378313 </v>
      </c>
    </row>
    <row r="186" spans="1:13" ht="60" x14ac:dyDescent="0.25">
      <c r="A186" s="7" t="s">
        <v>6050</v>
      </c>
      <c r="B186" s="2" t="s">
        <v>6032</v>
      </c>
      <c r="C186" s="4">
        <v>1</v>
      </c>
      <c r="D186" s="5">
        <v>2.57</v>
      </c>
      <c r="E186" s="5">
        <v>6.99</v>
      </c>
      <c r="F186" s="4" t="s">
        <v>6033</v>
      </c>
      <c r="G186" s="2" t="s">
        <v>1265</v>
      </c>
      <c r="H186" s="7" t="s">
        <v>590</v>
      </c>
      <c r="I186" s="2" t="s">
        <v>483</v>
      </c>
      <c r="J186" s="2" t="s">
        <v>536</v>
      </c>
      <c r="K186" s="2" t="s">
        <v>304</v>
      </c>
      <c r="L186" s="2" t="s">
        <v>100</v>
      </c>
      <c r="M186" s="8" t="str">
        <f>HYPERLINK("http://slimages.macys.com/is/image/MCY/11378279 ")</f>
        <v xml:space="preserve">http://slimages.macys.com/is/image/MCY/11378279 </v>
      </c>
    </row>
    <row r="187" spans="1:13" ht="60" x14ac:dyDescent="0.25">
      <c r="A187" s="7" t="s">
        <v>6051</v>
      </c>
      <c r="B187" s="2" t="s">
        <v>6032</v>
      </c>
      <c r="C187" s="4">
        <v>5</v>
      </c>
      <c r="D187" s="5">
        <v>2.57</v>
      </c>
      <c r="E187" s="5">
        <v>6.99</v>
      </c>
      <c r="F187" s="4" t="s">
        <v>6033</v>
      </c>
      <c r="G187" s="2" t="s">
        <v>297</v>
      </c>
      <c r="H187" s="7" t="s">
        <v>91</v>
      </c>
      <c r="I187" s="2" t="s">
        <v>483</v>
      </c>
      <c r="J187" s="2" t="s">
        <v>536</v>
      </c>
      <c r="K187" s="2" t="s">
        <v>304</v>
      </c>
      <c r="L187" s="2" t="s">
        <v>100</v>
      </c>
      <c r="M187" s="8" t="str">
        <f>HYPERLINK("http://slimages.macys.com/is/image/MCY/11378279 ")</f>
        <v xml:space="preserve">http://slimages.macys.com/is/image/MCY/11378279 </v>
      </c>
    </row>
    <row r="188" spans="1:13" ht="60" x14ac:dyDescent="0.25">
      <c r="A188" s="7" t="s">
        <v>6052</v>
      </c>
      <c r="B188" s="2" t="s">
        <v>6032</v>
      </c>
      <c r="C188" s="4">
        <v>1</v>
      </c>
      <c r="D188" s="5">
        <v>2.57</v>
      </c>
      <c r="E188" s="5">
        <v>6.99</v>
      </c>
      <c r="F188" s="4" t="s">
        <v>6033</v>
      </c>
      <c r="G188" s="2" t="s">
        <v>1265</v>
      </c>
      <c r="H188" s="7" t="s">
        <v>42</v>
      </c>
      <c r="I188" s="2" t="s">
        <v>483</v>
      </c>
      <c r="J188" s="2" t="s">
        <v>536</v>
      </c>
      <c r="K188" s="2" t="s">
        <v>304</v>
      </c>
      <c r="L188" s="2" t="s">
        <v>100</v>
      </c>
      <c r="M188" s="8" t="str">
        <f>HYPERLINK("http://slimages.macys.com/is/image/MCY/11378279 ")</f>
        <v xml:space="preserve">http://slimages.macys.com/is/image/MCY/11378279 </v>
      </c>
    </row>
    <row r="189" spans="1:13" ht="60" x14ac:dyDescent="0.25">
      <c r="A189" s="7" t="s">
        <v>6053</v>
      </c>
      <c r="B189" s="2" t="s">
        <v>6032</v>
      </c>
      <c r="C189" s="4">
        <v>1</v>
      </c>
      <c r="D189" s="5">
        <v>2.57</v>
      </c>
      <c r="E189" s="5">
        <v>6.99</v>
      </c>
      <c r="F189" s="4" t="s">
        <v>6033</v>
      </c>
      <c r="G189" s="2" t="s">
        <v>171</v>
      </c>
      <c r="H189" s="7" t="s">
        <v>442</v>
      </c>
      <c r="I189" s="2" t="s">
        <v>483</v>
      </c>
      <c r="J189" s="2" t="s">
        <v>536</v>
      </c>
      <c r="K189" s="2" t="s">
        <v>304</v>
      </c>
      <c r="L189" s="2" t="s">
        <v>100</v>
      </c>
      <c r="M189" s="8" t="str">
        <f>HYPERLINK("http://slimages.macys.com/is/image/MCY/11378313 ")</f>
        <v xml:space="preserve">http://slimages.macys.com/is/image/MCY/11378313 </v>
      </c>
    </row>
    <row r="190" spans="1:13" ht="60" x14ac:dyDescent="0.25">
      <c r="A190" s="7" t="s">
        <v>6054</v>
      </c>
      <c r="B190" s="2" t="s">
        <v>6032</v>
      </c>
      <c r="C190" s="4">
        <v>2</v>
      </c>
      <c r="D190" s="5">
        <v>2.57</v>
      </c>
      <c r="E190" s="5">
        <v>6.99</v>
      </c>
      <c r="F190" s="4" t="s">
        <v>6033</v>
      </c>
      <c r="G190" s="2" t="s">
        <v>297</v>
      </c>
      <c r="H190" s="7" t="s">
        <v>442</v>
      </c>
      <c r="I190" s="2" t="s">
        <v>483</v>
      </c>
      <c r="J190" s="2" t="s">
        <v>536</v>
      </c>
      <c r="K190" s="2" t="s">
        <v>304</v>
      </c>
      <c r="L190" s="2" t="s">
        <v>100</v>
      </c>
      <c r="M190" s="8" t="str">
        <f>HYPERLINK("http://slimages.macys.com/is/image/MCY/11378279 ")</f>
        <v xml:space="preserve">http://slimages.macys.com/is/image/MCY/11378279 </v>
      </c>
    </row>
    <row r="191" spans="1:13" ht="60" x14ac:dyDescent="0.25">
      <c r="A191" s="7" t="s">
        <v>6055</v>
      </c>
      <c r="B191" s="2" t="s">
        <v>6032</v>
      </c>
      <c r="C191" s="4">
        <v>5</v>
      </c>
      <c r="D191" s="5">
        <v>2.57</v>
      </c>
      <c r="E191" s="5">
        <v>6.99</v>
      </c>
      <c r="F191" s="4" t="s">
        <v>6033</v>
      </c>
      <c r="G191" s="2" t="s">
        <v>1265</v>
      </c>
      <c r="H191" s="7" t="s">
        <v>91</v>
      </c>
      <c r="I191" s="2" t="s">
        <v>483</v>
      </c>
      <c r="J191" s="2" t="s">
        <v>536</v>
      </c>
      <c r="K191" s="2" t="s">
        <v>304</v>
      </c>
      <c r="L191" s="2" t="s">
        <v>100</v>
      </c>
      <c r="M191" s="8" t="str">
        <f>HYPERLINK("http://slimages.macys.com/is/image/MCY/11378279 ")</f>
        <v xml:space="preserve">http://slimages.macys.com/is/image/MCY/11378279 </v>
      </c>
    </row>
    <row r="192" spans="1:13" ht="60" x14ac:dyDescent="0.25">
      <c r="A192" s="7" t="s">
        <v>6056</v>
      </c>
      <c r="B192" s="2" t="s">
        <v>6032</v>
      </c>
      <c r="C192" s="4">
        <v>1</v>
      </c>
      <c r="D192" s="5">
        <v>2.57</v>
      </c>
      <c r="E192" s="5">
        <v>6.99</v>
      </c>
      <c r="F192" s="4" t="s">
        <v>6033</v>
      </c>
      <c r="G192" s="2" t="s">
        <v>297</v>
      </c>
      <c r="H192" s="7" t="s">
        <v>442</v>
      </c>
      <c r="I192" s="2" t="s">
        <v>483</v>
      </c>
      <c r="J192" s="2" t="s">
        <v>536</v>
      </c>
      <c r="K192" s="2" t="s">
        <v>304</v>
      </c>
      <c r="L192" s="2" t="s">
        <v>100</v>
      </c>
      <c r="M192" s="8" t="str">
        <f>HYPERLINK("http://slimages.macys.com/is/image/MCY/11378313 ")</f>
        <v xml:space="preserve">http://slimages.macys.com/is/image/MCY/11378313 </v>
      </c>
    </row>
    <row r="193" spans="1:13" ht="60" x14ac:dyDescent="0.25">
      <c r="A193" s="7" t="s">
        <v>6057</v>
      </c>
      <c r="B193" s="2" t="s">
        <v>6032</v>
      </c>
      <c r="C193" s="4">
        <v>2</v>
      </c>
      <c r="D193" s="5">
        <v>2.57</v>
      </c>
      <c r="E193" s="5">
        <v>6.99</v>
      </c>
      <c r="F193" s="4" t="s">
        <v>6033</v>
      </c>
      <c r="G193" s="2" t="s">
        <v>297</v>
      </c>
      <c r="H193" s="7" t="s">
        <v>590</v>
      </c>
      <c r="I193" s="2" t="s">
        <v>483</v>
      </c>
      <c r="J193" s="2" t="s">
        <v>536</v>
      </c>
      <c r="K193" s="2" t="s">
        <v>304</v>
      </c>
      <c r="L193" s="2" t="s">
        <v>100</v>
      </c>
      <c r="M193" s="8" t="str">
        <f>HYPERLINK("http://slimages.macys.com/is/image/MCY/11378279 ")</f>
        <v xml:space="preserve">http://slimages.macys.com/is/image/MCY/11378279 </v>
      </c>
    </row>
    <row r="194" spans="1:13" ht="60" x14ac:dyDescent="0.25">
      <c r="A194" s="7" t="s">
        <v>6058</v>
      </c>
      <c r="B194" s="2" t="s">
        <v>1260</v>
      </c>
      <c r="C194" s="4">
        <v>2</v>
      </c>
      <c r="D194" s="5">
        <v>2.56</v>
      </c>
      <c r="E194" s="5">
        <v>6.99</v>
      </c>
      <c r="F194" s="4" t="s">
        <v>1261</v>
      </c>
      <c r="G194" s="2" t="s">
        <v>86</v>
      </c>
      <c r="H194" s="7" t="s">
        <v>149</v>
      </c>
      <c r="I194" s="2" t="s">
        <v>483</v>
      </c>
      <c r="J194" s="2" t="s">
        <v>536</v>
      </c>
      <c r="K194" s="2" t="s">
        <v>304</v>
      </c>
      <c r="L194" s="2" t="s">
        <v>100</v>
      </c>
      <c r="M194" s="8" t="str">
        <f t="shared" ref="M194:M199" si="0">HYPERLINK("http://slimages.macys.com/is/image/MCY/11779082 ")</f>
        <v xml:space="preserve">http://slimages.macys.com/is/image/MCY/11779082 </v>
      </c>
    </row>
    <row r="195" spans="1:13" ht="60" x14ac:dyDescent="0.25">
      <c r="A195" s="7" t="s">
        <v>6059</v>
      </c>
      <c r="B195" s="2" t="s">
        <v>1260</v>
      </c>
      <c r="C195" s="4">
        <v>1</v>
      </c>
      <c r="D195" s="5">
        <v>2.56</v>
      </c>
      <c r="E195" s="5">
        <v>6.99</v>
      </c>
      <c r="F195" s="4" t="s">
        <v>1261</v>
      </c>
      <c r="G195" s="2" t="s">
        <v>86</v>
      </c>
      <c r="H195" s="7" t="s">
        <v>442</v>
      </c>
      <c r="I195" s="2" t="s">
        <v>483</v>
      </c>
      <c r="J195" s="2" t="s">
        <v>536</v>
      </c>
      <c r="K195" s="2" t="s">
        <v>304</v>
      </c>
      <c r="L195" s="2" t="s">
        <v>100</v>
      </c>
      <c r="M195" s="8" t="str">
        <f t="shared" si="0"/>
        <v xml:space="preserve">http://slimages.macys.com/is/image/MCY/11779082 </v>
      </c>
    </row>
    <row r="196" spans="1:13" ht="60" x14ac:dyDescent="0.25">
      <c r="A196" s="7" t="s">
        <v>6060</v>
      </c>
      <c r="B196" s="2" t="s">
        <v>1260</v>
      </c>
      <c r="C196" s="4">
        <v>1</v>
      </c>
      <c r="D196" s="5">
        <v>2.56</v>
      </c>
      <c r="E196" s="5">
        <v>6.99</v>
      </c>
      <c r="F196" s="4" t="s">
        <v>1261</v>
      </c>
      <c r="G196" s="2" t="s">
        <v>86</v>
      </c>
      <c r="H196" s="7" t="s">
        <v>91</v>
      </c>
      <c r="I196" s="2" t="s">
        <v>483</v>
      </c>
      <c r="J196" s="2" t="s">
        <v>536</v>
      </c>
      <c r="K196" s="2" t="s">
        <v>304</v>
      </c>
      <c r="L196" s="2" t="s">
        <v>100</v>
      </c>
      <c r="M196" s="8" t="str">
        <f t="shared" si="0"/>
        <v xml:space="preserve">http://slimages.macys.com/is/image/MCY/11779082 </v>
      </c>
    </row>
    <row r="197" spans="1:13" ht="60" x14ac:dyDescent="0.25">
      <c r="A197" s="7" t="s">
        <v>6061</v>
      </c>
      <c r="B197" s="2" t="s">
        <v>1260</v>
      </c>
      <c r="C197" s="4">
        <v>1</v>
      </c>
      <c r="D197" s="5">
        <v>2.56</v>
      </c>
      <c r="E197" s="5">
        <v>6.99</v>
      </c>
      <c r="F197" s="4" t="s">
        <v>1261</v>
      </c>
      <c r="G197" s="2" t="s">
        <v>2107</v>
      </c>
      <c r="H197" s="7" t="s">
        <v>91</v>
      </c>
      <c r="I197" s="2" t="s">
        <v>483</v>
      </c>
      <c r="J197" s="2" t="s">
        <v>536</v>
      </c>
      <c r="K197" s="2" t="s">
        <v>304</v>
      </c>
      <c r="L197" s="2" t="s">
        <v>100</v>
      </c>
      <c r="M197" s="8" t="str">
        <f t="shared" si="0"/>
        <v xml:space="preserve">http://slimages.macys.com/is/image/MCY/11779082 </v>
      </c>
    </row>
    <row r="198" spans="1:13" ht="60" x14ac:dyDescent="0.25">
      <c r="A198" s="7" t="s">
        <v>6062</v>
      </c>
      <c r="B198" s="2" t="s">
        <v>1260</v>
      </c>
      <c r="C198" s="4">
        <v>1</v>
      </c>
      <c r="D198" s="5">
        <v>2.56</v>
      </c>
      <c r="E198" s="5">
        <v>6.99</v>
      </c>
      <c r="F198" s="4" t="s">
        <v>1261</v>
      </c>
      <c r="G198" s="2" t="s">
        <v>41</v>
      </c>
      <c r="H198" s="7" t="s">
        <v>442</v>
      </c>
      <c r="I198" s="2" t="s">
        <v>483</v>
      </c>
      <c r="J198" s="2" t="s">
        <v>536</v>
      </c>
      <c r="K198" s="2" t="s">
        <v>304</v>
      </c>
      <c r="L198" s="2" t="s">
        <v>100</v>
      </c>
      <c r="M198" s="8" t="str">
        <f t="shared" si="0"/>
        <v xml:space="preserve">http://slimages.macys.com/is/image/MCY/11779082 </v>
      </c>
    </row>
    <row r="199" spans="1:13" ht="60" x14ac:dyDescent="0.25">
      <c r="A199" s="7" t="s">
        <v>6063</v>
      </c>
      <c r="B199" s="2" t="s">
        <v>1260</v>
      </c>
      <c r="C199" s="4">
        <v>1</v>
      </c>
      <c r="D199" s="5">
        <v>2.56</v>
      </c>
      <c r="E199" s="5">
        <v>6.99</v>
      </c>
      <c r="F199" s="4" t="s">
        <v>1261</v>
      </c>
      <c r="G199" s="2" t="s">
        <v>86</v>
      </c>
      <c r="H199" s="7" t="s">
        <v>590</v>
      </c>
      <c r="I199" s="2" t="s">
        <v>483</v>
      </c>
      <c r="J199" s="2" t="s">
        <v>536</v>
      </c>
      <c r="K199" s="2" t="s">
        <v>304</v>
      </c>
      <c r="L199" s="2" t="s">
        <v>100</v>
      </c>
      <c r="M199" s="8" t="str">
        <f t="shared" si="0"/>
        <v xml:space="preserve">http://slimages.macys.com/is/image/MCY/11779082 </v>
      </c>
    </row>
    <row r="200" spans="1:13" ht="60" x14ac:dyDescent="0.25">
      <c r="A200" s="7" t="s">
        <v>6064</v>
      </c>
      <c r="B200" s="2" t="s">
        <v>2283</v>
      </c>
      <c r="C200" s="4">
        <v>5</v>
      </c>
      <c r="D200" s="5">
        <v>2.5499999999999998</v>
      </c>
      <c r="E200" s="5">
        <v>5.99</v>
      </c>
      <c r="F200" s="4" t="s">
        <v>2284</v>
      </c>
      <c r="G200" s="2" t="s">
        <v>86</v>
      </c>
      <c r="H200" s="7" t="s">
        <v>42</v>
      </c>
      <c r="I200" s="2" t="s">
        <v>483</v>
      </c>
      <c r="J200" s="2" t="s">
        <v>536</v>
      </c>
      <c r="K200" s="2" t="s">
        <v>304</v>
      </c>
      <c r="L200" s="2" t="s">
        <v>206</v>
      </c>
      <c r="M200" s="8" t="str">
        <f>HYPERLINK("http://slimages.macys.com/is/image/MCY/11436902 ")</f>
        <v xml:space="preserve">http://slimages.macys.com/is/image/MCY/11436902 </v>
      </c>
    </row>
    <row r="201" spans="1:13" ht="60" x14ac:dyDescent="0.25">
      <c r="A201" s="7" t="s">
        <v>2288</v>
      </c>
      <c r="B201" s="2" t="s">
        <v>2283</v>
      </c>
      <c r="C201" s="4">
        <v>2</v>
      </c>
      <c r="D201" s="5">
        <v>2.5499999999999998</v>
      </c>
      <c r="E201" s="5">
        <v>5.99</v>
      </c>
      <c r="F201" s="4" t="s">
        <v>2284</v>
      </c>
      <c r="G201" s="2" t="s">
        <v>86</v>
      </c>
      <c r="H201" s="7" t="s">
        <v>442</v>
      </c>
      <c r="I201" s="2" t="s">
        <v>483</v>
      </c>
      <c r="J201" s="2" t="s">
        <v>536</v>
      </c>
      <c r="K201" s="2" t="s">
        <v>304</v>
      </c>
      <c r="L201" s="2" t="s">
        <v>206</v>
      </c>
      <c r="M201" s="8" t="str">
        <f>HYPERLINK("http://slimages.macys.com/is/image/MCY/11436902 ")</f>
        <v xml:space="preserve">http://slimages.macys.com/is/image/MCY/11436902 </v>
      </c>
    </row>
    <row r="202" spans="1:13" ht="60" x14ac:dyDescent="0.25">
      <c r="A202" s="7" t="s">
        <v>6065</v>
      </c>
      <c r="B202" s="2" t="s">
        <v>2283</v>
      </c>
      <c r="C202" s="4">
        <v>4</v>
      </c>
      <c r="D202" s="5">
        <v>2.5499999999999998</v>
      </c>
      <c r="E202" s="5">
        <v>5.99</v>
      </c>
      <c r="F202" s="4" t="s">
        <v>2284</v>
      </c>
      <c r="G202" s="2" t="s">
        <v>86</v>
      </c>
      <c r="H202" s="7" t="s">
        <v>91</v>
      </c>
      <c r="I202" s="2" t="s">
        <v>483</v>
      </c>
      <c r="J202" s="2" t="s">
        <v>536</v>
      </c>
      <c r="K202" s="2" t="s">
        <v>304</v>
      </c>
      <c r="L202" s="2" t="s">
        <v>206</v>
      </c>
      <c r="M202" s="8" t="str">
        <f>HYPERLINK("http://slimages.macys.com/is/image/MCY/11436902 ")</f>
        <v xml:space="preserve">http://slimages.macys.com/is/image/MCY/11436902 </v>
      </c>
    </row>
    <row r="203" spans="1:13" ht="60" x14ac:dyDescent="0.25">
      <c r="A203" s="7" t="s">
        <v>6066</v>
      </c>
      <c r="B203" s="2" t="s">
        <v>2283</v>
      </c>
      <c r="C203" s="4">
        <v>2</v>
      </c>
      <c r="D203" s="5">
        <v>2.5499999999999998</v>
      </c>
      <c r="E203" s="5">
        <v>5.99</v>
      </c>
      <c r="F203" s="4" t="s">
        <v>2284</v>
      </c>
      <c r="G203" s="2" t="s">
        <v>86</v>
      </c>
      <c r="H203" s="7" t="s">
        <v>590</v>
      </c>
      <c r="I203" s="2" t="s">
        <v>483</v>
      </c>
      <c r="J203" s="2" t="s">
        <v>536</v>
      </c>
      <c r="K203" s="2" t="s">
        <v>304</v>
      </c>
      <c r="L203" s="2" t="s">
        <v>206</v>
      </c>
      <c r="M203" s="8" t="str">
        <f>HYPERLINK("http://slimages.macys.com/is/image/MCY/11436902 ")</f>
        <v xml:space="preserve">http://slimages.macys.com/is/image/MCY/11436902 </v>
      </c>
    </row>
    <row r="204" spans="1:13" ht="60" x14ac:dyDescent="0.25">
      <c r="A204" s="7" t="s">
        <v>2282</v>
      </c>
      <c r="B204" s="2" t="s">
        <v>2283</v>
      </c>
      <c r="C204" s="4">
        <v>1</v>
      </c>
      <c r="D204" s="5">
        <v>2.5499999999999998</v>
      </c>
      <c r="E204" s="5">
        <v>5.99</v>
      </c>
      <c r="F204" s="4" t="s">
        <v>2284</v>
      </c>
      <c r="G204" s="2" t="s">
        <v>86</v>
      </c>
      <c r="H204" s="7" t="s">
        <v>149</v>
      </c>
      <c r="I204" s="2" t="s">
        <v>483</v>
      </c>
      <c r="J204" s="2" t="s">
        <v>536</v>
      </c>
      <c r="K204" s="2" t="s">
        <v>304</v>
      </c>
      <c r="L204" s="2" t="s">
        <v>206</v>
      </c>
      <c r="M204" s="8" t="str">
        <f>HYPERLINK("http://slimages.macys.com/is/image/MCY/11436902 ")</f>
        <v xml:space="preserve">http://slimages.macys.com/is/image/MCY/11436902 </v>
      </c>
    </row>
    <row r="205" spans="1:13" ht="60" x14ac:dyDescent="0.25">
      <c r="A205" s="7" t="s">
        <v>6067</v>
      </c>
      <c r="B205" s="2" t="s">
        <v>5710</v>
      </c>
      <c r="C205" s="4">
        <v>1</v>
      </c>
      <c r="D205" s="5">
        <v>2.54</v>
      </c>
      <c r="E205" s="5">
        <v>6.99</v>
      </c>
      <c r="F205" s="4">
        <v>10005487500</v>
      </c>
      <c r="G205" s="2" t="s">
        <v>1360</v>
      </c>
      <c r="H205" s="7" t="s">
        <v>149</v>
      </c>
      <c r="I205" s="2" t="s">
        <v>483</v>
      </c>
      <c r="J205" s="2" t="s">
        <v>536</v>
      </c>
      <c r="K205" s="2" t="s">
        <v>304</v>
      </c>
      <c r="L205" s="2" t="s">
        <v>38</v>
      </c>
      <c r="M205" s="8" t="str">
        <f>HYPERLINK("http://slimages.macys.com/is/image/MCY/12466277 ")</f>
        <v xml:space="preserve">http://slimages.macys.com/is/image/MCY/12466277 </v>
      </c>
    </row>
    <row r="206" spans="1:13" ht="60" x14ac:dyDescent="0.25">
      <c r="A206" s="7" t="s">
        <v>6068</v>
      </c>
      <c r="B206" s="2" t="s">
        <v>1260</v>
      </c>
      <c r="C206" s="4">
        <v>1</v>
      </c>
      <c r="D206" s="5">
        <v>2.5299999999999998</v>
      </c>
      <c r="E206" s="5">
        <v>6.99</v>
      </c>
      <c r="F206" s="4" t="s">
        <v>1261</v>
      </c>
      <c r="G206" s="2" t="s">
        <v>1265</v>
      </c>
      <c r="H206" s="7" t="s">
        <v>149</v>
      </c>
      <c r="I206" s="2" t="s">
        <v>483</v>
      </c>
      <c r="J206" s="2" t="s">
        <v>536</v>
      </c>
      <c r="K206" s="2" t="s">
        <v>304</v>
      </c>
      <c r="L206" s="2" t="s">
        <v>100</v>
      </c>
      <c r="M206" s="8" t="str">
        <f>HYPERLINK("http://slimages.macys.com/is/image/MCY/11779082 ")</f>
        <v xml:space="preserve">http://slimages.macys.com/is/image/MCY/11779082 </v>
      </c>
    </row>
    <row r="207" spans="1:13" ht="60" x14ac:dyDescent="0.25">
      <c r="A207" s="7" t="s">
        <v>6069</v>
      </c>
      <c r="B207" s="2" t="s">
        <v>1260</v>
      </c>
      <c r="C207" s="4">
        <v>4</v>
      </c>
      <c r="D207" s="5">
        <v>2.5299999999999998</v>
      </c>
      <c r="E207" s="5">
        <v>6.99</v>
      </c>
      <c r="F207" s="4" t="s">
        <v>1261</v>
      </c>
      <c r="G207" s="2" t="s">
        <v>2107</v>
      </c>
      <c r="H207" s="7" t="s">
        <v>590</v>
      </c>
      <c r="I207" s="2" t="s">
        <v>483</v>
      </c>
      <c r="J207" s="2" t="s">
        <v>536</v>
      </c>
      <c r="K207" s="2" t="s">
        <v>304</v>
      </c>
      <c r="L207" s="2" t="s">
        <v>100</v>
      </c>
      <c r="M207" s="8" t="str">
        <f>HYPERLINK("http://slimages.macys.com/is/image/MCY/11779082 ")</f>
        <v xml:space="preserve">http://slimages.macys.com/is/image/MCY/11779082 </v>
      </c>
    </row>
    <row r="208" spans="1:13" ht="60" x14ac:dyDescent="0.25">
      <c r="A208" s="7" t="s">
        <v>6070</v>
      </c>
      <c r="B208" s="2" t="s">
        <v>1260</v>
      </c>
      <c r="C208" s="4">
        <v>1</v>
      </c>
      <c r="D208" s="5">
        <v>2.5299999999999998</v>
      </c>
      <c r="E208" s="5">
        <v>6.99</v>
      </c>
      <c r="F208" s="4" t="s">
        <v>1261</v>
      </c>
      <c r="G208" s="2" t="s">
        <v>2107</v>
      </c>
      <c r="H208" s="7" t="s">
        <v>149</v>
      </c>
      <c r="I208" s="2" t="s">
        <v>483</v>
      </c>
      <c r="J208" s="2" t="s">
        <v>536</v>
      </c>
      <c r="K208" s="2" t="s">
        <v>304</v>
      </c>
      <c r="L208" s="2" t="s">
        <v>100</v>
      </c>
      <c r="M208" s="8" t="str">
        <f>HYPERLINK("http://slimages.macys.com/is/image/MCY/11779082 ")</f>
        <v xml:space="preserve">http://slimages.macys.com/is/image/MCY/11779082 </v>
      </c>
    </row>
    <row r="209" spans="1:13" ht="60" x14ac:dyDescent="0.25">
      <c r="A209" s="7" t="s">
        <v>6071</v>
      </c>
      <c r="B209" s="2" t="s">
        <v>6072</v>
      </c>
      <c r="C209" s="4">
        <v>1</v>
      </c>
      <c r="D209" s="5">
        <v>2.52</v>
      </c>
      <c r="E209" s="5">
        <v>7.99</v>
      </c>
      <c r="F209" s="4">
        <v>10005378700</v>
      </c>
      <c r="G209" s="2" t="s">
        <v>582</v>
      </c>
      <c r="H209" s="7" t="s">
        <v>482</v>
      </c>
      <c r="I209" s="2" t="s">
        <v>483</v>
      </c>
      <c r="J209" s="2" t="s">
        <v>536</v>
      </c>
      <c r="K209" s="2" t="s">
        <v>304</v>
      </c>
      <c r="L209" s="2" t="s">
        <v>100</v>
      </c>
      <c r="M209" s="8" t="str">
        <f>HYPERLINK("http://slimages.macys.com/is/image/MCY/12466219 ")</f>
        <v xml:space="preserve">http://slimages.macys.com/is/image/MCY/12466219 </v>
      </c>
    </row>
    <row r="210" spans="1:13" ht="60" x14ac:dyDescent="0.25">
      <c r="A210" s="7" t="s">
        <v>6073</v>
      </c>
      <c r="B210" s="2" t="s">
        <v>6072</v>
      </c>
      <c r="C210" s="4">
        <v>1</v>
      </c>
      <c r="D210" s="5">
        <v>2.52</v>
      </c>
      <c r="E210" s="5">
        <v>7.99</v>
      </c>
      <c r="F210" s="4">
        <v>10005378700</v>
      </c>
      <c r="G210" s="2" t="s">
        <v>582</v>
      </c>
      <c r="H210" s="7" t="s">
        <v>590</v>
      </c>
      <c r="I210" s="2" t="s">
        <v>483</v>
      </c>
      <c r="J210" s="2" t="s">
        <v>536</v>
      </c>
      <c r="K210" s="2" t="s">
        <v>304</v>
      </c>
      <c r="L210" s="2" t="s">
        <v>100</v>
      </c>
      <c r="M210" s="8" t="str">
        <f>HYPERLINK("http://slimages.macys.com/is/image/MCY/12466219 ")</f>
        <v xml:space="preserve">http://slimages.macys.com/is/image/MCY/12466219 </v>
      </c>
    </row>
    <row r="211" spans="1:13" ht="60" x14ac:dyDescent="0.25">
      <c r="A211" s="7" t="s">
        <v>2294</v>
      </c>
      <c r="B211" s="2" t="s">
        <v>2295</v>
      </c>
      <c r="C211" s="4">
        <v>3</v>
      </c>
      <c r="D211" s="5">
        <v>2.5099999999999998</v>
      </c>
      <c r="E211" s="5">
        <v>5.99</v>
      </c>
      <c r="F211" s="4" t="s">
        <v>2296</v>
      </c>
      <c r="G211" s="2" t="s">
        <v>28</v>
      </c>
      <c r="H211" s="7" t="s">
        <v>590</v>
      </c>
      <c r="I211" s="2" t="s">
        <v>483</v>
      </c>
      <c r="J211" s="2" t="s">
        <v>536</v>
      </c>
      <c r="K211" s="2" t="s">
        <v>304</v>
      </c>
      <c r="L211" s="2" t="s">
        <v>119</v>
      </c>
      <c r="M211" s="8" t="str">
        <f>HYPERLINK("http://slimages.macys.com/is/image/MCY/11436914 ")</f>
        <v xml:space="preserve">http://slimages.macys.com/is/image/MCY/11436914 </v>
      </c>
    </row>
    <row r="212" spans="1:13" ht="60" x14ac:dyDescent="0.25">
      <c r="A212" s="7" t="s">
        <v>6074</v>
      </c>
      <c r="B212" s="2" t="s">
        <v>2295</v>
      </c>
      <c r="C212" s="4">
        <v>2</v>
      </c>
      <c r="D212" s="5">
        <v>2.5099999999999998</v>
      </c>
      <c r="E212" s="5">
        <v>5.99</v>
      </c>
      <c r="F212" s="4" t="s">
        <v>2296</v>
      </c>
      <c r="G212" s="2" t="s">
        <v>28</v>
      </c>
      <c r="H212" s="7" t="s">
        <v>42</v>
      </c>
      <c r="I212" s="2" t="s">
        <v>483</v>
      </c>
      <c r="J212" s="2" t="s">
        <v>536</v>
      </c>
      <c r="K212" s="2" t="s">
        <v>304</v>
      </c>
      <c r="L212" s="2" t="s">
        <v>119</v>
      </c>
      <c r="M212" s="8" t="str">
        <f>HYPERLINK("http://slimages.macys.com/is/image/MCY/11436914 ")</f>
        <v xml:space="preserve">http://slimages.macys.com/is/image/MCY/11436914 </v>
      </c>
    </row>
    <row r="213" spans="1:13" ht="60" x14ac:dyDescent="0.25">
      <c r="A213" s="7" t="s">
        <v>6075</v>
      </c>
      <c r="B213" s="2" t="s">
        <v>2295</v>
      </c>
      <c r="C213" s="4">
        <v>2</v>
      </c>
      <c r="D213" s="5">
        <v>2.5099999999999998</v>
      </c>
      <c r="E213" s="5">
        <v>5.99</v>
      </c>
      <c r="F213" s="4" t="s">
        <v>2296</v>
      </c>
      <c r="G213" s="2" t="s">
        <v>28</v>
      </c>
      <c r="H213" s="7" t="s">
        <v>442</v>
      </c>
      <c r="I213" s="2" t="s">
        <v>483</v>
      </c>
      <c r="J213" s="2" t="s">
        <v>536</v>
      </c>
      <c r="K213" s="2" t="s">
        <v>304</v>
      </c>
      <c r="L213" s="2" t="s">
        <v>119</v>
      </c>
      <c r="M213" s="8" t="str">
        <f>HYPERLINK("http://slimages.macys.com/is/image/MCY/11436914 ")</f>
        <v xml:space="preserve">http://slimages.macys.com/is/image/MCY/11436914 </v>
      </c>
    </row>
    <row r="214" spans="1:13" ht="60" x14ac:dyDescent="0.25">
      <c r="A214" s="7" t="s">
        <v>6076</v>
      </c>
      <c r="B214" s="2" t="s">
        <v>2295</v>
      </c>
      <c r="C214" s="4">
        <v>1</v>
      </c>
      <c r="D214" s="5">
        <v>2.5099999999999998</v>
      </c>
      <c r="E214" s="5">
        <v>5.99</v>
      </c>
      <c r="F214" s="4" t="s">
        <v>2296</v>
      </c>
      <c r="G214" s="2" t="s">
        <v>28</v>
      </c>
      <c r="H214" s="7" t="s">
        <v>149</v>
      </c>
      <c r="I214" s="2" t="s">
        <v>483</v>
      </c>
      <c r="J214" s="2" t="s">
        <v>536</v>
      </c>
      <c r="K214" s="2" t="s">
        <v>304</v>
      </c>
      <c r="L214" s="2" t="s">
        <v>119</v>
      </c>
      <c r="M214" s="8" t="str">
        <f>HYPERLINK("http://slimages.macys.com/is/image/MCY/11436914 ")</f>
        <v xml:space="preserve">http://slimages.macys.com/is/image/MCY/11436914 </v>
      </c>
    </row>
    <row r="215" spans="1:13" ht="60" x14ac:dyDescent="0.25">
      <c r="A215" s="7" t="s">
        <v>2297</v>
      </c>
      <c r="B215" s="2" t="s">
        <v>2295</v>
      </c>
      <c r="C215" s="4">
        <v>3</v>
      </c>
      <c r="D215" s="5">
        <v>2.5099999999999998</v>
      </c>
      <c r="E215" s="5">
        <v>5.99</v>
      </c>
      <c r="F215" s="4" t="s">
        <v>2296</v>
      </c>
      <c r="G215" s="2" t="s">
        <v>28</v>
      </c>
      <c r="H215" s="7" t="s">
        <v>91</v>
      </c>
      <c r="I215" s="2" t="s">
        <v>483</v>
      </c>
      <c r="J215" s="2" t="s">
        <v>536</v>
      </c>
      <c r="K215" s="2" t="s">
        <v>304</v>
      </c>
      <c r="L215" s="2" t="s">
        <v>119</v>
      </c>
      <c r="M215" s="8" t="str">
        <f>HYPERLINK("http://slimages.macys.com/is/image/MCY/11436914 ")</f>
        <v xml:space="preserve">http://slimages.macys.com/is/image/MCY/11436914 </v>
      </c>
    </row>
    <row r="216" spans="1:13" ht="60" x14ac:dyDescent="0.25">
      <c r="A216" s="7" t="s">
        <v>2310</v>
      </c>
      <c r="B216" s="2" t="s">
        <v>622</v>
      </c>
      <c r="C216" s="4">
        <v>2</v>
      </c>
      <c r="D216" s="5">
        <v>2.48</v>
      </c>
      <c r="E216" s="5">
        <v>7.99</v>
      </c>
      <c r="F216" s="4">
        <v>10005379300</v>
      </c>
      <c r="G216" s="2" t="s">
        <v>62</v>
      </c>
      <c r="H216" s="7"/>
      <c r="I216" s="2" t="s">
        <v>483</v>
      </c>
      <c r="J216" s="2" t="s">
        <v>536</v>
      </c>
      <c r="K216" s="2" t="s">
        <v>304</v>
      </c>
      <c r="L216" s="2" t="s">
        <v>623</v>
      </c>
      <c r="M216" s="8" t="str">
        <f>HYPERLINK("http://slimages.macys.com/is/image/MCY/12465415 ")</f>
        <v xml:space="preserve">http://slimages.macys.com/is/image/MCY/12465415 </v>
      </c>
    </row>
    <row r="217" spans="1:13" ht="60" x14ac:dyDescent="0.25">
      <c r="A217" s="7" t="s">
        <v>2312</v>
      </c>
      <c r="B217" s="2" t="s">
        <v>622</v>
      </c>
      <c r="C217" s="4">
        <v>2</v>
      </c>
      <c r="D217" s="5">
        <v>2.48</v>
      </c>
      <c r="E217" s="5">
        <v>7.99</v>
      </c>
      <c r="F217" s="4">
        <v>10005379300</v>
      </c>
      <c r="G217" s="2" t="s">
        <v>62</v>
      </c>
      <c r="H217" s="7" t="s">
        <v>149</v>
      </c>
      <c r="I217" s="2" t="s">
        <v>483</v>
      </c>
      <c r="J217" s="2" t="s">
        <v>536</v>
      </c>
      <c r="K217" s="2" t="s">
        <v>304</v>
      </c>
      <c r="L217" s="2" t="s">
        <v>623</v>
      </c>
      <c r="M217" s="8" t="str">
        <f>HYPERLINK("http://slimages.macys.com/is/image/MCY/12465415 ")</f>
        <v xml:space="preserve">http://slimages.macys.com/is/image/MCY/12465415 </v>
      </c>
    </row>
    <row r="218" spans="1:13" ht="60" x14ac:dyDescent="0.25">
      <c r="A218" s="7" t="s">
        <v>2314</v>
      </c>
      <c r="B218" s="2" t="s">
        <v>622</v>
      </c>
      <c r="C218" s="4">
        <v>2</v>
      </c>
      <c r="D218" s="5">
        <v>2.48</v>
      </c>
      <c r="E218" s="5">
        <v>7.99</v>
      </c>
      <c r="F218" s="4">
        <v>10005379300</v>
      </c>
      <c r="G218" s="2" t="s">
        <v>437</v>
      </c>
      <c r="H218" s="7"/>
      <c r="I218" s="2" t="s">
        <v>483</v>
      </c>
      <c r="J218" s="2" t="s">
        <v>536</v>
      </c>
      <c r="K218" s="2" t="s">
        <v>304</v>
      </c>
      <c r="L218" s="2" t="s">
        <v>623</v>
      </c>
      <c r="M218" s="8" t="str">
        <f>HYPERLINK("http://slimages.macys.com/is/image/MCY/12465415 ")</f>
        <v xml:space="preserve">http://slimages.macys.com/is/image/MCY/12465415 </v>
      </c>
    </row>
    <row r="219" spans="1:13" ht="60" x14ac:dyDescent="0.25">
      <c r="A219" s="7" t="s">
        <v>2311</v>
      </c>
      <c r="B219" s="2" t="s">
        <v>622</v>
      </c>
      <c r="C219" s="4">
        <v>1</v>
      </c>
      <c r="D219" s="5">
        <v>2.48</v>
      </c>
      <c r="E219" s="5">
        <v>7.99</v>
      </c>
      <c r="F219" s="4">
        <v>10005379300</v>
      </c>
      <c r="G219" s="2" t="s">
        <v>62</v>
      </c>
      <c r="H219" s="7" t="s">
        <v>482</v>
      </c>
      <c r="I219" s="2" t="s">
        <v>483</v>
      </c>
      <c r="J219" s="2" t="s">
        <v>536</v>
      </c>
      <c r="K219" s="2" t="s">
        <v>304</v>
      </c>
      <c r="L219" s="2" t="s">
        <v>623</v>
      </c>
      <c r="M219" s="8" t="str">
        <f>HYPERLINK("http://slimages.macys.com/is/image/MCY/12465415 ")</f>
        <v xml:space="preserve">http://slimages.macys.com/is/image/MCY/12465415 </v>
      </c>
    </row>
    <row r="220" spans="1:13" ht="60" x14ac:dyDescent="0.25">
      <c r="A220" s="7" t="s">
        <v>6077</v>
      </c>
      <c r="B220" s="2" t="s">
        <v>5762</v>
      </c>
      <c r="C220" s="4">
        <v>1</v>
      </c>
      <c r="D220" s="5">
        <v>2.33</v>
      </c>
      <c r="E220" s="5">
        <v>5.99</v>
      </c>
      <c r="F220" s="4" t="s">
        <v>5763</v>
      </c>
      <c r="G220" s="2" t="s">
        <v>657</v>
      </c>
      <c r="H220" s="7" t="s">
        <v>442</v>
      </c>
      <c r="I220" s="2" t="s">
        <v>483</v>
      </c>
      <c r="J220" s="2" t="s">
        <v>536</v>
      </c>
      <c r="K220" s="2" t="s">
        <v>304</v>
      </c>
      <c r="L220" s="2" t="s">
        <v>119</v>
      </c>
      <c r="M220" s="8" t="str">
        <f>HYPERLINK("http://slimages.macys.com/is/image/MCY/11856987 ")</f>
        <v xml:space="preserve">http://slimages.macys.com/is/image/MCY/11856987 </v>
      </c>
    </row>
    <row r="221" spans="1:13" ht="60" x14ac:dyDescent="0.25">
      <c r="A221" s="7" t="s">
        <v>4580</v>
      </c>
      <c r="B221" s="2" t="s">
        <v>2350</v>
      </c>
      <c r="C221" s="4">
        <v>1</v>
      </c>
      <c r="D221" s="5">
        <v>2.31</v>
      </c>
      <c r="E221" s="5">
        <v>7.99</v>
      </c>
      <c r="F221" s="4" t="s">
        <v>2351</v>
      </c>
      <c r="G221" s="2" t="s">
        <v>657</v>
      </c>
      <c r="H221" s="7" t="s">
        <v>514</v>
      </c>
      <c r="I221" s="2" t="s">
        <v>483</v>
      </c>
      <c r="J221" s="2" t="s">
        <v>536</v>
      </c>
      <c r="K221" s="2" t="s">
        <v>304</v>
      </c>
      <c r="L221" s="2" t="s">
        <v>38</v>
      </c>
      <c r="M221" s="8" t="str">
        <f>HYPERLINK("http://slimages.macys.com/is/image/MCY/13987607 ")</f>
        <v xml:space="preserve">http://slimages.macys.com/is/image/MCY/13987607 </v>
      </c>
    </row>
    <row r="222" spans="1:13" ht="60" x14ac:dyDescent="0.25">
      <c r="A222" s="7" t="s">
        <v>6078</v>
      </c>
      <c r="B222" s="2" t="s">
        <v>2388</v>
      </c>
      <c r="C222" s="4">
        <v>1</v>
      </c>
      <c r="D222" s="5">
        <v>2.2200000000000002</v>
      </c>
      <c r="E222" s="5">
        <v>5.99</v>
      </c>
      <c r="F222" s="4" t="s">
        <v>2389</v>
      </c>
      <c r="G222" s="2" t="s">
        <v>41</v>
      </c>
      <c r="H222" s="7" t="s">
        <v>91</v>
      </c>
      <c r="I222" s="2" t="s">
        <v>483</v>
      </c>
      <c r="J222" s="2" t="s">
        <v>536</v>
      </c>
      <c r="K222" s="2" t="s">
        <v>304</v>
      </c>
      <c r="L222" s="2" t="s">
        <v>206</v>
      </c>
      <c r="M222" s="8" t="str">
        <f>HYPERLINK("http://slimages.macys.com/is/image/MCY/13987622 ")</f>
        <v xml:space="preserve">http://slimages.macys.com/is/image/MCY/13987622 </v>
      </c>
    </row>
    <row r="223" spans="1:13" ht="60" x14ac:dyDescent="0.25">
      <c r="A223" s="7" t="s">
        <v>2382</v>
      </c>
      <c r="B223" s="2" t="s">
        <v>2383</v>
      </c>
      <c r="C223" s="4">
        <v>2</v>
      </c>
      <c r="D223" s="5">
        <v>2.2200000000000002</v>
      </c>
      <c r="E223" s="5">
        <v>4.99</v>
      </c>
      <c r="F223" s="4">
        <v>10004193500</v>
      </c>
      <c r="G223" s="2" t="s">
        <v>1360</v>
      </c>
      <c r="H223" s="7" t="s">
        <v>531</v>
      </c>
      <c r="I223" s="2" t="s">
        <v>483</v>
      </c>
      <c r="J223" s="2" t="s">
        <v>536</v>
      </c>
      <c r="K223" s="2" t="s">
        <v>304</v>
      </c>
      <c r="L223" s="2" t="s">
        <v>87</v>
      </c>
      <c r="M223" s="8" t="str">
        <f>HYPERLINK("http://slimages.macys.com/is/image/MCY/11520388 ")</f>
        <v xml:space="preserve">http://slimages.macys.com/is/image/MCY/11520388 </v>
      </c>
    </row>
    <row r="224" spans="1:13" ht="60" x14ac:dyDescent="0.25">
      <c r="A224" s="7" t="s">
        <v>6079</v>
      </c>
      <c r="B224" s="2" t="s">
        <v>6080</v>
      </c>
      <c r="C224" s="4">
        <v>1</v>
      </c>
      <c r="D224" s="5">
        <v>2.2200000000000002</v>
      </c>
      <c r="E224" s="5">
        <v>5.99</v>
      </c>
      <c r="F224" s="4" t="s">
        <v>6081</v>
      </c>
      <c r="G224" s="2" t="s">
        <v>28</v>
      </c>
      <c r="H224" s="7" t="s">
        <v>91</v>
      </c>
      <c r="I224" s="2" t="s">
        <v>483</v>
      </c>
      <c r="J224" s="2" t="s">
        <v>536</v>
      </c>
      <c r="K224" s="2" t="s">
        <v>304</v>
      </c>
      <c r="L224" s="2" t="s">
        <v>206</v>
      </c>
      <c r="M224" s="8" t="str">
        <f>HYPERLINK("http://slimages.macys.com/is/image/MCY/12644529 ")</f>
        <v xml:space="preserve">http://slimages.macys.com/is/image/MCY/12644529 </v>
      </c>
    </row>
    <row r="225" spans="1:13" ht="60" x14ac:dyDescent="0.25">
      <c r="A225" s="7" t="s">
        <v>6082</v>
      </c>
      <c r="B225" s="2" t="s">
        <v>6083</v>
      </c>
      <c r="C225" s="4">
        <v>1</v>
      </c>
      <c r="D225" s="5">
        <v>2.2200000000000002</v>
      </c>
      <c r="E225" s="5">
        <v>5.99</v>
      </c>
      <c r="F225" s="4" t="s">
        <v>6084</v>
      </c>
      <c r="G225" s="2" t="s">
        <v>171</v>
      </c>
      <c r="H225" s="7" t="s">
        <v>149</v>
      </c>
      <c r="I225" s="2" t="s">
        <v>483</v>
      </c>
      <c r="J225" s="2" t="s">
        <v>536</v>
      </c>
      <c r="K225" s="2" t="s">
        <v>304</v>
      </c>
      <c r="L225" s="2" t="s">
        <v>100</v>
      </c>
      <c r="M225" s="8" t="str">
        <f>HYPERLINK("http://slimages.macys.com/is/image/MCY/11794232 ")</f>
        <v xml:space="preserve">http://slimages.macys.com/is/image/MCY/11794232 </v>
      </c>
    </row>
    <row r="226" spans="1:13" ht="60" x14ac:dyDescent="0.25">
      <c r="A226" s="7" t="s">
        <v>6085</v>
      </c>
      <c r="B226" s="2" t="s">
        <v>3553</v>
      </c>
      <c r="C226" s="4">
        <v>1</v>
      </c>
      <c r="D226" s="5">
        <v>2.2200000000000002</v>
      </c>
      <c r="E226" s="5">
        <v>5.99</v>
      </c>
      <c r="F226" s="4">
        <v>100016698</v>
      </c>
      <c r="G226" s="2" t="s">
        <v>62</v>
      </c>
      <c r="H226" s="7" t="s">
        <v>590</v>
      </c>
      <c r="I226" s="2" t="s">
        <v>483</v>
      </c>
      <c r="J226" s="2" t="s">
        <v>536</v>
      </c>
      <c r="K226" s="2" t="s">
        <v>304</v>
      </c>
      <c r="L226" s="2" t="s">
        <v>100</v>
      </c>
      <c r="M226" s="8" t="str">
        <f>HYPERLINK("http://slimages.macys.com/is/image/MCY/10395363 ")</f>
        <v xml:space="preserve">http://slimages.macys.com/is/image/MCY/10395363 </v>
      </c>
    </row>
    <row r="227" spans="1:13" ht="60" x14ac:dyDescent="0.25">
      <c r="A227" s="7" t="s">
        <v>6086</v>
      </c>
      <c r="B227" s="2" t="s">
        <v>2392</v>
      </c>
      <c r="C227" s="4">
        <v>1</v>
      </c>
      <c r="D227" s="5">
        <v>2.21</v>
      </c>
      <c r="E227" s="5">
        <v>5.99</v>
      </c>
      <c r="F227" s="4" t="s">
        <v>2393</v>
      </c>
      <c r="G227" s="2" t="s">
        <v>858</v>
      </c>
      <c r="H227" s="7" t="s">
        <v>442</v>
      </c>
      <c r="I227" s="2" t="s">
        <v>483</v>
      </c>
      <c r="J227" s="2" t="s">
        <v>536</v>
      </c>
      <c r="K227" s="2" t="s">
        <v>304</v>
      </c>
      <c r="L227" s="2" t="s">
        <v>119</v>
      </c>
      <c r="M227" s="8" t="str">
        <f>HYPERLINK("http://slimages.macys.com/is/image/MCY/12644556 ")</f>
        <v xml:space="preserve">http://slimages.macys.com/is/image/MCY/12644556 </v>
      </c>
    </row>
    <row r="228" spans="1:13" ht="60" x14ac:dyDescent="0.25">
      <c r="A228" s="7" t="s">
        <v>2390</v>
      </c>
      <c r="B228" s="2" t="s">
        <v>641</v>
      </c>
      <c r="C228" s="4">
        <v>1</v>
      </c>
      <c r="D228" s="5">
        <v>2.21</v>
      </c>
      <c r="E228" s="5">
        <v>5.99</v>
      </c>
      <c r="F228" s="4" t="s">
        <v>642</v>
      </c>
      <c r="G228" s="2" t="s">
        <v>643</v>
      </c>
      <c r="H228" s="7" t="s">
        <v>442</v>
      </c>
      <c r="I228" s="2" t="s">
        <v>483</v>
      </c>
      <c r="J228" s="2" t="s">
        <v>536</v>
      </c>
      <c r="K228" s="2" t="s">
        <v>304</v>
      </c>
      <c r="L228" s="2" t="s">
        <v>38</v>
      </c>
      <c r="M228" s="8" t="str">
        <f>HYPERLINK("http://slimages.macys.com/is/image/MCY/13987601 ")</f>
        <v xml:space="preserve">http://slimages.macys.com/is/image/MCY/13987601 </v>
      </c>
    </row>
    <row r="229" spans="1:13" ht="84" x14ac:dyDescent="0.25">
      <c r="A229" s="7" t="s">
        <v>2733</v>
      </c>
      <c r="B229" s="2" t="s">
        <v>637</v>
      </c>
      <c r="C229" s="4">
        <v>3</v>
      </c>
      <c r="D229" s="5">
        <v>2.21</v>
      </c>
      <c r="E229" s="5">
        <v>6.99</v>
      </c>
      <c r="F229" s="4" t="s">
        <v>638</v>
      </c>
      <c r="G229" s="2" t="s">
        <v>171</v>
      </c>
      <c r="H229" s="7" t="s">
        <v>586</v>
      </c>
      <c r="I229" s="2" t="s">
        <v>483</v>
      </c>
      <c r="J229" s="2" t="s">
        <v>536</v>
      </c>
      <c r="K229" s="2" t="s">
        <v>304</v>
      </c>
      <c r="L229" s="2" t="s">
        <v>639</v>
      </c>
      <c r="M229" s="8" t="str">
        <f>HYPERLINK("http://slimages.macys.com/is/image/MCY/13987507 ")</f>
        <v xml:space="preserve">http://slimages.macys.com/is/image/MCY/13987507 </v>
      </c>
    </row>
    <row r="230" spans="1:13" ht="84" x14ac:dyDescent="0.25">
      <c r="A230" s="7" t="s">
        <v>636</v>
      </c>
      <c r="B230" s="2" t="s">
        <v>637</v>
      </c>
      <c r="C230" s="4">
        <v>1</v>
      </c>
      <c r="D230" s="5">
        <v>2.21</v>
      </c>
      <c r="E230" s="5">
        <v>6.99</v>
      </c>
      <c r="F230" s="4" t="s">
        <v>638</v>
      </c>
      <c r="G230" s="2" t="s">
        <v>171</v>
      </c>
      <c r="H230" s="7" t="s">
        <v>604</v>
      </c>
      <c r="I230" s="2" t="s">
        <v>483</v>
      </c>
      <c r="J230" s="2" t="s">
        <v>536</v>
      </c>
      <c r="K230" s="2" t="s">
        <v>304</v>
      </c>
      <c r="L230" s="2" t="s">
        <v>639</v>
      </c>
      <c r="M230" s="8" t="str">
        <f>HYPERLINK("http://slimages.macys.com/is/image/MCY/13987507 ")</f>
        <v xml:space="preserve">http://slimages.macys.com/is/image/MCY/13987507 </v>
      </c>
    </row>
    <row r="231" spans="1:13" ht="60" x14ac:dyDescent="0.25">
      <c r="A231" s="7" t="s">
        <v>1393</v>
      </c>
      <c r="B231" s="2" t="s">
        <v>1394</v>
      </c>
      <c r="C231" s="4">
        <v>2</v>
      </c>
      <c r="D231" s="5">
        <v>2.17</v>
      </c>
      <c r="E231" s="5">
        <v>4.99</v>
      </c>
      <c r="F231" s="4">
        <v>10000297900</v>
      </c>
      <c r="G231" s="2" t="s">
        <v>582</v>
      </c>
      <c r="H231" s="7" t="s">
        <v>531</v>
      </c>
      <c r="I231" s="2" t="s">
        <v>483</v>
      </c>
      <c r="J231" s="2" t="s">
        <v>536</v>
      </c>
      <c r="K231" s="2" t="s">
        <v>304</v>
      </c>
      <c r="L231" s="2" t="s">
        <v>38</v>
      </c>
      <c r="M231" s="8" t="str">
        <f>HYPERLINK("http://slimages.macys.com/is/image/MCY/11547503 ")</f>
        <v xml:space="preserve">http://slimages.macys.com/is/image/MCY/11547503 </v>
      </c>
    </row>
    <row r="232" spans="1:13" ht="60" x14ac:dyDescent="0.25">
      <c r="A232" s="7" t="s">
        <v>6087</v>
      </c>
      <c r="B232" s="2" t="s">
        <v>6088</v>
      </c>
      <c r="C232" s="4">
        <v>1</v>
      </c>
      <c r="D232" s="5">
        <v>2.13</v>
      </c>
      <c r="E232" s="5">
        <v>5.99</v>
      </c>
      <c r="F232" s="4" t="s">
        <v>6089</v>
      </c>
      <c r="G232" s="2" t="s">
        <v>657</v>
      </c>
      <c r="H232" s="7" t="s">
        <v>91</v>
      </c>
      <c r="I232" s="2" t="s">
        <v>483</v>
      </c>
      <c r="J232" s="2" t="s">
        <v>536</v>
      </c>
      <c r="K232" s="2" t="s">
        <v>304</v>
      </c>
      <c r="L232" s="2" t="s">
        <v>119</v>
      </c>
      <c r="M232" s="8" t="str">
        <f>HYPERLINK("http://slimages.macys.com/is/image/MCY/13987613 ")</f>
        <v xml:space="preserve">http://slimages.macys.com/is/image/MCY/13987613 </v>
      </c>
    </row>
    <row r="233" spans="1:13" ht="60" x14ac:dyDescent="0.25">
      <c r="A233" s="7" t="s">
        <v>6090</v>
      </c>
      <c r="B233" s="2" t="s">
        <v>6091</v>
      </c>
      <c r="C233" s="4">
        <v>1</v>
      </c>
      <c r="D233" s="5">
        <v>2.1</v>
      </c>
      <c r="E233" s="5">
        <v>6.99</v>
      </c>
      <c r="F233" s="4" t="s">
        <v>6092</v>
      </c>
      <c r="G233" s="2" t="s">
        <v>657</v>
      </c>
      <c r="H233" s="7" t="s">
        <v>442</v>
      </c>
      <c r="I233" s="2" t="s">
        <v>483</v>
      </c>
      <c r="J233" s="2" t="s">
        <v>536</v>
      </c>
      <c r="K233" s="2" t="s">
        <v>304</v>
      </c>
      <c r="L233" s="2" t="s">
        <v>119</v>
      </c>
      <c r="M233" s="8" t="str">
        <f>HYPERLINK("http://slimages.macys.com/is/image/MCY/13987624 ")</f>
        <v xml:space="preserve">http://slimages.macys.com/is/image/MCY/13987624 </v>
      </c>
    </row>
    <row r="234" spans="1:13" ht="60" x14ac:dyDescent="0.25">
      <c r="A234" s="7" t="s">
        <v>1398</v>
      </c>
      <c r="B234" s="2" t="s">
        <v>1399</v>
      </c>
      <c r="C234" s="4">
        <v>1</v>
      </c>
      <c r="D234" s="5">
        <v>1.97</v>
      </c>
      <c r="E234" s="5">
        <v>5.99</v>
      </c>
      <c r="F234" s="4" t="s">
        <v>1400</v>
      </c>
      <c r="G234" s="2" t="s">
        <v>657</v>
      </c>
      <c r="H234" s="7" t="s">
        <v>590</v>
      </c>
      <c r="I234" s="2" t="s">
        <v>483</v>
      </c>
      <c r="J234" s="2" t="s">
        <v>536</v>
      </c>
      <c r="K234" s="2" t="s">
        <v>304</v>
      </c>
      <c r="L234" s="2" t="s">
        <v>119</v>
      </c>
      <c r="M234" s="8" t="str">
        <f>HYPERLINK("http://slimages.macys.com/is/image/MCY/13987628 ")</f>
        <v xml:space="preserve">http://slimages.macys.com/is/image/MCY/13987628 </v>
      </c>
    </row>
    <row r="235" spans="1:13" ht="60" x14ac:dyDescent="0.25">
      <c r="A235" s="7" t="s">
        <v>2415</v>
      </c>
      <c r="B235" s="2" t="s">
        <v>2416</v>
      </c>
      <c r="C235" s="4">
        <v>1</v>
      </c>
      <c r="D235" s="5">
        <v>1.47</v>
      </c>
      <c r="E235" s="5">
        <v>3.99</v>
      </c>
      <c r="F235" s="4" t="s">
        <v>2417</v>
      </c>
      <c r="G235" s="2" t="s">
        <v>297</v>
      </c>
      <c r="H235" s="7" t="s">
        <v>531</v>
      </c>
      <c r="I235" s="2" t="s">
        <v>483</v>
      </c>
      <c r="J235" s="2" t="s">
        <v>536</v>
      </c>
      <c r="K235" s="2" t="s">
        <v>304</v>
      </c>
      <c r="L235" s="2" t="s">
        <v>206</v>
      </c>
      <c r="M235" s="8" t="str">
        <f>HYPERLINK("http://slimages.macys.com/is/image/MCY/13987503 ")</f>
        <v xml:space="preserve">http://slimages.macys.com/is/image/MCY/13987503 </v>
      </c>
    </row>
    <row r="236" spans="1:13" ht="36" x14ac:dyDescent="0.25">
      <c r="A236" s="7" t="s">
        <v>3567</v>
      </c>
      <c r="B236" s="2" t="s">
        <v>3565</v>
      </c>
      <c r="C236" s="4">
        <v>1</v>
      </c>
      <c r="D236" s="5">
        <v>10.75</v>
      </c>
      <c r="E236" s="5">
        <v>34</v>
      </c>
      <c r="F236" s="4" t="s">
        <v>3565</v>
      </c>
      <c r="G236" s="2" t="s">
        <v>62</v>
      </c>
      <c r="H236" s="7" t="s">
        <v>2872</v>
      </c>
      <c r="I236" s="2" t="s">
        <v>50</v>
      </c>
      <c r="J236" s="2" t="s">
        <v>650</v>
      </c>
      <c r="K236" s="2"/>
      <c r="L236" s="2"/>
      <c r="M236" s="8"/>
    </row>
    <row r="237" spans="1:13" ht="36" x14ac:dyDescent="0.25">
      <c r="A237" s="7" t="s">
        <v>6093</v>
      </c>
      <c r="B237" s="2" t="s">
        <v>3565</v>
      </c>
      <c r="C237" s="4">
        <v>1</v>
      </c>
      <c r="D237" s="5">
        <v>10.75</v>
      </c>
      <c r="E237" s="5">
        <v>34</v>
      </c>
      <c r="F237" s="4" t="s">
        <v>3565</v>
      </c>
      <c r="G237" s="2" t="s">
        <v>62</v>
      </c>
      <c r="H237" s="7" t="s">
        <v>2740</v>
      </c>
      <c r="I237" s="2" t="s">
        <v>50</v>
      </c>
      <c r="J237" s="2" t="s">
        <v>650</v>
      </c>
      <c r="K237" s="2"/>
      <c r="L237" s="2"/>
      <c r="M237" s="8"/>
    </row>
    <row r="238" spans="1:13" ht="36" x14ac:dyDescent="0.25">
      <c r="A238" s="7" t="s">
        <v>6094</v>
      </c>
      <c r="B238" s="2" t="s">
        <v>3565</v>
      </c>
      <c r="C238" s="4">
        <v>2</v>
      </c>
      <c r="D238" s="5">
        <v>10.75</v>
      </c>
      <c r="E238" s="5">
        <v>34</v>
      </c>
      <c r="F238" s="4" t="s">
        <v>3565</v>
      </c>
      <c r="G238" s="2" t="s">
        <v>62</v>
      </c>
      <c r="H238" s="7" t="s">
        <v>177</v>
      </c>
      <c r="I238" s="2" t="s">
        <v>50</v>
      </c>
      <c r="J238" s="2" t="s">
        <v>650</v>
      </c>
      <c r="K238" s="2"/>
      <c r="L238" s="2"/>
      <c r="M238" s="8"/>
    </row>
    <row r="239" spans="1:13" ht="36" x14ac:dyDescent="0.25">
      <c r="A239" s="7" t="s">
        <v>6095</v>
      </c>
      <c r="B239" s="2" t="s">
        <v>649</v>
      </c>
      <c r="C239" s="4">
        <v>1</v>
      </c>
      <c r="D239" s="5">
        <v>10.75</v>
      </c>
      <c r="E239" s="5">
        <v>38</v>
      </c>
      <c r="F239" s="4" t="s">
        <v>649</v>
      </c>
      <c r="G239" s="2" t="s">
        <v>303</v>
      </c>
      <c r="H239" s="7" t="s">
        <v>166</v>
      </c>
      <c r="I239" s="2" t="s">
        <v>50</v>
      </c>
      <c r="J239" s="2" t="s">
        <v>650</v>
      </c>
      <c r="K239" s="2"/>
      <c r="L239" s="2"/>
      <c r="M239" s="8"/>
    </row>
    <row r="240" spans="1:13" ht="36" x14ac:dyDescent="0.25">
      <c r="A240" s="7" t="s">
        <v>3568</v>
      </c>
      <c r="B240" s="2" t="s">
        <v>3565</v>
      </c>
      <c r="C240" s="4">
        <v>2</v>
      </c>
      <c r="D240" s="5">
        <v>10.75</v>
      </c>
      <c r="E240" s="5">
        <v>34</v>
      </c>
      <c r="F240" s="4" t="s">
        <v>3565</v>
      </c>
      <c r="G240" s="2" t="s">
        <v>62</v>
      </c>
      <c r="H240" s="7" t="s">
        <v>961</v>
      </c>
      <c r="I240" s="2" t="s">
        <v>50</v>
      </c>
      <c r="J240" s="2" t="s">
        <v>650</v>
      </c>
      <c r="K240" s="2"/>
      <c r="L240" s="2"/>
      <c r="M240" s="8"/>
    </row>
    <row r="241" spans="1:13" ht="36" x14ac:dyDescent="0.25">
      <c r="A241" s="7" t="s">
        <v>3566</v>
      </c>
      <c r="B241" s="2" t="s">
        <v>3565</v>
      </c>
      <c r="C241" s="4">
        <v>1</v>
      </c>
      <c r="D241" s="5">
        <v>10.75</v>
      </c>
      <c r="E241" s="5">
        <v>34</v>
      </c>
      <c r="F241" s="4" t="s">
        <v>3565</v>
      </c>
      <c r="G241" s="2" t="s">
        <v>62</v>
      </c>
      <c r="H241" s="7" t="s">
        <v>166</v>
      </c>
      <c r="I241" s="2" t="s">
        <v>50</v>
      </c>
      <c r="J241" s="2" t="s">
        <v>650</v>
      </c>
      <c r="K241" s="2"/>
      <c r="L241" s="2"/>
      <c r="M241" s="8"/>
    </row>
    <row r="242" spans="1:13" ht="36" x14ac:dyDescent="0.25">
      <c r="A242" s="7" t="s">
        <v>6096</v>
      </c>
      <c r="B242" s="2" t="s">
        <v>6097</v>
      </c>
      <c r="C242" s="4">
        <v>1</v>
      </c>
      <c r="D242" s="5">
        <v>10.5</v>
      </c>
      <c r="E242" s="5">
        <v>36</v>
      </c>
      <c r="F242" s="4" t="s">
        <v>6098</v>
      </c>
      <c r="G242" s="2" t="s">
        <v>657</v>
      </c>
      <c r="H242" s="7" t="s">
        <v>179</v>
      </c>
      <c r="I242" s="2" t="s">
        <v>50</v>
      </c>
      <c r="J242" s="2" t="s">
        <v>650</v>
      </c>
      <c r="K242" s="2"/>
      <c r="L242" s="2"/>
      <c r="M242" s="8"/>
    </row>
    <row r="243" spans="1:13" ht="36" x14ac:dyDescent="0.25">
      <c r="A243" s="7" t="s">
        <v>3570</v>
      </c>
      <c r="B243" s="2" t="s">
        <v>3571</v>
      </c>
      <c r="C243" s="4">
        <v>1</v>
      </c>
      <c r="D243" s="5">
        <v>10.5</v>
      </c>
      <c r="E243" s="5">
        <v>34</v>
      </c>
      <c r="F243" s="4" t="s">
        <v>3572</v>
      </c>
      <c r="G243" s="2" t="s">
        <v>455</v>
      </c>
      <c r="H243" s="7" t="s">
        <v>961</v>
      </c>
      <c r="I243" s="2" t="s">
        <v>50</v>
      </c>
      <c r="J243" s="2" t="s">
        <v>650</v>
      </c>
      <c r="K243" s="2"/>
      <c r="L243" s="2"/>
      <c r="M243" s="8"/>
    </row>
    <row r="244" spans="1:13" ht="36" x14ac:dyDescent="0.25">
      <c r="A244" s="7" t="s">
        <v>6099</v>
      </c>
      <c r="B244" s="2" t="s">
        <v>3571</v>
      </c>
      <c r="C244" s="4">
        <v>1</v>
      </c>
      <c r="D244" s="5">
        <v>10.5</v>
      </c>
      <c r="E244" s="5">
        <v>34</v>
      </c>
      <c r="F244" s="4" t="s">
        <v>3572</v>
      </c>
      <c r="G244" s="2" t="s">
        <v>455</v>
      </c>
      <c r="H244" s="7" t="s">
        <v>179</v>
      </c>
      <c r="I244" s="2" t="s">
        <v>50</v>
      </c>
      <c r="J244" s="2" t="s">
        <v>650</v>
      </c>
      <c r="K244" s="2"/>
      <c r="L244" s="2"/>
      <c r="M244" s="8"/>
    </row>
    <row r="245" spans="1:13" ht="36" x14ac:dyDescent="0.25">
      <c r="A245" s="7" t="s">
        <v>6100</v>
      </c>
      <c r="B245" s="2" t="s">
        <v>6097</v>
      </c>
      <c r="C245" s="4">
        <v>1</v>
      </c>
      <c r="D245" s="5">
        <v>10.5</v>
      </c>
      <c r="E245" s="5">
        <v>36</v>
      </c>
      <c r="F245" s="4" t="s">
        <v>6098</v>
      </c>
      <c r="G245" s="2" t="s">
        <v>657</v>
      </c>
      <c r="H245" s="7" t="s">
        <v>2740</v>
      </c>
      <c r="I245" s="2" t="s">
        <v>50</v>
      </c>
      <c r="J245" s="2" t="s">
        <v>650</v>
      </c>
      <c r="K245" s="2"/>
      <c r="L245" s="2"/>
      <c r="M245" s="8"/>
    </row>
    <row r="246" spans="1:13" ht="36" x14ac:dyDescent="0.25">
      <c r="A246" s="7" t="s">
        <v>6101</v>
      </c>
      <c r="B246" s="2" t="s">
        <v>1402</v>
      </c>
      <c r="C246" s="4">
        <v>1</v>
      </c>
      <c r="D246" s="5">
        <v>10.25</v>
      </c>
      <c r="E246" s="5">
        <v>34</v>
      </c>
      <c r="F246" s="4" t="s">
        <v>1403</v>
      </c>
      <c r="G246" s="2" t="s">
        <v>657</v>
      </c>
      <c r="H246" s="7" t="s">
        <v>2872</v>
      </c>
      <c r="I246" s="2" t="s">
        <v>50</v>
      </c>
      <c r="J246" s="2" t="s">
        <v>650</v>
      </c>
      <c r="K246" s="2"/>
      <c r="L246" s="2"/>
      <c r="M246" s="8"/>
    </row>
    <row r="247" spans="1:13" ht="36" x14ac:dyDescent="0.25">
      <c r="A247" s="7" t="s">
        <v>6102</v>
      </c>
      <c r="B247" s="2" t="s">
        <v>6103</v>
      </c>
      <c r="C247" s="4">
        <v>1</v>
      </c>
      <c r="D247" s="5">
        <v>6.4</v>
      </c>
      <c r="E247" s="5">
        <v>14.55</v>
      </c>
      <c r="F247" s="4">
        <v>17889610</v>
      </c>
      <c r="G247" s="2" t="s">
        <v>48</v>
      </c>
      <c r="H247" s="7" t="s">
        <v>438</v>
      </c>
      <c r="I247" s="2" t="s">
        <v>153</v>
      </c>
      <c r="J247" s="2" t="s">
        <v>154</v>
      </c>
      <c r="K247" s="2"/>
      <c r="L247" s="2"/>
      <c r="M247" s="8"/>
    </row>
  </sheetData>
  <pageMargins left="0.5" right="0.5" top="0.25" bottom="0.25" header="0.3" footer="0.3"/>
  <pageSetup scale="65" orientation="landscape" horizontalDpi="0" verticalDpi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83"/>
  <sheetViews>
    <sheetView workbookViewId="0">
      <selection activeCell="M5" sqref="M5"/>
    </sheetView>
  </sheetViews>
  <sheetFormatPr defaultRowHeight="15" x14ac:dyDescent="0.25"/>
  <cols>
    <col min="1" max="1" width="14.28515625" customWidth="1"/>
    <col min="2" max="2" width="39.42578125" customWidth="1"/>
    <col min="3" max="3" width="15" customWidth="1"/>
    <col min="4" max="4" width="10.85546875" customWidth="1"/>
    <col min="5" max="6" width="15" customWidth="1"/>
    <col min="7" max="7" width="10.28515625" customWidth="1"/>
    <col min="8" max="8" width="14.85546875" customWidth="1"/>
    <col min="9" max="11" width="11.42578125" customWidth="1"/>
    <col min="12" max="12" width="7.42578125" customWidth="1"/>
    <col min="13" max="13" width="10.85546875" customWidth="1"/>
    <col min="14" max="14" width="12.140625" customWidth="1"/>
    <col min="15" max="15" width="36.5703125" bestFit="1" customWidth="1"/>
    <col min="16" max="17" width="20.7109375" customWidth="1"/>
    <col min="18" max="18" width="64.28515625" customWidth="1"/>
  </cols>
  <sheetData>
    <row r="1" spans="1:13" ht="36" x14ac:dyDescent="0.25">
      <c r="A1" s="16" t="s">
        <v>0</v>
      </c>
      <c r="B1" s="16" t="s">
        <v>1</v>
      </c>
      <c r="C1" s="16" t="s">
        <v>2</v>
      </c>
      <c r="D1" s="16" t="s">
        <v>3</v>
      </c>
      <c r="E1" s="16" t="s">
        <v>4</v>
      </c>
      <c r="F1" s="16" t="s">
        <v>5</v>
      </c>
      <c r="G1" s="16" t="s">
        <v>6</v>
      </c>
      <c r="H1" s="16" t="s">
        <v>7</v>
      </c>
      <c r="I1" s="16" t="s">
        <v>8</v>
      </c>
      <c r="J1" s="16" t="s">
        <v>9</v>
      </c>
    </row>
    <row r="2" spans="1:13" ht="36" x14ac:dyDescent="0.25">
      <c r="A2" s="2" t="s">
        <v>654</v>
      </c>
      <c r="B2" s="3">
        <v>12450553</v>
      </c>
      <c r="C2" s="2" t="s">
        <v>11</v>
      </c>
      <c r="D2" s="2" t="s">
        <v>12</v>
      </c>
      <c r="E2" s="4">
        <v>1</v>
      </c>
      <c r="F2" s="4">
        <v>22</v>
      </c>
      <c r="G2" s="2">
        <v>265</v>
      </c>
      <c r="H2" s="5">
        <v>5008.5</v>
      </c>
      <c r="I2" s="5">
        <v>12502.26</v>
      </c>
      <c r="J2" s="2">
        <v>765</v>
      </c>
    </row>
    <row r="4" spans="1:13" s="6" customFormat="1" x14ac:dyDescent="0.25"/>
    <row r="8" spans="1:13" s="6" customFormat="1" x14ac:dyDescent="0.25"/>
    <row r="9" spans="1:13" ht="36" x14ac:dyDescent="0.25">
      <c r="A9" s="16" t="s">
        <v>13</v>
      </c>
      <c r="B9" s="16" t="s">
        <v>14</v>
      </c>
      <c r="C9" s="16" t="s">
        <v>15</v>
      </c>
      <c r="D9" s="16" t="s">
        <v>16</v>
      </c>
      <c r="E9" s="16" t="s">
        <v>17</v>
      </c>
      <c r="F9" s="16" t="s">
        <v>18</v>
      </c>
      <c r="G9" s="16" t="s">
        <v>19</v>
      </c>
      <c r="H9" s="16" t="s">
        <v>20</v>
      </c>
      <c r="I9" s="16" t="s">
        <v>21</v>
      </c>
      <c r="J9" s="16" t="s">
        <v>22</v>
      </c>
      <c r="K9" s="16" t="s">
        <v>2737</v>
      </c>
      <c r="L9" s="16" t="s">
        <v>23</v>
      </c>
      <c r="M9" s="16" t="s">
        <v>24</v>
      </c>
    </row>
    <row r="10" spans="1:13" ht="60" x14ac:dyDescent="0.25">
      <c r="A10" s="7" t="s">
        <v>5119</v>
      </c>
      <c r="B10" s="2" t="s">
        <v>5120</v>
      </c>
      <c r="C10" s="4">
        <v>1</v>
      </c>
      <c r="D10" s="5">
        <v>39.9</v>
      </c>
      <c r="E10" s="5">
        <v>79.989999999999995</v>
      </c>
      <c r="F10" s="4" t="s">
        <v>5121</v>
      </c>
      <c r="G10" s="2" t="s">
        <v>48</v>
      </c>
      <c r="H10" s="7" t="s">
        <v>662</v>
      </c>
      <c r="I10" s="2" t="s">
        <v>30</v>
      </c>
      <c r="J10" s="2" t="s">
        <v>31</v>
      </c>
      <c r="K10" s="2" t="s">
        <v>304</v>
      </c>
      <c r="L10" s="2" t="s">
        <v>335</v>
      </c>
      <c r="M10" s="8" t="str">
        <f>HYPERLINK("http://slimages.macys.com/is/image/MCY/8404741 ")</f>
        <v xml:space="preserve">http://slimages.macys.com/is/image/MCY/8404741 </v>
      </c>
    </row>
    <row r="11" spans="1:13" ht="96" x14ac:dyDescent="0.25">
      <c r="A11" s="7" t="s">
        <v>5122</v>
      </c>
      <c r="B11" s="2" t="s">
        <v>5123</v>
      </c>
      <c r="C11" s="4">
        <v>1</v>
      </c>
      <c r="D11" s="5">
        <v>29.25</v>
      </c>
      <c r="E11" s="5">
        <v>65</v>
      </c>
      <c r="F11" s="4">
        <v>310700980001</v>
      </c>
      <c r="G11" s="2" t="s">
        <v>653</v>
      </c>
      <c r="H11" s="7" t="s">
        <v>233</v>
      </c>
      <c r="I11" s="2" t="s">
        <v>676</v>
      </c>
      <c r="J11" s="2" t="s">
        <v>205</v>
      </c>
      <c r="K11" s="2" t="s">
        <v>2752</v>
      </c>
      <c r="L11" s="2" t="s">
        <v>5124</v>
      </c>
      <c r="M11" s="8" t="str">
        <f>HYPERLINK("http://images.bloomingdales.com/is/image/BLM/9940188 ")</f>
        <v xml:space="preserve">http://images.bloomingdales.com/is/image/BLM/9940188 </v>
      </c>
    </row>
    <row r="12" spans="1:13" ht="60" x14ac:dyDescent="0.25">
      <c r="A12" s="7" t="s">
        <v>5125</v>
      </c>
      <c r="B12" s="2" t="s">
        <v>5126</v>
      </c>
      <c r="C12" s="4">
        <v>1</v>
      </c>
      <c r="D12" s="5">
        <v>27.6</v>
      </c>
      <c r="E12" s="5">
        <v>69</v>
      </c>
      <c r="F12" s="4" t="s">
        <v>5127</v>
      </c>
      <c r="G12" s="2" t="s">
        <v>41</v>
      </c>
      <c r="H12" s="7" t="s">
        <v>317</v>
      </c>
      <c r="I12" s="2" t="s">
        <v>173</v>
      </c>
      <c r="J12" s="2" t="s">
        <v>3082</v>
      </c>
      <c r="K12" s="2" t="s">
        <v>2752</v>
      </c>
      <c r="L12" s="2" t="s">
        <v>100</v>
      </c>
      <c r="M12" s="8" t="str">
        <f>HYPERLINK("http://images.bloomingdales.com/is/image/BLM/10210464 ")</f>
        <v xml:space="preserve">http://images.bloomingdales.com/is/image/BLM/10210464 </v>
      </c>
    </row>
    <row r="13" spans="1:13" ht="60" x14ac:dyDescent="0.25">
      <c r="A13" s="7" t="s">
        <v>5128</v>
      </c>
      <c r="B13" s="2" t="s">
        <v>5129</v>
      </c>
      <c r="C13" s="4">
        <v>1</v>
      </c>
      <c r="D13" s="5">
        <v>27.2</v>
      </c>
      <c r="E13" s="5">
        <v>68</v>
      </c>
      <c r="F13" s="4" t="s">
        <v>5130</v>
      </c>
      <c r="G13" s="2" t="s">
        <v>107</v>
      </c>
      <c r="H13" s="7" t="s">
        <v>5131</v>
      </c>
      <c r="I13" s="2" t="s">
        <v>173</v>
      </c>
      <c r="J13" s="2" t="s">
        <v>5132</v>
      </c>
      <c r="K13" s="2" t="s">
        <v>2752</v>
      </c>
      <c r="L13" s="2" t="s">
        <v>2873</v>
      </c>
      <c r="M13" s="8" t="str">
        <f>HYPERLINK("http://images.bloomingdales.com/is/image/BLM/10293106 ")</f>
        <v xml:space="preserve">http://images.bloomingdales.com/is/image/BLM/10293106 </v>
      </c>
    </row>
    <row r="14" spans="1:13" ht="60" x14ac:dyDescent="0.25">
      <c r="A14" s="7" t="s">
        <v>5133</v>
      </c>
      <c r="B14" s="2" t="s">
        <v>5134</v>
      </c>
      <c r="C14" s="4">
        <v>1</v>
      </c>
      <c r="D14" s="5">
        <v>23.6</v>
      </c>
      <c r="E14" s="5">
        <v>59</v>
      </c>
      <c r="F14" s="4" t="s">
        <v>5135</v>
      </c>
      <c r="G14" s="2" t="s">
        <v>86</v>
      </c>
      <c r="H14" s="7" t="s">
        <v>172</v>
      </c>
      <c r="I14" s="2" t="s">
        <v>700</v>
      </c>
      <c r="J14" s="2" t="s">
        <v>5136</v>
      </c>
      <c r="K14" s="2" t="s">
        <v>2752</v>
      </c>
      <c r="L14" s="2" t="s">
        <v>2975</v>
      </c>
      <c r="M14" s="8" t="str">
        <f>HYPERLINK("http://images.bloomingdales.com/is/image/BLM/10151188 ")</f>
        <v xml:space="preserve">http://images.bloomingdales.com/is/image/BLM/10151188 </v>
      </c>
    </row>
    <row r="15" spans="1:13" ht="60" x14ac:dyDescent="0.25">
      <c r="A15" s="7" t="s">
        <v>5137</v>
      </c>
      <c r="B15" s="2" t="s">
        <v>5138</v>
      </c>
      <c r="C15" s="4">
        <v>1</v>
      </c>
      <c r="D15" s="5">
        <v>22.28</v>
      </c>
      <c r="E15" s="5">
        <v>49.5</v>
      </c>
      <c r="F15" s="4">
        <v>323737144001</v>
      </c>
      <c r="G15" s="2" t="s">
        <v>28</v>
      </c>
      <c r="H15" s="7" t="s">
        <v>179</v>
      </c>
      <c r="I15" s="2" t="s">
        <v>204</v>
      </c>
      <c r="J15" s="2" t="s">
        <v>205</v>
      </c>
      <c r="K15" s="2" t="s">
        <v>304</v>
      </c>
      <c r="L15" s="2" t="s">
        <v>87</v>
      </c>
      <c r="M15" s="8" t="str">
        <f>HYPERLINK("http://slimages.macys.com/is/image/MCY/12238353 ")</f>
        <v xml:space="preserve">http://slimages.macys.com/is/image/MCY/12238353 </v>
      </c>
    </row>
    <row r="16" spans="1:13" ht="60" x14ac:dyDescent="0.25">
      <c r="A16" s="7" t="s">
        <v>5139</v>
      </c>
      <c r="B16" s="2" t="s">
        <v>5138</v>
      </c>
      <c r="C16" s="4">
        <v>1</v>
      </c>
      <c r="D16" s="5">
        <v>22.28</v>
      </c>
      <c r="E16" s="5">
        <v>49.5</v>
      </c>
      <c r="F16" s="4">
        <v>323737144001</v>
      </c>
      <c r="G16" s="2" t="s">
        <v>28</v>
      </c>
      <c r="H16" s="7" t="s">
        <v>177</v>
      </c>
      <c r="I16" s="2" t="s">
        <v>204</v>
      </c>
      <c r="J16" s="2" t="s">
        <v>205</v>
      </c>
      <c r="K16" s="2" t="s">
        <v>304</v>
      </c>
      <c r="L16" s="2" t="s">
        <v>87</v>
      </c>
      <c r="M16" s="8" t="str">
        <f>HYPERLINK("http://slimages.macys.com/is/image/MCY/12238353 ")</f>
        <v xml:space="preserve">http://slimages.macys.com/is/image/MCY/12238353 </v>
      </c>
    </row>
    <row r="17" spans="1:13" ht="72" x14ac:dyDescent="0.25">
      <c r="A17" s="7" t="s">
        <v>5140</v>
      </c>
      <c r="B17" s="2" t="s">
        <v>5141</v>
      </c>
      <c r="C17" s="4">
        <v>1</v>
      </c>
      <c r="D17" s="5">
        <v>21</v>
      </c>
      <c r="E17" s="5">
        <v>78</v>
      </c>
      <c r="F17" s="4" t="s">
        <v>5142</v>
      </c>
      <c r="G17" s="2" t="s">
        <v>892</v>
      </c>
      <c r="H17" s="7" t="s">
        <v>284</v>
      </c>
      <c r="I17" s="2" t="s">
        <v>173</v>
      </c>
      <c r="J17" s="2" t="s">
        <v>4753</v>
      </c>
      <c r="K17" s="2" t="s">
        <v>2746</v>
      </c>
      <c r="L17" s="2" t="s">
        <v>5143</v>
      </c>
      <c r="M17" s="8" t="str">
        <f>HYPERLINK("http://images.bloomingdales.com/is/image/BLM/10225910 ")</f>
        <v xml:space="preserve">http://images.bloomingdales.com/is/image/BLM/10225910 </v>
      </c>
    </row>
    <row r="18" spans="1:13" ht="96" x14ac:dyDescent="0.25">
      <c r="A18" s="7" t="s">
        <v>5144</v>
      </c>
      <c r="B18" s="2" t="s">
        <v>5145</v>
      </c>
      <c r="C18" s="4">
        <v>1</v>
      </c>
      <c r="D18" s="5">
        <v>20.5</v>
      </c>
      <c r="E18" s="5">
        <v>54</v>
      </c>
      <c r="F18" s="4" t="s">
        <v>5146</v>
      </c>
      <c r="G18" s="2" t="s">
        <v>171</v>
      </c>
      <c r="H18" s="7" t="s">
        <v>317</v>
      </c>
      <c r="I18" s="2" t="s">
        <v>173</v>
      </c>
      <c r="J18" s="2" t="s">
        <v>5147</v>
      </c>
      <c r="K18" s="2" t="s">
        <v>2752</v>
      </c>
      <c r="L18" s="2" t="s">
        <v>5148</v>
      </c>
      <c r="M18" s="8" t="str">
        <f>HYPERLINK("http://images.bloomingdales.com/is/image/BLM/10441856 ")</f>
        <v xml:space="preserve">http://images.bloomingdales.com/is/image/BLM/10441856 </v>
      </c>
    </row>
    <row r="19" spans="1:13" ht="60" x14ac:dyDescent="0.25">
      <c r="A19" s="7" t="s">
        <v>5149</v>
      </c>
      <c r="B19" s="2" t="s">
        <v>5150</v>
      </c>
      <c r="C19" s="4">
        <v>1</v>
      </c>
      <c r="D19" s="5">
        <v>20.25</v>
      </c>
      <c r="E19" s="5">
        <v>39.5</v>
      </c>
      <c r="F19" s="4">
        <v>322745203001</v>
      </c>
      <c r="G19" s="2" t="s">
        <v>41</v>
      </c>
      <c r="H19" s="7" t="s">
        <v>166</v>
      </c>
      <c r="I19" s="2" t="s">
        <v>204</v>
      </c>
      <c r="J19" s="2" t="s">
        <v>205</v>
      </c>
      <c r="K19" s="2" t="s">
        <v>304</v>
      </c>
      <c r="L19" s="2" t="s">
        <v>224</v>
      </c>
      <c r="M19" s="8" t="str">
        <f>HYPERLINK("http://slimages.macys.com/is/image/MCY/12509597 ")</f>
        <v xml:space="preserve">http://slimages.macys.com/is/image/MCY/12509597 </v>
      </c>
    </row>
    <row r="20" spans="1:13" ht="72" x14ac:dyDescent="0.25">
      <c r="A20" s="7" t="s">
        <v>5151</v>
      </c>
      <c r="B20" s="2" t="s">
        <v>5152</v>
      </c>
      <c r="C20" s="4">
        <v>1</v>
      </c>
      <c r="D20" s="5">
        <v>20.239999999999998</v>
      </c>
      <c r="E20" s="5">
        <v>50</v>
      </c>
      <c r="F20" s="4" t="s">
        <v>5153</v>
      </c>
      <c r="G20" s="2" t="s">
        <v>36</v>
      </c>
      <c r="H20" s="7" t="s">
        <v>63</v>
      </c>
      <c r="I20" s="2" t="s">
        <v>173</v>
      </c>
      <c r="J20" s="2" t="s">
        <v>4682</v>
      </c>
      <c r="K20" s="2" t="s">
        <v>2752</v>
      </c>
      <c r="L20" s="2" t="s">
        <v>5154</v>
      </c>
      <c r="M20" s="8" t="str">
        <f>HYPERLINK("http://images.bloomingdales.com/is/image/BLM/10101980 ")</f>
        <v xml:space="preserve">http://images.bloomingdales.com/is/image/BLM/10101980 </v>
      </c>
    </row>
    <row r="21" spans="1:13" ht="60" x14ac:dyDescent="0.25">
      <c r="A21" s="7" t="s">
        <v>5155</v>
      </c>
      <c r="B21" s="2" t="s">
        <v>3616</v>
      </c>
      <c r="C21" s="4">
        <v>1</v>
      </c>
      <c r="D21" s="5">
        <v>20.02</v>
      </c>
      <c r="E21" s="5">
        <v>40.99</v>
      </c>
      <c r="F21" s="4" t="s">
        <v>3617</v>
      </c>
      <c r="G21" s="2" t="s">
        <v>892</v>
      </c>
      <c r="H21" s="7" t="s">
        <v>159</v>
      </c>
      <c r="I21" s="2" t="s">
        <v>73</v>
      </c>
      <c r="J21" s="2" t="s">
        <v>160</v>
      </c>
      <c r="K21" s="2" t="s">
        <v>304</v>
      </c>
      <c r="L21" s="2" t="s">
        <v>119</v>
      </c>
      <c r="M21" s="8" t="str">
        <f>HYPERLINK("http://slimages.macys.com/is/image/MCY/12875354 ")</f>
        <v xml:space="preserve">http://slimages.macys.com/is/image/MCY/12875354 </v>
      </c>
    </row>
    <row r="22" spans="1:13" ht="108" x14ac:dyDescent="0.25">
      <c r="A22" s="7" t="s">
        <v>5156</v>
      </c>
      <c r="B22" s="2" t="s">
        <v>5157</v>
      </c>
      <c r="C22" s="4">
        <v>1</v>
      </c>
      <c r="D22" s="5">
        <v>19.600000000000001</v>
      </c>
      <c r="E22" s="5">
        <v>49</v>
      </c>
      <c r="F22" s="4">
        <v>342414</v>
      </c>
      <c r="G22" s="2" t="s">
        <v>347</v>
      </c>
      <c r="H22" s="7" t="s">
        <v>850</v>
      </c>
      <c r="I22" s="2" t="s">
        <v>50</v>
      </c>
      <c r="J22" s="2" t="s">
        <v>5158</v>
      </c>
      <c r="K22" s="2" t="s">
        <v>304</v>
      </c>
      <c r="L22" s="2" t="s">
        <v>5159</v>
      </c>
      <c r="M22" s="8" t="str">
        <f>HYPERLINK("http://slimages.macys.com/is/image/MCY/11985743 ")</f>
        <v xml:space="preserve">http://slimages.macys.com/is/image/MCY/11985743 </v>
      </c>
    </row>
    <row r="23" spans="1:13" ht="60" x14ac:dyDescent="0.25">
      <c r="A23" s="7" t="s">
        <v>4700</v>
      </c>
      <c r="B23" s="2" t="s">
        <v>685</v>
      </c>
      <c r="C23" s="4">
        <v>1</v>
      </c>
      <c r="D23" s="5">
        <v>18.899999999999999</v>
      </c>
      <c r="E23" s="5">
        <v>45</v>
      </c>
      <c r="F23" s="4" t="s">
        <v>4701</v>
      </c>
      <c r="G23" s="2" t="s">
        <v>62</v>
      </c>
      <c r="H23" s="7"/>
      <c r="I23" s="2" t="s">
        <v>80</v>
      </c>
      <c r="J23" s="2" t="s">
        <v>74</v>
      </c>
      <c r="K23" s="2" t="s">
        <v>304</v>
      </c>
      <c r="L23" s="2" t="s">
        <v>125</v>
      </c>
      <c r="M23" s="8" t="str">
        <f>HYPERLINK("http://slimages.macys.com/is/image/MCY/14838882 ")</f>
        <v xml:space="preserve">http://slimages.macys.com/is/image/MCY/14838882 </v>
      </c>
    </row>
    <row r="24" spans="1:13" ht="60" x14ac:dyDescent="0.25">
      <c r="A24" s="7" t="s">
        <v>5160</v>
      </c>
      <c r="B24" s="2" t="s">
        <v>5161</v>
      </c>
      <c r="C24" s="4">
        <v>1</v>
      </c>
      <c r="D24" s="5">
        <v>18</v>
      </c>
      <c r="E24" s="5">
        <v>39</v>
      </c>
      <c r="F24" s="4">
        <v>150420</v>
      </c>
      <c r="G24" s="2" t="s">
        <v>793</v>
      </c>
      <c r="H24" s="7"/>
      <c r="I24" s="2" t="s">
        <v>173</v>
      </c>
      <c r="J24" s="2" t="s">
        <v>2770</v>
      </c>
      <c r="K24" s="2" t="s">
        <v>2786</v>
      </c>
      <c r="L24" s="2" t="s">
        <v>5162</v>
      </c>
      <c r="M24" s="8" t="str">
        <f>HYPERLINK("http://images.bloomingdales.com/is/image/BLM/10137607 ")</f>
        <v xml:space="preserve">http://images.bloomingdales.com/is/image/BLM/10137607 </v>
      </c>
    </row>
    <row r="25" spans="1:13" ht="60" x14ac:dyDescent="0.25">
      <c r="A25" s="7" t="s">
        <v>5163</v>
      </c>
      <c r="B25" s="2" t="s">
        <v>703</v>
      </c>
      <c r="C25" s="4">
        <v>1</v>
      </c>
      <c r="D25" s="5">
        <v>18</v>
      </c>
      <c r="E25" s="5">
        <v>49.99</v>
      </c>
      <c r="F25" s="4" t="s">
        <v>704</v>
      </c>
      <c r="G25" s="2" t="s">
        <v>41</v>
      </c>
      <c r="H25" s="7" t="s">
        <v>63</v>
      </c>
      <c r="I25" s="2" t="s">
        <v>64</v>
      </c>
      <c r="J25" s="2" t="s">
        <v>239</v>
      </c>
      <c r="K25" s="2" t="s">
        <v>304</v>
      </c>
      <c r="L25" s="2" t="s">
        <v>705</v>
      </c>
      <c r="M25" s="8" t="str">
        <f>HYPERLINK("http://slimages.macys.com/is/image/MCY/12830492 ")</f>
        <v xml:space="preserve">http://slimages.macys.com/is/image/MCY/12830492 </v>
      </c>
    </row>
    <row r="26" spans="1:13" ht="60" x14ac:dyDescent="0.25">
      <c r="A26" s="7" t="s">
        <v>5164</v>
      </c>
      <c r="B26" s="2" t="s">
        <v>5165</v>
      </c>
      <c r="C26" s="4">
        <v>1</v>
      </c>
      <c r="D26" s="5">
        <v>17.5</v>
      </c>
      <c r="E26" s="5">
        <v>38.99</v>
      </c>
      <c r="F26" s="4" t="s">
        <v>5166</v>
      </c>
      <c r="G26" s="2" t="s">
        <v>165</v>
      </c>
      <c r="H26" s="7" t="s">
        <v>228</v>
      </c>
      <c r="I26" s="2" t="s">
        <v>80</v>
      </c>
      <c r="J26" s="2" t="s">
        <v>2967</v>
      </c>
      <c r="K26" s="2" t="s">
        <v>304</v>
      </c>
      <c r="L26" s="2" t="s">
        <v>125</v>
      </c>
      <c r="M26" s="8" t="str">
        <f>HYPERLINK("http://slimages.macys.com/is/image/MCY/13318380 ")</f>
        <v xml:space="preserve">http://slimages.macys.com/is/image/MCY/13318380 </v>
      </c>
    </row>
    <row r="27" spans="1:13" ht="60" x14ac:dyDescent="0.25">
      <c r="A27" s="7" t="s">
        <v>5167</v>
      </c>
      <c r="B27" s="2" t="s">
        <v>84</v>
      </c>
      <c r="C27" s="4">
        <v>1</v>
      </c>
      <c r="D27" s="5">
        <v>17</v>
      </c>
      <c r="E27" s="5">
        <v>42.5</v>
      </c>
      <c r="F27" s="4" t="s">
        <v>5168</v>
      </c>
      <c r="G27" s="2" t="s">
        <v>86</v>
      </c>
      <c r="H27" s="7" t="s">
        <v>317</v>
      </c>
      <c r="I27" s="2" t="s">
        <v>690</v>
      </c>
      <c r="J27" s="2" t="s">
        <v>58</v>
      </c>
      <c r="K27" s="2" t="s">
        <v>304</v>
      </c>
      <c r="L27" s="2" t="s">
        <v>87</v>
      </c>
      <c r="M27" s="8" t="str">
        <f>HYPERLINK("http://slimages.macys.com/is/image/MCY/13043471 ")</f>
        <v xml:space="preserve">http://slimages.macys.com/is/image/MCY/13043471 </v>
      </c>
    </row>
    <row r="28" spans="1:13" ht="132" x14ac:dyDescent="0.25">
      <c r="A28" s="7" t="s">
        <v>5169</v>
      </c>
      <c r="B28" s="2" t="s">
        <v>2926</v>
      </c>
      <c r="C28" s="4">
        <v>1</v>
      </c>
      <c r="D28" s="5">
        <v>17</v>
      </c>
      <c r="E28" s="5">
        <v>38</v>
      </c>
      <c r="F28" s="4">
        <v>102860</v>
      </c>
      <c r="G28" s="2" t="s">
        <v>28</v>
      </c>
      <c r="H28" s="7" t="s">
        <v>177</v>
      </c>
      <c r="I28" s="2" t="s">
        <v>173</v>
      </c>
      <c r="J28" s="2" t="s">
        <v>2904</v>
      </c>
      <c r="K28" s="2" t="s">
        <v>2905</v>
      </c>
      <c r="L28" s="2" t="s">
        <v>2927</v>
      </c>
      <c r="M28" s="8" t="str">
        <f>HYPERLINK("http://images.bloomingdales.com/is/image/BLM/10317740 ")</f>
        <v xml:space="preserve">http://images.bloomingdales.com/is/image/BLM/10317740 </v>
      </c>
    </row>
    <row r="29" spans="1:13" ht="180" x14ac:dyDescent="0.25">
      <c r="A29" s="7" t="s">
        <v>2950</v>
      </c>
      <c r="B29" s="2" t="s">
        <v>1450</v>
      </c>
      <c r="C29" s="4">
        <v>1</v>
      </c>
      <c r="D29" s="5">
        <v>16.5</v>
      </c>
      <c r="E29" s="5">
        <v>39.99</v>
      </c>
      <c r="F29" s="4" t="s">
        <v>1451</v>
      </c>
      <c r="G29" s="2" t="s">
        <v>103</v>
      </c>
      <c r="H29" s="7" t="s">
        <v>42</v>
      </c>
      <c r="I29" s="2" t="s">
        <v>92</v>
      </c>
      <c r="J29" s="2" t="s">
        <v>239</v>
      </c>
      <c r="K29" s="2" t="s">
        <v>304</v>
      </c>
      <c r="L29" s="2" t="s">
        <v>1452</v>
      </c>
      <c r="M29" s="8" t="str">
        <f>HYPERLINK("http://slimages.macys.com/is/image/MCY/14989365 ")</f>
        <v xml:space="preserve">http://slimages.macys.com/is/image/MCY/14989365 </v>
      </c>
    </row>
    <row r="30" spans="1:13" ht="168" x14ac:dyDescent="0.25">
      <c r="A30" s="7" t="s">
        <v>3662</v>
      </c>
      <c r="B30" s="2" t="s">
        <v>3655</v>
      </c>
      <c r="C30" s="4">
        <v>1</v>
      </c>
      <c r="D30" s="5">
        <v>16.5</v>
      </c>
      <c r="E30" s="5">
        <v>39.99</v>
      </c>
      <c r="F30" s="4" t="s">
        <v>3656</v>
      </c>
      <c r="G30" s="2" t="s">
        <v>129</v>
      </c>
      <c r="H30" s="7" t="s">
        <v>91</v>
      </c>
      <c r="I30" s="2" t="s">
        <v>92</v>
      </c>
      <c r="J30" s="2" t="s">
        <v>239</v>
      </c>
      <c r="K30" s="2" t="s">
        <v>304</v>
      </c>
      <c r="L30" s="2" t="s">
        <v>3657</v>
      </c>
      <c r="M30" s="8" t="str">
        <f>HYPERLINK("http://slimages.macys.com/is/image/MCY/14990170 ")</f>
        <v xml:space="preserve">http://slimages.macys.com/is/image/MCY/14990170 </v>
      </c>
    </row>
    <row r="31" spans="1:13" ht="60" x14ac:dyDescent="0.25">
      <c r="A31" s="7" t="s">
        <v>5170</v>
      </c>
      <c r="B31" s="2" t="s">
        <v>5171</v>
      </c>
      <c r="C31" s="4">
        <v>1</v>
      </c>
      <c r="D31" s="5">
        <v>15.75</v>
      </c>
      <c r="E31" s="5">
        <v>35</v>
      </c>
      <c r="F31" s="4">
        <v>1330645</v>
      </c>
      <c r="G31" s="2" t="s">
        <v>353</v>
      </c>
      <c r="H31" s="7" t="s">
        <v>284</v>
      </c>
      <c r="I31" s="2" t="s">
        <v>73</v>
      </c>
      <c r="J31" s="2" t="s">
        <v>280</v>
      </c>
      <c r="K31" s="2" t="s">
        <v>304</v>
      </c>
      <c r="L31" s="2" t="s">
        <v>125</v>
      </c>
      <c r="M31" s="8" t="str">
        <f>HYPERLINK("http://slimages.macys.com/is/image/MCY/12738402 ")</f>
        <v xml:space="preserve">http://slimages.macys.com/is/image/MCY/12738402 </v>
      </c>
    </row>
    <row r="32" spans="1:13" ht="60" x14ac:dyDescent="0.25">
      <c r="A32" s="7" t="s">
        <v>5172</v>
      </c>
      <c r="B32" s="2" t="s">
        <v>5173</v>
      </c>
      <c r="C32" s="4">
        <v>1</v>
      </c>
      <c r="D32" s="5">
        <v>15.2</v>
      </c>
      <c r="E32" s="5">
        <v>38</v>
      </c>
      <c r="F32" s="4" t="s">
        <v>5174</v>
      </c>
      <c r="G32" s="2" t="s">
        <v>1265</v>
      </c>
      <c r="H32" s="7" t="s">
        <v>159</v>
      </c>
      <c r="I32" s="2" t="s">
        <v>173</v>
      </c>
      <c r="J32" s="2" t="s">
        <v>5132</v>
      </c>
      <c r="K32" s="2" t="s">
        <v>2752</v>
      </c>
      <c r="L32" s="2" t="s">
        <v>2873</v>
      </c>
      <c r="M32" s="8" t="str">
        <f>HYPERLINK("http://images.bloomingdales.com/is/image/BLM/10293122 ")</f>
        <v xml:space="preserve">http://images.bloomingdales.com/is/image/BLM/10293122 </v>
      </c>
    </row>
    <row r="33" spans="1:13" ht="60" x14ac:dyDescent="0.25">
      <c r="A33" s="7" t="s">
        <v>5175</v>
      </c>
      <c r="B33" s="2" t="s">
        <v>5176</v>
      </c>
      <c r="C33" s="4">
        <v>1</v>
      </c>
      <c r="D33" s="5">
        <v>15</v>
      </c>
      <c r="E33" s="5">
        <v>37.5</v>
      </c>
      <c r="F33" s="4" t="s">
        <v>5177</v>
      </c>
      <c r="G33" s="2" t="s">
        <v>41</v>
      </c>
      <c r="H33" s="7" t="s">
        <v>123</v>
      </c>
      <c r="I33" s="2" t="s">
        <v>690</v>
      </c>
      <c r="J33" s="2" t="s">
        <v>58</v>
      </c>
      <c r="K33" s="2" t="s">
        <v>304</v>
      </c>
      <c r="L33" s="2" t="s">
        <v>100</v>
      </c>
      <c r="M33" s="8" t="str">
        <f>HYPERLINK("http://slimages.macys.com/is/image/MCY/13049148 ")</f>
        <v xml:space="preserve">http://slimages.macys.com/is/image/MCY/13049148 </v>
      </c>
    </row>
    <row r="34" spans="1:13" ht="60" x14ac:dyDescent="0.25">
      <c r="A34" s="7" t="s">
        <v>5178</v>
      </c>
      <c r="B34" s="2" t="s">
        <v>5179</v>
      </c>
      <c r="C34" s="4">
        <v>1</v>
      </c>
      <c r="D34" s="5">
        <v>15</v>
      </c>
      <c r="E34" s="5">
        <v>34.99</v>
      </c>
      <c r="F34" s="4" t="s">
        <v>5180</v>
      </c>
      <c r="G34" s="2" t="s">
        <v>62</v>
      </c>
      <c r="H34" s="7" t="s">
        <v>311</v>
      </c>
      <c r="I34" s="2" t="s">
        <v>80</v>
      </c>
      <c r="J34" s="2" t="s">
        <v>145</v>
      </c>
      <c r="K34" s="2" t="s">
        <v>304</v>
      </c>
      <c r="L34" s="2" t="s">
        <v>125</v>
      </c>
      <c r="M34" s="8" t="str">
        <f>HYPERLINK("http://slimages.macys.com/is/image/MCY/9005008 ")</f>
        <v xml:space="preserve">http://slimages.macys.com/is/image/MCY/9005008 </v>
      </c>
    </row>
    <row r="35" spans="1:13" ht="60" x14ac:dyDescent="0.25">
      <c r="A35" s="7" t="s">
        <v>1483</v>
      </c>
      <c r="B35" s="2" t="s">
        <v>1484</v>
      </c>
      <c r="C35" s="4">
        <v>1</v>
      </c>
      <c r="D35" s="5">
        <v>15</v>
      </c>
      <c r="E35" s="5">
        <v>39.99</v>
      </c>
      <c r="F35" s="4" t="s">
        <v>1485</v>
      </c>
      <c r="G35" s="2" t="s">
        <v>752</v>
      </c>
      <c r="H35" s="7" t="s">
        <v>590</v>
      </c>
      <c r="I35" s="2" t="s">
        <v>92</v>
      </c>
      <c r="J35" s="2" t="s">
        <v>239</v>
      </c>
      <c r="K35" s="2" t="s">
        <v>304</v>
      </c>
      <c r="L35" s="2" t="s">
        <v>125</v>
      </c>
      <c r="M35" s="8" t="str">
        <f>HYPERLINK("http://slimages.macys.com/is/image/MCY/14886756 ")</f>
        <v xml:space="preserve">http://slimages.macys.com/is/image/MCY/14886756 </v>
      </c>
    </row>
    <row r="36" spans="1:13" ht="72" x14ac:dyDescent="0.25">
      <c r="A36" s="7" t="s">
        <v>5181</v>
      </c>
      <c r="B36" s="2" t="s">
        <v>735</v>
      </c>
      <c r="C36" s="4">
        <v>1</v>
      </c>
      <c r="D36" s="5">
        <v>15</v>
      </c>
      <c r="E36" s="5">
        <v>39.99</v>
      </c>
      <c r="F36" s="4" t="s">
        <v>736</v>
      </c>
      <c r="G36" s="2" t="s">
        <v>595</v>
      </c>
      <c r="H36" s="7" t="s">
        <v>590</v>
      </c>
      <c r="I36" s="2" t="s">
        <v>92</v>
      </c>
      <c r="J36" s="2" t="s">
        <v>239</v>
      </c>
      <c r="K36" s="2" t="s">
        <v>304</v>
      </c>
      <c r="L36" s="2" t="s">
        <v>737</v>
      </c>
      <c r="M36" s="8" t="str">
        <f>HYPERLINK("http://slimages.macys.com/is/image/MCY/14989275 ")</f>
        <v xml:space="preserve">http://slimages.macys.com/is/image/MCY/14989275 </v>
      </c>
    </row>
    <row r="37" spans="1:13" ht="60" x14ac:dyDescent="0.25">
      <c r="A37" s="7" t="s">
        <v>5182</v>
      </c>
      <c r="B37" s="2" t="s">
        <v>1484</v>
      </c>
      <c r="C37" s="4">
        <v>1</v>
      </c>
      <c r="D37" s="5">
        <v>15</v>
      </c>
      <c r="E37" s="5">
        <v>39.99</v>
      </c>
      <c r="F37" s="4" t="s">
        <v>1485</v>
      </c>
      <c r="G37" s="2" t="s">
        <v>752</v>
      </c>
      <c r="H37" s="7" t="s">
        <v>149</v>
      </c>
      <c r="I37" s="2" t="s">
        <v>92</v>
      </c>
      <c r="J37" s="2" t="s">
        <v>239</v>
      </c>
      <c r="K37" s="2" t="s">
        <v>304</v>
      </c>
      <c r="L37" s="2" t="s">
        <v>125</v>
      </c>
      <c r="M37" s="8" t="str">
        <f>HYPERLINK("http://slimages.macys.com/is/image/MCY/14886756 ")</f>
        <v xml:space="preserve">http://slimages.macys.com/is/image/MCY/14886756 </v>
      </c>
    </row>
    <row r="38" spans="1:13" ht="60" x14ac:dyDescent="0.25">
      <c r="A38" s="7" t="s">
        <v>5183</v>
      </c>
      <c r="B38" s="2" t="s">
        <v>1484</v>
      </c>
      <c r="C38" s="4">
        <v>1</v>
      </c>
      <c r="D38" s="5">
        <v>15</v>
      </c>
      <c r="E38" s="5">
        <v>39.99</v>
      </c>
      <c r="F38" s="4" t="s">
        <v>1485</v>
      </c>
      <c r="G38" s="2" t="s">
        <v>752</v>
      </c>
      <c r="H38" s="7" t="s">
        <v>442</v>
      </c>
      <c r="I38" s="2" t="s">
        <v>92</v>
      </c>
      <c r="J38" s="2" t="s">
        <v>239</v>
      </c>
      <c r="K38" s="2" t="s">
        <v>304</v>
      </c>
      <c r="L38" s="2" t="s">
        <v>125</v>
      </c>
      <c r="M38" s="8" t="str">
        <f>HYPERLINK("http://slimages.macys.com/is/image/MCY/14886756 ")</f>
        <v xml:space="preserve">http://slimages.macys.com/is/image/MCY/14886756 </v>
      </c>
    </row>
    <row r="39" spans="1:13" ht="96" x14ac:dyDescent="0.25">
      <c r="A39" s="7" t="s">
        <v>5184</v>
      </c>
      <c r="B39" s="2" t="s">
        <v>5185</v>
      </c>
      <c r="C39" s="4">
        <v>1</v>
      </c>
      <c r="D39" s="5">
        <v>14.76</v>
      </c>
      <c r="E39" s="5">
        <v>40</v>
      </c>
      <c r="F39" s="4" t="s">
        <v>5186</v>
      </c>
      <c r="G39" s="2" t="s">
        <v>36</v>
      </c>
      <c r="H39" s="7" t="s">
        <v>5187</v>
      </c>
      <c r="I39" s="2" t="s">
        <v>173</v>
      </c>
      <c r="J39" s="2" t="s">
        <v>5147</v>
      </c>
      <c r="K39" s="2" t="s">
        <v>304</v>
      </c>
      <c r="L39" s="2" t="s">
        <v>5148</v>
      </c>
      <c r="M39" s="8" t="str">
        <f>HYPERLINK("http://images.bloomingdales.com/is/image/BLM/10348151 ")</f>
        <v xml:space="preserve">http://images.bloomingdales.com/is/image/BLM/10348151 </v>
      </c>
    </row>
    <row r="40" spans="1:13" ht="60" x14ac:dyDescent="0.25">
      <c r="A40" s="7" t="s">
        <v>1487</v>
      </c>
      <c r="B40" s="2" t="s">
        <v>1488</v>
      </c>
      <c r="C40" s="4">
        <v>1</v>
      </c>
      <c r="D40" s="5">
        <v>14.62</v>
      </c>
      <c r="E40" s="5">
        <v>39.5</v>
      </c>
      <c r="F40" s="4" t="s">
        <v>1489</v>
      </c>
      <c r="G40" s="2" t="s">
        <v>28</v>
      </c>
      <c r="H40" s="7" t="s">
        <v>172</v>
      </c>
      <c r="I40" s="2" t="s">
        <v>880</v>
      </c>
      <c r="J40" s="2" t="s">
        <v>881</v>
      </c>
      <c r="K40" s="2" t="s">
        <v>304</v>
      </c>
      <c r="L40" s="2" t="s">
        <v>119</v>
      </c>
      <c r="M40" s="8" t="str">
        <f>HYPERLINK("http://slimages.macys.com/is/image/MCY/12051814 ")</f>
        <v xml:space="preserve">http://slimages.macys.com/is/image/MCY/12051814 </v>
      </c>
    </row>
    <row r="41" spans="1:13" ht="60" x14ac:dyDescent="0.25">
      <c r="A41" s="7" t="s">
        <v>5188</v>
      </c>
      <c r="B41" s="2" t="s">
        <v>1488</v>
      </c>
      <c r="C41" s="4">
        <v>1</v>
      </c>
      <c r="D41" s="5">
        <v>14.62</v>
      </c>
      <c r="E41" s="5">
        <v>39.5</v>
      </c>
      <c r="F41" s="4" t="s">
        <v>1489</v>
      </c>
      <c r="G41" s="2" t="s">
        <v>28</v>
      </c>
      <c r="H41" s="7" t="s">
        <v>248</v>
      </c>
      <c r="I41" s="2" t="s">
        <v>880</v>
      </c>
      <c r="J41" s="2" t="s">
        <v>881</v>
      </c>
      <c r="K41" s="2" t="s">
        <v>304</v>
      </c>
      <c r="L41" s="2" t="s">
        <v>119</v>
      </c>
      <c r="M41" s="8" t="str">
        <f>HYPERLINK("http://slimages.macys.com/is/image/MCY/12051814 ")</f>
        <v xml:space="preserve">http://slimages.macys.com/is/image/MCY/12051814 </v>
      </c>
    </row>
    <row r="42" spans="1:13" ht="180" x14ac:dyDescent="0.25">
      <c r="A42" s="7" t="s">
        <v>3697</v>
      </c>
      <c r="B42" s="2" t="s">
        <v>3698</v>
      </c>
      <c r="C42" s="4">
        <v>1</v>
      </c>
      <c r="D42" s="5">
        <v>14.5</v>
      </c>
      <c r="E42" s="5">
        <v>39.99</v>
      </c>
      <c r="F42" s="4" t="s">
        <v>3699</v>
      </c>
      <c r="G42" s="2" t="s">
        <v>62</v>
      </c>
      <c r="H42" s="7" t="s">
        <v>442</v>
      </c>
      <c r="I42" s="2" t="s">
        <v>92</v>
      </c>
      <c r="J42" s="2" t="s">
        <v>239</v>
      </c>
      <c r="K42" s="2" t="s">
        <v>304</v>
      </c>
      <c r="L42" s="2" t="s">
        <v>1452</v>
      </c>
      <c r="M42" s="8" t="str">
        <f>HYPERLINK("http://slimages.macys.com/is/image/MCY/14989303 ")</f>
        <v xml:space="preserve">http://slimages.macys.com/is/image/MCY/14989303 </v>
      </c>
    </row>
    <row r="43" spans="1:13" ht="120" x14ac:dyDescent="0.25">
      <c r="A43" s="7" t="s">
        <v>5189</v>
      </c>
      <c r="B43" s="2" t="s">
        <v>5190</v>
      </c>
      <c r="C43" s="4">
        <v>1</v>
      </c>
      <c r="D43" s="5">
        <v>14.5</v>
      </c>
      <c r="E43" s="5">
        <v>29.99</v>
      </c>
      <c r="F43" s="4" t="s">
        <v>5191</v>
      </c>
      <c r="G43" s="2" t="s">
        <v>310</v>
      </c>
      <c r="H43" s="7" t="s">
        <v>166</v>
      </c>
      <c r="I43" s="2" t="s">
        <v>380</v>
      </c>
      <c r="J43" s="2" t="s">
        <v>896</v>
      </c>
      <c r="K43" s="2" t="s">
        <v>304</v>
      </c>
      <c r="L43" s="2" t="s">
        <v>5192</v>
      </c>
      <c r="M43" s="8" t="str">
        <f>HYPERLINK("http://slimages.macys.com/is/image/MCY/10475820 ")</f>
        <v xml:space="preserve">http://slimages.macys.com/is/image/MCY/10475820 </v>
      </c>
    </row>
    <row r="44" spans="1:13" ht="60" x14ac:dyDescent="0.25">
      <c r="A44" s="7" t="s">
        <v>5193</v>
      </c>
      <c r="B44" s="2" t="s">
        <v>5194</v>
      </c>
      <c r="C44" s="4">
        <v>1</v>
      </c>
      <c r="D44" s="5">
        <v>14.5</v>
      </c>
      <c r="E44" s="5">
        <v>39.99</v>
      </c>
      <c r="F44" s="4" t="s">
        <v>5195</v>
      </c>
      <c r="G44" s="2" t="s">
        <v>129</v>
      </c>
      <c r="H44" s="7" t="s">
        <v>91</v>
      </c>
      <c r="I44" s="2" t="s">
        <v>92</v>
      </c>
      <c r="J44" s="2" t="s">
        <v>239</v>
      </c>
      <c r="K44" s="2" t="s">
        <v>304</v>
      </c>
      <c r="L44" s="2" t="s">
        <v>125</v>
      </c>
      <c r="M44" s="8" t="str">
        <f>HYPERLINK("http://slimages.macys.com/is/image/MCY/14988472 ")</f>
        <v xml:space="preserve">http://slimages.macys.com/is/image/MCY/14988472 </v>
      </c>
    </row>
    <row r="45" spans="1:13" ht="180" x14ac:dyDescent="0.25">
      <c r="A45" s="7" t="s">
        <v>5196</v>
      </c>
      <c r="B45" s="2" t="s">
        <v>3698</v>
      </c>
      <c r="C45" s="4">
        <v>3</v>
      </c>
      <c r="D45" s="5">
        <v>14.5</v>
      </c>
      <c r="E45" s="5">
        <v>39.99</v>
      </c>
      <c r="F45" s="4" t="s">
        <v>3699</v>
      </c>
      <c r="G45" s="2" t="s">
        <v>62</v>
      </c>
      <c r="H45" s="7" t="s">
        <v>42</v>
      </c>
      <c r="I45" s="2" t="s">
        <v>92</v>
      </c>
      <c r="J45" s="2" t="s">
        <v>239</v>
      </c>
      <c r="K45" s="2" t="s">
        <v>304</v>
      </c>
      <c r="L45" s="2" t="s">
        <v>1452</v>
      </c>
      <c r="M45" s="8" t="str">
        <f>HYPERLINK("http://slimages.macys.com/is/image/MCY/14989303 ")</f>
        <v xml:space="preserve">http://slimages.macys.com/is/image/MCY/14989303 </v>
      </c>
    </row>
    <row r="46" spans="1:13" ht="180" x14ac:dyDescent="0.25">
      <c r="A46" s="7" t="s">
        <v>5197</v>
      </c>
      <c r="B46" s="2" t="s">
        <v>3698</v>
      </c>
      <c r="C46" s="4">
        <v>2</v>
      </c>
      <c r="D46" s="5">
        <v>14.5</v>
      </c>
      <c r="E46" s="5">
        <v>39.99</v>
      </c>
      <c r="F46" s="4" t="s">
        <v>3699</v>
      </c>
      <c r="G46" s="2" t="s">
        <v>62</v>
      </c>
      <c r="H46" s="7" t="s">
        <v>91</v>
      </c>
      <c r="I46" s="2" t="s">
        <v>92</v>
      </c>
      <c r="J46" s="2" t="s">
        <v>239</v>
      </c>
      <c r="K46" s="2" t="s">
        <v>304</v>
      </c>
      <c r="L46" s="2" t="s">
        <v>1452</v>
      </c>
      <c r="M46" s="8" t="str">
        <f>HYPERLINK("http://slimages.macys.com/is/image/MCY/14989303 ")</f>
        <v xml:space="preserve">http://slimages.macys.com/is/image/MCY/14989303 </v>
      </c>
    </row>
    <row r="47" spans="1:13" ht="60" x14ac:dyDescent="0.25">
      <c r="A47" s="7" t="s">
        <v>5198</v>
      </c>
      <c r="B47" s="2" t="s">
        <v>5199</v>
      </c>
      <c r="C47" s="4">
        <v>1</v>
      </c>
      <c r="D47" s="5">
        <v>14.5</v>
      </c>
      <c r="E47" s="5">
        <v>29.99</v>
      </c>
      <c r="F47" s="4" t="s">
        <v>5200</v>
      </c>
      <c r="G47" s="2" t="s">
        <v>793</v>
      </c>
      <c r="H47" s="7" t="s">
        <v>42</v>
      </c>
      <c r="I47" s="2" t="s">
        <v>135</v>
      </c>
      <c r="J47" s="2" t="s">
        <v>778</v>
      </c>
      <c r="K47" s="2" t="s">
        <v>304</v>
      </c>
      <c r="L47" s="2" t="s">
        <v>5201</v>
      </c>
      <c r="M47" s="8" t="str">
        <f>HYPERLINK("http://slimages.macys.com/is/image/MCY/10434135 ")</f>
        <v xml:space="preserve">http://slimages.macys.com/is/image/MCY/10434135 </v>
      </c>
    </row>
    <row r="48" spans="1:13" ht="60" x14ac:dyDescent="0.25">
      <c r="A48" s="7" t="s">
        <v>5202</v>
      </c>
      <c r="B48" s="2" t="s">
        <v>5203</v>
      </c>
      <c r="C48" s="4">
        <v>1</v>
      </c>
      <c r="D48" s="5">
        <v>14</v>
      </c>
      <c r="E48" s="5">
        <v>40</v>
      </c>
      <c r="F48" s="4" t="s">
        <v>5204</v>
      </c>
      <c r="G48" s="2" t="s">
        <v>347</v>
      </c>
      <c r="H48" s="7" t="s">
        <v>5205</v>
      </c>
      <c r="I48" s="2" t="s">
        <v>700</v>
      </c>
      <c r="J48" s="2" t="s">
        <v>2123</v>
      </c>
      <c r="K48" s="2" t="s">
        <v>304</v>
      </c>
      <c r="L48" s="2" t="s">
        <v>5206</v>
      </c>
      <c r="M48" s="8" t="str">
        <f>HYPERLINK("http://slimages.macys.com/is/image/MCY/9476870 ")</f>
        <v xml:space="preserve">http://slimages.macys.com/is/image/MCY/9476870 </v>
      </c>
    </row>
    <row r="49" spans="1:13" ht="60" x14ac:dyDescent="0.25">
      <c r="A49" s="7" t="s">
        <v>5207</v>
      </c>
      <c r="B49" s="2" t="s">
        <v>5208</v>
      </c>
      <c r="C49" s="4">
        <v>1</v>
      </c>
      <c r="D49" s="5">
        <v>14</v>
      </c>
      <c r="E49" s="5">
        <v>32</v>
      </c>
      <c r="F49" s="4" t="s">
        <v>5209</v>
      </c>
      <c r="G49" s="2" t="s">
        <v>437</v>
      </c>
      <c r="H49" s="7" t="s">
        <v>97</v>
      </c>
      <c r="I49" s="2" t="s">
        <v>173</v>
      </c>
      <c r="J49" s="2" t="s">
        <v>4682</v>
      </c>
      <c r="K49" s="2" t="s">
        <v>2752</v>
      </c>
      <c r="L49" s="2" t="s">
        <v>4683</v>
      </c>
      <c r="M49" s="8" t="str">
        <f>HYPERLINK("http://images.bloomingdales.com/is/image/BLM/10323002 ")</f>
        <v xml:space="preserve">http://images.bloomingdales.com/is/image/BLM/10323002 </v>
      </c>
    </row>
    <row r="50" spans="1:13" ht="72" x14ac:dyDescent="0.25">
      <c r="A50" s="7" t="s">
        <v>5210</v>
      </c>
      <c r="B50" s="2" t="s">
        <v>1518</v>
      </c>
      <c r="C50" s="4">
        <v>1</v>
      </c>
      <c r="D50" s="5">
        <v>13.8</v>
      </c>
      <c r="E50" s="5">
        <v>33.99</v>
      </c>
      <c r="F50" s="4" t="s">
        <v>1519</v>
      </c>
      <c r="G50" s="2" t="s">
        <v>62</v>
      </c>
      <c r="H50" s="7" t="s">
        <v>159</v>
      </c>
      <c r="I50" s="2" t="s">
        <v>321</v>
      </c>
      <c r="J50" s="2" t="s">
        <v>1512</v>
      </c>
      <c r="K50" s="2" t="s">
        <v>304</v>
      </c>
      <c r="L50" s="2" t="s">
        <v>1520</v>
      </c>
      <c r="M50" s="8" t="str">
        <f>HYPERLINK("http://slimages.macys.com/is/image/MCY/10750416 ")</f>
        <v xml:space="preserve">http://slimages.macys.com/is/image/MCY/10750416 </v>
      </c>
    </row>
    <row r="51" spans="1:13" ht="144" x14ac:dyDescent="0.25">
      <c r="A51" s="7" t="s">
        <v>2492</v>
      </c>
      <c r="B51" s="2" t="s">
        <v>2493</v>
      </c>
      <c r="C51" s="4">
        <v>2</v>
      </c>
      <c r="D51" s="5">
        <v>13.75</v>
      </c>
      <c r="E51" s="5">
        <v>39.99</v>
      </c>
      <c r="F51" s="4" t="s">
        <v>2494</v>
      </c>
      <c r="G51" s="2" t="s">
        <v>752</v>
      </c>
      <c r="H51" s="7" t="s">
        <v>42</v>
      </c>
      <c r="I51" s="2" t="s">
        <v>92</v>
      </c>
      <c r="J51" s="2" t="s">
        <v>239</v>
      </c>
      <c r="K51" s="2" t="s">
        <v>304</v>
      </c>
      <c r="L51" s="2" t="s">
        <v>2495</v>
      </c>
      <c r="M51" s="8" t="str">
        <f>HYPERLINK("http://slimages.macys.com/is/image/MCY/14886820 ")</f>
        <v xml:space="preserve">http://slimages.macys.com/is/image/MCY/14886820 </v>
      </c>
    </row>
    <row r="52" spans="1:13" ht="168" x14ac:dyDescent="0.25">
      <c r="A52" s="7" t="s">
        <v>5211</v>
      </c>
      <c r="B52" s="2" t="s">
        <v>1522</v>
      </c>
      <c r="C52" s="4">
        <v>1</v>
      </c>
      <c r="D52" s="5">
        <v>13.75</v>
      </c>
      <c r="E52" s="5">
        <v>39.99</v>
      </c>
      <c r="F52" s="4" t="s">
        <v>1523</v>
      </c>
      <c r="G52" s="2" t="s">
        <v>62</v>
      </c>
      <c r="H52" s="7" t="s">
        <v>91</v>
      </c>
      <c r="I52" s="2" t="s">
        <v>92</v>
      </c>
      <c r="J52" s="2" t="s">
        <v>239</v>
      </c>
      <c r="K52" s="2" t="s">
        <v>304</v>
      </c>
      <c r="L52" s="2" t="s">
        <v>1524</v>
      </c>
      <c r="M52" s="8" t="str">
        <f>HYPERLINK("http://slimages.macys.com/is/image/MCY/14886823 ")</f>
        <v xml:space="preserve">http://slimages.macys.com/is/image/MCY/14886823 </v>
      </c>
    </row>
    <row r="53" spans="1:13" ht="168" x14ac:dyDescent="0.25">
      <c r="A53" s="7" t="s">
        <v>4789</v>
      </c>
      <c r="B53" s="2" t="s">
        <v>1522</v>
      </c>
      <c r="C53" s="4">
        <v>1</v>
      </c>
      <c r="D53" s="5">
        <v>13.75</v>
      </c>
      <c r="E53" s="5">
        <v>39.99</v>
      </c>
      <c r="F53" s="4" t="s">
        <v>1523</v>
      </c>
      <c r="G53" s="2" t="s">
        <v>62</v>
      </c>
      <c r="H53" s="7" t="s">
        <v>42</v>
      </c>
      <c r="I53" s="2" t="s">
        <v>92</v>
      </c>
      <c r="J53" s="2" t="s">
        <v>239</v>
      </c>
      <c r="K53" s="2" t="s">
        <v>304</v>
      </c>
      <c r="L53" s="2" t="s">
        <v>1524</v>
      </c>
      <c r="M53" s="8" t="str">
        <f>HYPERLINK("http://slimages.macys.com/is/image/MCY/14886823 ")</f>
        <v xml:space="preserve">http://slimages.macys.com/is/image/MCY/14886823 </v>
      </c>
    </row>
    <row r="54" spans="1:13" ht="144" x14ac:dyDescent="0.25">
      <c r="A54" s="7" t="s">
        <v>3016</v>
      </c>
      <c r="B54" s="2" t="s">
        <v>2493</v>
      </c>
      <c r="C54" s="4">
        <v>1</v>
      </c>
      <c r="D54" s="5">
        <v>13.75</v>
      </c>
      <c r="E54" s="5">
        <v>39.99</v>
      </c>
      <c r="F54" s="4" t="s">
        <v>2494</v>
      </c>
      <c r="G54" s="2" t="s">
        <v>752</v>
      </c>
      <c r="H54" s="7" t="s">
        <v>442</v>
      </c>
      <c r="I54" s="2" t="s">
        <v>92</v>
      </c>
      <c r="J54" s="2" t="s">
        <v>239</v>
      </c>
      <c r="K54" s="2" t="s">
        <v>304</v>
      </c>
      <c r="L54" s="2" t="s">
        <v>2495</v>
      </c>
      <c r="M54" s="8" t="str">
        <f>HYPERLINK("http://slimages.macys.com/is/image/MCY/14886820 ")</f>
        <v xml:space="preserve">http://slimages.macys.com/is/image/MCY/14886820 </v>
      </c>
    </row>
    <row r="55" spans="1:13" ht="144" x14ac:dyDescent="0.25">
      <c r="A55" s="7" t="s">
        <v>3013</v>
      </c>
      <c r="B55" s="2" t="s">
        <v>2493</v>
      </c>
      <c r="C55" s="4">
        <v>1</v>
      </c>
      <c r="D55" s="5">
        <v>13.75</v>
      </c>
      <c r="E55" s="5">
        <v>39.99</v>
      </c>
      <c r="F55" s="4" t="s">
        <v>2494</v>
      </c>
      <c r="G55" s="2" t="s">
        <v>752</v>
      </c>
      <c r="H55" s="7" t="s">
        <v>149</v>
      </c>
      <c r="I55" s="2" t="s">
        <v>92</v>
      </c>
      <c r="J55" s="2" t="s">
        <v>239</v>
      </c>
      <c r="K55" s="2" t="s">
        <v>304</v>
      </c>
      <c r="L55" s="2" t="s">
        <v>2495</v>
      </c>
      <c r="M55" s="8" t="str">
        <f>HYPERLINK("http://slimages.macys.com/is/image/MCY/14886820 ")</f>
        <v xml:space="preserve">http://slimages.macys.com/is/image/MCY/14886820 </v>
      </c>
    </row>
    <row r="56" spans="1:13" ht="144" x14ac:dyDescent="0.25">
      <c r="A56" s="7" t="s">
        <v>4788</v>
      </c>
      <c r="B56" s="2" t="s">
        <v>2493</v>
      </c>
      <c r="C56" s="4">
        <v>1</v>
      </c>
      <c r="D56" s="5">
        <v>13.75</v>
      </c>
      <c r="E56" s="5">
        <v>39.99</v>
      </c>
      <c r="F56" s="4" t="s">
        <v>2494</v>
      </c>
      <c r="G56" s="2" t="s">
        <v>752</v>
      </c>
      <c r="H56" s="7" t="s">
        <v>590</v>
      </c>
      <c r="I56" s="2" t="s">
        <v>92</v>
      </c>
      <c r="J56" s="2" t="s">
        <v>239</v>
      </c>
      <c r="K56" s="2" t="s">
        <v>304</v>
      </c>
      <c r="L56" s="2" t="s">
        <v>2495</v>
      </c>
      <c r="M56" s="8" t="str">
        <f>HYPERLINK("http://slimages.macys.com/is/image/MCY/14886820 ")</f>
        <v xml:space="preserve">http://slimages.macys.com/is/image/MCY/14886820 </v>
      </c>
    </row>
    <row r="57" spans="1:13" ht="204" x14ac:dyDescent="0.25">
      <c r="A57" s="7" t="s">
        <v>5212</v>
      </c>
      <c r="B57" s="2" t="s">
        <v>152</v>
      </c>
      <c r="C57" s="4">
        <v>1</v>
      </c>
      <c r="D57" s="5">
        <v>13.5</v>
      </c>
      <c r="E57" s="5">
        <v>30.7</v>
      </c>
      <c r="F57" s="4">
        <v>19320310</v>
      </c>
      <c r="G57" s="2"/>
      <c r="H57" s="7" t="s">
        <v>675</v>
      </c>
      <c r="I57" s="2" t="s">
        <v>153</v>
      </c>
      <c r="J57" s="2" t="s">
        <v>154</v>
      </c>
      <c r="K57" s="2" t="s">
        <v>304</v>
      </c>
      <c r="L57" s="2" t="s">
        <v>155</v>
      </c>
      <c r="M57" s="8" t="str">
        <f>HYPERLINK("http://slimages.macys.com/is/image/MCY/14608313 ")</f>
        <v xml:space="preserve">http://slimages.macys.com/is/image/MCY/14608313 </v>
      </c>
    </row>
    <row r="58" spans="1:13" ht="204" x14ac:dyDescent="0.25">
      <c r="A58" s="7" t="s">
        <v>151</v>
      </c>
      <c r="B58" s="2" t="s">
        <v>152</v>
      </c>
      <c r="C58" s="4">
        <v>1</v>
      </c>
      <c r="D58" s="5">
        <v>13.5</v>
      </c>
      <c r="E58" s="5">
        <v>30.7</v>
      </c>
      <c r="F58" s="4">
        <v>19320310</v>
      </c>
      <c r="G58" s="2"/>
      <c r="H58" s="7" t="s">
        <v>42</v>
      </c>
      <c r="I58" s="2" t="s">
        <v>153</v>
      </c>
      <c r="J58" s="2" t="s">
        <v>154</v>
      </c>
      <c r="K58" s="2" t="s">
        <v>304</v>
      </c>
      <c r="L58" s="2" t="s">
        <v>155</v>
      </c>
      <c r="M58" s="8" t="str">
        <f>HYPERLINK("http://slimages.macys.com/is/image/MCY/14608313 ")</f>
        <v xml:space="preserve">http://slimages.macys.com/is/image/MCY/14608313 </v>
      </c>
    </row>
    <row r="59" spans="1:13" ht="60" x14ac:dyDescent="0.25">
      <c r="A59" s="7" t="s">
        <v>5213</v>
      </c>
      <c r="B59" s="2" t="s">
        <v>5214</v>
      </c>
      <c r="C59" s="4">
        <v>1</v>
      </c>
      <c r="D59" s="5">
        <v>13.5</v>
      </c>
      <c r="E59" s="5">
        <v>30.99</v>
      </c>
      <c r="F59" s="4" t="s">
        <v>5215</v>
      </c>
      <c r="G59" s="2" t="s">
        <v>195</v>
      </c>
      <c r="H59" s="7" t="s">
        <v>63</v>
      </c>
      <c r="I59" s="2" t="s">
        <v>73</v>
      </c>
      <c r="J59" s="2" t="s">
        <v>464</v>
      </c>
      <c r="K59" s="2" t="s">
        <v>304</v>
      </c>
      <c r="L59" s="2" t="s">
        <v>125</v>
      </c>
      <c r="M59" s="8" t="str">
        <f>HYPERLINK("http://slimages.macys.com/is/image/MCY/13534679 ")</f>
        <v xml:space="preserve">http://slimages.macys.com/is/image/MCY/13534679 </v>
      </c>
    </row>
    <row r="60" spans="1:13" ht="60" x14ac:dyDescent="0.25">
      <c r="A60" s="7" t="s">
        <v>753</v>
      </c>
      <c r="B60" s="2" t="s">
        <v>754</v>
      </c>
      <c r="C60" s="4">
        <v>1</v>
      </c>
      <c r="D60" s="5">
        <v>13.5</v>
      </c>
      <c r="E60" s="5">
        <v>30</v>
      </c>
      <c r="F60" s="4">
        <v>1327815</v>
      </c>
      <c r="G60" s="2" t="s">
        <v>755</v>
      </c>
      <c r="H60" s="7" t="s">
        <v>196</v>
      </c>
      <c r="I60" s="2" t="s">
        <v>73</v>
      </c>
      <c r="J60" s="2" t="s">
        <v>280</v>
      </c>
      <c r="K60" s="2" t="s">
        <v>304</v>
      </c>
      <c r="L60" s="2" t="s">
        <v>119</v>
      </c>
      <c r="M60" s="8" t="str">
        <f>HYPERLINK("http://slimages.macys.com/is/image/MCY/12738323 ")</f>
        <v xml:space="preserve">http://slimages.macys.com/is/image/MCY/12738323 </v>
      </c>
    </row>
    <row r="61" spans="1:13" ht="204" x14ac:dyDescent="0.25">
      <c r="A61" s="7" t="s">
        <v>3017</v>
      </c>
      <c r="B61" s="2" t="s">
        <v>152</v>
      </c>
      <c r="C61" s="4">
        <v>4</v>
      </c>
      <c r="D61" s="5">
        <v>13.5</v>
      </c>
      <c r="E61" s="5">
        <v>30.7</v>
      </c>
      <c r="F61" s="4">
        <v>19320310</v>
      </c>
      <c r="G61" s="2"/>
      <c r="H61" s="7" t="s">
        <v>482</v>
      </c>
      <c r="I61" s="2" t="s">
        <v>153</v>
      </c>
      <c r="J61" s="2" t="s">
        <v>154</v>
      </c>
      <c r="K61" s="2" t="s">
        <v>304</v>
      </c>
      <c r="L61" s="2" t="s">
        <v>155</v>
      </c>
      <c r="M61" s="8" t="str">
        <f>HYPERLINK("http://slimages.macys.com/is/image/MCY/14608313 ")</f>
        <v xml:space="preserve">http://slimages.macys.com/is/image/MCY/14608313 </v>
      </c>
    </row>
    <row r="62" spans="1:13" ht="60" x14ac:dyDescent="0.25">
      <c r="A62" s="7" t="s">
        <v>5216</v>
      </c>
      <c r="B62" s="2" t="s">
        <v>5217</v>
      </c>
      <c r="C62" s="4">
        <v>1</v>
      </c>
      <c r="D62" s="5">
        <v>13.35</v>
      </c>
      <c r="E62" s="5">
        <v>26.99</v>
      </c>
      <c r="F62" s="4" t="s">
        <v>5218</v>
      </c>
      <c r="G62" s="2" t="s">
        <v>698</v>
      </c>
      <c r="H62" s="7" t="s">
        <v>217</v>
      </c>
      <c r="I62" s="2" t="s">
        <v>80</v>
      </c>
      <c r="J62" s="2" t="s">
        <v>160</v>
      </c>
      <c r="K62" s="2" t="s">
        <v>304</v>
      </c>
      <c r="L62" s="2" t="s">
        <v>38</v>
      </c>
      <c r="M62" s="8" t="str">
        <f>HYPERLINK("http://slimages.macys.com/is/image/MCY/11485815 ")</f>
        <v xml:space="preserve">http://slimages.macys.com/is/image/MCY/11485815 </v>
      </c>
    </row>
    <row r="63" spans="1:13" ht="60" x14ac:dyDescent="0.25">
      <c r="A63" s="7" t="s">
        <v>5219</v>
      </c>
      <c r="B63" s="2" t="s">
        <v>5220</v>
      </c>
      <c r="C63" s="4">
        <v>1</v>
      </c>
      <c r="D63" s="5">
        <v>13.28</v>
      </c>
      <c r="E63" s="5">
        <v>29.5</v>
      </c>
      <c r="F63" s="4">
        <v>323737836001</v>
      </c>
      <c r="G63" s="2" t="s">
        <v>657</v>
      </c>
      <c r="H63" s="7" t="s">
        <v>284</v>
      </c>
      <c r="I63" s="2" t="s">
        <v>204</v>
      </c>
      <c r="J63" s="2" t="s">
        <v>205</v>
      </c>
      <c r="K63" s="2" t="s">
        <v>304</v>
      </c>
      <c r="L63" s="2" t="s">
        <v>206</v>
      </c>
      <c r="M63" s="8" t="str">
        <f>HYPERLINK("http://slimages.macys.com/is/image/MCY/12005862 ")</f>
        <v xml:space="preserve">http://slimages.macys.com/is/image/MCY/12005862 </v>
      </c>
    </row>
    <row r="64" spans="1:13" ht="60" x14ac:dyDescent="0.25">
      <c r="A64" s="7" t="s">
        <v>5221</v>
      </c>
      <c r="B64" s="2" t="s">
        <v>766</v>
      </c>
      <c r="C64" s="4">
        <v>1</v>
      </c>
      <c r="D64" s="5">
        <v>13.25</v>
      </c>
      <c r="E64" s="5">
        <v>26.99</v>
      </c>
      <c r="F64" s="4" t="s">
        <v>767</v>
      </c>
      <c r="G64" s="2" t="s">
        <v>238</v>
      </c>
      <c r="H64" s="7" t="s">
        <v>144</v>
      </c>
      <c r="I64" s="2" t="s">
        <v>380</v>
      </c>
      <c r="J64" s="2" t="s">
        <v>258</v>
      </c>
      <c r="K64" s="2" t="s">
        <v>304</v>
      </c>
      <c r="L64" s="2" t="s">
        <v>75</v>
      </c>
      <c r="M64" s="8" t="str">
        <f>HYPERLINK("http://slimages.macys.com/is/image/MCY/10037559 ")</f>
        <v xml:space="preserve">http://slimages.macys.com/is/image/MCY/10037559 </v>
      </c>
    </row>
    <row r="65" spans="1:13" ht="60" x14ac:dyDescent="0.25">
      <c r="A65" s="7" t="s">
        <v>5222</v>
      </c>
      <c r="B65" s="2" t="s">
        <v>5223</v>
      </c>
      <c r="C65" s="4">
        <v>1</v>
      </c>
      <c r="D65" s="5">
        <v>13</v>
      </c>
      <c r="E65" s="5">
        <v>29.99</v>
      </c>
      <c r="F65" s="4" t="s">
        <v>5224</v>
      </c>
      <c r="G65" s="2" t="s">
        <v>1265</v>
      </c>
      <c r="H65" s="7" t="s">
        <v>1411</v>
      </c>
      <c r="I65" s="2" t="s">
        <v>30</v>
      </c>
      <c r="J65" s="2" t="s">
        <v>2986</v>
      </c>
      <c r="K65" s="2" t="s">
        <v>304</v>
      </c>
      <c r="L65" s="2" t="s">
        <v>596</v>
      </c>
      <c r="M65" s="8" t="str">
        <f>HYPERLINK("http://slimages.macys.com/is/image/MCY/11603270 ")</f>
        <v xml:space="preserve">http://slimages.macys.com/is/image/MCY/11603270 </v>
      </c>
    </row>
    <row r="66" spans="1:13" ht="60" x14ac:dyDescent="0.25">
      <c r="A66" s="7" t="s">
        <v>5225</v>
      </c>
      <c r="B66" s="2" t="s">
        <v>5226</v>
      </c>
      <c r="C66" s="4">
        <v>1</v>
      </c>
      <c r="D66" s="5">
        <v>13</v>
      </c>
      <c r="E66" s="5">
        <v>39.99</v>
      </c>
      <c r="F66" s="4" t="s">
        <v>5227</v>
      </c>
      <c r="G66" s="2" t="s">
        <v>195</v>
      </c>
      <c r="H66" s="7" t="s">
        <v>1871</v>
      </c>
      <c r="I66" s="2" t="s">
        <v>668</v>
      </c>
      <c r="J66" s="2" t="s">
        <v>5228</v>
      </c>
      <c r="K66" s="2" t="s">
        <v>304</v>
      </c>
      <c r="L66" s="2" t="s">
        <v>1614</v>
      </c>
      <c r="M66" s="8" t="str">
        <f>HYPERLINK("http://slimages.macys.com/is/image/MCY/9496579 ")</f>
        <v xml:space="preserve">http://slimages.macys.com/is/image/MCY/9496579 </v>
      </c>
    </row>
    <row r="67" spans="1:13" ht="144" x14ac:dyDescent="0.25">
      <c r="A67" s="7" t="s">
        <v>3044</v>
      </c>
      <c r="B67" s="2" t="s">
        <v>3038</v>
      </c>
      <c r="C67" s="4">
        <v>1</v>
      </c>
      <c r="D67" s="5">
        <v>13</v>
      </c>
      <c r="E67" s="5">
        <v>29.57</v>
      </c>
      <c r="F67" s="4">
        <v>19319910</v>
      </c>
      <c r="G67" s="2"/>
      <c r="H67" s="7" t="s">
        <v>482</v>
      </c>
      <c r="I67" s="2" t="s">
        <v>153</v>
      </c>
      <c r="J67" s="2" t="s">
        <v>154</v>
      </c>
      <c r="K67" s="2" t="s">
        <v>304</v>
      </c>
      <c r="L67" s="2" t="s">
        <v>3039</v>
      </c>
      <c r="M67" s="8" t="str">
        <f>HYPERLINK("http://slimages.macys.com/is/image/MCY/14608320 ")</f>
        <v xml:space="preserve">http://slimages.macys.com/is/image/MCY/14608320 </v>
      </c>
    </row>
    <row r="68" spans="1:13" ht="120" x14ac:dyDescent="0.25">
      <c r="A68" s="7" t="s">
        <v>4810</v>
      </c>
      <c r="B68" s="2" t="s">
        <v>3053</v>
      </c>
      <c r="C68" s="4">
        <v>1</v>
      </c>
      <c r="D68" s="5">
        <v>12.5</v>
      </c>
      <c r="E68" s="5">
        <v>34.99</v>
      </c>
      <c r="F68" s="4" t="s">
        <v>3054</v>
      </c>
      <c r="G68" s="2" t="s">
        <v>62</v>
      </c>
      <c r="H68" s="7" t="s">
        <v>442</v>
      </c>
      <c r="I68" s="2" t="s">
        <v>92</v>
      </c>
      <c r="J68" s="2" t="s">
        <v>65</v>
      </c>
      <c r="K68" s="2" t="s">
        <v>304</v>
      </c>
      <c r="L68" s="2" t="s">
        <v>3055</v>
      </c>
      <c r="M68" s="8" t="str">
        <f>HYPERLINK("http://slimages.macys.com/is/image/MCY/14815658 ")</f>
        <v xml:space="preserve">http://slimages.macys.com/is/image/MCY/14815658 </v>
      </c>
    </row>
    <row r="69" spans="1:13" ht="144" x14ac:dyDescent="0.25">
      <c r="A69" s="7" t="s">
        <v>5229</v>
      </c>
      <c r="B69" s="2" t="s">
        <v>3775</v>
      </c>
      <c r="C69" s="4">
        <v>2</v>
      </c>
      <c r="D69" s="5">
        <v>12.5</v>
      </c>
      <c r="E69" s="5">
        <v>34.99</v>
      </c>
      <c r="F69" s="4" t="s">
        <v>3776</v>
      </c>
      <c r="G69" s="2" t="s">
        <v>752</v>
      </c>
      <c r="H69" s="7" t="s">
        <v>442</v>
      </c>
      <c r="I69" s="2" t="s">
        <v>92</v>
      </c>
      <c r="J69" s="2" t="s">
        <v>65</v>
      </c>
      <c r="K69" s="2" t="s">
        <v>304</v>
      </c>
      <c r="L69" s="2" t="s">
        <v>3777</v>
      </c>
      <c r="M69" s="8" t="str">
        <f>HYPERLINK("http://slimages.macys.com/is/image/MCY/15240491 ")</f>
        <v xml:space="preserve">http://slimages.macys.com/is/image/MCY/15240491 </v>
      </c>
    </row>
    <row r="70" spans="1:13" ht="204" x14ac:dyDescent="0.25">
      <c r="A70" s="7" t="s">
        <v>5230</v>
      </c>
      <c r="B70" s="2" t="s">
        <v>1558</v>
      </c>
      <c r="C70" s="4">
        <v>1</v>
      </c>
      <c r="D70" s="5">
        <v>12.5</v>
      </c>
      <c r="E70" s="5">
        <v>34.99</v>
      </c>
      <c r="F70" s="4" t="s">
        <v>1559</v>
      </c>
      <c r="G70" s="2" t="s">
        <v>129</v>
      </c>
      <c r="H70" s="7" t="s">
        <v>590</v>
      </c>
      <c r="I70" s="2" t="s">
        <v>92</v>
      </c>
      <c r="J70" s="2" t="s">
        <v>65</v>
      </c>
      <c r="K70" s="2" t="s">
        <v>304</v>
      </c>
      <c r="L70" s="2" t="s">
        <v>1560</v>
      </c>
      <c r="M70" s="8" t="str">
        <f>HYPERLINK("http://slimages.macys.com/is/image/MCY/14815688 ")</f>
        <v xml:space="preserve">http://slimages.macys.com/is/image/MCY/14815688 </v>
      </c>
    </row>
    <row r="71" spans="1:13" ht="168" x14ac:dyDescent="0.25">
      <c r="A71" s="7" t="s">
        <v>3061</v>
      </c>
      <c r="B71" s="2" t="s">
        <v>189</v>
      </c>
      <c r="C71" s="4">
        <v>1</v>
      </c>
      <c r="D71" s="5">
        <v>12.5</v>
      </c>
      <c r="E71" s="5">
        <v>34.99</v>
      </c>
      <c r="F71" s="4" t="s">
        <v>190</v>
      </c>
      <c r="G71" s="2" t="s">
        <v>129</v>
      </c>
      <c r="H71" s="7" t="s">
        <v>590</v>
      </c>
      <c r="I71" s="2" t="s">
        <v>92</v>
      </c>
      <c r="J71" s="2" t="s">
        <v>65</v>
      </c>
      <c r="K71" s="2" t="s">
        <v>304</v>
      </c>
      <c r="L71" s="2" t="s">
        <v>191</v>
      </c>
      <c r="M71" s="8" t="str">
        <f>HYPERLINK("http://slimages.macys.com/is/image/MCY/14815686 ")</f>
        <v xml:space="preserve">http://slimages.macys.com/is/image/MCY/14815686 </v>
      </c>
    </row>
    <row r="72" spans="1:13" ht="180" x14ac:dyDescent="0.25">
      <c r="A72" s="7" t="s">
        <v>5231</v>
      </c>
      <c r="B72" s="2" t="s">
        <v>3057</v>
      </c>
      <c r="C72" s="4">
        <v>1</v>
      </c>
      <c r="D72" s="5">
        <v>12.5</v>
      </c>
      <c r="E72" s="5">
        <v>34.99</v>
      </c>
      <c r="F72" s="4" t="s">
        <v>3058</v>
      </c>
      <c r="G72" s="2" t="s">
        <v>41</v>
      </c>
      <c r="H72" s="7" t="s">
        <v>149</v>
      </c>
      <c r="I72" s="2" t="s">
        <v>92</v>
      </c>
      <c r="J72" s="2" t="s">
        <v>65</v>
      </c>
      <c r="K72" s="2" t="s">
        <v>304</v>
      </c>
      <c r="L72" s="2" t="s">
        <v>3059</v>
      </c>
      <c r="M72" s="8" t="str">
        <f>HYPERLINK("http://slimages.macys.com/is/image/MCY/14815481 ")</f>
        <v xml:space="preserve">http://slimages.macys.com/is/image/MCY/14815481 </v>
      </c>
    </row>
    <row r="73" spans="1:13" ht="180" x14ac:dyDescent="0.25">
      <c r="A73" s="7" t="s">
        <v>3056</v>
      </c>
      <c r="B73" s="2" t="s">
        <v>3057</v>
      </c>
      <c r="C73" s="4">
        <v>1</v>
      </c>
      <c r="D73" s="5">
        <v>12.5</v>
      </c>
      <c r="E73" s="5">
        <v>34.99</v>
      </c>
      <c r="F73" s="4" t="s">
        <v>3058</v>
      </c>
      <c r="G73" s="2" t="s">
        <v>41</v>
      </c>
      <c r="H73" s="7" t="s">
        <v>590</v>
      </c>
      <c r="I73" s="2" t="s">
        <v>92</v>
      </c>
      <c r="J73" s="2" t="s">
        <v>65</v>
      </c>
      <c r="K73" s="2" t="s">
        <v>304</v>
      </c>
      <c r="L73" s="2" t="s">
        <v>3059</v>
      </c>
      <c r="M73" s="8" t="str">
        <f>HYPERLINK("http://slimages.macys.com/is/image/MCY/14815481 ")</f>
        <v xml:space="preserve">http://slimages.macys.com/is/image/MCY/14815481 </v>
      </c>
    </row>
    <row r="74" spans="1:13" ht="204" x14ac:dyDescent="0.25">
      <c r="A74" s="7" t="s">
        <v>3060</v>
      </c>
      <c r="B74" s="2" t="s">
        <v>1558</v>
      </c>
      <c r="C74" s="4">
        <v>1</v>
      </c>
      <c r="D74" s="5">
        <v>12.5</v>
      </c>
      <c r="E74" s="5">
        <v>34.99</v>
      </c>
      <c r="F74" s="4" t="s">
        <v>1559</v>
      </c>
      <c r="G74" s="2" t="s">
        <v>129</v>
      </c>
      <c r="H74" s="7" t="s">
        <v>149</v>
      </c>
      <c r="I74" s="2" t="s">
        <v>92</v>
      </c>
      <c r="J74" s="2" t="s">
        <v>65</v>
      </c>
      <c r="K74" s="2" t="s">
        <v>304</v>
      </c>
      <c r="L74" s="2" t="s">
        <v>1560</v>
      </c>
      <c r="M74" s="8" t="str">
        <f>HYPERLINK("http://slimages.macys.com/is/image/MCY/14815688 ")</f>
        <v xml:space="preserve">http://slimages.macys.com/is/image/MCY/14815688 </v>
      </c>
    </row>
    <row r="75" spans="1:13" ht="168" x14ac:dyDescent="0.25">
      <c r="A75" s="7" t="s">
        <v>3074</v>
      </c>
      <c r="B75" s="2" t="s">
        <v>189</v>
      </c>
      <c r="C75" s="4">
        <v>1</v>
      </c>
      <c r="D75" s="5">
        <v>12.5</v>
      </c>
      <c r="E75" s="5">
        <v>34.99</v>
      </c>
      <c r="F75" s="4" t="s">
        <v>190</v>
      </c>
      <c r="G75" s="2" t="s">
        <v>129</v>
      </c>
      <c r="H75" s="7" t="s">
        <v>91</v>
      </c>
      <c r="I75" s="2" t="s">
        <v>92</v>
      </c>
      <c r="J75" s="2" t="s">
        <v>65</v>
      </c>
      <c r="K75" s="2" t="s">
        <v>304</v>
      </c>
      <c r="L75" s="2" t="s">
        <v>191</v>
      </c>
      <c r="M75" s="8" t="str">
        <f>HYPERLINK("http://slimages.macys.com/is/image/MCY/14815686 ")</f>
        <v xml:space="preserve">http://slimages.macys.com/is/image/MCY/14815686 </v>
      </c>
    </row>
    <row r="76" spans="1:13" ht="72" x14ac:dyDescent="0.25">
      <c r="A76" s="7" t="s">
        <v>5232</v>
      </c>
      <c r="B76" s="2" t="s">
        <v>5233</v>
      </c>
      <c r="C76" s="4">
        <v>1</v>
      </c>
      <c r="D76" s="5">
        <v>12.5</v>
      </c>
      <c r="E76" s="5">
        <v>32.99</v>
      </c>
      <c r="F76" s="4" t="s">
        <v>5234</v>
      </c>
      <c r="G76" s="2" t="s">
        <v>582</v>
      </c>
      <c r="H76" s="7" t="s">
        <v>149</v>
      </c>
      <c r="I76" s="2" t="s">
        <v>92</v>
      </c>
      <c r="J76" s="2" t="s">
        <v>65</v>
      </c>
      <c r="K76" s="2" t="s">
        <v>304</v>
      </c>
      <c r="L76" s="2" t="s">
        <v>5235</v>
      </c>
      <c r="M76" s="8" t="str">
        <f>HYPERLINK("http://slimages.macys.com/is/image/MCY/13782964 ")</f>
        <v xml:space="preserve">http://slimages.macys.com/is/image/MCY/13782964 </v>
      </c>
    </row>
    <row r="77" spans="1:13" ht="180" x14ac:dyDescent="0.25">
      <c r="A77" s="7" t="s">
        <v>3769</v>
      </c>
      <c r="B77" s="2" t="s">
        <v>3057</v>
      </c>
      <c r="C77" s="4">
        <v>1</v>
      </c>
      <c r="D77" s="5">
        <v>12.5</v>
      </c>
      <c r="E77" s="5">
        <v>34.99</v>
      </c>
      <c r="F77" s="4" t="s">
        <v>3058</v>
      </c>
      <c r="G77" s="2" t="s">
        <v>41</v>
      </c>
      <c r="H77" s="7" t="s">
        <v>42</v>
      </c>
      <c r="I77" s="2" t="s">
        <v>92</v>
      </c>
      <c r="J77" s="2" t="s">
        <v>65</v>
      </c>
      <c r="K77" s="2" t="s">
        <v>304</v>
      </c>
      <c r="L77" s="2" t="s">
        <v>3059</v>
      </c>
      <c r="M77" s="8" t="str">
        <f>HYPERLINK("http://slimages.macys.com/is/image/MCY/14815481 ")</f>
        <v xml:space="preserve">http://slimages.macys.com/is/image/MCY/14815481 </v>
      </c>
    </row>
    <row r="78" spans="1:13" ht="168" x14ac:dyDescent="0.25">
      <c r="A78" s="7" t="s">
        <v>188</v>
      </c>
      <c r="B78" s="2" t="s">
        <v>189</v>
      </c>
      <c r="C78" s="4">
        <v>1</v>
      </c>
      <c r="D78" s="5">
        <v>12.5</v>
      </c>
      <c r="E78" s="5">
        <v>34.99</v>
      </c>
      <c r="F78" s="4" t="s">
        <v>190</v>
      </c>
      <c r="G78" s="2" t="s">
        <v>129</v>
      </c>
      <c r="H78" s="7" t="s">
        <v>149</v>
      </c>
      <c r="I78" s="2" t="s">
        <v>92</v>
      </c>
      <c r="J78" s="2" t="s">
        <v>65</v>
      </c>
      <c r="K78" s="2" t="s">
        <v>304</v>
      </c>
      <c r="L78" s="2" t="s">
        <v>191</v>
      </c>
      <c r="M78" s="8" t="str">
        <f>HYPERLINK("http://slimages.macys.com/is/image/MCY/14815686 ")</f>
        <v xml:space="preserve">http://slimages.macys.com/is/image/MCY/14815686 </v>
      </c>
    </row>
    <row r="79" spans="1:13" ht="180" x14ac:dyDescent="0.25">
      <c r="A79" s="7" t="s">
        <v>5236</v>
      </c>
      <c r="B79" s="2" t="s">
        <v>3057</v>
      </c>
      <c r="C79" s="4">
        <v>2</v>
      </c>
      <c r="D79" s="5">
        <v>12.5</v>
      </c>
      <c r="E79" s="5">
        <v>34.99</v>
      </c>
      <c r="F79" s="4" t="s">
        <v>3058</v>
      </c>
      <c r="G79" s="2" t="s">
        <v>41</v>
      </c>
      <c r="H79" s="7" t="s">
        <v>91</v>
      </c>
      <c r="I79" s="2" t="s">
        <v>92</v>
      </c>
      <c r="J79" s="2" t="s">
        <v>65</v>
      </c>
      <c r="K79" s="2" t="s">
        <v>304</v>
      </c>
      <c r="L79" s="2" t="s">
        <v>3059</v>
      </c>
      <c r="M79" s="8" t="str">
        <f>HYPERLINK("http://slimages.macys.com/is/image/MCY/14815481 ")</f>
        <v xml:space="preserve">http://slimages.macys.com/is/image/MCY/14815481 </v>
      </c>
    </row>
    <row r="80" spans="1:13" ht="60" x14ac:dyDescent="0.25">
      <c r="A80" s="7" t="s">
        <v>5237</v>
      </c>
      <c r="B80" s="2" t="s">
        <v>203</v>
      </c>
      <c r="C80" s="4">
        <v>1</v>
      </c>
      <c r="D80" s="5">
        <v>12.38</v>
      </c>
      <c r="E80" s="5">
        <v>27.5</v>
      </c>
      <c r="F80" s="4">
        <v>321750963002</v>
      </c>
      <c r="G80" s="2" t="s">
        <v>353</v>
      </c>
      <c r="H80" s="7" t="s">
        <v>68</v>
      </c>
      <c r="I80" s="2" t="s">
        <v>204</v>
      </c>
      <c r="J80" s="2" t="s">
        <v>205</v>
      </c>
      <c r="K80" s="2" t="s">
        <v>304</v>
      </c>
      <c r="L80" s="2" t="s">
        <v>206</v>
      </c>
      <c r="M80" s="8" t="str">
        <f>HYPERLINK("http://slimages.macys.com/is/image/MCY/14633997 ")</f>
        <v xml:space="preserve">http://slimages.macys.com/is/image/MCY/14633997 </v>
      </c>
    </row>
    <row r="81" spans="1:13" ht="60" x14ac:dyDescent="0.25">
      <c r="A81" s="7" t="s">
        <v>5238</v>
      </c>
      <c r="B81" s="2" t="s">
        <v>203</v>
      </c>
      <c r="C81" s="4">
        <v>1</v>
      </c>
      <c r="D81" s="5">
        <v>12.38</v>
      </c>
      <c r="E81" s="5">
        <v>27.5</v>
      </c>
      <c r="F81" s="4">
        <v>321750963003</v>
      </c>
      <c r="G81" s="2" t="s">
        <v>129</v>
      </c>
      <c r="H81" s="7" t="s">
        <v>68</v>
      </c>
      <c r="I81" s="2" t="s">
        <v>204</v>
      </c>
      <c r="J81" s="2" t="s">
        <v>205</v>
      </c>
      <c r="K81" s="2" t="s">
        <v>304</v>
      </c>
      <c r="L81" s="2" t="s">
        <v>206</v>
      </c>
      <c r="M81" s="8" t="str">
        <f>HYPERLINK("http://slimages.macys.com/is/image/MCY/14633997 ")</f>
        <v xml:space="preserve">http://slimages.macys.com/is/image/MCY/14633997 </v>
      </c>
    </row>
    <row r="82" spans="1:13" ht="60" x14ac:dyDescent="0.25">
      <c r="A82" s="7" t="s">
        <v>4814</v>
      </c>
      <c r="B82" s="2" t="s">
        <v>203</v>
      </c>
      <c r="C82" s="4">
        <v>1</v>
      </c>
      <c r="D82" s="5">
        <v>12.38</v>
      </c>
      <c r="E82" s="5">
        <v>27.5</v>
      </c>
      <c r="F82" s="4">
        <v>321750963003</v>
      </c>
      <c r="G82" s="2" t="s">
        <v>129</v>
      </c>
      <c r="H82" s="7" t="s">
        <v>144</v>
      </c>
      <c r="I82" s="2" t="s">
        <v>204</v>
      </c>
      <c r="J82" s="2" t="s">
        <v>205</v>
      </c>
      <c r="K82" s="2" t="s">
        <v>304</v>
      </c>
      <c r="L82" s="2" t="s">
        <v>206</v>
      </c>
      <c r="M82" s="8" t="str">
        <f>HYPERLINK("http://slimages.macys.com/is/image/MCY/14633997 ")</f>
        <v xml:space="preserve">http://slimages.macys.com/is/image/MCY/14633997 </v>
      </c>
    </row>
    <row r="83" spans="1:13" ht="144" x14ac:dyDescent="0.25">
      <c r="A83" s="7" t="s">
        <v>3796</v>
      </c>
      <c r="B83" s="2" t="s">
        <v>3797</v>
      </c>
      <c r="C83" s="4">
        <v>1</v>
      </c>
      <c r="D83" s="5">
        <v>12</v>
      </c>
      <c r="E83" s="5">
        <v>32.99</v>
      </c>
      <c r="F83" s="4" t="s">
        <v>3798</v>
      </c>
      <c r="G83" s="2" t="s">
        <v>28</v>
      </c>
      <c r="H83" s="7" t="s">
        <v>91</v>
      </c>
      <c r="I83" s="2" t="s">
        <v>92</v>
      </c>
      <c r="J83" s="2" t="s">
        <v>65</v>
      </c>
      <c r="K83" s="2" t="s">
        <v>304</v>
      </c>
      <c r="L83" s="2" t="s">
        <v>3799</v>
      </c>
      <c r="M83" s="8" t="str">
        <f>HYPERLINK("http://slimages.macys.com/is/image/MCY/13782953 ")</f>
        <v xml:space="preserve">http://slimages.macys.com/is/image/MCY/13782953 </v>
      </c>
    </row>
    <row r="84" spans="1:13" ht="60" x14ac:dyDescent="0.25">
      <c r="A84" s="7" t="s">
        <v>3791</v>
      </c>
      <c r="B84" s="2" t="s">
        <v>3792</v>
      </c>
      <c r="C84" s="4">
        <v>1</v>
      </c>
      <c r="D84" s="5">
        <v>12</v>
      </c>
      <c r="E84" s="5">
        <v>30</v>
      </c>
      <c r="F84" s="4">
        <v>1342064</v>
      </c>
      <c r="G84" s="2" t="s">
        <v>171</v>
      </c>
      <c r="H84" s="7" t="s">
        <v>159</v>
      </c>
      <c r="I84" s="2" t="s">
        <v>80</v>
      </c>
      <c r="J84" s="2" t="s">
        <v>280</v>
      </c>
      <c r="K84" s="2" t="s">
        <v>304</v>
      </c>
      <c r="L84" s="2" t="s">
        <v>125</v>
      </c>
      <c r="M84" s="8" t="str">
        <f>HYPERLINK("http://slimages.macys.com/is/image/MCY/13385828 ")</f>
        <v xml:space="preserve">http://slimages.macys.com/is/image/MCY/13385828 </v>
      </c>
    </row>
    <row r="85" spans="1:13" ht="60" x14ac:dyDescent="0.25">
      <c r="A85" s="7" t="s">
        <v>4820</v>
      </c>
      <c r="B85" s="2" t="s">
        <v>4821</v>
      </c>
      <c r="C85" s="4">
        <v>1</v>
      </c>
      <c r="D85" s="5">
        <v>12</v>
      </c>
      <c r="E85" s="5">
        <v>21.99</v>
      </c>
      <c r="F85" s="4" t="s">
        <v>4822</v>
      </c>
      <c r="G85" s="2" t="s">
        <v>28</v>
      </c>
      <c r="H85" s="7" t="s">
        <v>144</v>
      </c>
      <c r="I85" s="2" t="s">
        <v>380</v>
      </c>
      <c r="J85" s="2" t="s">
        <v>258</v>
      </c>
      <c r="K85" s="2" t="s">
        <v>304</v>
      </c>
      <c r="L85" s="2" t="s">
        <v>87</v>
      </c>
      <c r="M85" s="8" t="str">
        <f>HYPERLINK("http://slimages.macys.com/is/image/MCY/1699745 ")</f>
        <v xml:space="preserve">http://slimages.macys.com/is/image/MCY/1699745 </v>
      </c>
    </row>
    <row r="86" spans="1:13" ht="60" x14ac:dyDescent="0.25">
      <c r="A86" s="7" t="s">
        <v>5239</v>
      </c>
      <c r="B86" s="2" t="s">
        <v>5240</v>
      </c>
      <c r="C86" s="4">
        <v>1</v>
      </c>
      <c r="D86" s="5">
        <v>12</v>
      </c>
      <c r="E86" s="5">
        <v>26.99</v>
      </c>
      <c r="F86" s="4" t="s">
        <v>5241</v>
      </c>
      <c r="G86" s="2" t="s">
        <v>86</v>
      </c>
      <c r="H86" s="7" t="s">
        <v>5242</v>
      </c>
      <c r="I86" s="2" t="s">
        <v>257</v>
      </c>
      <c r="J86" s="2" t="s">
        <v>258</v>
      </c>
      <c r="K86" s="2" t="s">
        <v>304</v>
      </c>
      <c r="L86" s="2" t="s">
        <v>87</v>
      </c>
      <c r="M86" s="8" t="str">
        <f>HYPERLINK("http://slimages.macys.com/is/image/MCY/2267386 ")</f>
        <v xml:space="preserve">http://slimages.macys.com/is/image/MCY/2267386 </v>
      </c>
    </row>
    <row r="87" spans="1:13" ht="96" x14ac:dyDescent="0.25">
      <c r="A87" s="7" t="s">
        <v>5243</v>
      </c>
      <c r="B87" s="2" t="s">
        <v>5244</v>
      </c>
      <c r="C87" s="4">
        <v>1</v>
      </c>
      <c r="D87" s="5">
        <v>11.5</v>
      </c>
      <c r="E87" s="5">
        <v>26.74</v>
      </c>
      <c r="F87" s="4">
        <v>16644510</v>
      </c>
      <c r="G87" s="2"/>
      <c r="H87" s="7" t="s">
        <v>482</v>
      </c>
      <c r="I87" s="2" t="s">
        <v>153</v>
      </c>
      <c r="J87" s="2" t="s">
        <v>154</v>
      </c>
      <c r="K87" s="2" t="s">
        <v>304</v>
      </c>
      <c r="L87" s="2" t="s">
        <v>5245</v>
      </c>
      <c r="M87" s="8" t="str">
        <f>HYPERLINK("http://slimages.macys.com/is/image/MCY/11631953 ")</f>
        <v xml:space="preserve">http://slimages.macys.com/is/image/MCY/11631953 </v>
      </c>
    </row>
    <row r="88" spans="1:13" ht="60" x14ac:dyDescent="0.25">
      <c r="A88" s="7" t="s">
        <v>5246</v>
      </c>
      <c r="B88" s="2" t="s">
        <v>5247</v>
      </c>
      <c r="C88" s="4">
        <v>1</v>
      </c>
      <c r="D88" s="5">
        <v>11.48</v>
      </c>
      <c r="E88" s="5">
        <v>31</v>
      </c>
      <c r="F88" s="4" t="s">
        <v>5248</v>
      </c>
      <c r="G88" s="2" t="s">
        <v>4218</v>
      </c>
      <c r="H88" s="7" t="s">
        <v>5187</v>
      </c>
      <c r="I88" s="2" t="s">
        <v>173</v>
      </c>
      <c r="J88" s="2" t="s">
        <v>5147</v>
      </c>
      <c r="K88" s="2" t="s">
        <v>2752</v>
      </c>
      <c r="L88" s="2" t="s">
        <v>2873</v>
      </c>
      <c r="M88" s="8" t="str">
        <f>HYPERLINK("http://images.bloomingdales.com/is/image/BLM/10297397 ")</f>
        <v xml:space="preserve">http://images.bloomingdales.com/is/image/BLM/10297397 </v>
      </c>
    </row>
    <row r="89" spans="1:13" ht="60" x14ac:dyDescent="0.25">
      <c r="A89" s="7" t="s">
        <v>5249</v>
      </c>
      <c r="B89" s="2" t="s">
        <v>5250</v>
      </c>
      <c r="C89" s="4">
        <v>1</v>
      </c>
      <c r="D89" s="5">
        <v>11.4</v>
      </c>
      <c r="E89" s="5">
        <v>27.99</v>
      </c>
      <c r="F89" s="4" t="s">
        <v>5251</v>
      </c>
      <c r="G89" s="2" t="s">
        <v>62</v>
      </c>
      <c r="H89" s="7" t="s">
        <v>228</v>
      </c>
      <c r="I89" s="2" t="s">
        <v>321</v>
      </c>
      <c r="J89" s="2" t="s">
        <v>4833</v>
      </c>
      <c r="K89" s="2" t="s">
        <v>304</v>
      </c>
      <c r="L89" s="2" t="s">
        <v>125</v>
      </c>
      <c r="M89" s="8" t="str">
        <f>HYPERLINK("http://slimages.macys.com/is/image/MCY/11390931 ")</f>
        <v xml:space="preserve">http://slimages.macys.com/is/image/MCY/11390931 </v>
      </c>
    </row>
    <row r="90" spans="1:13" ht="144" x14ac:dyDescent="0.25">
      <c r="A90" s="7" t="s">
        <v>5252</v>
      </c>
      <c r="B90" s="2" t="s">
        <v>152</v>
      </c>
      <c r="C90" s="4">
        <v>2</v>
      </c>
      <c r="D90" s="5">
        <v>11.1</v>
      </c>
      <c r="E90" s="5">
        <v>25.24</v>
      </c>
      <c r="F90" s="4">
        <v>19318310</v>
      </c>
      <c r="G90" s="2"/>
      <c r="H90" s="7" t="s">
        <v>438</v>
      </c>
      <c r="I90" s="2" t="s">
        <v>153</v>
      </c>
      <c r="J90" s="2" t="s">
        <v>154</v>
      </c>
      <c r="K90" s="2" t="s">
        <v>304</v>
      </c>
      <c r="L90" s="2" t="s">
        <v>234</v>
      </c>
      <c r="M90" s="8" t="str">
        <f>HYPERLINK("http://slimages.macys.com/is/image/MCY/14608343 ")</f>
        <v xml:space="preserve">http://slimages.macys.com/is/image/MCY/14608343 </v>
      </c>
    </row>
    <row r="91" spans="1:13" ht="144" x14ac:dyDescent="0.25">
      <c r="A91" s="7" t="s">
        <v>5253</v>
      </c>
      <c r="B91" s="2" t="s">
        <v>152</v>
      </c>
      <c r="C91" s="4">
        <v>4</v>
      </c>
      <c r="D91" s="5">
        <v>11.1</v>
      </c>
      <c r="E91" s="5">
        <v>25.24</v>
      </c>
      <c r="F91" s="4">
        <v>19318310</v>
      </c>
      <c r="G91" s="2"/>
      <c r="H91" s="7" t="s">
        <v>482</v>
      </c>
      <c r="I91" s="2" t="s">
        <v>153</v>
      </c>
      <c r="J91" s="2" t="s">
        <v>154</v>
      </c>
      <c r="K91" s="2" t="s">
        <v>304</v>
      </c>
      <c r="L91" s="2" t="s">
        <v>234</v>
      </c>
      <c r="M91" s="8" t="str">
        <f>HYPERLINK("http://slimages.macys.com/is/image/MCY/14608343 ")</f>
        <v xml:space="preserve">http://slimages.macys.com/is/image/MCY/14608343 </v>
      </c>
    </row>
    <row r="92" spans="1:13" ht="144" x14ac:dyDescent="0.25">
      <c r="A92" s="7" t="s">
        <v>3811</v>
      </c>
      <c r="B92" s="2" t="s">
        <v>152</v>
      </c>
      <c r="C92" s="4">
        <v>1</v>
      </c>
      <c r="D92" s="5">
        <v>11.1</v>
      </c>
      <c r="E92" s="5">
        <v>25.24</v>
      </c>
      <c r="F92" s="4">
        <v>19318310</v>
      </c>
      <c r="G92" s="2"/>
      <c r="H92" s="7" t="s">
        <v>42</v>
      </c>
      <c r="I92" s="2" t="s">
        <v>153</v>
      </c>
      <c r="J92" s="2" t="s">
        <v>154</v>
      </c>
      <c r="K92" s="2" t="s">
        <v>304</v>
      </c>
      <c r="L92" s="2" t="s">
        <v>234</v>
      </c>
      <c r="M92" s="8" t="str">
        <f>HYPERLINK("http://slimages.macys.com/is/image/MCY/14608343 ")</f>
        <v xml:space="preserve">http://slimages.macys.com/is/image/MCY/14608343 </v>
      </c>
    </row>
    <row r="93" spans="1:13" ht="180" x14ac:dyDescent="0.25">
      <c r="A93" s="7" t="s">
        <v>5254</v>
      </c>
      <c r="B93" s="2" t="s">
        <v>5255</v>
      </c>
      <c r="C93" s="4">
        <v>1</v>
      </c>
      <c r="D93" s="5">
        <v>11</v>
      </c>
      <c r="E93" s="5">
        <v>29.99</v>
      </c>
      <c r="F93" s="4" t="s">
        <v>5256</v>
      </c>
      <c r="G93" s="2" t="s">
        <v>129</v>
      </c>
      <c r="H93" s="7" t="s">
        <v>442</v>
      </c>
      <c r="I93" s="2" t="s">
        <v>92</v>
      </c>
      <c r="J93" s="2" t="s">
        <v>239</v>
      </c>
      <c r="K93" s="2" t="s">
        <v>304</v>
      </c>
      <c r="L93" s="2" t="s">
        <v>5257</v>
      </c>
      <c r="M93" s="8" t="str">
        <f>HYPERLINK("http://slimages.macys.com/is/image/MCY/14989270 ")</f>
        <v xml:space="preserve">http://slimages.macys.com/is/image/MCY/14989270 </v>
      </c>
    </row>
    <row r="94" spans="1:13" ht="84" x14ac:dyDescent="0.25">
      <c r="A94" s="7" t="s">
        <v>5258</v>
      </c>
      <c r="B94" s="2" t="s">
        <v>5259</v>
      </c>
      <c r="C94" s="4">
        <v>1</v>
      </c>
      <c r="D94" s="5">
        <v>10.92</v>
      </c>
      <c r="E94" s="5">
        <v>39</v>
      </c>
      <c r="F94" s="4">
        <v>342684</v>
      </c>
      <c r="G94" s="2" t="s">
        <v>41</v>
      </c>
      <c r="H94" s="7" t="s">
        <v>49</v>
      </c>
      <c r="I94" s="2" t="s">
        <v>50</v>
      </c>
      <c r="J94" s="2" t="s">
        <v>51</v>
      </c>
      <c r="K94" s="2" t="s">
        <v>304</v>
      </c>
      <c r="L94" s="2" t="s">
        <v>4794</v>
      </c>
      <c r="M94" s="8" t="str">
        <f>HYPERLINK("http://slimages.macys.com/is/image/MCY/12341688 ")</f>
        <v xml:space="preserve">http://slimages.macys.com/is/image/MCY/12341688 </v>
      </c>
    </row>
    <row r="95" spans="1:13" ht="84" x14ac:dyDescent="0.25">
      <c r="A95" s="7" t="s">
        <v>5260</v>
      </c>
      <c r="B95" s="2" t="s">
        <v>5259</v>
      </c>
      <c r="C95" s="4">
        <v>1</v>
      </c>
      <c r="D95" s="5">
        <v>10.92</v>
      </c>
      <c r="E95" s="5">
        <v>39</v>
      </c>
      <c r="F95" s="4">
        <v>342684</v>
      </c>
      <c r="G95" s="2" t="s">
        <v>41</v>
      </c>
      <c r="H95" s="7" t="s">
        <v>850</v>
      </c>
      <c r="I95" s="2" t="s">
        <v>50</v>
      </c>
      <c r="J95" s="2" t="s">
        <v>51</v>
      </c>
      <c r="K95" s="2" t="s">
        <v>304</v>
      </c>
      <c r="L95" s="2" t="s">
        <v>4794</v>
      </c>
      <c r="M95" s="8" t="str">
        <f>HYPERLINK("http://slimages.macys.com/is/image/MCY/12341688 ")</f>
        <v xml:space="preserve">http://slimages.macys.com/is/image/MCY/12341688 </v>
      </c>
    </row>
    <row r="96" spans="1:13" ht="60" x14ac:dyDescent="0.25">
      <c r="A96" s="7" t="s">
        <v>5261</v>
      </c>
      <c r="B96" s="2" t="s">
        <v>5262</v>
      </c>
      <c r="C96" s="4">
        <v>1</v>
      </c>
      <c r="D96" s="5">
        <v>10.6</v>
      </c>
      <c r="E96" s="5">
        <v>26.5</v>
      </c>
      <c r="F96" s="4" t="s">
        <v>5263</v>
      </c>
      <c r="G96" s="2" t="s">
        <v>62</v>
      </c>
      <c r="H96" s="7" t="s">
        <v>68</v>
      </c>
      <c r="I96" s="2" t="s">
        <v>690</v>
      </c>
      <c r="J96" s="2" t="s">
        <v>58</v>
      </c>
      <c r="K96" s="2" t="s">
        <v>304</v>
      </c>
      <c r="L96" s="2" t="s">
        <v>38</v>
      </c>
      <c r="M96" s="8" t="str">
        <f>HYPERLINK("http://slimages.macys.com/is/image/MCY/13787149 ")</f>
        <v xml:space="preserve">http://slimages.macys.com/is/image/MCY/13787149 </v>
      </c>
    </row>
    <row r="97" spans="1:13" ht="60" x14ac:dyDescent="0.25">
      <c r="A97" s="7" t="s">
        <v>5264</v>
      </c>
      <c r="B97" s="2" t="s">
        <v>843</v>
      </c>
      <c r="C97" s="4">
        <v>1</v>
      </c>
      <c r="D97" s="5">
        <v>10.57</v>
      </c>
      <c r="E97" s="5">
        <v>24.99</v>
      </c>
      <c r="F97" s="4" t="s">
        <v>5265</v>
      </c>
      <c r="G97" s="2" t="s">
        <v>62</v>
      </c>
      <c r="H97" s="7" t="s">
        <v>196</v>
      </c>
      <c r="I97" s="2" t="s">
        <v>515</v>
      </c>
      <c r="J97" s="2" t="s">
        <v>827</v>
      </c>
      <c r="K97" s="2" t="s">
        <v>304</v>
      </c>
      <c r="L97" s="2" t="s">
        <v>358</v>
      </c>
      <c r="M97" s="8" t="str">
        <f>HYPERLINK("http://slimages.macys.com/is/image/MCY/12687309 ")</f>
        <v xml:space="preserve">http://slimages.macys.com/is/image/MCY/12687309 </v>
      </c>
    </row>
    <row r="98" spans="1:13" ht="60" x14ac:dyDescent="0.25">
      <c r="A98" s="7" t="s">
        <v>5266</v>
      </c>
      <c r="B98" s="2" t="s">
        <v>5267</v>
      </c>
      <c r="C98" s="4">
        <v>2</v>
      </c>
      <c r="D98" s="5">
        <v>10.5</v>
      </c>
      <c r="E98" s="5">
        <v>25.25</v>
      </c>
      <c r="F98" s="4">
        <v>19319110</v>
      </c>
      <c r="G98" s="2" t="s">
        <v>36</v>
      </c>
      <c r="H98" s="7" t="s">
        <v>482</v>
      </c>
      <c r="I98" s="2" t="s">
        <v>153</v>
      </c>
      <c r="J98" s="2" t="s">
        <v>154</v>
      </c>
      <c r="K98" s="2" t="s">
        <v>304</v>
      </c>
      <c r="L98" s="2" t="s">
        <v>38</v>
      </c>
      <c r="M98" s="8" t="str">
        <f>HYPERLINK("http://slimages.macys.com/is/image/MCY/14608351 ")</f>
        <v xml:space="preserve">http://slimages.macys.com/is/image/MCY/14608351 </v>
      </c>
    </row>
    <row r="99" spans="1:13" ht="96" x14ac:dyDescent="0.25">
      <c r="A99" s="7" t="s">
        <v>5268</v>
      </c>
      <c r="B99" s="2" t="s">
        <v>3838</v>
      </c>
      <c r="C99" s="4">
        <v>5</v>
      </c>
      <c r="D99" s="5">
        <v>10.5</v>
      </c>
      <c r="E99" s="5">
        <v>25.25</v>
      </c>
      <c r="F99" s="4">
        <v>19317910</v>
      </c>
      <c r="G99" s="2"/>
      <c r="H99" s="7" t="s">
        <v>482</v>
      </c>
      <c r="I99" s="2" t="s">
        <v>153</v>
      </c>
      <c r="J99" s="2" t="s">
        <v>154</v>
      </c>
      <c r="K99" s="2" t="s">
        <v>304</v>
      </c>
      <c r="L99" s="2" t="s">
        <v>3839</v>
      </c>
      <c r="M99" s="8" t="str">
        <f>HYPERLINK("http://slimages.macys.com/is/image/MCY/14608345 ")</f>
        <v xml:space="preserve">http://slimages.macys.com/is/image/MCY/14608345 </v>
      </c>
    </row>
    <row r="100" spans="1:13" ht="84" x14ac:dyDescent="0.25">
      <c r="A100" s="7" t="s">
        <v>5269</v>
      </c>
      <c r="B100" s="2" t="s">
        <v>809</v>
      </c>
      <c r="C100" s="4">
        <v>5</v>
      </c>
      <c r="D100" s="5">
        <v>10.5</v>
      </c>
      <c r="E100" s="5">
        <v>25.25</v>
      </c>
      <c r="F100" s="4">
        <v>19318710</v>
      </c>
      <c r="G100" s="2"/>
      <c r="H100" s="7" t="s">
        <v>482</v>
      </c>
      <c r="I100" s="2" t="s">
        <v>153</v>
      </c>
      <c r="J100" s="2" t="s">
        <v>154</v>
      </c>
      <c r="K100" s="2" t="s">
        <v>304</v>
      </c>
      <c r="L100" s="2" t="s">
        <v>810</v>
      </c>
      <c r="M100" s="8" t="str">
        <f>HYPERLINK("http://slimages.macys.com/is/image/MCY/14662007 ")</f>
        <v xml:space="preserve">http://slimages.macys.com/is/image/MCY/14662007 </v>
      </c>
    </row>
    <row r="101" spans="1:13" ht="60" x14ac:dyDescent="0.25">
      <c r="A101" s="7" t="s">
        <v>5270</v>
      </c>
      <c r="B101" s="2" t="s">
        <v>5267</v>
      </c>
      <c r="C101" s="4">
        <v>1</v>
      </c>
      <c r="D101" s="5">
        <v>10.5</v>
      </c>
      <c r="E101" s="5">
        <v>25.25</v>
      </c>
      <c r="F101" s="4">
        <v>19319110</v>
      </c>
      <c r="G101" s="2" t="s">
        <v>36</v>
      </c>
      <c r="H101" s="7" t="s">
        <v>233</v>
      </c>
      <c r="I101" s="2" t="s">
        <v>153</v>
      </c>
      <c r="J101" s="2" t="s">
        <v>154</v>
      </c>
      <c r="K101" s="2" t="s">
        <v>304</v>
      </c>
      <c r="L101" s="2" t="s">
        <v>38</v>
      </c>
      <c r="M101" s="8" t="str">
        <f>HYPERLINK("http://slimages.macys.com/is/image/MCY/14608351 ")</f>
        <v xml:space="preserve">http://slimages.macys.com/is/image/MCY/14608351 </v>
      </c>
    </row>
    <row r="102" spans="1:13" ht="84" x14ac:dyDescent="0.25">
      <c r="A102" s="7" t="s">
        <v>2523</v>
      </c>
      <c r="B102" s="2" t="s">
        <v>809</v>
      </c>
      <c r="C102" s="4">
        <v>2</v>
      </c>
      <c r="D102" s="5">
        <v>10.5</v>
      </c>
      <c r="E102" s="5">
        <v>25.25</v>
      </c>
      <c r="F102" s="4">
        <v>19318710</v>
      </c>
      <c r="G102" s="2"/>
      <c r="H102" s="7" t="s">
        <v>233</v>
      </c>
      <c r="I102" s="2" t="s">
        <v>153</v>
      </c>
      <c r="J102" s="2" t="s">
        <v>154</v>
      </c>
      <c r="K102" s="2" t="s">
        <v>304</v>
      </c>
      <c r="L102" s="2" t="s">
        <v>810</v>
      </c>
      <c r="M102" s="8" t="str">
        <f>HYPERLINK("http://slimages.macys.com/is/image/MCY/14662007 ")</f>
        <v xml:space="preserve">http://slimages.macys.com/is/image/MCY/14662007 </v>
      </c>
    </row>
    <row r="103" spans="1:13" ht="120" x14ac:dyDescent="0.25">
      <c r="A103" s="7" t="s">
        <v>267</v>
      </c>
      <c r="B103" s="2" t="s">
        <v>268</v>
      </c>
      <c r="C103" s="4">
        <v>1</v>
      </c>
      <c r="D103" s="5">
        <v>10.5</v>
      </c>
      <c r="E103" s="5">
        <v>25.25</v>
      </c>
      <c r="F103" s="4">
        <v>19319310</v>
      </c>
      <c r="G103" s="2" t="s">
        <v>129</v>
      </c>
      <c r="H103" s="7" t="s">
        <v>233</v>
      </c>
      <c r="I103" s="2" t="s">
        <v>153</v>
      </c>
      <c r="J103" s="2" t="s">
        <v>154</v>
      </c>
      <c r="K103" s="2" t="s">
        <v>304</v>
      </c>
      <c r="L103" s="2" t="s">
        <v>269</v>
      </c>
      <c r="M103" s="8" t="str">
        <f>HYPERLINK("http://slimages.macys.com/is/image/MCY/14662011 ")</f>
        <v xml:space="preserve">http://slimages.macys.com/is/image/MCY/14662011 </v>
      </c>
    </row>
    <row r="104" spans="1:13" ht="120" x14ac:dyDescent="0.25">
      <c r="A104" s="7" t="s">
        <v>5271</v>
      </c>
      <c r="B104" s="2" t="s">
        <v>268</v>
      </c>
      <c r="C104" s="4">
        <v>1</v>
      </c>
      <c r="D104" s="5">
        <v>10.5</v>
      </c>
      <c r="E104" s="5">
        <v>25.25</v>
      </c>
      <c r="F104" s="4">
        <v>19319310</v>
      </c>
      <c r="G104" s="2" t="s">
        <v>129</v>
      </c>
      <c r="H104" s="7" t="s">
        <v>438</v>
      </c>
      <c r="I104" s="2" t="s">
        <v>153</v>
      </c>
      <c r="J104" s="2" t="s">
        <v>154</v>
      </c>
      <c r="K104" s="2" t="s">
        <v>304</v>
      </c>
      <c r="L104" s="2" t="s">
        <v>269</v>
      </c>
      <c r="M104" s="8" t="str">
        <f>HYPERLINK("http://slimages.macys.com/is/image/MCY/14662011 ")</f>
        <v xml:space="preserve">http://slimages.macys.com/is/image/MCY/14662011 </v>
      </c>
    </row>
    <row r="105" spans="1:13" ht="120" x14ac:dyDescent="0.25">
      <c r="A105" s="7" t="s">
        <v>3138</v>
      </c>
      <c r="B105" s="2" t="s">
        <v>268</v>
      </c>
      <c r="C105" s="4">
        <v>5</v>
      </c>
      <c r="D105" s="5">
        <v>10.5</v>
      </c>
      <c r="E105" s="5">
        <v>25.25</v>
      </c>
      <c r="F105" s="4">
        <v>19319310</v>
      </c>
      <c r="G105" s="2" t="s">
        <v>129</v>
      </c>
      <c r="H105" s="7" t="s">
        <v>482</v>
      </c>
      <c r="I105" s="2" t="s">
        <v>153</v>
      </c>
      <c r="J105" s="2" t="s">
        <v>154</v>
      </c>
      <c r="K105" s="2" t="s">
        <v>304</v>
      </c>
      <c r="L105" s="2" t="s">
        <v>269</v>
      </c>
      <c r="M105" s="8" t="str">
        <f>HYPERLINK("http://slimages.macys.com/is/image/MCY/14662011 ")</f>
        <v xml:space="preserve">http://slimages.macys.com/is/image/MCY/14662011 </v>
      </c>
    </row>
    <row r="106" spans="1:13" ht="84" x14ac:dyDescent="0.25">
      <c r="A106" s="7" t="s">
        <v>5272</v>
      </c>
      <c r="B106" s="2" t="s">
        <v>809</v>
      </c>
      <c r="C106" s="4">
        <v>1</v>
      </c>
      <c r="D106" s="5">
        <v>10.5</v>
      </c>
      <c r="E106" s="5">
        <v>25.25</v>
      </c>
      <c r="F106" s="4">
        <v>19318710</v>
      </c>
      <c r="G106" s="2"/>
      <c r="H106" s="7" t="s">
        <v>42</v>
      </c>
      <c r="I106" s="2" t="s">
        <v>153</v>
      </c>
      <c r="J106" s="2" t="s">
        <v>154</v>
      </c>
      <c r="K106" s="2" t="s">
        <v>304</v>
      </c>
      <c r="L106" s="2" t="s">
        <v>810</v>
      </c>
      <c r="M106" s="8" t="str">
        <f>HYPERLINK("http://slimages.macys.com/is/image/MCY/14662007 ")</f>
        <v xml:space="preserve">http://slimages.macys.com/is/image/MCY/14662007 </v>
      </c>
    </row>
    <row r="107" spans="1:13" ht="60" x14ac:dyDescent="0.25">
      <c r="A107" s="7" t="s">
        <v>5273</v>
      </c>
      <c r="B107" s="2" t="s">
        <v>5267</v>
      </c>
      <c r="C107" s="4">
        <v>1</v>
      </c>
      <c r="D107" s="5">
        <v>10.5</v>
      </c>
      <c r="E107" s="5">
        <v>25.25</v>
      </c>
      <c r="F107" s="4">
        <v>19319110</v>
      </c>
      <c r="G107" s="2" t="s">
        <v>36</v>
      </c>
      <c r="H107" s="7" t="s">
        <v>438</v>
      </c>
      <c r="I107" s="2" t="s">
        <v>153</v>
      </c>
      <c r="J107" s="2" t="s">
        <v>154</v>
      </c>
      <c r="K107" s="2" t="s">
        <v>304</v>
      </c>
      <c r="L107" s="2" t="s">
        <v>38</v>
      </c>
      <c r="M107" s="8" t="str">
        <f>HYPERLINK("http://slimages.macys.com/is/image/MCY/14608351 ")</f>
        <v xml:space="preserve">http://slimages.macys.com/is/image/MCY/14608351 </v>
      </c>
    </row>
    <row r="108" spans="1:13" ht="84" x14ac:dyDescent="0.25">
      <c r="A108" s="7" t="s">
        <v>5274</v>
      </c>
      <c r="B108" s="2" t="s">
        <v>809</v>
      </c>
      <c r="C108" s="4">
        <v>1</v>
      </c>
      <c r="D108" s="5">
        <v>10.5</v>
      </c>
      <c r="E108" s="5">
        <v>25.25</v>
      </c>
      <c r="F108" s="4">
        <v>19318710</v>
      </c>
      <c r="G108" s="2"/>
      <c r="H108" s="7" t="s">
        <v>442</v>
      </c>
      <c r="I108" s="2" t="s">
        <v>153</v>
      </c>
      <c r="J108" s="2" t="s">
        <v>154</v>
      </c>
      <c r="K108" s="2" t="s">
        <v>304</v>
      </c>
      <c r="L108" s="2" t="s">
        <v>810</v>
      </c>
      <c r="M108" s="8" t="str">
        <f>HYPERLINK("http://slimages.macys.com/is/image/MCY/14662007 ")</f>
        <v xml:space="preserve">http://slimages.macys.com/is/image/MCY/14662007 </v>
      </c>
    </row>
    <row r="109" spans="1:13" ht="84" x14ac:dyDescent="0.25">
      <c r="A109" s="7" t="s">
        <v>5275</v>
      </c>
      <c r="B109" s="2" t="s">
        <v>809</v>
      </c>
      <c r="C109" s="4">
        <v>1</v>
      </c>
      <c r="D109" s="5">
        <v>10.5</v>
      </c>
      <c r="E109" s="5">
        <v>25.25</v>
      </c>
      <c r="F109" s="4">
        <v>19318710</v>
      </c>
      <c r="G109" s="2"/>
      <c r="H109" s="7" t="s">
        <v>675</v>
      </c>
      <c r="I109" s="2" t="s">
        <v>153</v>
      </c>
      <c r="J109" s="2" t="s">
        <v>154</v>
      </c>
      <c r="K109" s="2" t="s">
        <v>304</v>
      </c>
      <c r="L109" s="2" t="s">
        <v>810</v>
      </c>
      <c r="M109" s="8" t="str">
        <f>HYPERLINK("http://slimages.macys.com/is/image/MCY/14662007 ")</f>
        <v xml:space="preserve">http://slimages.macys.com/is/image/MCY/14662007 </v>
      </c>
    </row>
    <row r="110" spans="1:13" ht="96" x14ac:dyDescent="0.25">
      <c r="A110" s="7" t="s">
        <v>5276</v>
      </c>
      <c r="B110" s="2" t="s">
        <v>3825</v>
      </c>
      <c r="C110" s="4">
        <v>1</v>
      </c>
      <c r="D110" s="5">
        <v>10.5</v>
      </c>
      <c r="E110" s="5">
        <v>26.5</v>
      </c>
      <c r="F110" s="4" t="s">
        <v>5277</v>
      </c>
      <c r="G110" s="2" t="s">
        <v>310</v>
      </c>
      <c r="H110" s="7" t="s">
        <v>311</v>
      </c>
      <c r="I110" s="2" t="s">
        <v>380</v>
      </c>
      <c r="J110" s="2" t="s">
        <v>99</v>
      </c>
      <c r="K110" s="2" t="s">
        <v>304</v>
      </c>
      <c r="L110" s="2" t="s">
        <v>3834</v>
      </c>
      <c r="M110" s="8" t="str">
        <f>HYPERLINK("http://slimages.macys.com/is/image/MCY/11451852 ")</f>
        <v xml:space="preserve">http://slimages.macys.com/is/image/MCY/11451852 </v>
      </c>
    </row>
    <row r="111" spans="1:13" ht="84" x14ac:dyDescent="0.25">
      <c r="A111" s="7" t="s">
        <v>808</v>
      </c>
      <c r="B111" s="2" t="s">
        <v>809</v>
      </c>
      <c r="C111" s="4">
        <v>1</v>
      </c>
      <c r="D111" s="5">
        <v>10.5</v>
      </c>
      <c r="E111" s="5">
        <v>25.25</v>
      </c>
      <c r="F111" s="4">
        <v>19318710</v>
      </c>
      <c r="G111" s="2"/>
      <c r="H111" s="7" t="s">
        <v>91</v>
      </c>
      <c r="I111" s="2" t="s">
        <v>153</v>
      </c>
      <c r="J111" s="2" t="s">
        <v>154</v>
      </c>
      <c r="K111" s="2" t="s">
        <v>304</v>
      </c>
      <c r="L111" s="2" t="s">
        <v>810</v>
      </c>
      <c r="M111" s="8" t="str">
        <f>HYPERLINK("http://slimages.macys.com/is/image/MCY/14662007 ")</f>
        <v xml:space="preserve">http://slimages.macys.com/is/image/MCY/14662007 </v>
      </c>
    </row>
    <row r="112" spans="1:13" ht="84" x14ac:dyDescent="0.25">
      <c r="A112" s="7" t="s">
        <v>2521</v>
      </c>
      <c r="B112" s="2" t="s">
        <v>809</v>
      </c>
      <c r="C112" s="4">
        <v>1</v>
      </c>
      <c r="D112" s="5">
        <v>10.5</v>
      </c>
      <c r="E112" s="5">
        <v>25.25</v>
      </c>
      <c r="F112" s="4">
        <v>19318710</v>
      </c>
      <c r="G112" s="2"/>
      <c r="H112" s="7" t="s">
        <v>438</v>
      </c>
      <c r="I112" s="2" t="s">
        <v>153</v>
      </c>
      <c r="J112" s="2" t="s">
        <v>154</v>
      </c>
      <c r="K112" s="2" t="s">
        <v>304</v>
      </c>
      <c r="L112" s="2" t="s">
        <v>810</v>
      </c>
      <c r="M112" s="8" t="str">
        <f>HYPERLINK("http://slimages.macys.com/is/image/MCY/14662007 ")</f>
        <v xml:space="preserve">http://slimages.macys.com/is/image/MCY/14662007 </v>
      </c>
    </row>
    <row r="113" spans="1:13" ht="120" x14ac:dyDescent="0.25">
      <c r="A113" s="7" t="s">
        <v>3844</v>
      </c>
      <c r="B113" s="2" t="s">
        <v>268</v>
      </c>
      <c r="C113" s="4">
        <v>1</v>
      </c>
      <c r="D113" s="5">
        <v>10.5</v>
      </c>
      <c r="E113" s="5">
        <v>25.25</v>
      </c>
      <c r="F113" s="4">
        <v>19319310</v>
      </c>
      <c r="G113" s="2" t="s">
        <v>129</v>
      </c>
      <c r="H113" s="7" t="s">
        <v>675</v>
      </c>
      <c r="I113" s="2" t="s">
        <v>153</v>
      </c>
      <c r="J113" s="2" t="s">
        <v>154</v>
      </c>
      <c r="K113" s="2" t="s">
        <v>304</v>
      </c>
      <c r="L113" s="2" t="s">
        <v>269</v>
      </c>
      <c r="M113" s="8" t="str">
        <f>HYPERLINK("http://slimages.macys.com/is/image/MCY/14662011 ")</f>
        <v xml:space="preserve">http://slimages.macys.com/is/image/MCY/14662011 </v>
      </c>
    </row>
    <row r="114" spans="1:13" ht="144" x14ac:dyDescent="0.25">
      <c r="A114" s="7" t="s">
        <v>5278</v>
      </c>
      <c r="B114" s="2" t="s">
        <v>5279</v>
      </c>
      <c r="C114" s="4">
        <v>1</v>
      </c>
      <c r="D114" s="5">
        <v>10.5</v>
      </c>
      <c r="E114" s="5">
        <v>25.25</v>
      </c>
      <c r="F114" s="4">
        <v>19319510</v>
      </c>
      <c r="G114" s="2" t="s">
        <v>28</v>
      </c>
      <c r="H114" s="7" t="s">
        <v>91</v>
      </c>
      <c r="I114" s="2" t="s">
        <v>153</v>
      </c>
      <c r="J114" s="2" t="s">
        <v>154</v>
      </c>
      <c r="K114" s="2" t="s">
        <v>304</v>
      </c>
      <c r="L114" s="2" t="s">
        <v>5280</v>
      </c>
      <c r="M114" s="8" t="str">
        <f>HYPERLINK("http://slimages.macys.com/is/image/MCY/14661879 ")</f>
        <v xml:space="preserve">http://slimages.macys.com/is/image/MCY/14661879 </v>
      </c>
    </row>
    <row r="115" spans="1:13" ht="60" x14ac:dyDescent="0.25">
      <c r="A115" s="7" t="s">
        <v>5281</v>
      </c>
      <c r="B115" s="2" t="s">
        <v>5282</v>
      </c>
      <c r="C115" s="4">
        <v>1</v>
      </c>
      <c r="D115" s="5">
        <v>10.5</v>
      </c>
      <c r="E115" s="5">
        <v>24.99</v>
      </c>
      <c r="F115" s="4" t="s">
        <v>5283</v>
      </c>
      <c r="G115" s="2" t="s">
        <v>171</v>
      </c>
      <c r="H115" s="7" t="s">
        <v>2740</v>
      </c>
      <c r="I115" s="2" t="s">
        <v>257</v>
      </c>
      <c r="J115" s="2" t="s">
        <v>258</v>
      </c>
      <c r="K115" s="2" t="s">
        <v>304</v>
      </c>
      <c r="L115" s="2" t="s">
        <v>38</v>
      </c>
      <c r="M115" s="8" t="str">
        <f>HYPERLINK("http://slimages.macys.com/is/image/MCY/11723088 ")</f>
        <v xml:space="preserve">http://slimages.macys.com/is/image/MCY/11723088 </v>
      </c>
    </row>
    <row r="116" spans="1:13" ht="60" x14ac:dyDescent="0.25">
      <c r="A116" s="7" t="s">
        <v>5284</v>
      </c>
      <c r="B116" s="2" t="s">
        <v>5282</v>
      </c>
      <c r="C116" s="4">
        <v>2</v>
      </c>
      <c r="D116" s="5">
        <v>10.5</v>
      </c>
      <c r="E116" s="5">
        <v>24.99</v>
      </c>
      <c r="F116" s="4" t="s">
        <v>5283</v>
      </c>
      <c r="G116" s="2" t="s">
        <v>171</v>
      </c>
      <c r="H116" s="7" t="s">
        <v>97</v>
      </c>
      <c r="I116" s="2" t="s">
        <v>257</v>
      </c>
      <c r="J116" s="2" t="s">
        <v>258</v>
      </c>
      <c r="K116" s="2" t="s">
        <v>304</v>
      </c>
      <c r="L116" s="2" t="s">
        <v>38</v>
      </c>
      <c r="M116" s="8" t="str">
        <f>HYPERLINK("http://slimages.macys.com/is/image/MCY/11723088 ")</f>
        <v xml:space="preserve">http://slimages.macys.com/is/image/MCY/11723088 </v>
      </c>
    </row>
    <row r="117" spans="1:13" ht="72" x14ac:dyDescent="0.25">
      <c r="A117" s="7" t="s">
        <v>5285</v>
      </c>
      <c r="B117" s="2" t="s">
        <v>3140</v>
      </c>
      <c r="C117" s="4">
        <v>1</v>
      </c>
      <c r="D117" s="5">
        <v>10.47</v>
      </c>
      <c r="E117" s="5">
        <v>29.99</v>
      </c>
      <c r="F117" s="4" t="s">
        <v>3141</v>
      </c>
      <c r="G117" s="2" t="s">
        <v>28</v>
      </c>
      <c r="H117" s="7" t="s">
        <v>172</v>
      </c>
      <c r="I117" s="2" t="s">
        <v>389</v>
      </c>
      <c r="J117" s="2" t="s">
        <v>354</v>
      </c>
      <c r="K117" s="2" t="s">
        <v>304</v>
      </c>
      <c r="L117" s="2" t="s">
        <v>3142</v>
      </c>
      <c r="M117" s="8" t="str">
        <f>HYPERLINK("http://slimages.macys.com/is/image/MCY/9875269 ")</f>
        <v xml:space="preserve">http://slimages.macys.com/is/image/MCY/9875269 </v>
      </c>
    </row>
    <row r="118" spans="1:13" ht="60" x14ac:dyDescent="0.25">
      <c r="A118" s="7" t="s">
        <v>5286</v>
      </c>
      <c r="B118" s="2" t="s">
        <v>3954</v>
      </c>
      <c r="C118" s="4">
        <v>1</v>
      </c>
      <c r="D118" s="5">
        <v>10.130000000000001</v>
      </c>
      <c r="E118" s="5">
        <v>22.5</v>
      </c>
      <c r="F118" s="4">
        <v>322703646020</v>
      </c>
      <c r="G118" s="2" t="s">
        <v>28</v>
      </c>
      <c r="H118" s="7" t="s">
        <v>166</v>
      </c>
      <c r="I118" s="2" t="s">
        <v>204</v>
      </c>
      <c r="J118" s="2" t="s">
        <v>205</v>
      </c>
      <c r="K118" s="2" t="s">
        <v>304</v>
      </c>
      <c r="L118" s="2" t="s">
        <v>119</v>
      </c>
      <c r="M118" s="8" t="str">
        <f>HYPERLINK("http://slimages.macys.com/is/image/MCY/11501784 ")</f>
        <v xml:space="preserve">http://slimages.macys.com/is/image/MCY/11501784 </v>
      </c>
    </row>
    <row r="119" spans="1:13" ht="60" x14ac:dyDescent="0.25">
      <c r="A119" s="7" t="s">
        <v>281</v>
      </c>
      <c r="B119" s="2" t="s">
        <v>282</v>
      </c>
      <c r="C119" s="4">
        <v>1</v>
      </c>
      <c r="D119" s="5">
        <v>10</v>
      </c>
      <c r="E119" s="5">
        <v>25</v>
      </c>
      <c r="F119" s="4">
        <v>1329007</v>
      </c>
      <c r="G119" s="2" t="s">
        <v>283</v>
      </c>
      <c r="H119" s="7" t="s">
        <v>284</v>
      </c>
      <c r="I119" s="2" t="s">
        <v>80</v>
      </c>
      <c r="J119" s="2" t="s">
        <v>280</v>
      </c>
      <c r="K119" s="2" t="s">
        <v>304</v>
      </c>
      <c r="L119" s="2" t="s">
        <v>125</v>
      </c>
      <c r="M119" s="8" t="str">
        <f>HYPERLINK("http://slimages.macys.com/is/image/MCY/14888348 ")</f>
        <v xml:space="preserve">http://slimages.macys.com/is/image/MCY/14888348 </v>
      </c>
    </row>
    <row r="120" spans="1:13" ht="60" x14ac:dyDescent="0.25">
      <c r="A120" s="7" t="s">
        <v>5287</v>
      </c>
      <c r="B120" s="2" t="s">
        <v>5288</v>
      </c>
      <c r="C120" s="4">
        <v>1</v>
      </c>
      <c r="D120" s="5">
        <v>9.9499999999999993</v>
      </c>
      <c r="E120" s="5">
        <v>24.99</v>
      </c>
      <c r="F120" s="4" t="s">
        <v>5289</v>
      </c>
      <c r="G120" s="2" t="s">
        <v>310</v>
      </c>
      <c r="H120" s="7" t="s">
        <v>317</v>
      </c>
      <c r="I120" s="2" t="s">
        <v>312</v>
      </c>
      <c r="J120" s="2" t="s">
        <v>313</v>
      </c>
      <c r="K120" s="2" t="s">
        <v>304</v>
      </c>
      <c r="L120" s="2" t="s">
        <v>125</v>
      </c>
      <c r="M120" s="8" t="str">
        <f>HYPERLINK("http://slimages.macys.com/is/image/MCY/11488749 ")</f>
        <v xml:space="preserve">http://slimages.macys.com/is/image/MCY/11488749 </v>
      </c>
    </row>
    <row r="121" spans="1:13" ht="156" x14ac:dyDescent="0.25">
      <c r="A121" s="7" t="s">
        <v>3866</v>
      </c>
      <c r="B121" s="2" t="s">
        <v>3038</v>
      </c>
      <c r="C121" s="4">
        <v>1</v>
      </c>
      <c r="D121" s="5">
        <v>9.9</v>
      </c>
      <c r="E121" s="5">
        <v>22.52</v>
      </c>
      <c r="F121" s="4">
        <v>19318910</v>
      </c>
      <c r="G121" s="2"/>
      <c r="H121" s="7" t="s">
        <v>438</v>
      </c>
      <c r="I121" s="2" t="s">
        <v>153</v>
      </c>
      <c r="J121" s="2" t="s">
        <v>154</v>
      </c>
      <c r="K121" s="2" t="s">
        <v>304</v>
      </c>
      <c r="L121" s="2" t="s">
        <v>3867</v>
      </c>
      <c r="M121" s="8" t="str">
        <f>HYPERLINK("http://slimages.macys.com/is/image/MCY/14608329 ")</f>
        <v xml:space="preserve">http://slimages.macys.com/is/image/MCY/14608329 </v>
      </c>
    </row>
    <row r="122" spans="1:13" ht="108" x14ac:dyDescent="0.25">
      <c r="A122" s="7" t="s">
        <v>5290</v>
      </c>
      <c r="B122" s="2" t="s">
        <v>2529</v>
      </c>
      <c r="C122" s="4">
        <v>1</v>
      </c>
      <c r="D122" s="5">
        <v>9.65</v>
      </c>
      <c r="E122" s="5">
        <v>19.3</v>
      </c>
      <c r="F122" s="4" t="s">
        <v>2530</v>
      </c>
      <c r="G122" s="2" t="s">
        <v>36</v>
      </c>
      <c r="H122" s="7" t="s">
        <v>166</v>
      </c>
      <c r="I122" s="2" t="s">
        <v>487</v>
      </c>
      <c r="J122" s="2" t="s">
        <v>488</v>
      </c>
      <c r="K122" s="2" t="s">
        <v>304</v>
      </c>
      <c r="L122" s="2" t="s">
        <v>2532</v>
      </c>
      <c r="M122" s="8" t="str">
        <f>HYPERLINK("http://slimages.macys.com/is/image/MCY/11867502 ")</f>
        <v xml:space="preserve">http://slimages.macys.com/is/image/MCY/11867502 </v>
      </c>
    </row>
    <row r="123" spans="1:13" ht="60" x14ac:dyDescent="0.25">
      <c r="A123" s="7" t="s">
        <v>5291</v>
      </c>
      <c r="B123" s="2" t="s">
        <v>5292</v>
      </c>
      <c r="C123" s="4">
        <v>1</v>
      </c>
      <c r="D123" s="5">
        <v>9.4700000000000006</v>
      </c>
      <c r="E123" s="5">
        <v>22.99</v>
      </c>
      <c r="F123" s="4" t="s">
        <v>5293</v>
      </c>
      <c r="G123" s="2" t="s">
        <v>171</v>
      </c>
      <c r="H123" s="7" t="s">
        <v>284</v>
      </c>
      <c r="I123" s="2" t="s">
        <v>292</v>
      </c>
      <c r="J123" s="2" t="s">
        <v>293</v>
      </c>
      <c r="K123" s="2" t="s">
        <v>304</v>
      </c>
      <c r="L123" s="2" t="s">
        <v>596</v>
      </c>
      <c r="M123" s="8" t="str">
        <f>HYPERLINK("http://slimages.macys.com/is/image/MCY/13938956 ")</f>
        <v xml:space="preserve">http://slimages.macys.com/is/image/MCY/13938956 </v>
      </c>
    </row>
    <row r="124" spans="1:13" ht="60" x14ac:dyDescent="0.25">
      <c r="A124" s="7" t="s">
        <v>5294</v>
      </c>
      <c r="B124" s="2" t="s">
        <v>5295</v>
      </c>
      <c r="C124" s="4">
        <v>1</v>
      </c>
      <c r="D124" s="5">
        <v>9.4700000000000006</v>
      </c>
      <c r="E124" s="5">
        <v>11.98</v>
      </c>
      <c r="F124" s="4" t="s">
        <v>5296</v>
      </c>
      <c r="G124" s="2" t="s">
        <v>41</v>
      </c>
      <c r="H124" s="7" t="s">
        <v>5297</v>
      </c>
      <c r="I124" s="2" t="s">
        <v>523</v>
      </c>
      <c r="J124" s="2" t="s">
        <v>5298</v>
      </c>
      <c r="K124" s="2"/>
      <c r="L124" s="2"/>
      <c r="M124" s="8" t="str">
        <f>HYPERLINK("http://slimages.macys.com/is/image/MCY/2216734 ")</f>
        <v xml:space="preserve">http://slimages.macys.com/is/image/MCY/2216734 </v>
      </c>
    </row>
    <row r="125" spans="1:13" ht="60" x14ac:dyDescent="0.25">
      <c r="A125" s="7" t="s">
        <v>5299</v>
      </c>
      <c r="B125" s="2" t="s">
        <v>5300</v>
      </c>
      <c r="C125" s="4">
        <v>1</v>
      </c>
      <c r="D125" s="5">
        <v>9.44</v>
      </c>
      <c r="E125" s="5">
        <v>24.99</v>
      </c>
      <c r="F125" s="4" t="s">
        <v>5301</v>
      </c>
      <c r="G125" s="2" t="s">
        <v>165</v>
      </c>
      <c r="H125" s="7" t="s">
        <v>284</v>
      </c>
      <c r="I125" s="2" t="s">
        <v>515</v>
      </c>
      <c r="J125" s="2" t="s">
        <v>827</v>
      </c>
      <c r="K125" s="2" t="s">
        <v>304</v>
      </c>
      <c r="L125" s="2" t="s">
        <v>358</v>
      </c>
      <c r="M125" s="8" t="str">
        <f>HYPERLINK("http://slimages.macys.com/is/image/MCY/8137359 ")</f>
        <v xml:space="preserve">http://slimages.macys.com/is/image/MCY/8137359 </v>
      </c>
    </row>
    <row r="126" spans="1:13" ht="96" x14ac:dyDescent="0.25">
      <c r="A126" s="7" t="s">
        <v>5302</v>
      </c>
      <c r="B126" s="2" t="s">
        <v>3192</v>
      </c>
      <c r="C126" s="4">
        <v>1</v>
      </c>
      <c r="D126" s="5">
        <v>9.41</v>
      </c>
      <c r="E126" s="5">
        <v>22.99</v>
      </c>
      <c r="F126" s="4" t="s">
        <v>3193</v>
      </c>
      <c r="G126" s="2" t="s">
        <v>1091</v>
      </c>
      <c r="H126" s="7" t="s">
        <v>149</v>
      </c>
      <c r="I126" s="2" t="s">
        <v>483</v>
      </c>
      <c r="J126" s="2" t="s">
        <v>536</v>
      </c>
      <c r="K126" s="2" t="s">
        <v>304</v>
      </c>
      <c r="L126" s="2" t="s">
        <v>3194</v>
      </c>
      <c r="M126" s="8" t="str">
        <f>HYPERLINK("http://slimages.macys.com/is/image/MCY/14385247 ")</f>
        <v xml:space="preserve">http://slimages.macys.com/is/image/MCY/14385247 </v>
      </c>
    </row>
    <row r="127" spans="1:13" ht="60" x14ac:dyDescent="0.25">
      <c r="A127" s="7" t="s">
        <v>5303</v>
      </c>
      <c r="B127" s="2" t="s">
        <v>5304</v>
      </c>
      <c r="C127" s="4">
        <v>1</v>
      </c>
      <c r="D127" s="5">
        <v>9.4</v>
      </c>
      <c r="E127" s="5">
        <v>24.99</v>
      </c>
      <c r="F127" s="4" t="s">
        <v>5305</v>
      </c>
      <c r="G127" s="2" t="s">
        <v>310</v>
      </c>
      <c r="H127" s="7" t="s">
        <v>177</v>
      </c>
      <c r="I127" s="2" t="s">
        <v>312</v>
      </c>
      <c r="J127" s="2" t="s">
        <v>1618</v>
      </c>
      <c r="K127" s="2" t="s">
        <v>304</v>
      </c>
      <c r="L127" s="2" t="s">
        <v>125</v>
      </c>
      <c r="M127" s="8" t="str">
        <f>HYPERLINK("http://slimages.macys.com/is/image/MCY/13294910 ")</f>
        <v xml:space="preserve">http://slimages.macys.com/is/image/MCY/13294910 </v>
      </c>
    </row>
    <row r="128" spans="1:13" ht="60" x14ac:dyDescent="0.25">
      <c r="A128" s="7" t="s">
        <v>5306</v>
      </c>
      <c r="B128" s="2" t="s">
        <v>5307</v>
      </c>
      <c r="C128" s="4">
        <v>1</v>
      </c>
      <c r="D128" s="5">
        <v>9.35</v>
      </c>
      <c r="E128" s="5">
        <v>22.99</v>
      </c>
      <c r="F128" s="4">
        <v>848196</v>
      </c>
      <c r="G128" s="2" t="s">
        <v>582</v>
      </c>
      <c r="H128" s="7" t="s">
        <v>228</v>
      </c>
      <c r="I128" s="2" t="s">
        <v>73</v>
      </c>
      <c r="J128" s="2" t="s">
        <v>160</v>
      </c>
      <c r="K128" s="2" t="s">
        <v>304</v>
      </c>
      <c r="L128" s="2" t="s">
        <v>125</v>
      </c>
      <c r="M128" s="8" t="str">
        <f>HYPERLINK("http://slimages.macys.com/is/image/MCY/13860974 ")</f>
        <v xml:space="preserve">http://slimages.macys.com/is/image/MCY/13860974 </v>
      </c>
    </row>
    <row r="129" spans="1:13" ht="60" x14ac:dyDescent="0.25">
      <c r="A129" s="7" t="s">
        <v>5308</v>
      </c>
      <c r="B129" s="2" t="s">
        <v>374</v>
      </c>
      <c r="C129" s="4">
        <v>1</v>
      </c>
      <c r="D129" s="5">
        <v>9.2799999999999994</v>
      </c>
      <c r="E129" s="5">
        <v>17.989999999999998</v>
      </c>
      <c r="F129" s="4" t="s">
        <v>3884</v>
      </c>
      <c r="G129" s="2" t="s">
        <v>1265</v>
      </c>
      <c r="H129" s="7" t="s">
        <v>172</v>
      </c>
      <c r="I129" s="2" t="s">
        <v>73</v>
      </c>
      <c r="J129" s="2" t="s">
        <v>249</v>
      </c>
      <c r="K129" s="2" t="s">
        <v>304</v>
      </c>
      <c r="L129" s="2" t="s">
        <v>358</v>
      </c>
      <c r="M129" s="8" t="str">
        <f>HYPERLINK("http://slimages.macys.com/is/image/MCY/12224447 ")</f>
        <v xml:space="preserve">http://slimages.macys.com/is/image/MCY/12224447 </v>
      </c>
    </row>
    <row r="130" spans="1:13" ht="60" x14ac:dyDescent="0.25">
      <c r="A130" s="7" t="s">
        <v>5309</v>
      </c>
      <c r="B130" s="2" t="s">
        <v>5310</v>
      </c>
      <c r="C130" s="4">
        <v>1</v>
      </c>
      <c r="D130" s="5">
        <v>9.25</v>
      </c>
      <c r="E130" s="5">
        <v>19.989999999999998</v>
      </c>
      <c r="F130" s="4" t="s">
        <v>5311</v>
      </c>
      <c r="G130" s="2" t="s">
        <v>62</v>
      </c>
      <c r="H130" s="7" t="s">
        <v>531</v>
      </c>
      <c r="I130" s="2" t="s">
        <v>815</v>
      </c>
      <c r="J130" s="2" t="s">
        <v>3211</v>
      </c>
      <c r="K130" s="2" t="s">
        <v>304</v>
      </c>
      <c r="L130" s="2" t="s">
        <v>3212</v>
      </c>
      <c r="M130" s="8" t="str">
        <f>HYPERLINK("http://slimages.macys.com/is/image/MCY/13054651 ")</f>
        <v xml:space="preserve">http://slimages.macys.com/is/image/MCY/13054651 </v>
      </c>
    </row>
    <row r="131" spans="1:13" ht="60" x14ac:dyDescent="0.25">
      <c r="A131" s="7" t="s">
        <v>5312</v>
      </c>
      <c r="B131" s="2" t="s">
        <v>5313</v>
      </c>
      <c r="C131" s="4">
        <v>2</v>
      </c>
      <c r="D131" s="5">
        <v>9.25</v>
      </c>
      <c r="E131" s="5">
        <v>25.99</v>
      </c>
      <c r="F131" s="4" t="s">
        <v>5314</v>
      </c>
      <c r="G131" s="2" t="s">
        <v>310</v>
      </c>
      <c r="H131" s="7" t="s">
        <v>42</v>
      </c>
      <c r="I131" s="2" t="s">
        <v>135</v>
      </c>
      <c r="J131" s="2" t="s">
        <v>5315</v>
      </c>
      <c r="K131" s="2"/>
      <c r="L131" s="2"/>
      <c r="M131" s="8" t="str">
        <f>HYPERLINK("http://slimages.macys.com/is/image/MCY/10038436 ")</f>
        <v xml:space="preserve">http://slimages.macys.com/is/image/MCY/10038436 </v>
      </c>
    </row>
    <row r="132" spans="1:13" ht="60" x14ac:dyDescent="0.25">
      <c r="A132" s="7" t="s">
        <v>5316</v>
      </c>
      <c r="B132" s="2" t="s">
        <v>5317</v>
      </c>
      <c r="C132" s="4">
        <v>1</v>
      </c>
      <c r="D132" s="5">
        <v>9.1999999999999993</v>
      </c>
      <c r="E132" s="5">
        <v>21.99</v>
      </c>
      <c r="F132" s="4">
        <v>16519810</v>
      </c>
      <c r="G132" s="2" t="s">
        <v>653</v>
      </c>
      <c r="H132" s="7" t="s">
        <v>91</v>
      </c>
      <c r="I132" s="2" t="s">
        <v>153</v>
      </c>
      <c r="J132" s="2" t="s">
        <v>154</v>
      </c>
      <c r="K132" s="2" t="s">
        <v>304</v>
      </c>
      <c r="L132" s="2" t="s">
        <v>38</v>
      </c>
      <c r="M132" s="8" t="str">
        <f>HYPERLINK("http://slimages.macys.com/is/image/MCY/11867480 ")</f>
        <v xml:space="preserve">http://slimages.macys.com/is/image/MCY/11867480 </v>
      </c>
    </row>
    <row r="133" spans="1:13" ht="60" x14ac:dyDescent="0.25">
      <c r="A133" s="7" t="s">
        <v>5318</v>
      </c>
      <c r="B133" s="2" t="s">
        <v>5319</v>
      </c>
      <c r="C133" s="4">
        <v>1</v>
      </c>
      <c r="D133" s="5">
        <v>9.1199999999999992</v>
      </c>
      <c r="E133" s="5">
        <v>24</v>
      </c>
      <c r="F133" s="4" t="s">
        <v>5320</v>
      </c>
      <c r="G133" s="2" t="s">
        <v>134</v>
      </c>
      <c r="H133" s="7" t="s">
        <v>177</v>
      </c>
      <c r="I133" s="2" t="s">
        <v>700</v>
      </c>
      <c r="J133" s="2" t="s">
        <v>1721</v>
      </c>
      <c r="K133" s="2" t="s">
        <v>304</v>
      </c>
      <c r="L133" s="2" t="s">
        <v>3900</v>
      </c>
      <c r="M133" s="8" t="str">
        <f>HYPERLINK("http://slimages.macys.com/is/image/MCY/15722747 ")</f>
        <v xml:space="preserve">http://slimages.macys.com/is/image/MCY/15722747 </v>
      </c>
    </row>
    <row r="134" spans="1:13" ht="60" x14ac:dyDescent="0.25">
      <c r="A134" s="7" t="s">
        <v>5321</v>
      </c>
      <c r="B134" s="2" t="s">
        <v>333</v>
      </c>
      <c r="C134" s="4">
        <v>1</v>
      </c>
      <c r="D134" s="5">
        <v>9.1</v>
      </c>
      <c r="E134" s="5">
        <v>19.989999999999998</v>
      </c>
      <c r="F134" s="4" t="s">
        <v>841</v>
      </c>
      <c r="G134" s="2" t="s">
        <v>62</v>
      </c>
      <c r="H134" s="7" t="s">
        <v>248</v>
      </c>
      <c r="I134" s="2" t="s">
        <v>73</v>
      </c>
      <c r="J134" s="2" t="s">
        <v>249</v>
      </c>
      <c r="K134" s="2" t="s">
        <v>304</v>
      </c>
      <c r="L134" s="2" t="s">
        <v>335</v>
      </c>
      <c r="M134" s="8" t="str">
        <f>HYPERLINK("http://slimages.macys.com/is/image/MCY/14365354 ")</f>
        <v xml:space="preserve">http://slimages.macys.com/is/image/MCY/14365354 </v>
      </c>
    </row>
    <row r="135" spans="1:13" ht="60" x14ac:dyDescent="0.25">
      <c r="A135" s="7" t="s">
        <v>5322</v>
      </c>
      <c r="B135" s="2" t="s">
        <v>5323</v>
      </c>
      <c r="C135" s="4">
        <v>1</v>
      </c>
      <c r="D135" s="5">
        <v>9</v>
      </c>
      <c r="E135" s="5">
        <v>17.989999999999998</v>
      </c>
      <c r="F135" s="4" t="s">
        <v>5324</v>
      </c>
      <c r="G135" s="2" t="s">
        <v>36</v>
      </c>
      <c r="H135" s="7"/>
      <c r="I135" s="2" t="s">
        <v>30</v>
      </c>
      <c r="J135" s="2" t="s">
        <v>658</v>
      </c>
      <c r="K135" s="2" t="s">
        <v>304</v>
      </c>
      <c r="L135" s="2" t="s">
        <v>1648</v>
      </c>
      <c r="M135" s="8" t="str">
        <f>HYPERLINK("http://slimages.macys.com/is/image/MCY/11686729 ")</f>
        <v xml:space="preserve">http://slimages.macys.com/is/image/MCY/11686729 </v>
      </c>
    </row>
    <row r="136" spans="1:13" ht="60" x14ac:dyDescent="0.25">
      <c r="A136" s="7" t="s">
        <v>5325</v>
      </c>
      <c r="B136" s="2" t="s">
        <v>5326</v>
      </c>
      <c r="C136" s="4">
        <v>1</v>
      </c>
      <c r="D136" s="5">
        <v>9</v>
      </c>
      <c r="E136" s="5">
        <v>20</v>
      </c>
      <c r="F136" s="4">
        <v>1327869</v>
      </c>
      <c r="G136" s="2" t="s">
        <v>41</v>
      </c>
      <c r="H136" s="7" t="s">
        <v>228</v>
      </c>
      <c r="I136" s="2" t="s">
        <v>73</v>
      </c>
      <c r="J136" s="2" t="s">
        <v>280</v>
      </c>
      <c r="K136" s="2" t="s">
        <v>304</v>
      </c>
      <c r="L136" s="2" t="s">
        <v>119</v>
      </c>
      <c r="M136" s="8" t="str">
        <f>HYPERLINK("http://slimages.macys.com/is/image/MCY/12738032 ")</f>
        <v xml:space="preserve">http://slimages.macys.com/is/image/MCY/12738032 </v>
      </c>
    </row>
    <row r="137" spans="1:13" ht="60" x14ac:dyDescent="0.25">
      <c r="A137" s="7" t="s">
        <v>5327</v>
      </c>
      <c r="B137" s="2" t="s">
        <v>5328</v>
      </c>
      <c r="C137" s="4">
        <v>1</v>
      </c>
      <c r="D137" s="5">
        <v>9</v>
      </c>
      <c r="E137" s="5">
        <v>21.99</v>
      </c>
      <c r="F137" s="4" t="s">
        <v>5329</v>
      </c>
      <c r="G137" s="2" t="s">
        <v>134</v>
      </c>
      <c r="H137" s="7" t="s">
        <v>63</v>
      </c>
      <c r="I137" s="2" t="s">
        <v>342</v>
      </c>
      <c r="J137" s="2" t="s">
        <v>1613</v>
      </c>
      <c r="K137" s="2" t="s">
        <v>304</v>
      </c>
      <c r="L137" s="2" t="s">
        <v>119</v>
      </c>
      <c r="M137" s="8" t="str">
        <f>HYPERLINK("http://slimages.macys.com/is/image/MCY/12237674 ")</f>
        <v xml:space="preserve">http://slimages.macys.com/is/image/MCY/12237674 </v>
      </c>
    </row>
    <row r="138" spans="1:13" ht="60" x14ac:dyDescent="0.25">
      <c r="A138" s="7" t="s">
        <v>5330</v>
      </c>
      <c r="B138" s="2" t="s">
        <v>5331</v>
      </c>
      <c r="C138" s="4">
        <v>2</v>
      </c>
      <c r="D138" s="5">
        <v>9</v>
      </c>
      <c r="E138" s="5">
        <v>17.989999999999998</v>
      </c>
      <c r="F138" s="4" t="s">
        <v>5332</v>
      </c>
      <c r="G138" s="2" t="s">
        <v>653</v>
      </c>
      <c r="H138" s="7"/>
      <c r="I138" s="2" t="s">
        <v>30</v>
      </c>
      <c r="J138" s="2" t="s">
        <v>658</v>
      </c>
      <c r="K138" s="2" t="s">
        <v>304</v>
      </c>
      <c r="L138" s="2" t="s">
        <v>1648</v>
      </c>
      <c r="M138" s="8" t="str">
        <f>HYPERLINK("http://slimages.macys.com/is/image/MCY/11686738 ")</f>
        <v xml:space="preserve">http://slimages.macys.com/is/image/MCY/11686738 </v>
      </c>
    </row>
    <row r="139" spans="1:13" ht="60" x14ac:dyDescent="0.25">
      <c r="A139" s="7" t="s">
        <v>5333</v>
      </c>
      <c r="B139" s="2" t="s">
        <v>5334</v>
      </c>
      <c r="C139" s="4">
        <v>1</v>
      </c>
      <c r="D139" s="5">
        <v>9</v>
      </c>
      <c r="E139" s="5">
        <v>17.989999999999998</v>
      </c>
      <c r="F139" s="4" t="s">
        <v>5335</v>
      </c>
      <c r="G139" s="2" t="s">
        <v>892</v>
      </c>
      <c r="H139" s="7"/>
      <c r="I139" s="2" t="s">
        <v>30</v>
      </c>
      <c r="J139" s="2" t="s">
        <v>658</v>
      </c>
      <c r="K139" s="2" t="s">
        <v>304</v>
      </c>
      <c r="L139" s="2" t="s">
        <v>1648</v>
      </c>
      <c r="M139" s="8" t="str">
        <f>HYPERLINK("http://slimages.macys.com/is/image/MCY/11686699 ")</f>
        <v xml:space="preserve">http://slimages.macys.com/is/image/MCY/11686699 </v>
      </c>
    </row>
    <row r="140" spans="1:13" ht="60" x14ac:dyDescent="0.25">
      <c r="A140" s="7" t="s">
        <v>5336</v>
      </c>
      <c r="B140" s="2" t="s">
        <v>5337</v>
      </c>
      <c r="C140" s="4">
        <v>1</v>
      </c>
      <c r="D140" s="5">
        <v>9</v>
      </c>
      <c r="E140" s="5">
        <v>17.989999999999998</v>
      </c>
      <c r="F140" s="4" t="s">
        <v>5338</v>
      </c>
      <c r="G140" s="2" t="s">
        <v>36</v>
      </c>
      <c r="H140" s="7"/>
      <c r="I140" s="2" t="s">
        <v>30</v>
      </c>
      <c r="J140" s="2" t="s">
        <v>658</v>
      </c>
      <c r="K140" s="2" t="s">
        <v>304</v>
      </c>
      <c r="L140" s="2" t="s">
        <v>1648</v>
      </c>
      <c r="M140" s="8" t="str">
        <f>HYPERLINK("http://slimages.macys.com/is/image/MCY/11686638 ")</f>
        <v xml:space="preserve">http://slimages.macys.com/is/image/MCY/11686638 </v>
      </c>
    </row>
    <row r="141" spans="1:13" ht="60" x14ac:dyDescent="0.25">
      <c r="A141" s="7" t="s">
        <v>5339</v>
      </c>
      <c r="B141" s="2" t="s">
        <v>5337</v>
      </c>
      <c r="C141" s="4">
        <v>2</v>
      </c>
      <c r="D141" s="5">
        <v>9</v>
      </c>
      <c r="E141" s="5">
        <v>17.989999999999998</v>
      </c>
      <c r="F141" s="4" t="s">
        <v>5340</v>
      </c>
      <c r="G141" s="2" t="s">
        <v>653</v>
      </c>
      <c r="H141" s="7"/>
      <c r="I141" s="2" t="s">
        <v>30</v>
      </c>
      <c r="J141" s="2" t="s">
        <v>658</v>
      </c>
      <c r="K141" s="2" t="s">
        <v>304</v>
      </c>
      <c r="L141" s="2" t="s">
        <v>1648</v>
      </c>
      <c r="M141" s="8" t="str">
        <f>HYPERLINK("http://slimages.macys.com/is/image/MCY/11686889 ")</f>
        <v xml:space="preserve">http://slimages.macys.com/is/image/MCY/11686889 </v>
      </c>
    </row>
    <row r="142" spans="1:13" ht="60" x14ac:dyDescent="0.25">
      <c r="A142" s="7" t="s">
        <v>5341</v>
      </c>
      <c r="B142" s="2" t="s">
        <v>5342</v>
      </c>
      <c r="C142" s="4">
        <v>1</v>
      </c>
      <c r="D142" s="5">
        <v>9</v>
      </c>
      <c r="E142" s="5">
        <v>22.5</v>
      </c>
      <c r="F142" s="4" t="s">
        <v>5343</v>
      </c>
      <c r="G142" s="2" t="s">
        <v>86</v>
      </c>
      <c r="H142" s="7" t="s">
        <v>166</v>
      </c>
      <c r="I142" s="2" t="s">
        <v>690</v>
      </c>
      <c r="J142" s="2" t="s">
        <v>58</v>
      </c>
      <c r="K142" s="2" t="s">
        <v>304</v>
      </c>
      <c r="L142" s="2" t="s">
        <v>206</v>
      </c>
      <c r="M142" s="8" t="str">
        <f>HYPERLINK("http://slimages.macys.com/is/image/MCY/13804046 ")</f>
        <v xml:space="preserve">http://slimages.macys.com/is/image/MCY/13804046 </v>
      </c>
    </row>
    <row r="143" spans="1:13" ht="120" x14ac:dyDescent="0.25">
      <c r="A143" s="7" t="s">
        <v>1656</v>
      </c>
      <c r="B143" s="2" t="s">
        <v>360</v>
      </c>
      <c r="C143" s="4">
        <v>1</v>
      </c>
      <c r="D143" s="5">
        <v>8.75</v>
      </c>
      <c r="E143" s="5">
        <v>24.99</v>
      </c>
      <c r="F143" s="4" t="s">
        <v>361</v>
      </c>
      <c r="G143" s="2" t="s">
        <v>310</v>
      </c>
      <c r="H143" s="7" t="s">
        <v>63</v>
      </c>
      <c r="I143" s="2" t="s">
        <v>342</v>
      </c>
      <c r="J143" s="2" t="s">
        <v>362</v>
      </c>
      <c r="K143" s="2" t="s">
        <v>304</v>
      </c>
      <c r="L143" s="2" t="s">
        <v>1657</v>
      </c>
      <c r="M143" s="8" t="str">
        <f>HYPERLINK("http://slimages.macys.com/is/image/MCY/14399757 ")</f>
        <v xml:space="preserve">http://slimages.macys.com/is/image/MCY/14399757 </v>
      </c>
    </row>
    <row r="144" spans="1:13" ht="60" x14ac:dyDescent="0.25">
      <c r="A144" s="7" t="s">
        <v>5344</v>
      </c>
      <c r="B144" s="2" t="s">
        <v>5345</v>
      </c>
      <c r="C144" s="4">
        <v>1</v>
      </c>
      <c r="D144" s="5">
        <v>8.65</v>
      </c>
      <c r="E144" s="5">
        <v>22.99</v>
      </c>
      <c r="F144" s="4">
        <v>103387</v>
      </c>
      <c r="G144" s="2" t="s">
        <v>79</v>
      </c>
      <c r="H144" s="7" t="s">
        <v>172</v>
      </c>
      <c r="I144" s="2" t="s">
        <v>321</v>
      </c>
      <c r="J144" s="2" t="s">
        <v>322</v>
      </c>
      <c r="K144" s="2" t="s">
        <v>304</v>
      </c>
      <c r="L144" s="2" t="s">
        <v>323</v>
      </c>
      <c r="M144" s="8" t="str">
        <f>HYPERLINK("http://slimages.macys.com/is/image/MCY/11178859 ")</f>
        <v xml:space="preserve">http://slimages.macys.com/is/image/MCY/11178859 </v>
      </c>
    </row>
    <row r="145" spans="1:13" ht="60" x14ac:dyDescent="0.25">
      <c r="A145" s="7" t="s">
        <v>5346</v>
      </c>
      <c r="B145" s="2" t="s">
        <v>5347</v>
      </c>
      <c r="C145" s="4">
        <v>1</v>
      </c>
      <c r="D145" s="5">
        <v>8.65</v>
      </c>
      <c r="E145" s="5">
        <v>22.99</v>
      </c>
      <c r="F145" s="4">
        <v>103400</v>
      </c>
      <c r="G145" s="2" t="s">
        <v>36</v>
      </c>
      <c r="H145" s="7"/>
      <c r="I145" s="2" t="s">
        <v>321</v>
      </c>
      <c r="J145" s="2" t="s">
        <v>322</v>
      </c>
      <c r="K145" s="2" t="s">
        <v>304</v>
      </c>
      <c r="L145" s="2" t="s">
        <v>323</v>
      </c>
      <c r="M145" s="8" t="str">
        <f>HYPERLINK("http://slimages.macys.com/is/image/MCY/11539268 ")</f>
        <v xml:space="preserve">http://slimages.macys.com/is/image/MCY/11539268 </v>
      </c>
    </row>
    <row r="146" spans="1:13" ht="60" x14ac:dyDescent="0.25">
      <c r="A146" s="7" t="s">
        <v>5348</v>
      </c>
      <c r="B146" s="2" t="s">
        <v>5349</v>
      </c>
      <c r="C146" s="4">
        <v>1</v>
      </c>
      <c r="D146" s="5">
        <v>8.65</v>
      </c>
      <c r="E146" s="5">
        <v>22</v>
      </c>
      <c r="F146" s="4" t="s">
        <v>5350</v>
      </c>
      <c r="G146" s="2"/>
      <c r="H146" s="7" t="s">
        <v>172</v>
      </c>
      <c r="I146" s="2" t="s">
        <v>321</v>
      </c>
      <c r="J146" s="2" t="s">
        <v>2557</v>
      </c>
      <c r="K146" s="2" t="s">
        <v>304</v>
      </c>
      <c r="L146" s="2" t="s">
        <v>2558</v>
      </c>
      <c r="M146" s="8" t="str">
        <f>HYPERLINK("http://slimages.macys.com/is/image/MCY/10749508 ")</f>
        <v xml:space="preserve">http://slimages.macys.com/is/image/MCY/10749508 </v>
      </c>
    </row>
    <row r="147" spans="1:13" ht="60" x14ac:dyDescent="0.25">
      <c r="A147" s="7" t="s">
        <v>5351</v>
      </c>
      <c r="B147" s="2" t="s">
        <v>5352</v>
      </c>
      <c r="C147" s="4">
        <v>1</v>
      </c>
      <c r="D147" s="5">
        <v>8.65</v>
      </c>
      <c r="E147" s="5">
        <v>22.99</v>
      </c>
      <c r="F147" s="4">
        <v>103389</v>
      </c>
      <c r="G147" s="2"/>
      <c r="H147" s="7"/>
      <c r="I147" s="2" t="s">
        <v>321</v>
      </c>
      <c r="J147" s="2" t="s">
        <v>322</v>
      </c>
      <c r="K147" s="2" t="s">
        <v>304</v>
      </c>
      <c r="L147" s="2" t="s">
        <v>323</v>
      </c>
      <c r="M147" s="8" t="str">
        <f>HYPERLINK("http://slimages.macys.com/is/image/MCY/10628314 ")</f>
        <v xml:space="preserve">http://slimages.macys.com/is/image/MCY/10628314 </v>
      </c>
    </row>
    <row r="148" spans="1:13" ht="60" x14ac:dyDescent="0.25">
      <c r="A148" s="7" t="s">
        <v>5353</v>
      </c>
      <c r="B148" s="2" t="s">
        <v>5354</v>
      </c>
      <c r="C148" s="4">
        <v>1</v>
      </c>
      <c r="D148" s="5">
        <v>8.6</v>
      </c>
      <c r="E148" s="5">
        <v>22.99</v>
      </c>
      <c r="F148" s="4" t="s">
        <v>5355</v>
      </c>
      <c r="G148" s="2" t="s">
        <v>785</v>
      </c>
      <c r="H148" s="7" t="s">
        <v>196</v>
      </c>
      <c r="I148" s="2" t="s">
        <v>389</v>
      </c>
      <c r="J148" s="2" t="s">
        <v>354</v>
      </c>
      <c r="K148" s="2" t="s">
        <v>304</v>
      </c>
      <c r="L148" s="2" t="s">
        <v>596</v>
      </c>
      <c r="M148" s="8" t="str">
        <f>HYPERLINK("http://slimages.macys.com/is/image/MCY/12938530 ")</f>
        <v xml:space="preserve">http://slimages.macys.com/is/image/MCY/12938530 </v>
      </c>
    </row>
    <row r="149" spans="1:13" ht="60" x14ac:dyDescent="0.25">
      <c r="A149" s="7" t="s">
        <v>5356</v>
      </c>
      <c r="B149" s="2" t="s">
        <v>5357</v>
      </c>
      <c r="C149" s="4">
        <v>1</v>
      </c>
      <c r="D149" s="5">
        <v>8.5399999999999991</v>
      </c>
      <c r="E149" s="5">
        <v>21.99</v>
      </c>
      <c r="F149" s="4" t="s">
        <v>5358</v>
      </c>
      <c r="G149" s="2" t="s">
        <v>582</v>
      </c>
      <c r="H149" s="7" t="s">
        <v>159</v>
      </c>
      <c r="I149" s="2" t="s">
        <v>389</v>
      </c>
      <c r="J149" s="2" t="s">
        <v>354</v>
      </c>
      <c r="K149" s="2" t="s">
        <v>304</v>
      </c>
      <c r="L149" s="2" t="s">
        <v>119</v>
      </c>
      <c r="M149" s="8" t="str">
        <f>HYPERLINK("http://slimages.macys.com/is/image/MCY/12121633 ")</f>
        <v xml:space="preserve">http://slimages.macys.com/is/image/MCY/12121633 </v>
      </c>
    </row>
    <row r="150" spans="1:13" ht="60" x14ac:dyDescent="0.25">
      <c r="A150" s="7" t="s">
        <v>5359</v>
      </c>
      <c r="B150" s="2" t="s">
        <v>5360</v>
      </c>
      <c r="C150" s="4">
        <v>1</v>
      </c>
      <c r="D150" s="5">
        <v>8.5</v>
      </c>
      <c r="E150" s="5">
        <v>22</v>
      </c>
      <c r="F150" s="4" t="s">
        <v>5361</v>
      </c>
      <c r="G150" s="2"/>
      <c r="H150" s="7" t="s">
        <v>166</v>
      </c>
      <c r="I150" s="2" t="s">
        <v>321</v>
      </c>
      <c r="J150" s="2" t="s">
        <v>2557</v>
      </c>
      <c r="K150" s="2" t="s">
        <v>304</v>
      </c>
      <c r="L150" s="2" t="s">
        <v>5362</v>
      </c>
      <c r="M150" s="8" t="str">
        <f>HYPERLINK("http://slimages.macys.com/is/image/MCY/10749517 ")</f>
        <v xml:space="preserve">http://slimages.macys.com/is/image/MCY/10749517 </v>
      </c>
    </row>
    <row r="151" spans="1:13" ht="60" x14ac:dyDescent="0.25">
      <c r="A151" s="7" t="s">
        <v>5363</v>
      </c>
      <c r="B151" s="2" t="s">
        <v>5364</v>
      </c>
      <c r="C151" s="4">
        <v>1</v>
      </c>
      <c r="D151" s="5">
        <v>8.5</v>
      </c>
      <c r="E151" s="5">
        <v>21.99</v>
      </c>
      <c r="F151" s="4" t="s">
        <v>5365</v>
      </c>
      <c r="G151" s="2" t="s">
        <v>28</v>
      </c>
      <c r="H151" s="7"/>
      <c r="I151" s="2" t="s">
        <v>321</v>
      </c>
      <c r="J151" s="2" t="s">
        <v>1671</v>
      </c>
      <c r="K151" s="2" t="s">
        <v>304</v>
      </c>
      <c r="L151" s="2" t="s">
        <v>125</v>
      </c>
      <c r="M151" s="8" t="str">
        <f>HYPERLINK("http://slimages.macys.com/is/image/MCY/11647239 ")</f>
        <v xml:space="preserve">http://slimages.macys.com/is/image/MCY/11647239 </v>
      </c>
    </row>
    <row r="152" spans="1:13" ht="60" x14ac:dyDescent="0.25">
      <c r="A152" s="7" t="s">
        <v>1677</v>
      </c>
      <c r="B152" s="2" t="s">
        <v>1673</v>
      </c>
      <c r="C152" s="4">
        <v>2</v>
      </c>
      <c r="D152" s="5">
        <v>8.4499999999999993</v>
      </c>
      <c r="E152" s="5">
        <v>16.989999999999998</v>
      </c>
      <c r="F152" s="4" t="s">
        <v>1674</v>
      </c>
      <c r="G152" s="2" t="s">
        <v>48</v>
      </c>
      <c r="H152" s="7" t="s">
        <v>159</v>
      </c>
      <c r="I152" s="2" t="s">
        <v>515</v>
      </c>
      <c r="J152" s="2" t="s">
        <v>827</v>
      </c>
      <c r="K152" s="2" t="s">
        <v>304</v>
      </c>
      <c r="L152" s="2" t="s">
        <v>358</v>
      </c>
      <c r="M152" s="8" t="str">
        <f>HYPERLINK("http://slimages.macys.com/is/image/MCY/12688126 ")</f>
        <v xml:space="preserve">http://slimages.macys.com/is/image/MCY/12688126 </v>
      </c>
    </row>
    <row r="153" spans="1:13" ht="60" x14ac:dyDescent="0.25">
      <c r="A153" s="7" t="s">
        <v>1679</v>
      </c>
      <c r="B153" s="2" t="s">
        <v>1673</v>
      </c>
      <c r="C153" s="4">
        <v>1</v>
      </c>
      <c r="D153" s="5">
        <v>8.4499999999999993</v>
      </c>
      <c r="E153" s="5">
        <v>16.989999999999998</v>
      </c>
      <c r="F153" s="4" t="s">
        <v>1674</v>
      </c>
      <c r="G153" s="2" t="s">
        <v>62</v>
      </c>
      <c r="H153" s="7" t="s">
        <v>284</v>
      </c>
      <c r="I153" s="2" t="s">
        <v>515</v>
      </c>
      <c r="J153" s="2" t="s">
        <v>827</v>
      </c>
      <c r="K153" s="2" t="s">
        <v>304</v>
      </c>
      <c r="L153" s="2" t="s">
        <v>358</v>
      </c>
      <c r="M153" s="8" t="str">
        <f>HYPERLINK("http://slimages.macys.com/is/image/MCY/12688126 ")</f>
        <v xml:space="preserve">http://slimages.macys.com/is/image/MCY/12688126 </v>
      </c>
    </row>
    <row r="154" spans="1:13" ht="60" x14ac:dyDescent="0.25">
      <c r="A154" s="7" t="s">
        <v>1675</v>
      </c>
      <c r="B154" s="2" t="s">
        <v>1673</v>
      </c>
      <c r="C154" s="4">
        <v>1</v>
      </c>
      <c r="D154" s="5">
        <v>8.4499999999999993</v>
      </c>
      <c r="E154" s="5">
        <v>16.989999999999998</v>
      </c>
      <c r="F154" s="4" t="s">
        <v>1674</v>
      </c>
      <c r="G154" s="2" t="s">
        <v>48</v>
      </c>
      <c r="H154" s="7" t="s">
        <v>196</v>
      </c>
      <c r="I154" s="2" t="s">
        <v>515</v>
      </c>
      <c r="J154" s="2" t="s">
        <v>827</v>
      </c>
      <c r="K154" s="2" t="s">
        <v>304</v>
      </c>
      <c r="L154" s="2" t="s">
        <v>358</v>
      </c>
      <c r="M154" s="8" t="str">
        <f>HYPERLINK("http://slimages.macys.com/is/image/MCY/12688126 ")</f>
        <v xml:space="preserve">http://slimages.macys.com/is/image/MCY/12688126 </v>
      </c>
    </row>
    <row r="155" spans="1:13" ht="60" x14ac:dyDescent="0.25">
      <c r="A155" s="7" t="s">
        <v>5366</v>
      </c>
      <c r="B155" s="2" t="s">
        <v>1681</v>
      </c>
      <c r="C155" s="4">
        <v>1</v>
      </c>
      <c r="D155" s="5">
        <v>8.43</v>
      </c>
      <c r="E155" s="5">
        <v>21.99</v>
      </c>
      <c r="F155" s="4" t="s">
        <v>1682</v>
      </c>
      <c r="G155" s="2" t="s">
        <v>297</v>
      </c>
      <c r="H155" s="7" t="s">
        <v>311</v>
      </c>
      <c r="I155" s="2" t="s">
        <v>515</v>
      </c>
      <c r="J155" s="2" t="s">
        <v>875</v>
      </c>
      <c r="K155" s="2" t="s">
        <v>304</v>
      </c>
      <c r="L155" s="2" t="s">
        <v>119</v>
      </c>
      <c r="M155" s="8" t="str">
        <f>HYPERLINK("http://slimages.macys.com/is/image/MCY/12953215 ")</f>
        <v xml:space="preserve">http://slimages.macys.com/is/image/MCY/12953215 </v>
      </c>
    </row>
    <row r="156" spans="1:13" ht="60" x14ac:dyDescent="0.25">
      <c r="A156" s="7" t="s">
        <v>5367</v>
      </c>
      <c r="B156" s="2" t="s">
        <v>5368</v>
      </c>
      <c r="C156" s="4">
        <v>2</v>
      </c>
      <c r="D156" s="5">
        <v>8.25</v>
      </c>
      <c r="E156" s="5">
        <v>16.989999999999998</v>
      </c>
      <c r="F156" s="4" t="s">
        <v>5369</v>
      </c>
      <c r="G156" s="2" t="s">
        <v>393</v>
      </c>
      <c r="H156" s="7" t="s">
        <v>317</v>
      </c>
      <c r="I156" s="2" t="s">
        <v>523</v>
      </c>
      <c r="J156" s="2" t="s">
        <v>5370</v>
      </c>
      <c r="K156" s="2" t="s">
        <v>304</v>
      </c>
      <c r="L156" s="2" t="s">
        <v>87</v>
      </c>
      <c r="M156" s="8" t="str">
        <f>HYPERLINK("http://slimages.macys.com/is/image/MCY/8483182 ")</f>
        <v xml:space="preserve">http://slimages.macys.com/is/image/MCY/8483182 </v>
      </c>
    </row>
    <row r="157" spans="1:13" ht="60" x14ac:dyDescent="0.25">
      <c r="A157" s="7" t="s">
        <v>2563</v>
      </c>
      <c r="B157" s="2" t="s">
        <v>2564</v>
      </c>
      <c r="C157" s="4">
        <v>1</v>
      </c>
      <c r="D157" s="5">
        <v>8.25</v>
      </c>
      <c r="E157" s="5">
        <v>22.99</v>
      </c>
      <c r="F157" s="4" t="s">
        <v>2565</v>
      </c>
      <c r="G157" s="2" t="s">
        <v>62</v>
      </c>
      <c r="H157" s="7" t="s">
        <v>159</v>
      </c>
      <c r="I157" s="2" t="s">
        <v>468</v>
      </c>
      <c r="J157" s="2" t="s">
        <v>544</v>
      </c>
      <c r="K157" s="2" t="s">
        <v>304</v>
      </c>
      <c r="L157" s="2" t="s">
        <v>119</v>
      </c>
      <c r="M157" s="8" t="str">
        <f>HYPERLINK("http://slimages.macys.com/is/image/MCY/15447987 ")</f>
        <v xml:space="preserve">http://slimages.macys.com/is/image/MCY/15447987 </v>
      </c>
    </row>
    <row r="158" spans="1:13" ht="60" x14ac:dyDescent="0.25">
      <c r="A158" s="7" t="s">
        <v>5371</v>
      </c>
      <c r="B158" s="2" t="s">
        <v>5368</v>
      </c>
      <c r="C158" s="4">
        <v>3</v>
      </c>
      <c r="D158" s="5">
        <v>8.25</v>
      </c>
      <c r="E158" s="5">
        <v>16.989999999999998</v>
      </c>
      <c r="F158" s="4" t="s">
        <v>5369</v>
      </c>
      <c r="G158" s="2" t="s">
        <v>393</v>
      </c>
      <c r="H158" s="7" t="s">
        <v>179</v>
      </c>
      <c r="I158" s="2" t="s">
        <v>523</v>
      </c>
      <c r="J158" s="2" t="s">
        <v>5370</v>
      </c>
      <c r="K158" s="2" t="s">
        <v>304</v>
      </c>
      <c r="L158" s="2" t="s">
        <v>87</v>
      </c>
      <c r="M158" s="8" t="str">
        <f>HYPERLINK("http://slimages.macys.com/is/image/MCY/8483182 ")</f>
        <v xml:space="preserve">http://slimages.macys.com/is/image/MCY/8483182 </v>
      </c>
    </row>
    <row r="159" spans="1:13" ht="60" x14ac:dyDescent="0.25">
      <c r="A159" s="7" t="s">
        <v>3262</v>
      </c>
      <c r="B159" s="2" t="s">
        <v>2564</v>
      </c>
      <c r="C159" s="4">
        <v>1</v>
      </c>
      <c r="D159" s="5">
        <v>8.25</v>
      </c>
      <c r="E159" s="5">
        <v>22.99</v>
      </c>
      <c r="F159" s="4" t="s">
        <v>2565</v>
      </c>
      <c r="G159" s="2" t="s">
        <v>62</v>
      </c>
      <c r="H159" s="7" t="s">
        <v>217</v>
      </c>
      <c r="I159" s="2" t="s">
        <v>468</v>
      </c>
      <c r="J159" s="2" t="s">
        <v>544</v>
      </c>
      <c r="K159" s="2" t="s">
        <v>304</v>
      </c>
      <c r="L159" s="2" t="s">
        <v>119</v>
      </c>
      <c r="M159" s="8" t="str">
        <f>HYPERLINK("http://slimages.macys.com/is/image/MCY/15447987 ")</f>
        <v xml:space="preserve">http://slimages.macys.com/is/image/MCY/15447987 </v>
      </c>
    </row>
    <row r="160" spans="1:13" ht="96" x14ac:dyDescent="0.25">
      <c r="A160" s="7" t="s">
        <v>5372</v>
      </c>
      <c r="B160" s="2" t="s">
        <v>5373</v>
      </c>
      <c r="C160" s="4">
        <v>1</v>
      </c>
      <c r="D160" s="5">
        <v>8.1</v>
      </c>
      <c r="E160" s="5">
        <v>19.7</v>
      </c>
      <c r="F160" s="4">
        <v>18442510</v>
      </c>
      <c r="G160" s="2"/>
      <c r="H160" s="7" t="s">
        <v>91</v>
      </c>
      <c r="I160" s="2" t="s">
        <v>153</v>
      </c>
      <c r="J160" s="2" t="s">
        <v>3580</v>
      </c>
      <c r="K160" s="2" t="s">
        <v>304</v>
      </c>
      <c r="L160" s="2" t="s">
        <v>5374</v>
      </c>
      <c r="M160" s="8" t="str">
        <f>HYPERLINK("http://slimages.macys.com/is/image/MCY/14566351 ")</f>
        <v xml:space="preserve">http://slimages.macys.com/is/image/MCY/14566351 </v>
      </c>
    </row>
    <row r="161" spans="1:13" ht="60" x14ac:dyDescent="0.25">
      <c r="A161" s="7" t="s">
        <v>5375</v>
      </c>
      <c r="B161" s="2" t="s">
        <v>1701</v>
      </c>
      <c r="C161" s="4">
        <v>1</v>
      </c>
      <c r="D161" s="5">
        <v>8.01</v>
      </c>
      <c r="E161" s="5">
        <v>17.989999999999998</v>
      </c>
      <c r="F161" s="4" t="s">
        <v>1702</v>
      </c>
      <c r="G161" s="2" t="s">
        <v>643</v>
      </c>
      <c r="H161" s="7" t="s">
        <v>228</v>
      </c>
      <c r="I161" s="2" t="s">
        <v>80</v>
      </c>
      <c r="J161" s="2" t="s">
        <v>160</v>
      </c>
      <c r="K161" s="2" t="s">
        <v>304</v>
      </c>
      <c r="L161" s="2" t="s">
        <v>125</v>
      </c>
      <c r="M161" s="8" t="str">
        <f>HYPERLINK("http://slimages.macys.com/is/image/MCY/11531575 ")</f>
        <v xml:space="preserve">http://slimages.macys.com/is/image/MCY/11531575 </v>
      </c>
    </row>
    <row r="162" spans="1:13" ht="60" x14ac:dyDescent="0.25">
      <c r="A162" s="7" t="s">
        <v>5376</v>
      </c>
      <c r="B162" s="2" t="s">
        <v>405</v>
      </c>
      <c r="C162" s="4">
        <v>1</v>
      </c>
      <c r="D162" s="5">
        <v>8.01</v>
      </c>
      <c r="E162" s="5">
        <v>17.989999999999998</v>
      </c>
      <c r="F162" s="4" t="s">
        <v>406</v>
      </c>
      <c r="G162" s="2" t="s">
        <v>165</v>
      </c>
      <c r="H162" s="7" t="s">
        <v>284</v>
      </c>
      <c r="I162" s="2" t="s">
        <v>80</v>
      </c>
      <c r="J162" s="2" t="s">
        <v>160</v>
      </c>
      <c r="K162" s="2" t="s">
        <v>304</v>
      </c>
      <c r="L162" s="2" t="s">
        <v>206</v>
      </c>
      <c r="M162" s="8" t="str">
        <f>HYPERLINK("http://slimages.macys.com/is/image/MCY/13758788 ")</f>
        <v xml:space="preserve">http://slimages.macys.com/is/image/MCY/13758788 </v>
      </c>
    </row>
    <row r="163" spans="1:13" ht="60" x14ac:dyDescent="0.25">
      <c r="A163" s="7" t="s">
        <v>5377</v>
      </c>
      <c r="B163" s="2" t="s">
        <v>402</v>
      </c>
      <c r="C163" s="4">
        <v>1</v>
      </c>
      <c r="D163" s="5">
        <v>8.01</v>
      </c>
      <c r="E163" s="5">
        <v>17.989999999999998</v>
      </c>
      <c r="F163" s="4" t="s">
        <v>403</v>
      </c>
      <c r="G163" s="2" t="s">
        <v>41</v>
      </c>
      <c r="H163" s="7" t="s">
        <v>284</v>
      </c>
      <c r="I163" s="2" t="s">
        <v>80</v>
      </c>
      <c r="J163" s="2" t="s">
        <v>160</v>
      </c>
      <c r="K163" s="2" t="s">
        <v>304</v>
      </c>
      <c r="L163" s="2" t="s">
        <v>206</v>
      </c>
      <c r="M163" s="8" t="str">
        <f>HYPERLINK("http://slimages.macys.com/is/image/MCY/14716448 ")</f>
        <v xml:space="preserve">http://slimages.macys.com/is/image/MCY/14716448 </v>
      </c>
    </row>
    <row r="164" spans="1:13" ht="60" x14ac:dyDescent="0.25">
      <c r="A164" s="7" t="s">
        <v>5378</v>
      </c>
      <c r="B164" s="2" t="s">
        <v>5379</v>
      </c>
      <c r="C164" s="4">
        <v>1</v>
      </c>
      <c r="D164" s="5">
        <v>8</v>
      </c>
      <c r="E164" s="5">
        <v>19.989999999999998</v>
      </c>
      <c r="F164" s="4">
        <v>1299322</v>
      </c>
      <c r="G164" s="2" t="s">
        <v>785</v>
      </c>
      <c r="H164" s="7" t="s">
        <v>228</v>
      </c>
      <c r="I164" s="2" t="s">
        <v>73</v>
      </c>
      <c r="J164" s="2" t="s">
        <v>280</v>
      </c>
      <c r="K164" s="2" t="s">
        <v>304</v>
      </c>
      <c r="L164" s="2" t="s">
        <v>125</v>
      </c>
      <c r="M164" s="8" t="str">
        <f>HYPERLINK("http://slimages.macys.com/is/image/MCY/8800746 ")</f>
        <v xml:space="preserve">http://slimages.macys.com/is/image/MCY/8800746 </v>
      </c>
    </row>
    <row r="165" spans="1:13" ht="60" x14ac:dyDescent="0.25">
      <c r="A165" s="7" t="s">
        <v>5380</v>
      </c>
      <c r="B165" s="2" t="s">
        <v>5381</v>
      </c>
      <c r="C165" s="4">
        <v>1</v>
      </c>
      <c r="D165" s="5">
        <v>7.6</v>
      </c>
      <c r="E165" s="5">
        <v>20</v>
      </c>
      <c r="F165" s="4" t="s">
        <v>5382</v>
      </c>
      <c r="G165" s="2" t="s">
        <v>262</v>
      </c>
      <c r="H165" s="7" t="s">
        <v>1474</v>
      </c>
      <c r="I165" s="2" t="s">
        <v>700</v>
      </c>
      <c r="J165" s="2" t="s">
        <v>1475</v>
      </c>
      <c r="K165" s="2" t="s">
        <v>304</v>
      </c>
      <c r="L165" s="2" t="s">
        <v>38</v>
      </c>
      <c r="M165" s="8" t="str">
        <f>HYPERLINK("http://slimages.macys.com/is/image/MCY/13041570 ")</f>
        <v xml:space="preserve">http://slimages.macys.com/is/image/MCY/13041570 </v>
      </c>
    </row>
    <row r="166" spans="1:13" ht="60" x14ac:dyDescent="0.25">
      <c r="A166" s="7" t="s">
        <v>5383</v>
      </c>
      <c r="B166" s="2" t="s">
        <v>1724</v>
      </c>
      <c r="C166" s="4">
        <v>1</v>
      </c>
      <c r="D166" s="5">
        <v>7.6</v>
      </c>
      <c r="E166" s="5">
        <v>17.28</v>
      </c>
      <c r="F166" s="4">
        <v>18385510</v>
      </c>
      <c r="G166" s="2" t="s">
        <v>28</v>
      </c>
      <c r="H166" s="7" t="s">
        <v>442</v>
      </c>
      <c r="I166" s="2" t="s">
        <v>153</v>
      </c>
      <c r="J166" s="2" t="s">
        <v>154</v>
      </c>
      <c r="K166" s="2" t="s">
        <v>304</v>
      </c>
      <c r="L166" s="2" t="s">
        <v>38</v>
      </c>
      <c r="M166" s="8" t="str">
        <f>HYPERLINK("http://slimages.macys.com/is/image/MCY/14608274 ")</f>
        <v xml:space="preserve">http://slimages.macys.com/is/image/MCY/14608274 </v>
      </c>
    </row>
    <row r="167" spans="1:13" ht="60" x14ac:dyDescent="0.25">
      <c r="A167" s="7" t="s">
        <v>4916</v>
      </c>
      <c r="B167" s="2" t="s">
        <v>3986</v>
      </c>
      <c r="C167" s="4">
        <v>1</v>
      </c>
      <c r="D167" s="5">
        <v>7.6</v>
      </c>
      <c r="E167" s="5">
        <v>17.28</v>
      </c>
      <c r="F167" s="4">
        <v>18389710</v>
      </c>
      <c r="G167" s="2" t="s">
        <v>48</v>
      </c>
      <c r="H167" s="7" t="s">
        <v>442</v>
      </c>
      <c r="I167" s="2" t="s">
        <v>153</v>
      </c>
      <c r="J167" s="2" t="s">
        <v>154</v>
      </c>
      <c r="K167" s="2" t="s">
        <v>304</v>
      </c>
      <c r="L167" s="2" t="s">
        <v>38</v>
      </c>
      <c r="M167" s="8" t="str">
        <f>HYPERLINK("http://slimages.macys.com/is/image/MCY/14608342 ")</f>
        <v xml:space="preserve">http://slimages.macys.com/is/image/MCY/14608342 </v>
      </c>
    </row>
    <row r="168" spans="1:13" ht="60" x14ac:dyDescent="0.25">
      <c r="A168" s="7" t="s">
        <v>457</v>
      </c>
      <c r="B168" s="2" t="s">
        <v>458</v>
      </c>
      <c r="C168" s="4">
        <v>1</v>
      </c>
      <c r="D168" s="5">
        <v>7.5</v>
      </c>
      <c r="E168" s="5">
        <v>16.989999999999998</v>
      </c>
      <c r="F168" s="4" t="s">
        <v>459</v>
      </c>
      <c r="G168" s="2" t="s">
        <v>347</v>
      </c>
      <c r="H168" s="7" t="s">
        <v>159</v>
      </c>
      <c r="I168" s="2" t="s">
        <v>30</v>
      </c>
      <c r="J168" s="2" t="s">
        <v>446</v>
      </c>
      <c r="K168" s="2" t="s">
        <v>304</v>
      </c>
      <c r="L168" s="2" t="s">
        <v>460</v>
      </c>
      <c r="M168" s="8" t="str">
        <f>HYPERLINK("http://slimages.macys.com/is/image/MCY/12071760 ")</f>
        <v xml:space="preserve">http://slimages.macys.com/is/image/MCY/12071760 </v>
      </c>
    </row>
    <row r="169" spans="1:13" ht="60" x14ac:dyDescent="0.25">
      <c r="A169" s="7" t="s">
        <v>5384</v>
      </c>
      <c r="B169" s="2" t="s">
        <v>5385</v>
      </c>
      <c r="C169" s="4">
        <v>1</v>
      </c>
      <c r="D169" s="5">
        <v>7.2</v>
      </c>
      <c r="E169" s="5">
        <v>13.99</v>
      </c>
      <c r="F169" s="4" t="s">
        <v>5386</v>
      </c>
      <c r="G169" s="2" t="s">
        <v>582</v>
      </c>
      <c r="H169" s="7" t="s">
        <v>284</v>
      </c>
      <c r="I169" s="2" t="s">
        <v>523</v>
      </c>
      <c r="J169" s="2" t="s">
        <v>969</v>
      </c>
      <c r="K169" s="2" t="s">
        <v>304</v>
      </c>
      <c r="L169" s="2" t="s">
        <v>970</v>
      </c>
      <c r="M169" s="8" t="str">
        <f>HYPERLINK("http://slimages.macys.com/is/image/MCY/11724545 ")</f>
        <v xml:space="preserve">http://slimages.macys.com/is/image/MCY/11724545 </v>
      </c>
    </row>
    <row r="170" spans="1:13" ht="60" x14ac:dyDescent="0.25">
      <c r="A170" s="7" t="s">
        <v>941</v>
      </c>
      <c r="B170" s="2" t="s">
        <v>942</v>
      </c>
      <c r="C170" s="4">
        <v>1</v>
      </c>
      <c r="D170" s="5">
        <v>7.2</v>
      </c>
      <c r="E170" s="5">
        <v>18</v>
      </c>
      <c r="F170" s="4" t="s">
        <v>943</v>
      </c>
      <c r="G170" s="2" t="s">
        <v>165</v>
      </c>
      <c r="H170" s="7"/>
      <c r="I170" s="2" t="s">
        <v>523</v>
      </c>
      <c r="J170" s="2" t="s">
        <v>937</v>
      </c>
      <c r="K170" s="2" t="s">
        <v>304</v>
      </c>
      <c r="L170" s="2" t="s">
        <v>944</v>
      </c>
      <c r="M170" s="8" t="str">
        <f>HYPERLINK("http://slimages.macys.com/is/image/MCY/10426043 ")</f>
        <v xml:space="preserve">http://slimages.macys.com/is/image/MCY/10426043 </v>
      </c>
    </row>
    <row r="171" spans="1:13" ht="60" x14ac:dyDescent="0.25">
      <c r="A171" s="7" t="s">
        <v>5387</v>
      </c>
      <c r="B171" s="2" t="s">
        <v>5385</v>
      </c>
      <c r="C171" s="4">
        <v>2</v>
      </c>
      <c r="D171" s="5">
        <v>7.2</v>
      </c>
      <c r="E171" s="5">
        <v>13.99</v>
      </c>
      <c r="F171" s="4" t="s">
        <v>5386</v>
      </c>
      <c r="G171" s="2" t="s">
        <v>582</v>
      </c>
      <c r="H171" s="7" t="s">
        <v>159</v>
      </c>
      <c r="I171" s="2" t="s">
        <v>523</v>
      </c>
      <c r="J171" s="2" t="s">
        <v>969</v>
      </c>
      <c r="K171" s="2" t="s">
        <v>304</v>
      </c>
      <c r="L171" s="2" t="s">
        <v>970</v>
      </c>
      <c r="M171" s="8" t="str">
        <f>HYPERLINK("http://slimages.macys.com/is/image/MCY/11724545 ")</f>
        <v xml:space="preserve">http://slimages.macys.com/is/image/MCY/11724545 </v>
      </c>
    </row>
    <row r="172" spans="1:13" ht="60" x14ac:dyDescent="0.25">
      <c r="A172" s="7" t="s">
        <v>5388</v>
      </c>
      <c r="B172" s="2" t="s">
        <v>5389</v>
      </c>
      <c r="C172" s="4">
        <v>1</v>
      </c>
      <c r="D172" s="5">
        <v>7.12</v>
      </c>
      <c r="E172" s="5">
        <v>19.989999999999998</v>
      </c>
      <c r="F172" s="4" t="s">
        <v>5390</v>
      </c>
      <c r="G172" s="2" t="s">
        <v>103</v>
      </c>
      <c r="H172" s="7" t="s">
        <v>159</v>
      </c>
      <c r="I172" s="2" t="s">
        <v>389</v>
      </c>
      <c r="J172" s="2" t="s">
        <v>354</v>
      </c>
      <c r="K172" s="2" t="s">
        <v>304</v>
      </c>
      <c r="L172" s="2" t="s">
        <v>596</v>
      </c>
      <c r="M172" s="8" t="str">
        <f>HYPERLINK("http://slimages.macys.com/is/image/MCY/12670165 ")</f>
        <v xml:space="preserve">http://slimages.macys.com/is/image/MCY/12670165 </v>
      </c>
    </row>
    <row r="173" spans="1:13" ht="60" x14ac:dyDescent="0.25">
      <c r="A173" s="7" t="s">
        <v>5391</v>
      </c>
      <c r="B173" s="2" t="s">
        <v>5389</v>
      </c>
      <c r="C173" s="4">
        <v>1</v>
      </c>
      <c r="D173" s="5">
        <v>7.12</v>
      </c>
      <c r="E173" s="5">
        <v>19.989999999999998</v>
      </c>
      <c r="F173" s="4" t="s">
        <v>5390</v>
      </c>
      <c r="G173" s="2" t="s">
        <v>103</v>
      </c>
      <c r="H173" s="7" t="s">
        <v>196</v>
      </c>
      <c r="I173" s="2" t="s">
        <v>389</v>
      </c>
      <c r="J173" s="2" t="s">
        <v>354</v>
      </c>
      <c r="K173" s="2" t="s">
        <v>304</v>
      </c>
      <c r="L173" s="2" t="s">
        <v>596</v>
      </c>
      <c r="M173" s="8" t="str">
        <f>HYPERLINK("http://slimages.macys.com/is/image/MCY/12670165 ")</f>
        <v xml:space="preserve">http://slimages.macys.com/is/image/MCY/12670165 </v>
      </c>
    </row>
    <row r="174" spans="1:13" ht="60" x14ac:dyDescent="0.25">
      <c r="A174" s="7" t="s">
        <v>5392</v>
      </c>
      <c r="B174" s="2" t="s">
        <v>5393</v>
      </c>
      <c r="C174" s="4">
        <v>1</v>
      </c>
      <c r="D174" s="5">
        <v>7.12</v>
      </c>
      <c r="E174" s="5">
        <v>19.989999999999998</v>
      </c>
      <c r="F174" s="4" t="s">
        <v>5394</v>
      </c>
      <c r="G174" s="2" t="s">
        <v>86</v>
      </c>
      <c r="H174" s="7" t="s">
        <v>159</v>
      </c>
      <c r="I174" s="2" t="s">
        <v>389</v>
      </c>
      <c r="J174" s="2" t="s">
        <v>354</v>
      </c>
      <c r="K174" s="2" t="s">
        <v>304</v>
      </c>
      <c r="L174" s="2" t="s">
        <v>596</v>
      </c>
      <c r="M174" s="8" t="str">
        <f>HYPERLINK("http://slimages.macys.com/is/image/MCY/12121982 ")</f>
        <v xml:space="preserve">http://slimages.macys.com/is/image/MCY/12121982 </v>
      </c>
    </row>
    <row r="175" spans="1:13" ht="60" x14ac:dyDescent="0.25">
      <c r="A175" s="7" t="s">
        <v>5395</v>
      </c>
      <c r="B175" s="2" t="s">
        <v>5393</v>
      </c>
      <c r="C175" s="4">
        <v>1</v>
      </c>
      <c r="D175" s="5">
        <v>7.12</v>
      </c>
      <c r="E175" s="5">
        <v>19.989999999999998</v>
      </c>
      <c r="F175" s="4" t="s">
        <v>5394</v>
      </c>
      <c r="G175" s="2" t="s">
        <v>86</v>
      </c>
      <c r="H175" s="7" t="s">
        <v>284</v>
      </c>
      <c r="I175" s="2" t="s">
        <v>389</v>
      </c>
      <c r="J175" s="2" t="s">
        <v>354</v>
      </c>
      <c r="K175" s="2" t="s">
        <v>304</v>
      </c>
      <c r="L175" s="2" t="s">
        <v>596</v>
      </c>
      <c r="M175" s="8" t="str">
        <f>HYPERLINK("http://slimages.macys.com/is/image/MCY/12121982 ")</f>
        <v xml:space="preserve">http://slimages.macys.com/is/image/MCY/12121982 </v>
      </c>
    </row>
    <row r="176" spans="1:13" ht="60" x14ac:dyDescent="0.25">
      <c r="A176" s="7" t="s">
        <v>5396</v>
      </c>
      <c r="B176" s="2" t="s">
        <v>1742</v>
      </c>
      <c r="C176" s="4">
        <v>1</v>
      </c>
      <c r="D176" s="5">
        <v>7.05</v>
      </c>
      <c r="E176" s="5">
        <v>16.989999999999998</v>
      </c>
      <c r="F176" s="4" t="s">
        <v>1743</v>
      </c>
      <c r="G176" s="2" t="s">
        <v>36</v>
      </c>
      <c r="H176" s="7" t="s">
        <v>196</v>
      </c>
      <c r="I176" s="2" t="s">
        <v>515</v>
      </c>
      <c r="J176" s="2" t="s">
        <v>827</v>
      </c>
      <c r="K176" s="2" t="s">
        <v>304</v>
      </c>
      <c r="L176" s="2" t="s">
        <v>358</v>
      </c>
      <c r="M176" s="8" t="str">
        <f>HYPERLINK("http://slimages.macys.com/is/image/MCY/12507572 ")</f>
        <v xml:space="preserve">http://slimages.macys.com/is/image/MCY/12507572 </v>
      </c>
    </row>
    <row r="177" spans="1:13" ht="60" x14ac:dyDescent="0.25">
      <c r="A177" s="7" t="s">
        <v>5397</v>
      </c>
      <c r="B177" s="2" t="s">
        <v>2571</v>
      </c>
      <c r="C177" s="4">
        <v>1</v>
      </c>
      <c r="D177" s="5">
        <v>7.05</v>
      </c>
      <c r="E177" s="5">
        <v>16.04</v>
      </c>
      <c r="F177" s="4">
        <v>17879610</v>
      </c>
      <c r="G177" s="2"/>
      <c r="H177" s="7" t="s">
        <v>91</v>
      </c>
      <c r="I177" s="2" t="s">
        <v>153</v>
      </c>
      <c r="J177" s="2" t="s">
        <v>154</v>
      </c>
      <c r="K177" s="2" t="s">
        <v>304</v>
      </c>
      <c r="L177" s="2" t="s">
        <v>38</v>
      </c>
      <c r="M177" s="8" t="str">
        <f>HYPERLINK("http://slimages.macys.com/is/image/MCY/13853132 ")</f>
        <v xml:space="preserve">http://slimages.macys.com/is/image/MCY/13853132 </v>
      </c>
    </row>
    <row r="178" spans="1:13" ht="60" x14ac:dyDescent="0.25">
      <c r="A178" s="7" t="s">
        <v>5398</v>
      </c>
      <c r="B178" s="2" t="s">
        <v>421</v>
      </c>
      <c r="C178" s="4">
        <v>1</v>
      </c>
      <c r="D178" s="5">
        <v>7</v>
      </c>
      <c r="E178" s="5">
        <v>15.99</v>
      </c>
      <c r="F178" s="4" t="s">
        <v>422</v>
      </c>
      <c r="G178" s="2" t="s">
        <v>195</v>
      </c>
      <c r="H178" s="7" t="s">
        <v>123</v>
      </c>
      <c r="I178" s="2" t="s">
        <v>73</v>
      </c>
      <c r="J178" s="2" t="s">
        <v>464</v>
      </c>
      <c r="K178" s="2" t="s">
        <v>304</v>
      </c>
      <c r="L178" s="2" t="s">
        <v>119</v>
      </c>
      <c r="M178" s="8" t="str">
        <f>HYPERLINK("http://slimages.macys.com/is/image/MCY/13581725 ")</f>
        <v xml:space="preserve">http://slimages.macys.com/is/image/MCY/13581725 </v>
      </c>
    </row>
    <row r="179" spans="1:13" ht="60" x14ac:dyDescent="0.25">
      <c r="A179" s="7" t="s">
        <v>5399</v>
      </c>
      <c r="B179" s="2" t="s">
        <v>5400</v>
      </c>
      <c r="C179" s="4">
        <v>1</v>
      </c>
      <c r="D179" s="5">
        <v>6.98</v>
      </c>
      <c r="E179" s="5">
        <v>16.989999999999998</v>
      </c>
      <c r="F179" s="4" t="s">
        <v>5401</v>
      </c>
      <c r="G179" s="2" t="s">
        <v>41</v>
      </c>
      <c r="H179" s="7" t="s">
        <v>196</v>
      </c>
      <c r="I179" s="2" t="s">
        <v>515</v>
      </c>
      <c r="J179" s="2" t="s">
        <v>827</v>
      </c>
      <c r="K179" s="2" t="s">
        <v>304</v>
      </c>
      <c r="L179" s="2" t="s">
        <v>358</v>
      </c>
      <c r="M179" s="8" t="str">
        <f>HYPERLINK("http://slimages.macys.com/is/image/MCY/13121106 ")</f>
        <v xml:space="preserve">http://slimages.macys.com/is/image/MCY/13121106 </v>
      </c>
    </row>
    <row r="180" spans="1:13" ht="60" x14ac:dyDescent="0.25">
      <c r="A180" s="7" t="s">
        <v>5402</v>
      </c>
      <c r="B180" s="2" t="s">
        <v>5403</v>
      </c>
      <c r="C180" s="4">
        <v>1</v>
      </c>
      <c r="D180" s="5">
        <v>6.88</v>
      </c>
      <c r="E180" s="5">
        <v>16.989999999999998</v>
      </c>
      <c r="F180" s="4" t="s">
        <v>5404</v>
      </c>
      <c r="G180" s="2" t="s">
        <v>62</v>
      </c>
      <c r="H180" s="7" t="s">
        <v>284</v>
      </c>
      <c r="I180" s="2" t="s">
        <v>515</v>
      </c>
      <c r="J180" s="2" t="s">
        <v>827</v>
      </c>
      <c r="K180" s="2" t="s">
        <v>304</v>
      </c>
      <c r="L180" s="2" t="s">
        <v>5405</v>
      </c>
      <c r="M180" s="8" t="str">
        <f>HYPERLINK("http://slimages.macys.com/is/image/MCY/12507660 ")</f>
        <v xml:space="preserve">http://slimages.macys.com/is/image/MCY/12507660 </v>
      </c>
    </row>
    <row r="181" spans="1:13" ht="60" x14ac:dyDescent="0.25">
      <c r="A181" s="7" t="s">
        <v>5406</v>
      </c>
      <c r="B181" s="2" t="s">
        <v>466</v>
      </c>
      <c r="C181" s="4">
        <v>1</v>
      </c>
      <c r="D181" s="5">
        <v>6.85</v>
      </c>
      <c r="E181" s="5">
        <v>18</v>
      </c>
      <c r="F181" s="4" t="s">
        <v>467</v>
      </c>
      <c r="G181" s="2" t="s">
        <v>62</v>
      </c>
      <c r="H181" s="7" t="s">
        <v>1411</v>
      </c>
      <c r="I181" s="2" t="s">
        <v>468</v>
      </c>
      <c r="J181" s="2" t="s">
        <v>469</v>
      </c>
      <c r="K181" s="2" t="s">
        <v>304</v>
      </c>
      <c r="L181" s="2" t="s">
        <v>206</v>
      </c>
      <c r="M181" s="8" t="str">
        <f>HYPERLINK("http://slimages.macys.com/is/image/MCY/11640093 ")</f>
        <v xml:space="preserve">http://slimages.macys.com/is/image/MCY/11640093 </v>
      </c>
    </row>
    <row r="182" spans="1:13" ht="60" x14ac:dyDescent="0.25">
      <c r="A182" s="7" t="s">
        <v>1760</v>
      </c>
      <c r="B182" s="2" t="s">
        <v>993</v>
      </c>
      <c r="C182" s="4">
        <v>2</v>
      </c>
      <c r="D182" s="5">
        <v>6.85</v>
      </c>
      <c r="E182" s="5">
        <v>18</v>
      </c>
      <c r="F182" s="4" t="s">
        <v>994</v>
      </c>
      <c r="G182" s="2" t="s">
        <v>657</v>
      </c>
      <c r="H182" s="7" t="s">
        <v>228</v>
      </c>
      <c r="I182" s="2" t="s">
        <v>468</v>
      </c>
      <c r="J182" s="2" t="s">
        <v>469</v>
      </c>
      <c r="K182" s="2" t="s">
        <v>304</v>
      </c>
      <c r="L182" s="2" t="s">
        <v>537</v>
      </c>
      <c r="M182" s="8" t="str">
        <f>HYPERLINK("http://slimages.macys.com/is/image/MCY/13468835 ")</f>
        <v xml:space="preserve">http://slimages.macys.com/is/image/MCY/13468835 </v>
      </c>
    </row>
    <row r="183" spans="1:13" ht="60" x14ac:dyDescent="0.25">
      <c r="A183" s="7" t="s">
        <v>5407</v>
      </c>
      <c r="B183" s="2" t="s">
        <v>1768</v>
      </c>
      <c r="C183" s="4">
        <v>2</v>
      </c>
      <c r="D183" s="5">
        <v>6.85</v>
      </c>
      <c r="E183" s="5">
        <v>18</v>
      </c>
      <c r="F183" s="4" t="s">
        <v>1769</v>
      </c>
      <c r="G183" s="2" t="s">
        <v>48</v>
      </c>
      <c r="H183" s="7" t="s">
        <v>159</v>
      </c>
      <c r="I183" s="2" t="s">
        <v>468</v>
      </c>
      <c r="J183" s="2" t="s">
        <v>469</v>
      </c>
      <c r="K183" s="2" t="s">
        <v>304</v>
      </c>
      <c r="L183" s="2" t="s">
        <v>100</v>
      </c>
      <c r="M183" s="8" t="str">
        <f>HYPERLINK("http://slimages.macys.com/is/image/MCY/12809150 ")</f>
        <v xml:space="preserve">http://slimages.macys.com/is/image/MCY/12809150 </v>
      </c>
    </row>
    <row r="184" spans="1:13" ht="60" x14ac:dyDescent="0.25">
      <c r="A184" s="7" t="s">
        <v>992</v>
      </c>
      <c r="B184" s="2" t="s">
        <v>993</v>
      </c>
      <c r="C184" s="4">
        <v>3</v>
      </c>
      <c r="D184" s="5">
        <v>6.85</v>
      </c>
      <c r="E184" s="5">
        <v>18</v>
      </c>
      <c r="F184" s="4" t="s">
        <v>994</v>
      </c>
      <c r="G184" s="2" t="s">
        <v>657</v>
      </c>
      <c r="H184" s="7" t="s">
        <v>159</v>
      </c>
      <c r="I184" s="2" t="s">
        <v>468</v>
      </c>
      <c r="J184" s="2" t="s">
        <v>469</v>
      </c>
      <c r="K184" s="2" t="s">
        <v>304</v>
      </c>
      <c r="L184" s="2" t="s">
        <v>537</v>
      </c>
      <c r="M184" s="8" t="str">
        <f>HYPERLINK("http://slimages.macys.com/is/image/MCY/13468835 ")</f>
        <v xml:space="preserve">http://slimages.macys.com/is/image/MCY/13468835 </v>
      </c>
    </row>
    <row r="185" spans="1:13" ht="60" x14ac:dyDescent="0.25">
      <c r="A185" s="7" t="s">
        <v>1761</v>
      </c>
      <c r="B185" s="2" t="s">
        <v>1762</v>
      </c>
      <c r="C185" s="4">
        <v>1</v>
      </c>
      <c r="D185" s="5">
        <v>6.85</v>
      </c>
      <c r="E185" s="5">
        <v>18</v>
      </c>
      <c r="F185" s="4" t="s">
        <v>1763</v>
      </c>
      <c r="G185" s="2" t="s">
        <v>1160</v>
      </c>
      <c r="H185" s="7" t="s">
        <v>228</v>
      </c>
      <c r="I185" s="2" t="s">
        <v>468</v>
      </c>
      <c r="J185" s="2" t="s">
        <v>469</v>
      </c>
      <c r="K185" s="2" t="s">
        <v>304</v>
      </c>
      <c r="L185" s="2" t="s">
        <v>119</v>
      </c>
      <c r="M185" s="8" t="str">
        <f>HYPERLINK("http://slimages.macys.com/is/image/MCY/11387122 ")</f>
        <v xml:space="preserve">http://slimages.macys.com/is/image/MCY/11387122 </v>
      </c>
    </row>
    <row r="186" spans="1:13" ht="60" x14ac:dyDescent="0.25">
      <c r="A186" s="7" t="s">
        <v>1770</v>
      </c>
      <c r="B186" s="2" t="s">
        <v>1768</v>
      </c>
      <c r="C186" s="4">
        <v>3</v>
      </c>
      <c r="D186" s="5">
        <v>6.85</v>
      </c>
      <c r="E186" s="5">
        <v>18</v>
      </c>
      <c r="F186" s="4" t="s">
        <v>1769</v>
      </c>
      <c r="G186" s="2" t="s">
        <v>48</v>
      </c>
      <c r="H186" s="7" t="s">
        <v>228</v>
      </c>
      <c r="I186" s="2" t="s">
        <v>468</v>
      </c>
      <c r="J186" s="2" t="s">
        <v>469</v>
      </c>
      <c r="K186" s="2" t="s">
        <v>304</v>
      </c>
      <c r="L186" s="2" t="s">
        <v>100</v>
      </c>
      <c r="M186" s="8" t="str">
        <f>HYPERLINK("http://slimages.macys.com/is/image/MCY/12809150 ")</f>
        <v xml:space="preserve">http://slimages.macys.com/is/image/MCY/12809150 </v>
      </c>
    </row>
    <row r="187" spans="1:13" ht="60" x14ac:dyDescent="0.25">
      <c r="A187" s="7" t="s">
        <v>1767</v>
      </c>
      <c r="B187" s="2" t="s">
        <v>1768</v>
      </c>
      <c r="C187" s="4">
        <v>3</v>
      </c>
      <c r="D187" s="5">
        <v>6.85</v>
      </c>
      <c r="E187" s="5">
        <v>18</v>
      </c>
      <c r="F187" s="4" t="s">
        <v>1769</v>
      </c>
      <c r="G187" s="2" t="s">
        <v>48</v>
      </c>
      <c r="H187" s="7" t="s">
        <v>217</v>
      </c>
      <c r="I187" s="2" t="s">
        <v>468</v>
      </c>
      <c r="J187" s="2" t="s">
        <v>469</v>
      </c>
      <c r="K187" s="2" t="s">
        <v>304</v>
      </c>
      <c r="L187" s="2" t="s">
        <v>100</v>
      </c>
      <c r="M187" s="8" t="str">
        <f>HYPERLINK("http://slimages.macys.com/is/image/MCY/12809150 ")</f>
        <v xml:space="preserve">http://slimages.macys.com/is/image/MCY/12809150 </v>
      </c>
    </row>
    <row r="188" spans="1:13" ht="60" x14ac:dyDescent="0.25">
      <c r="A188" s="7" t="s">
        <v>5408</v>
      </c>
      <c r="B188" s="2" t="s">
        <v>1762</v>
      </c>
      <c r="C188" s="4">
        <v>1</v>
      </c>
      <c r="D188" s="5">
        <v>6.85</v>
      </c>
      <c r="E188" s="5">
        <v>18</v>
      </c>
      <c r="F188" s="4" t="s">
        <v>1763</v>
      </c>
      <c r="G188" s="2" t="s">
        <v>1160</v>
      </c>
      <c r="H188" s="7" t="s">
        <v>159</v>
      </c>
      <c r="I188" s="2" t="s">
        <v>468</v>
      </c>
      <c r="J188" s="2" t="s">
        <v>469</v>
      </c>
      <c r="K188" s="2" t="s">
        <v>304</v>
      </c>
      <c r="L188" s="2" t="s">
        <v>119</v>
      </c>
      <c r="M188" s="8" t="str">
        <f>HYPERLINK("http://slimages.macys.com/is/image/MCY/11387122 ")</f>
        <v xml:space="preserve">http://slimages.macys.com/is/image/MCY/11387122 </v>
      </c>
    </row>
    <row r="189" spans="1:13" ht="60" x14ac:dyDescent="0.25">
      <c r="A189" s="7" t="s">
        <v>5409</v>
      </c>
      <c r="B189" s="2" t="s">
        <v>5410</v>
      </c>
      <c r="C189" s="4">
        <v>1</v>
      </c>
      <c r="D189" s="5">
        <v>6.85</v>
      </c>
      <c r="E189" s="5">
        <v>18</v>
      </c>
      <c r="F189" s="4" t="s">
        <v>5411</v>
      </c>
      <c r="G189" s="2" t="s">
        <v>262</v>
      </c>
      <c r="H189" s="7" t="s">
        <v>159</v>
      </c>
      <c r="I189" s="2" t="s">
        <v>468</v>
      </c>
      <c r="J189" s="2" t="s">
        <v>469</v>
      </c>
      <c r="K189" s="2" t="s">
        <v>304</v>
      </c>
      <c r="L189" s="2" t="s">
        <v>119</v>
      </c>
      <c r="M189" s="8" t="str">
        <f>HYPERLINK("http://slimages.macys.com/is/image/MCY/12809166 ")</f>
        <v xml:space="preserve">http://slimages.macys.com/is/image/MCY/12809166 </v>
      </c>
    </row>
    <row r="190" spans="1:13" ht="60" x14ac:dyDescent="0.25">
      <c r="A190" s="7" t="s">
        <v>5412</v>
      </c>
      <c r="B190" s="2" t="s">
        <v>1765</v>
      </c>
      <c r="C190" s="4">
        <v>1</v>
      </c>
      <c r="D190" s="5">
        <v>6.85</v>
      </c>
      <c r="E190" s="5">
        <v>18</v>
      </c>
      <c r="F190" s="4" t="s">
        <v>1766</v>
      </c>
      <c r="G190" s="2" t="s">
        <v>62</v>
      </c>
      <c r="H190" s="7" t="s">
        <v>159</v>
      </c>
      <c r="I190" s="2" t="s">
        <v>468</v>
      </c>
      <c r="J190" s="2" t="s">
        <v>469</v>
      </c>
      <c r="K190" s="2" t="s">
        <v>304</v>
      </c>
      <c r="L190" s="2" t="s">
        <v>119</v>
      </c>
      <c r="M190" s="8" t="str">
        <f>HYPERLINK("http://slimages.macys.com/is/image/MCY/11958538 ")</f>
        <v xml:space="preserve">http://slimages.macys.com/is/image/MCY/11958538 </v>
      </c>
    </row>
    <row r="191" spans="1:13" ht="60" x14ac:dyDescent="0.25">
      <c r="A191" s="7" t="s">
        <v>5413</v>
      </c>
      <c r="B191" s="2" t="s">
        <v>993</v>
      </c>
      <c r="C191" s="4">
        <v>2</v>
      </c>
      <c r="D191" s="5">
        <v>6.85</v>
      </c>
      <c r="E191" s="5">
        <v>18</v>
      </c>
      <c r="F191" s="4" t="s">
        <v>994</v>
      </c>
      <c r="G191" s="2" t="s">
        <v>657</v>
      </c>
      <c r="H191" s="7" t="s">
        <v>217</v>
      </c>
      <c r="I191" s="2" t="s">
        <v>468</v>
      </c>
      <c r="J191" s="2" t="s">
        <v>469</v>
      </c>
      <c r="K191" s="2" t="s">
        <v>304</v>
      </c>
      <c r="L191" s="2" t="s">
        <v>537</v>
      </c>
      <c r="M191" s="8" t="str">
        <f>HYPERLINK("http://slimages.macys.com/is/image/MCY/13468835 ")</f>
        <v xml:space="preserve">http://slimages.macys.com/is/image/MCY/13468835 </v>
      </c>
    </row>
    <row r="192" spans="1:13" ht="60" x14ac:dyDescent="0.25">
      <c r="A192" s="7" t="s">
        <v>5414</v>
      </c>
      <c r="B192" s="2" t="s">
        <v>1762</v>
      </c>
      <c r="C192" s="4">
        <v>1</v>
      </c>
      <c r="D192" s="5">
        <v>6.85</v>
      </c>
      <c r="E192" s="5">
        <v>18</v>
      </c>
      <c r="F192" s="4" t="s">
        <v>1763</v>
      </c>
      <c r="G192" s="2" t="s">
        <v>1160</v>
      </c>
      <c r="H192" s="7" t="s">
        <v>284</v>
      </c>
      <c r="I192" s="2" t="s">
        <v>468</v>
      </c>
      <c r="J192" s="2" t="s">
        <v>469</v>
      </c>
      <c r="K192" s="2" t="s">
        <v>304</v>
      </c>
      <c r="L192" s="2" t="s">
        <v>119</v>
      </c>
      <c r="M192" s="8" t="str">
        <f>HYPERLINK("http://slimages.macys.com/is/image/MCY/11387122 ")</f>
        <v xml:space="preserve">http://slimages.macys.com/is/image/MCY/11387122 </v>
      </c>
    </row>
    <row r="193" spans="1:13" ht="60" x14ac:dyDescent="0.25">
      <c r="A193" s="7" t="s">
        <v>1778</v>
      </c>
      <c r="B193" s="2" t="s">
        <v>1776</v>
      </c>
      <c r="C193" s="4">
        <v>1</v>
      </c>
      <c r="D193" s="5">
        <v>6.84</v>
      </c>
      <c r="E193" s="5">
        <v>19.989999999999998</v>
      </c>
      <c r="F193" s="4" t="s">
        <v>1777</v>
      </c>
      <c r="G193" s="2" t="s">
        <v>388</v>
      </c>
      <c r="H193" s="7" t="s">
        <v>1151</v>
      </c>
      <c r="I193" s="2" t="s">
        <v>1689</v>
      </c>
      <c r="J193" s="2" t="s">
        <v>354</v>
      </c>
      <c r="K193" s="2" t="s">
        <v>304</v>
      </c>
      <c r="L193" s="2" t="s">
        <v>390</v>
      </c>
      <c r="M193" s="8" t="str">
        <f>HYPERLINK("http://slimages.macys.com/is/image/MCY/12890114 ")</f>
        <v xml:space="preserve">http://slimages.macys.com/is/image/MCY/12890114 </v>
      </c>
    </row>
    <row r="194" spans="1:13" ht="60" x14ac:dyDescent="0.25">
      <c r="A194" s="7" t="s">
        <v>1775</v>
      </c>
      <c r="B194" s="2" t="s">
        <v>1776</v>
      </c>
      <c r="C194" s="4">
        <v>2</v>
      </c>
      <c r="D194" s="5">
        <v>6.84</v>
      </c>
      <c r="E194" s="5">
        <v>19.989999999999998</v>
      </c>
      <c r="F194" s="4" t="s">
        <v>1777</v>
      </c>
      <c r="G194" s="2" t="s">
        <v>388</v>
      </c>
      <c r="H194" s="7" t="s">
        <v>514</v>
      </c>
      <c r="I194" s="2" t="s">
        <v>1689</v>
      </c>
      <c r="J194" s="2" t="s">
        <v>354</v>
      </c>
      <c r="K194" s="2" t="s">
        <v>304</v>
      </c>
      <c r="L194" s="2" t="s">
        <v>390</v>
      </c>
      <c r="M194" s="8" t="str">
        <f>HYPERLINK("http://slimages.macys.com/is/image/MCY/12890114 ")</f>
        <v xml:space="preserve">http://slimages.macys.com/is/image/MCY/12890114 </v>
      </c>
    </row>
    <row r="195" spans="1:13" ht="60" x14ac:dyDescent="0.25">
      <c r="A195" s="7" t="s">
        <v>5415</v>
      </c>
      <c r="B195" s="2" t="s">
        <v>5416</v>
      </c>
      <c r="C195" s="4">
        <v>1</v>
      </c>
      <c r="D195" s="5">
        <v>6.84</v>
      </c>
      <c r="E195" s="5">
        <v>14.99</v>
      </c>
      <c r="F195" s="4" t="s">
        <v>5417</v>
      </c>
      <c r="G195" s="2" t="s">
        <v>28</v>
      </c>
      <c r="H195" s="7" t="s">
        <v>166</v>
      </c>
      <c r="I195" s="2" t="s">
        <v>292</v>
      </c>
      <c r="J195" s="2" t="s">
        <v>354</v>
      </c>
      <c r="K195" s="2" t="s">
        <v>304</v>
      </c>
      <c r="L195" s="2" t="s">
        <v>100</v>
      </c>
      <c r="M195" s="8" t="str">
        <f>HYPERLINK("http://slimages.macys.com/is/image/MCY/13893127 ")</f>
        <v xml:space="preserve">http://slimages.macys.com/is/image/MCY/13893127 </v>
      </c>
    </row>
    <row r="196" spans="1:13" ht="60" x14ac:dyDescent="0.25">
      <c r="A196" s="7" t="s">
        <v>5418</v>
      </c>
      <c r="B196" s="2" t="s">
        <v>5419</v>
      </c>
      <c r="C196" s="4">
        <v>1</v>
      </c>
      <c r="D196" s="5">
        <v>6.83</v>
      </c>
      <c r="E196" s="5">
        <v>13.99</v>
      </c>
      <c r="F196" s="4" t="s">
        <v>5420</v>
      </c>
      <c r="G196" s="2" t="s">
        <v>310</v>
      </c>
      <c r="H196" s="7" t="s">
        <v>228</v>
      </c>
      <c r="I196" s="2" t="s">
        <v>523</v>
      </c>
      <c r="J196" s="2" t="s">
        <v>4102</v>
      </c>
      <c r="K196" s="2" t="s">
        <v>304</v>
      </c>
      <c r="L196" s="2" t="s">
        <v>125</v>
      </c>
      <c r="M196" s="8" t="str">
        <f>HYPERLINK("http://slimages.macys.com/is/image/MCY/9687514 ")</f>
        <v xml:space="preserve">http://slimages.macys.com/is/image/MCY/9687514 </v>
      </c>
    </row>
    <row r="197" spans="1:13" ht="60" x14ac:dyDescent="0.25">
      <c r="A197" s="7" t="s">
        <v>5421</v>
      </c>
      <c r="B197" s="2" t="s">
        <v>2589</v>
      </c>
      <c r="C197" s="4">
        <v>1</v>
      </c>
      <c r="D197" s="5">
        <v>6.81</v>
      </c>
      <c r="E197" s="5">
        <v>16.989999999999998</v>
      </c>
      <c r="F197" s="4" t="s">
        <v>2590</v>
      </c>
      <c r="G197" s="2" t="s">
        <v>48</v>
      </c>
      <c r="H197" s="7" t="s">
        <v>196</v>
      </c>
      <c r="I197" s="2" t="s">
        <v>515</v>
      </c>
      <c r="J197" s="2" t="s">
        <v>827</v>
      </c>
      <c r="K197" s="2" t="s">
        <v>304</v>
      </c>
      <c r="L197" s="2" t="s">
        <v>358</v>
      </c>
      <c r="M197" s="8" t="str">
        <f>HYPERLINK("http://slimages.macys.com/is/image/MCY/12507563 ")</f>
        <v xml:space="preserve">http://slimages.macys.com/is/image/MCY/12507563 </v>
      </c>
    </row>
    <row r="198" spans="1:13" ht="132" x14ac:dyDescent="0.25">
      <c r="A198" s="7" t="s">
        <v>5422</v>
      </c>
      <c r="B198" s="2" t="s">
        <v>1782</v>
      </c>
      <c r="C198" s="4">
        <v>1</v>
      </c>
      <c r="D198" s="5">
        <v>6.8</v>
      </c>
      <c r="E198" s="5">
        <v>14.99</v>
      </c>
      <c r="F198" s="4" t="s">
        <v>1783</v>
      </c>
      <c r="G198" s="2" t="s">
        <v>103</v>
      </c>
      <c r="H198" s="7" t="s">
        <v>284</v>
      </c>
      <c r="I198" s="2" t="s">
        <v>515</v>
      </c>
      <c r="J198" s="2" t="s">
        <v>827</v>
      </c>
      <c r="K198" s="2" t="s">
        <v>304</v>
      </c>
      <c r="L198" s="2" t="s">
        <v>1784</v>
      </c>
      <c r="M198" s="8" t="str">
        <f>HYPERLINK("http://slimages.macys.com/is/image/MCY/13119046 ")</f>
        <v xml:space="preserve">http://slimages.macys.com/is/image/MCY/13119046 </v>
      </c>
    </row>
    <row r="199" spans="1:13" ht="60" x14ac:dyDescent="0.25">
      <c r="A199" s="7" t="s">
        <v>5423</v>
      </c>
      <c r="B199" s="2" t="s">
        <v>4070</v>
      </c>
      <c r="C199" s="4">
        <v>1</v>
      </c>
      <c r="D199" s="5">
        <v>6.79</v>
      </c>
      <c r="E199" s="5">
        <v>16.989999999999998</v>
      </c>
      <c r="F199" s="4" t="s">
        <v>4071</v>
      </c>
      <c r="G199" s="2" t="s">
        <v>262</v>
      </c>
      <c r="H199" s="7" t="s">
        <v>42</v>
      </c>
      <c r="I199" s="2" t="s">
        <v>483</v>
      </c>
      <c r="J199" s="2" t="s">
        <v>536</v>
      </c>
      <c r="K199" s="2" t="s">
        <v>304</v>
      </c>
      <c r="L199" s="2" t="s">
        <v>38</v>
      </c>
      <c r="M199" s="8" t="str">
        <f>HYPERLINK("http://slimages.macys.com/is/image/MCY/14385171 ")</f>
        <v xml:space="preserve">http://slimages.macys.com/is/image/MCY/14385171 </v>
      </c>
    </row>
    <row r="200" spans="1:13" ht="60" x14ac:dyDescent="0.25">
      <c r="A200" s="7" t="s">
        <v>5424</v>
      </c>
      <c r="B200" s="2" t="s">
        <v>996</v>
      </c>
      <c r="C200" s="4">
        <v>1</v>
      </c>
      <c r="D200" s="5">
        <v>6.78</v>
      </c>
      <c r="E200" s="5">
        <v>14.99</v>
      </c>
      <c r="F200" s="4" t="s">
        <v>997</v>
      </c>
      <c r="G200" s="2" t="s">
        <v>48</v>
      </c>
      <c r="H200" s="7" t="s">
        <v>514</v>
      </c>
      <c r="I200" s="2" t="s">
        <v>515</v>
      </c>
      <c r="J200" s="2" t="s">
        <v>516</v>
      </c>
      <c r="K200" s="2" t="s">
        <v>304</v>
      </c>
      <c r="L200" s="2" t="s">
        <v>358</v>
      </c>
      <c r="M200" s="8" t="str">
        <f>HYPERLINK("http://slimages.macys.com/is/image/MCY/12953242 ")</f>
        <v xml:space="preserve">http://slimages.macys.com/is/image/MCY/12953242 </v>
      </c>
    </row>
    <row r="201" spans="1:13" ht="72" x14ac:dyDescent="0.25">
      <c r="A201" s="7" t="s">
        <v>4074</v>
      </c>
      <c r="B201" s="2" t="s">
        <v>4075</v>
      </c>
      <c r="C201" s="4">
        <v>1</v>
      </c>
      <c r="D201" s="5">
        <v>6.76</v>
      </c>
      <c r="E201" s="5">
        <v>14.99</v>
      </c>
      <c r="F201" s="4" t="s">
        <v>4076</v>
      </c>
      <c r="G201" s="2" t="s">
        <v>195</v>
      </c>
      <c r="H201" s="7" t="s">
        <v>91</v>
      </c>
      <c r="I201" s="2" t="s">
        <v>483</v>
      </c>
      <c r="J201" s="2" t="s">
        <v>536</v>
      </c>
      <c r="K201" s="2" t="s">
        <v>304</v>
      </c>
      <c r="L201" s="2" t="s">
        <v>4077</v>
      </c>
      <c r="M201" s="8" t="str">
        <f>HYPERLINK("http://slimages.macys.com/is/image/MCY/14634816 ")</f>
        <v xml:space="preserve">http://slimages.macys.com/is/image/MCY/14634816 </v>
      </c>
    </row>
    <row r="202" spans="1:13" ht="60" x14ac:dyDescent="0.25">
      <c r="A202" s="7" t="s">
        <v>5425</v>
      </c>
      <c r="B202" s="2" t="s">
        <v>1002</v>
      </c>
      <c r="C202" s="4">
        <v>1</v>
      </c>
      <c r="D202" s="5">
        <v>6.75</v>
      </c>
      <c r="E202" s="5">
        <v>16.989999999999998</v>
      </c>
      <c r="F202" s="4" t="s">
        <v>1003</v>
      </c>
      <c r="G202" s="2" t="s">
        <v>107</v>
      </c>
      <c r="H202" s="7" t="s">
        <v>149</v>
      </c>
      <c r="I202" s="2" t="s">
        <v>92</v>
      </c>
      <c r="J202" s="2" t="s">
        <v>65</v>
      </c>
      <c r="K202" s="2" t="s">
        <v>304</v>
      </c>
      <c r="L202" s="2" t="s">
        <v>1004</v>
      </c>
      <c r="M202" s="8" t="str">
        <f>HYPERLINK("http://slimages.macys.com/is/image/MCY/14803429 ")</f>
        <v xml:space="preserve">http://slimages.macys.com/is/image/MCY/14803429 </v>
      </c>
    </row>
    <row r="203" spans="1:13" ht="60" x14ac:dyDescent="0.25">
      <c r="A203" s="7" t="s">
        <v>5426</v>
      </c>
      <c r="B203" s="2" t="s">
        <v>1002</v>
      </c>
      <c r="C203" s="4">
        <v>1</v>
      </c>
      <c r="D203" s="5">
        <v>6.75</v>
      </c>
      <c r="E203" s="5">
        <v>16.989999999999998</v>
      </c>
      <c r="F203" s="4" t="s">
        <v>1003</v>
      </c>
      <c r="G203" s="2" t="s">
        <v>107</v>
      </c>
      <c r="H203" s="7" t="s">
        <v>590</v>
      </c>
      <c r="I203" s="2" t="s">
        <v>92</v>
      </c>
      <c r="J203" s="2" t="s">
        <v>65</v>
      </c>
      <c r="K203" s="2" t="s">
        <v>304</v>
      </c>
      <c r="L203" s="2" t="s">
        <v>1004</v>
      </c>
      <c r="M203" s="8" t="str">
        <f>HYPERLINK("http://slimages.macys.com/is/image/MCY/14803429 ")</f>
        <v xml:space="preserve">http://slimages.macys.com/is/image/MCY/14803429 </v>
      </c>
    </row>
    <row r="204" spans="1:13" ht="96" x14ac:dyDescent="0.25">
      <c r="A204" s="7" t="s">
        <v>5427</v>
      </c>
      <c r="B204" s="2" t="s">
        <v>5428</v>
      </c>
      <c r="C204" s="4">
        <v>29</v>
      </c>
      <c r="D204" s="5">
        <v>6.75</v>
      </c>
      <c r="E204" s="5">
        <v>16.989999999999998</v>
      </c>
      <c r="F204" s="4" t="s">
        <v>5429</v>
      </c>
      <c r="G204" s="2" t="s">
        <v>476</v>
      </c>
      <c r="H204" s="7" t="s">
        <v>68</v>
      </c>
      <c r="I204" s="2" t="s">
        <v>321</v>
      </c>
      <c r="J204" s="2" t="s">
        <v>477</v>
      </c>
      <c r="K204" s="2" t="s">
        <v>304</v>
      </c>
      <c r="L204" s="2" t="s">
        <v>1516</v>
      </c>
      <c r="M204" s="8" t="str">
        <f>HYPERLINK("http://slimages.macys.com/is/image/MCY/13860359 ")</f>
        <v xml:space="preserve">http://slimages.macys.com/is/image/MCY/13860359 </v>
      </c>
    </row>
    <row r="205" spans="1:13" ht="96" x14ac:dyDescent="0.25">
      <c r="A205" s="7" t="s">
        <v>5430</v>
      </c>
      <c r="B205" s="2" t="s">
        <v>4088</v>
      </c>
      <c r="C205" s="4">
        <v>19</v>
      </c>
      <c r="D205" s="5">
        <v>6.75</v>
      </c>
      <c r="E205" s="5">
        <v>16.989999999999998</v>
      </c>
      <c r="F205" s="4" t="s">
        <v>5431</v>
      </c>
      <c r="G205" s="2" t="s">
        <v>892</v>
      </c>
      <c r="H205" s="7" t="s">
        <v>144</v>
      </c>
      <c r="I205" s="2" t="s">
        <v>321</v>
      </c>
      <c r="J205" s="2" t="s">
        <v>477</v>
      </c>
      <c r="K205" s="2" t="s">
        <v>304</v>
      </c>
      <c r="L205" s="2" t="s">
        <v>1516</v>
      </c>
      <c r="M205" s="8" t="str">
        <f>HYPERLINK("http://slimages.macys.com/is/image/MCY/13860413 ")</f>
        <v xml:space="preserve">http://slimages.macys.com/is/image/MCY/13860413 </v>
      </c>
    </row>
    <row r="206" spans="1:13" ht="96" x14ac:dyDescent="0.25">
      <c r="A206" s="7" t="s">
        <v>5432</v>
      </c>
      <c r="B206" s="2" t="s">
        <v>4088</v>
      </c>
      <c r="C206" s="4">
        <v>45</v>
      </c>
      <c r="D206" s="5">
        <v>6.75</v>
      </c>
      <c r="E206" s="5">
        <v>16.989999999999998</v>
      </c>
      <c r="F206" s="4" t="s">
        <v>5431</v>
      </c>
      <c r="G206" s="2" t="s">
        <v>892</v>
      </c>
      <c r="H206" s="7" t="s">
        <v>209</v>
      </c>
      <c r="I206" s="2" t="s">
        <v>321</v>
      </c>
      <c r="J206" s="2" t="s">
        <v>477</v>
      </c>
      <c r="K206" s="2" t="s">
        <v>304</v>
      </c>
      <c r="L206" s="2" t="s">
        <v>1516</v>
      </c>
      <c r="M206" s="8" t="str">
        <f>HYPERLINK("http://slimages.macys.com/is/image/MCY/13860413 ")</f>
        <v xml:space="preserve">http://slimages.macys.com/is/image/MCY/13860413 </v>
      </c>
    </row>
    <row r="207" spans="1:13" ht="60" x14ac:dyDescent="0.25">
      <c r="A207" s="7" t="s">
        <v>1796</v>
      </c>
      <c r="B207" s="2" t="s">
        <v>1791</v>
      </c>
      <c r="C207" s="4">
        <v>8</v>
      </c>
      <c r="D207" s="5">
        <v>6.75</v>
      </c>
      <c r="E207" s="5">
        <v>16.989999999999998</v>
      </c>
      <c r="F207" s="4" t="s">
        <v>1792</v>
      </c>
      <c r="G207" s="2" t="s">
        <v>41</v>
      </c>
      <c r="H207" s="7"/>
      <c r="I207" s="2" t="s">
        <v>321</v>
      </c>
      <c r="J207" s="2" t="s">
        <v>477</v>
      </c>
      <c r="K207" s="2" t="s">
        <v>304</v>
      </c>
      <c r="L207" s="2" t="s">
        <v>125</v>
      </c>
      <c r="M207" s="8" t="str">
        <f>HYPERLINK("http://slimages.macys.com/is/image/MCY/13860424 ")</f>
        <v xml:space="preserve">http://slimages.macys.com/is/image/MCY/13860424 </v>
      </c>
    </row>
    <row r="208" spans="1:13" ht="60" x14ac:dyDescent="0.25">
      <c r="A208" s="7" t="s">
        <v>5433</v>
      </c>
      <c r="B208" s="2" t="s">
        <v>5428</v>
      </c>
      <c r="C208" s="4">
        <v>16</v>
      </c>
      <c r="D208" s="5">
        <v>6.75</v>
      </c>
      <c r="E208" s="5">
        <v>16.989999999999998</v>
      </c>
      <c r="F208" s="4" t="s">
        <v>5434</v>
      </c>
      <c r="G208" s="2" t="s">
        <v>476</v>
      </c>
      <c r="H208" s="7"/>
      <c r="I208" s="2" t="s">
        <v>321</v>
      </c>
      <c r="J208" s="2" t="s">
        <v>477</v>
      </c>
      <c r="K208" s="2" t="s">
        <v>304</v>
      </c>
      <c r="L208" s="2" t="s">
        <v>358</v>
      </c>
      <c r="M208" s="8" t="str">
        <f>HYPERLINK("http://slimages.macys.com/is/image/MCY/13860359 ")</f>
        <v xml:space="preserve">http://slimages.macys.com/is/image/MCY/13860359 </v>
      </c>
    </row>
    <row r="209" spans="1:13" ht="60" x14ac:dyDescent="0.25">
      <c r="A209" s="7" t="s">
        <v>5435</v>
      </c>
      <c r="B209" s="2" t="s">
        <v>1791</v>
      </c>
      <c r="C209" s="4">
        <v>21</v>
      </c>
      <c r="D209" s="5">
        <v>6.75</v>
      </c>
      <c r="E209" s="5">
        <v>16.989999999999998</v>
      </c>
      <c r="F209" s="4" t="s">
        <v>1795</v>
      </c>
      <c r="G209" s="2" t="s">
        <v>41</v>
      </c>
      <c r="H209" s="7" t="s">
        <v>68</v>
      </c>
      <c r="I209" s="2" t="s">
        <v>321</v>
      </c>
      <c r="J209" s="2" t="s">
        <v>477</v>
      </c>
      <c r="K209" s="2" t="s">
        <v>304</v>
      </c>
      <c r="L209" s="2" t="s">
        <v>125</v>
      </c>
      <c r="M209" s="8" t="str">
        <f>HYPERLINK("http://slimages.macys.com/is/image/MCY/13860424 ")</f>
        <v xml:space="preserve">http://slimages.macys.com/is/image/MCY/13860424 </v>
      </c>
    </row>
    <row r="210" spans="1:13" ht="96" x14ac:dyDescent="0.25">
      <c r="A210" s="7" t="s">
        <v>5436</v>
      </c>
      <c r="B210" s="2" t="s">
        <v>5437</v>
      </c>
      <c r="C210" s="4">
        <v>1</v>
      </c>
      <c r="D210" s="5">
        <v>6.72</v>
      </c>
      <c r="E210" s="5">
        <v>24</v>
      </c>
      <c r="F210" s="4">
        <v>344624</v>
      </c>
      <c r="G210" s="2" t="s">
        <v>134</v>
      </c>
      <c r="H210" s="7" t="s">
        <v>49</v>
      </c>
      <c r="I210" s="2" t="s">
        <v>50</v>
      </c>
      <c r="J210" s="2" t="s">
        <v>787</v>
      </c>
      <c r="K210" s="2" t="s">
        <v>304</v>
      </c>
      <c r="L210" s="2" t="s">
        <v>851</v>
      </c>
      <c r="M210" s="8" t="str">
        <f>HYPERLINK("http://slimages.macys.com/is/image/MCY/11993622 ")</f>
        <v xml:space="preserve">http://slimages.macys.com/is/image/MCY/11993622 </v>
      </c>
    </row>
    <row r="211" spans="1:13" ht="60" x14ac:dyDescent="0.25">
      <c r="A211" s="7" t="s">
        <v>3350</v>
      </c>
      <c r="B211" s="2" t="s">
        <v>3347</v>
      </c>
      <c r="C211" s="4">
        <v>1</v>
      </c>
      <c r="D211" s="5">
        <v>6.7</v>
      </c>
      <c r="E211" s="5">
        <v>11.99</v>
      </c>
      <c r="F211" s="4" t="s">
        <v>3348</v>
      </c>
      <c r="G211" s="2" t="s">
        <v>48</v>
      </c>
      <c r="H211" s="7" t="s">
        <v>311</v>
      </c>
      <c r="I211" s="2" t="s">
        <v>73</v>
      </c>
      <c r="J211" s="2" t="s">
        <v>1963</v>
      </c>
      <c r="K211" s="2" t="s">
        <v>304</v>
      </c>
      <c r="L211" s="2" t="s">
        <v>100</v>
      </c>
      <c r="M211" s="8" t="str">
        <f>HYPERLINK("http://slimages.macys.com/is/image/MCY/11229110 ")</f>
        <v xml:space="preserve">http://slimages.macys.com/is/image/MCY/11229110 </v>
      </c>
    </row>
    <row r="212" spans="1:13" ht="60" x14ac:dyDescent="0.25">
      <c r="A212" s="7" t="s">
        <v>4936</v>
      </c>
      <c r="B212" s="2" t="s">
        <v>1025</v>
      </c>
      <c r="C212" s="4">
        <v>1</v>
      </c>
      <c r="D212" s="5">
        <v>6.67</v>
      </c>
      <c r="E212" s="5">
        <v>16.989999999999998</v>
      </c>
      <c r="F212" s="4" t="s">
        <v>1804</v>
      </c>
      <c r="G212" s="2" t="s">
        <v>62</v>
      </c>
      <c r="H212" s="7" t="s">
        <v>159</v>
      </c>
      <c r="I212" s="2" t="s">
        <v>515</v>
      </c>
      <c r="J212" s="2" t="s">
        <v>827</v>
      </c>
      <c r="K212" s="2" t="s">
        <v>304</v>
      </c>
      <c r="L212" s="2" t="s">
        <v>358</v>
      </c>
      <c r="M212" s="8" t="str">
        <f>HYPERLINK("http://slimages.macys.com/is/image/MCY/12687279 ")</f>
        <v xml:space="preserve">http://slimages.macys.com/is/image/MCY/12687279 </v>
      </c>
    </row>
    <row r="213" spans="1:13" ht="60" x14ac:dyDescent="0.25">
      <c r="A213" s="7" t="s">
        <v>5438</v>
      </c>
      <c r="B213" s="2" t="s">
        <v>4938</v>
      </c>
      <c r="C213" s="4">
        <v>1</v>
      </c>
      <c r="D213" s="5">
        <v>6.65</v>
      </c>
      <c r="E213" s="5">
        <v>13.3</v>
      </c>
      <c r="F213" s="4" t="s">
        <v>4939</v>
      </c>
      <c r="G213" s="2" t="s">
        <v>79</v>
      </c>
      <c r="H213" s="7" t="s">
        <v>311</v>
      </c>
      <c r="I213" s="2" t="s">
        <v>487</v>
      </c>
      <c r="J213" s="2" t="s">
        <v>488</v>
      </c>
      <c r="K213" s="2" t="s">
        <v>304</v>
      </c>
      <c r="L213" s="2" t="s">
        <v>38</v>
      </c>
      <c r="M213" s="8" t="str">
        <f>HYPERLINK("http://slimages.macys.com/is/image/MCY/11867536 ")</f>
        <v xml:space="preserve">http://slimages.macys.com/is/image/MCY/11867536 </v>
      </c>
    </row>
    <row r="214" spans="1:13" ht="60" x14ac:dyDescent="0.25">
      <c r="A214" s="7" t="s">
        <v>5439</v>
      </c>
      <c r="B214" s="2" t="s">
        <v>5440</v>
      </c>
      <c r="C214" s="4">
        <v>1</v>
      </c>
      <c r="D214" s="5">
        <v>6.65</v>
      </c>
      <c r="E214" s="5">
        <v>12.99</v>
      </c>
      <c r="F214" s="4" t="s">
        <v>5441</v>
      </c>
      <c r="G214" s="2" t="s">
        <v>62</v>
      </c>
      <c r="H214" s="7" t="s">
        <v>284</v>
      </c>
      <c r="I214" s="2" t="s">
        <v>80</v>
      </c>
      <c r="J214" s="2" t="s">
        <v>1917</v>
      </c>
      <c r="K214" s="2" t="s">
        <v>304</v>
      </c>
      <c r="L214" s="2" t="s">
        <v>125</v>
      </c>
      <c r="M214" s="8" t="str">
        <f>HYPERLINK("http://slimages.macys.com/is/image/MCY/11282299 ")</f>
        <v xml:space="preserve">http://slimages.macys.com/is/image/MCY/11282299 </v>
      </c>
    </row>
    <row r="215" spans="1:13" ht="60" x14ac:dyDescent="0.25">
      <c r="A215" s="7" t="s">
        <v>5442</v>
      </c>
      <c r="B215" s="2" t="s">
        <v>1006</v>
      </c>
      <c r="C215" s="4">
        <v>1</v>
      </c>
      <c r="D215" s="5">
        <v>6.52</v>
      </c>
      <c r="E215" s="5">
        <v>14.99</v>
      </c>
      <c r="F215" s="4" t="s">
        <v>1007</v>
      </c>
      <c r="G215" s="2" t="s">
        <v>28</v>
      </c>
      <c r="H215" s="7" t="s">
        <v>311</v>
      </c>
      <c r="I215" s="2" t="s">
        <v>292</v>
      </c>
      <c r="J215" s="2" t="s">
        <v>354</v>
      </c>
      <c r="K215" s="2" t="s">
        <v>304</v>
      </c>
      <c r="L215" s="2" t="s">
        <v>119</v>
      </c>
      <c r="M215" s="8" t="str">
        <f>HYPERLINK("http://slimages.macys.com/is/image/MCY/11776479 ")</f>
        <v xml:space="preserve">http://slimages.macys.com/is/image/MCY/11776479 </v>
      </c>
    </row>
    <row r="216" spans="1:13" ht="60" x14ac:dyDescent="0.25">
      <c r="A216" s="7" t="s">
        <v>5443</v>
      </c>
      <c r="B216" s="2" t="s">
        <v>1006</v>
      </c>
      <c r="C216" s="4">
        <v>2</v>
      </c>
      <c r="D216" s="5">
        <v>6.52</v>
      </c>
      <c r="E216" s="5">
        <v>14.99</v>
      </c>
      <c r="F216" s="4" t="s">
        <v>1007</v>
      </c>
      <c r="G216" s="2" t="s">
        <v>28</v>
      </c>
      <c r="H216" s="7" t="s">
        <v>379</v>
      </c>
      <c r="I216" s="2" t="s">
        <v>292</v>
      </c>
      <c r="J216" s="2" t="s">
        <v>354</v>
      </c>
      <c r="K216" s="2" t="s">
        <v>304</v>
      </c>
      <c r="L216" s="2" t="s">
        <v>119</v>
      </c>
      <c r="M216" s="8" t="str">
        <f>HYPERLINK("http://slimages.macys.com/is/image/MCY/11776479 ")</f>
        <v xml:space="preserve">http://slimages.macys.com/is/image/MCY/11776479 </v>
      </c>
    </row>
    <row r="217" spans="1:13" ht="60" x14ac:dyDescent="0.25">
      <c r="A217" s="7" t="s">
        <v>5444</v>
      </c>
      <c r="B217" s="2" t="s">
        <v>5445</v>
      </c>
      <c r="C217" s="4">
        <v>1</v>
      </c>
      <c r="D217" s="5">
        <v>6.51</v>
      </c>
      <c r="E217" s="5">
        <v>16.989999999999998</v>
      </c>
      <c r="F217" s="4" t="s">
        <v>5446</v>
      </c>
      <c r="G217" s="2" t="s">
        <v>2913</v>
      </c>
      <c r="H217" s="7" t="s">
        <v>618</v>
      </c>
      <c r="I217" s="2" t="s">
        <v>483</v>
      </c>
      <c r="J217" s="2" t="s">
        <v>4858</v>
      </c>
      <c r="K217" s="2" t="s">
        <v>304</v>
      </c>
      <c r="L217" s="2" t="s">
        <v>5447</v>
      </c>
      <c r="M217" s="8" t="str">
        <f>HYPERLINK("http://slimages.macys.com/is/image/MCY/10276661 ")</f>
        <v xml:space="preserve">http://slimages.macys.com/is/image/MCY/10276661 </v>
      </c>
    </row>
    <row r="218" spans="1:13" ht="276" x14ac:dyDescent="0.25">
      <c r="A218" s="7" t="s">
        <v>5448</v>
      </c>
      <c r="B218" s="2" t="s">
        <v>5449</v>
      </c>
      <c r="C218" s="4">
        <v>1</v>
      </c>
      <c r="D218" s="5">
        <v>6.5</v>
      </c>
      <c r="E218" s="5">
        <v>15.99</v>
      </c>
      <c r="F218" s="4" t="s">
        <v>5450</v>
      </c>
      <c r="G218" s="2" t="s">
        <v>1302</v>
      </c>
      <c r="H218" s="7" t="s">
        <v>531</v>
      </c>
      <c r="I218" s="2" t="s">
        <v>483</v>
      </c>
      <c r="J218" s="2" t="s">
        <v>536</v>
      </c>
      <c r="K218" s="2" t="s">
        <v>304</v>
      </c>
      <c r="L218" s="2" t="s">
        <v>5451</v>
      </c>
      <c r="M218" s="8" t="str">
        <f>HYPERLINK("http://slimages.macys.com/is/image/MCY/10429427 ")</f>
        <v xml:space="preserve">http://slimages.macys.com/is/image/MCY/10429427 </v>
      </c>
    </row>
    <row r="219" spans="1:13" ht="72" x14ac:dyDescent="0.25">
      <c r="A219" s="7" t="s">
        <v>5452</v>
      </c>
      <c r="B219" s="2" t="s">
        <v>5453</v>
      </c>
      <c r="C219" s="4">
        <v>1</v>
      </c>
      <c r="D219" s="5">
        <v>6.5</v>
      </c>
      <c r="E219" s="5">
        <v>16.989999999999998</v>
      </c>
      <c r="F219" s="4" t="s">
        <v>5454</v>
      </c>
      <c r="G219" s="2" t="s">
        <v>2913</v>
      </c>
      <c r="H219" s="7" t="s">
        <v>618</v>
      </c>
      <c r="I219" s="2" t="s">
        <v>483</v>
      </c>
      <c r="J219" s="2" t="s">
        <v>4858</v>
      </c>
      <c r="K219" s="2" t="s">
        <v>304</v>
      </c>
      <c r="L219" s="2" t="s">
        <v>5455</v>
      </c>
      <c r="M219" s="8" t="str">
        <f>HYPERLINK("http://slimages.macys.com/is/image/MCY/10440349 ")</f>
        <v xml:space="preserve">http://slimages.macys.com/is/image/MCY/10440349 </v>
      </c>
    </row>
    <row r="220" spans="1:13" ht="60" x14ac:dyDescent="0.25">
      <c r="A220" s="7" t="s">
        <v>5456</v>
      </c>
      <c r="B220" s="2" t="s">
        <v>5457</v>
      </c>
      <c r="C220" s="4">
        <v>1</v>
      </c>
      <c r="D220" s="5">
        <v>6.46</v>
      </c>
      <c r="E220" s="5">
        <v>14.99</v>
      </c>
      <c r="F220" s="4" t="s">
        <v>5458</v>
      </c>
      <c r="G220" s="2" t="s">
        <v>41</v>
      </c>
      <c r="H220" s="7" t="s">
        <v>209</v>
      </c>
      <c r="I220" s="2" t="s">
        <v>292</v>
      </c>
      <c r="J220" s="2" t="s">
        <v>354</v>
      </c>
      <c r="K220" s="2" t="s">
        <v>304</v>
      </c>
      <c r="L220" s="2" t="s">
        <v>5459</v>
      </c>
      <c r="M220" s="8" t="str">
        <f>HYPERLINK("http://slimages.macys.com/is/image/MCY/12951290 ")</f>
        <v xml:space="preserve">http://slimages.macys.com/is/image/MCY/12951290 </v>
      </c>
    </row>
    <row r="221" spans="1:13" ht="60" x14ac:dyDescent="0.25">
      <c r="A221" s="7" t="s">
        <v>1818</v>
      </c>
      <c r="B221" s="2" t="s">
        <v>1815</v>
      </c>
      <c r="C221" s="4">
        <v>1</v>
      </c>
      <c r="D221" s="5">
        <v>6.43</v>
      </c>
      <c r="E221" s="5">
        <v>16.989999999999998</v>
      </c>
      <c r="F221" s="4" t="s">
        <v>1816</v>
      </c>
      <c r="G221" s="2" t="s">
        <v>262</v>
      </c>
      <c r="H221" s="7" t="s">
        <v>284</v>
      </c>
      <c r="I221" s="2" t="s">
        <v>515</v>
      </c>
      <c r="J221" s="2" t="s">
        <v>827</v>
      </c>
      <c r="K221" s="2" t="s">
        <v>304</v>
      </c>
      <c r="L221" s="2" t="s">
        <v>358</v>
      </c>
      <c r="M221" s="8" t="str">
        <f>HYPERLINK("http://slimages.macys.com/is/image/MCY/13118981 ")</f>
        <v xml:space="preserve">http://slimages.macys.com/is/image/MCY/13118981 </v>
      </c>
    </row>
    <row r="222" spans="1:13" ht="60" x14ac:dyDescent="0.25">
      <c r="A222" s="7" t="s">
        <v>1822</v>
      </c>
      <c r="B222" s="2" t="s">
        <v>1823</v>
      </c>
      <c r="C222" s="4">
        <v>1</v>
      </c>
      <c r="D222" s="5">
        <v>6.38</v>
      </c>
      <c r="E222" s="5">
        <v>14.99</v>
      </c>
      <c r="F222" s="4" t="s">
        <v>1824</v>
      </c>
      <c r="G222" s="2" t="s">
        <v>595</v>
      </c>
      <c r="H222" s="7" t="s">
        <v>196</v>
      </c>
      <c r="I222" s="2" t="s">
        <v>515</v>
      </c>
      <c r="J222" s="2" t="s">
        <v>827</v>
      </c>
      <c r="K222" s="2" t="s">
        <v>304</v>
      </c>
      <c r="L222" s="2" t="s">
        <v>125</v>
      </c>
      <c r="M222" s="8" t="str">
        <f>HYPERLINK("http://slimages.macys.com/is/image/MCY/11860844 ")</f>
        <v xml:space="preserve">http://slimages.macys.com/is/image/MCY/11860844 </v>
      </c>
    </row>
    <row r="223" spans="1:13" ht="60" x14ac:dyDescent="0.25">
      <c r="A223" s="7" t="s">
        <v>5460</v>
      </c>
      <c r="B223" s="2" t="s">
        <v>1018</v>
      </c>
      <c r="C223" s="4">
        <v>1</v>
      </c>
      <c r="D223" s="5">
        <v>6.34</v>
      </c>
      <c r="E223" s="5">
        <v>16.989999999999998</v>
      </c>
      <c r="F223" s="4" t="s">
        <v>1019</v>
      </c>
      <c r="G223" s="2" t="s">
        <v>86</v>
      </c>
      <c r="H223" s="7" t="s">
        <v>97</v>
      </c>
      <c r="I223" s="2" t="s">
        <v>389</v>
      </c>
      <c r="J223" s="2" t="s">
        <v>354</v>
      </c>
      <c r="K223" s="2" t="s">
        <v>304</v>
      </c>
      <c r="L223" s="2" t="s">
        <v>596</v>
      </c>
      <c r="M223" s="8" t="str">
        <f>HYPERLINK("http://slimages.macys.com/is/image/MCY/13296511 ")</f>
        <v xml:space="preserve">http://slimages.macys.com/is/image/MCY/13296511 </v>
      </c>
    </row>
    <row r="224" spans="1:13" ht="60" x14ac:dyDescent="0.25">
      <c r="A224" s="7" t="s">
        <v>5461</v>
      </c>
      <c r="B224" s="2" t="s">
        <v>5462</v>
      </c>
      <c r="C224" s="4">
        <v>1</v>
      </c>
      <c r="D224" s="5">
        <v>6.25</v>
      </c>
      <c r="E224" s="5">
        <v>12.99</v>
      </c>
      <c r="F224" s="4">
        <v>5137</v>
      </c>
      <c r="G224" s="2" t="s">
        <v>28</v>
      </c>
      <c r="H224" s="7"/>
      <c r="I224" s="2" t="s">
        <v>523</v>
      </c>
      <c r="J224" s="2" t="s">
        <v>5463</v>
      </c>
      <c r="K224" s="2" t="s">
        <v>304</v>
      </c>
      <c r="L224" s="2" t="s">
        <v>100</v>
      </c>
      <c r="M224" s="8" t="str">
        <f>HYPERLINK("http://slimages.macys.com/is/image/MCY/13040167 ")</f>
        <v xml:space="preserve">http://slimages.macys.com/is/image/MCY/13040167 </v>
      </c>
    </row>
    <row r="225" spans="1:13" ht="60" x14ac:dyDescent="0.25">
      <c r="A225" s="7" t="s">
        <v>5464</v>
      </c>
      <c r="B225" s="2" t="s">
        <v>5465</v>
      </c>
      <c r="C225" s="4">
        <v>1</v>
      </c>
      <c r="D225" s="5">
        <v>6.15</v>
      </c>
      <c r="E225" s="5">
        <v>10.99</v>
      </c>
      <c r="F225" s="4" t="s">
        <v>5466</v>
      </c>
      <c r="G225" s="2" t="s">
        <v>36</v>
      </c>
      <c r="H225" s="7" t="s">
        <v>311</v>
      </c>
      <c r="I225" s="2" t="s">
        <v>73</v>
      </c>
      <c r="J225" s="2" t="s">
        <v>1963</v>
      </c>
      <c r="K225" s="2" t="s">
        <v>304</v>
      </c>
      <c r="L225" s="2" t="s">
        <v>125</v>
      </c>
      <c r="M225" s="8" t="str">
        <f>HYPERLINK("http://slimages.macys.com/is/image/MCY/12688490 ")</f>
        <v xml:space="preserve">http://slimages.macys.com/is/image/MCY/12688490 </v>
      </c>
    </row>
    <row r="226" spans="1:13" ht="96" x14ac:dyDescent="0.25">
      <c r="A226" s="7" t="s">
        <v>5467</v>
      </c>
      <c r="B226" s="2" t="s">
        <v>5468</v>
      </c>
      <c r="C226" s="4">
        <v>1</v>
      </c>
      <c r="D226" s="5">
        <v>6.13</v>
      </c>
      <c r="E226" s="5">
        <v>16.989999999999998</v>
      </c>
      <c r="F226" s="4" t="s">
        <v>5469</v>
      </c>
      <c r="G226" s="2" t="s">
        <v>62</v>
      </c>
      <c r="H226" s="7" t="s">
        <v>618</v>
      </c>
      <c r="I226" s="2" t="s">
        <v>483</v>
      </c>
      <c r="J226" s="2" t="s">
        <v>4858</v>
      </c>
      <c r="K226" s="2" t="s">
        <v>304</v>
      </c>
      <c r="L226" s="2" t="s">
        <v>5470</v>
      </c>
      <c r="M226" s="8" t="str">
        <f>HYPERLINK("http://slimages.macys.com/is/image/MCY/8256950 ")</f>
        <v xml:space="preserve">http://slimages.macys.com/is/image/MCY/8256950 </v>
      </c>
    </row>
    <row r="227" spans="1:13" ht="60" x14ac:dyDescent="0.25">
      <c r="A227" s="7" t="s">
        <v>1044</v>
      </c>
      <c r="B227" s="2" t="s">
        <v>1045</v>
      </c>
      <c r="C227" s="4">
        <v>3</v>
      </c>
      <c r="D227" s="5">
        <v>5.87</v>
      </c>
      <c r="E227" s="5">
        <v>16</v>
      </c>
      <c r="F227" s="4" t="s">
        <v>1046</v>
      </c>
      <c r="G227" s="2" t="s">
        <v>1047</v>
      </c>
      <c r="H227" s="7" t="s">
        <v>789</v>
      </c>
      <c r="I227" s="2" t="s">
        <v>523</v>
      </c>
      <c r="J227" s="2" t="s">
        <v>1042</v>
      </c>
      <c r="K227" s="2" t="s">
        <v>304</v>
      </c>
      <c r="L227" s="2" t="s">
        <v>1043</v>
      </c>
      <c r="M227" s="8" t="str">
        <f>HYPERLINK("http://slimages.macys.com/is/image/MCY/11647571 ")</f>
        <v xml:space="preserve">http://slimages.macys.com/is/image/MCY/11647571 </v>
      </c>
    </row>
    <row r="228" spans="1:13" ht="60" x14ac:dyDescent="0.25">
      <c r="A228" s="7" t="s">
        <v>5471</v>
      </c>
      <c r="B228" s="2" t="s">
        <v>5472</v>
      </c>
      <c r="C228" s="4">
        <v>1</v>
      </c>
      <c r="D228" s="5">
        <v>5.85</v>
      </c>
      <c r="E228" s="5">
        <v>6.99</v>
      </c>
      <c r="F228" s="4" t="s">
        <v>5473</v>
      </c>
      <c r="G228" s="2" t="s">
        <v>129</v>
      </c>
      <c r="H228" s="7" t="s">
        <v>284</v>
      </c>
      <c r="I228" s="2" t="s">
        <v>80</v>
      </c>
      <c r="J228" s="2" t="s">
        <v>1917</v>
      </c>
      <c r="K228" s="2" t="s">
        <v>304</v>
      </c>
      <c r="L228" s="2" t="s">
        <v>119</v>
      </c>
      <c r="M228" s="8" t="str">
        <f>HYPERLINK("http://slimages.macys.com/is/image/MCY/12802467 ")</f>
        <v xml:space="preserve">http://slimages.macys.com/is/image/MCY/12802467 </v>
      </c>
    </row>
    <row r="229" spans="1:13" ht="60" x14ac:dyDescent="0.25">
      <c r="A229" s="7" t="s">
        <v>5474</v>
      </c>
      <c r="B229" s="2" t="s">
        <v>5475</v>
      </c>
      <c r="C229" s="4">
        <v>1</v>
      </c>
      <c r="D229" s="5">
        <v>5.85</v>
      </c>
      <c r="E229" s="5">
        <v>12.99</v>
      </c>
      <c r="F229" s="4" t="s">
        <v>5476</v>
      </c>
      <c r="G229" s="2" t="s">
        <v>262</v>
      </c>
      <c r="H229" s="7" t="s">
        <v>317</v>
      </c>
      <c r="I229" s="2" t="s">
        <v>80</v>
      </c>
      <c r="J229" s="2" t="s">
        <v>167</v>
      </c>
      <c r="K229" s="2" t="s">
        <v>304</v>
      </c>
      <c r="L229" s="2" t="s">
        <v>119</v>
      </c>
      <c r="M229" s="8" t="str">
        <f>HYPERLINK("http://slimages.macys.com/is/image/MCY/11644090 ")</f>
        <v xml:space="preserve">http://slimages.macys.com/is/image/MCY/11644090 </v>
      </c>
    </row>
    <row r="230" spans="1:13" ht="60" x14ac:dyDescent="0.25">
      <c r="A230" s="7" t="s">
        <v>5477</v>
      </c>
      <c r="B230" s="2" t="s">
        <v>1869</v>
      </c>
      <c r="C230" s="4">
        <v>1</v>
      </c>
      <c r="D230" s="5">
        <v>5.85</v>
      </c>
      <c r="E230" s="5">
        <v>15.99</v>
      </c>
      <c r="F230" s="4" t="s">
        <v>1870</v>
      </c>
      <c r="G230" s="2" t="s">
        <v>262</v>
      </c>
      <c r="H230" s="7" t="s">
        <v>5478</v>
      </c>
      <c r="I230" s="2" t="s">
        <v>342</v>
      </c>
      <c r="J230" s="2" t="s">
        <v>1872</v>
      </c>
      <c r="K230" s="2" t="s">
        <v>304</v>
      </c>
      <c r="L230" s="2" t="s">
        <v>390</v>
      </c>
      <c r="M230" s="8" t="str">
        <f>HYPERLINK("http://slimages.macys.com/is/image/MCY/11636026 ")</f>
        <v xml:space="preserve">http://slimages.macys.com/is/image/MCY/11636026 </v>
      </c>
    </row>
    <row r="231" spans="1:13" ht="60" x14ac:dyDescent="0.25">
      <c r="A231" s="7" t="s">
        <v>5479</v>
      </c>
      <c r="B231" s="2" t="s">
        <v>1869</v>
      </c>
      <c r="C231" s="4">
        <v>1</v>
      </c>
      <c r="D231" s="5">
        <v>5.85</v>
      </c>
      <c r="E231" s="5">
        <v>15.99</v>
      </c>
      <c r="F231" s="4" t="s">
        <v>4128</v>
      </c>
      <c r="G231" s="2" t="s">
        <v>657</v>
      </c>
      <c r="H231" s="7" t="s">
        <v>774</v>
      </c>
      <c r="I231" s="2" t="s">
        <v>342</v>
      </c>
      <c r="J231" s="2" t="s">
        <v>1872</v>
      </c>
      <c r="K231" s="2" t="s">
        <v>304</v>
      </c>
      <c r="L231" s="2" t="s">
        <v>390</v>
      </c>
      <c r="M231" s="8" t="str">
        <f>HYPERLINK("http://slimages.macys.com/is/image/MCY/11636027 ")</f>
        <v xml:space="preserve">http://slimages.macys.com/is/image/MCY/11636027 </v>
      </c>
    </row>
    <row r="232" spans="1:13" ht="60" x14ac:dyDescent="0.25">
      <c r="A232" s="7" t="s">
        <v>5480</v>
      </c>
      <c r="B232" s="2" t="s">
        <v>5481</v>
      </c>
      <c r="C232" s="4">
        <v>1</v>
      </c>
      <c r="D232" s="5">
        <v>5.83</v>
      </c>
      <c r="E232" s="5">
        <v>17.989999999999998</v>
      </c>
      <c r="F232" s="4" t="s">
        <v>5482</v>
      </c>
      <c r="G232" s="2" t="s">
        <v>262</v>
      </c>
      <c r="H232" s="7" t="s">
        <v>590</v>
      </c>
      <c r="I232" s="2" t="s">
        <v>483</v>
      </c>
      <c r="J232" s="2" t="s">
        <v>536</v>
      </c>
      <c r="K232" s="2" t="s">
        <v>304</v>
      </c>
      <c r="L232" s="2" t="s">
        <v>119</v>
      </c>
      <c r="M232" s="8" t="str">
        <f>HYPERLINK("http://slimages.macys.com/is/image/MCY/11792326 ")</f>
        <v xml:space="preserve">http://slimages.macys.com/is/image/MCY/11792326 </v>
      </c>
    </row>
    <row r="233" spans="1:13" ht="60" x14ac:dyDescent="0.25">
      <c r="A233" s="7" t="s">
        <v>5483</v>
      </c>
      <c r="B233" s="2" t="s">
        <v>3389</v>
      </c>
      <c r="C233" s="4">
        <v>1</v>
      </c>
      <c r="D233" s="5">
        <v>5.8</v>
      </c>
      <c r="E233" s="5">
        <v>13.19</v>
      </c>
      <c r="F233" s="4">
        <v>17892410</v>
      </c>
      <c r="G233" s="2" t="s">
        <v>48</v>
      </c>
      <c r="H233" s="7" t="s">
        <v>675</v>
      </c>
      <c r="I233" s="2" t="s">
        <v>153</v>
      </c>
      <c r="J233" s="2" t="s">
        <v>154</v>
      </c>
      <c r="K233" s="2" t="s">
        <v>304</v>
      </c>
      <c r="L233" s="2" t="s">
        <v>38</v>
      </c>
      <c r="M233" s="8" t="str">
        <f>HYPERLINK("http://slimages.macys.com/is/image/MCY/13341369 ")</f>
        <v xml:space="preserve">http://slimages.macys.com/is/image/MCY/13341369 </v>
      </c>
    </row>
    <row r="234" spans="1:13" ht="72" x14ac:dyDescent="0.25">
      <c r="A234" s="7" t="s">
        <v>5484</v>
      </c>
      <c r="B234" s="2" t="s">
        <v>5485</v>
      </c>
      <c r="C234" s="4">
        <v>1</v>
      </c>
      <c r="D234" s="5">
        <v>5.75</v>
      </c>
      <c r="E234" s="5">
        <v>13.07</v>
      </c>
      <c r="F234" s="4">
        <v>18656210</v>
      </c>
      <c r="G234" s="2" t="s">
        <v>48</v>
      </c>
      <c r="H234" s="7"/>
      <c r="I234" s="2" t="s">
        <v>153</v>
      </c>
      <c r="J234" s="2" t="s">
        <v>154</v>
      </c>
      <c r="K234" s="2" t="s">
        <v>304</v>
      </c>
      <c r="L234" s="2" t="s">
        <v>2637</v>
      </c>
      <c r="M234" s="8" t="str">
        <f>HYPERLINK("http://slimages.macys.com/is/image/MCY/15184036 ")</f>
        <v xml:space="preserve">http://slimages.macys.com/is/image/MCY/15184036 </v>
      </c>
    </row>
    <row r="235" spans="1:13" ht="60" x14ac:dyDescent="0.25">
      <c r="A235" s="7" t="s">
        <v>1891</v>
      </c>
      <c r="B235" s="2" t="s">
        <v>1888</v>
      </c>
      <c r="C235" s="4">
        <v>2</v>
      </c>
      <c r="D235" s="5">
        <v>5.75</v>
      </c>
      <c r="E235" s="5">
        <v>14.99</v>
      </c>
      <c r="F235" s="4" t="s">
        <v>1889</v>
      </c>
      <c r="G235" s="2" t="s">
        <v>36</v>
      </c>
      <c r="H235" s="7"/>
      <c r="I235" s="2" t="s">
        <v>30</v>
      </c>
      <c r="J235" s="2" t="s">
        <v>1890</v>
      </c>
      <c r="K235" s="2" t="s">
        <v>304</v>
      </c>
      <c r="L235" s="2" t="s">
        <v>416</v>
      </c>
      <c r="M235" s="8" t="str">
        <f>HYPERLINK("http://slimages.macys.com/is/image/MCY/12224320 ")</f>
        <v xml:space="preserve">http://slimages.macys.com/is/image/MCY/12224320 </v>
      </c>
    </row>
    <row r="236" spans="1:13" ht="60" x14ac:dyDescent="0.25">
      <c r="A236" s="7" t="s">
        <v>5486</v>
      </c>
      <c r="B236" s="2" t="s">
        <v>5487</v>
      </c>
      <c r="C236" s="4">
        <v>1</v>
      </c>
      <c r="D236" s="5">
        <v>5.75</v>
      </c>
      <c r="E236" s="5">
        <v>16.989999999999998</v>
      </c>
      <c r="F236" s="4" t="s">
        <v>5488</v>
      </c>
      <c r="G236" s="2" t="s">
        <v>582</v>
      </c>
      <c r="H236" s="7" t="s">
        <v>284</v>
      </c>
      <c r="I236" s="2" t="s">
        <v>389</v>
      </c>
      <c r="J236" s="2" t="s">
        <v>354</v>
      </c>
      <c r="K236" s="2" t="s">
        <v>304</v>
      </c>
      <c r="L236" s="2" t="s">
        <v>596</v>
      </c>
      <c r="M236" s="8" t="str">
        <f>HYPERLINK("http://slimages.macys.com/is/image/MCY/12645395 ")</f>
        <v xml:space="preserve">http://slimages.macys.com/is/image/MCY/12645395 </v>
      </c>
    </row>
    <row r="237" spans="1:13" ht="60" x14ac:dyDescent="0.25">
      <c r="A237" s="7" t="s">
        <v>1898</v>
      </c>
      <c r="B237" s="2" t="s">
        <v>1899</v>
      </c>
      <c r="C237" s="4">
        <v>3</v>
      </c>
      <c r="D237" s="5">
        <v>5.68</v>
      </c>
      <c r="E237" s="5">
        <v>16.989999999999998</v>
      </c>
      <c r="F237" s="4" t="s">
        <v>1900</v>
      </c>
      <c r="G237" s="2" t="s">
        <v>165</v>
      </c>
      <c r="H237" s="7" t="s">
        <v>159</v>
      </c>
      <c r="I237" s="2" t="s">
        <v>515</v>
      </c>
      <c r="J237" s="2" t="s">
        <v>827</v>
      </c>
      <c r="K237" s="2" t="s">
        <v>304</v>
      </c>
      <c r="L237" s="2" t="s">
        <v>358</v>
      </c>
      <c r="M237" s="8" t="str">
        <f>HYPERLINK("http://slimages.macys.com/is/image/MCY/3487948 ")</f>
        <v xml:space="preserve">http://slimages.macys.com/is/image/MCY/3487948 </v>
      </c>
    </row>
    <row r="238" spans="1:13" ht="60" x14ac:dyDescent="0.25">
      <c r="A238" s="7" t="s">
        <v>2641</v>
      </c>
      <c r="B238" s="2" t="s">
        <v>2639</v>
      </c>
      <c r="C238" s="4">
        <v>3</v>
      </c>
      <c r="D238" s="5">
        <v>5.6</v>
      </c>
      <c r="E238" s="5">
        <v>13.99</v>
      </c>
      <c r="F238" s="4" t="s">
        <v>2640</v>
      </c>
      <c r="G238" s="2" t="s">
        <v>874</v>
      </c>
      <c r="H238" s="7" t="s">
        <v>42</v>
      </c>
      <c r="I238" s="2" t="s">
        <v>483</v>
      </c>
      <c r="J238" s="2" t="s">
        <v>536</v>
      </c>
      <c r="K238" s="2" t="s">
        <v>304</v>
      </c>
      <c r="L238" s="2" t="s">
        <v>125</v>
      </c>
      <c r="M238" s="8" t="str">
        <f>HYPERLINK("http://slimages.macys.com/is/image/MCY/14446785 ")</f>
        <v xml:space="preserve">http://slimages.macys.com/is/image/MCY/14446785 </v>
      </c>
    </row>
    <row r="239" spans="1:13" ht="60" x14ac:dyDescent="0.25">
      <c r="A239" s="7" t="s">
        <v>3405</v>
      </c>
      <c r="B239" s="2" t="s">
        <v>2639</v>
      </c>
      <c r="C239" s="4">
        <v>1</v>
      </c>
      <c r="D239" s="5">
        <v>5.6</v>
      </c>
      <c r="E239" s="5">
        <v>13.99</v>
      </c>
      <c r="F239" s="4" t="s">
        <v>2640</v>
      </c>
      <c r="G239" s="2" t="s">
        <v>874</v>
      </c>
      <c r="H239" s="7" t="s">
        <v>590</v>
      </c>
      <c r="I239" s="2" t="s">
        <v>483</v>
      </c>
      <c r="J239" s="2" t="s">
        <v>536</v>
      </c>
      <c r="K239" s="2" t="s">
        <v>304</v>
      </c>
      <c r="L239" s="2" t="s">
        <v>125</v>
      </c>
      <c r="M239" s="8" t="str">
        <f>HYPERLINK("http://slimages.macys.com/is/image/MCY/14446785 ")</f>
        <v xml:space="preserve">http://slimages.macys.com/is/image/MCY/14446785 </v>
      </c>
    </row>
    <row r="240" spans="1:13" ht="96" x14ac:dyDescent="0.25">
      <c r="A240" s="7" t="s">
        <v>5489</v>
      </c>
      <c r="B240" s="2" t="s">
        <v>5490</v>
      </c>
      <c r="C240" s="4">
        <v>1</v>
      </c>
      <c r="D240" s="5">
        <v>5.57</v>
      </c>
      <c r="E240" s="5">
        <v>12.99</v>
      </c>
      <c r="F240" s="4" t="s">
        <v>5491</v>
      </c>
      <c r="G240" s="2" t="s">
        <v>262</v>
      </c>
      <c r="H240" s="7" t="s">
        <v>42</v>
      </c>
      <c r="I240" s="2" t="s">
        <v>483</v>
      </c>
      <c r="J240" s="2" t="s">
        <v>536</v>
      </c>
      <c r="K240" s="2" t="s">
        <v>304</v>
      </c>
      <c r="L240" s="2" t="s">
        <v>5492</v>
      </c>
      <c r="M240" s="8" t="str">
        <f>HYPERLINK("http://slimages.macys.com/is/image/MCY/11447237 ")</f>
        <v xml:space="preserve">http://slimages.macys.com/is/image/MCY/11447237 </v>
      </c>
    </row>
    <row r="241" spans="1:13" ht="60" x14ac:dyDescent="0.25">
      <c r="A241" s="7" t="s">
        <v>4164</v>
      </c>
      <c r="B241" s="2" t="s">
        <v>3410</v>
      </c>
      <c r="C241" s="4">
        <v>2</v>
      </c>
      <c r="D241" s="5">
        <v>5.52</v>
      </c>
      <c r="E241" s="5">
        <v>13.99</v>
      </c>
      <c r="F241" s="4" t="s">
        <v>3411</v>
      </c>
      <c r="G241" s="2" t="s">
        <v>62</v>
      </c>
      <c r="H241" s="7" t="s">
        <v>42</v>
      </c>
      <c r="I241" s="2" t="s">
        <v>483</v>
      </c>
      <c r="J241" s="2" t="s">
        <v>536</v>
      </c>
      <c r="K241" s="2" t="s">
        <v>304</v>
      </c>
      <c r="L241" s="2" t="s">
        <v>596</v>
      </c>
      <c r="M241" s="8" t="str">
        <f>HYPERLINK("http://slimages.macys.com/is/image/MCY/14630640 ")</f>
        <v xml:space="preserve">http://slimages.macys.com/is/image/MCY/14630640 </v>
      </c>
    </row>
    <row r="242" spans="1:13" ht="60" x14ac:dyDescent="0.25">
      <c r="A242" s="7" t="s">
        <v>5493</v>
      </c>
      <c r="B242" s="2" t="s">
        <v>3410</v>
      </c>
      <c r="C242" s="4">
        <v>1</v>
      </c>
      <c r="D242" s="5">
        <v>5.52</v>
      </c>
      <c r="E242" s="5">
        <v>13.99</v>
      </c>
      <c r="F242" s="4" t="s">
        <v>3411</v>
      </c>
      <c r="G242" s="2" t="s">
        <v>62</v>
      </c>
      <c r="H242" s="7" t="s">
        <v>91</v>
      </c>
      <c r="I242" s="2" t="s">
        <v>483</v>
      </c>
      <c r="J242" s="2" t="s">
        <v>536</v>
      </c>
      <c r="K242" s="2" t="s">
        <v>304</v>
      </c>
      <c r="L242" s="2" t="s">
        <v>596</v>
      </c>
      <c r="M242" s="8" t="str">
        <f>HYPERLINK("http://slimages.macys.com/is/image/MCY/14630640 ")</f>
        <v xml:space="preserve">http://slimages.macys.com/is/image/MCY/14630640 </v>
      </c>
    </row>
    <row r="243" spans="1:13" ht="192" x14ac:dyDescent="0.25">
      <c r="A243" s="7" t="s">
        <v>5494</v>
      </c>
      <c r="B243" s="2" t="s">
        <v>4167</v>
      </c>
      <c r="C243" s="4">
        <v>1</v>
      </c>
      <c r="D243" s="5">
        <v>5.5</v>
      </c>
      <c r="E243" s="5">
        <v>12.99</v>
      </c>
      <c r="F243" s="4" t="s">
        <v>4168</v>
      </c>
      <c r="G243" s="2" t="s">
        <v>28</v>
      </c>
      <c r="H243" s="7" t="s">
        <v>442</v>
      </c>
      <c r="I243" s="2" t="s">
        <v>92</v>
      </c>
      <c r="J243" s="2" t="s">
        <v>1076</v>
      </c>
      <c r="K243" s="2" t="s">
        <v>304</v>
      </c>
      <c r="L243" s="2" t="s">
        <v>2647</v>
      </c>
      <c r="M243" s="8" t="str">
        <f>HYPERLINK("http://slimages.macys.com/is/image/MCY/15654443 ")</f>
        <v xml:space="preserve">http://slimages.macys.com/is/image/MCY/15654443 </v>
      </c>
    </row>
    <row r="244" spans="1:13" ht="60" x14ac:dyDescent="0.25">
      <c r="A244" s="7" t="s">
        <v>1073</v>
      </c>
      <c r="B244" s="2" t="s">
        <v>1074</v>
      </c>
      <c r="C244" s="4">
        <v>1</v>
      </c>
      <c r="D244" s="5">
        <v>5.5</v>
      </c>
      <c r="E244" s="5">
        <v>12.99</v>
      </c>
      <c r="F244" s="4" t="s">
        <v>1075</v>
      </c>
      <c r="G244" s="2"/>
      <c r="H244" s="7" t="s">
        <v>442</v>
      </c>
      <c r="I244" s="2" t="s">
        <v>92</v>
      </c>
      <c r="J244" s="2" t="s">
        <v>1076</v>
      </c>
      <c r="K244" s="2" t="s">
        <v>304</v>
      </c>
      <c r="L244" s="2" t="s">
        <v>100</v>
      </c>
      <c r="M244" s="8" t="str">
        <f>HYPERLINK("http://slimages.macys.com/is/image/MCY/15654522 ")</f>
        <v xml:space="preserve">http://slimages.macys.com/is/image/MCY/15654522 </v>
      </c>
    </row>
    <row r="245" spans="1:13" ht="60" x14ac:dyDescent="0.25">
      <c r="A245" s="7" t="s">
        <v>1913</v>
      </c>
      <c r="B245" s="2" t="s">
        <v>1074</v>
      </c>
      <c r="C245" s="4">
        <v>1</v>
      </c>
      <c r="D245" s="5">
        <v>5.5</v>
      </c>
      <c r="E245" s="5">
        <v>12.99</v>
      </c>
      <c r="F245" s="4" t="s">
        <v>1075</v>
      </c>
      <c r="G245" s="2"/>
      <c r="H245" s="7" t="s">
        <v>91</v>
      </c>
      <c r="I245" s="2" t="s">
        <v>92</v>
      </c>
      <c r="J245" s="2" t="s">
        <v>1076</v>
      </c>
      <c r="K245" s="2" t="s">
        <v>304</v>
      </c>
      <c r="L245" s="2" t="s">
        <v>100</v>
      </c>
      <c r="M245" s="8" t="str">
        <f>HYPERLINK("http://slimages.macys.com/is/image/MCY/15654522 ")</f>
        <v xml:space="preserve">http://slimages.macys.com/is/image/MCY/15654522 </v>
      </c>
    </row>
    <row r="246" spans="1:13" ht="60" x14ac:dyDescent="0.25">
      <c r="A246" s="7" t="s">
        <v>5495</v>
      </c>
      <c r="B246" s="2" t="s">
        <v>1915</v>
      </c>
      <c r="C246" s="4">
        <v>2</v>
      </c>
      <c r="D246" s="5">
        <v>5.5</v>
      </c>
      <c r="E246" s="5">
        <v>10.99</v>
      </c>
      <c r="F246" s="4" t="s">
        <v>1916</v>
      </c>
      <c r="G246" s="2" t="s">
        <v>36</v>
      </c>
      <c r="H246" s="7" t="s">
        <v>196</v>
      </c>
      <c r="I246" s="2" t="s">
        <v>73</v>
      </c>
      <c r="J246" s="2" t="s">
        <v>1917</v>
      </c>
      <c r="K246" s="2" t="s">
        <v>304</v>
      </c>
      <c r="L246" s="2" t="s">
        <v>125</v>
      </c>
      <c r="M246" s="8" t="str">
        <f>HYPERLINK("http://slimages.macys.com/is/image/MCY/12235600 ")</f>
        <v xml:space="preserve">http://slimages.macys.com/is/image/MCY/12235600 </v>
      </c>
    </row>
    <row r="247" spans="1:13" ht="168" x14ac:dyDescent="0.25">
      <c r="A247" s="7" t="s">
        <v>5016</v>
      </c>
      <c r="B247" s="2" t="s">
        <v>5017</v>
      </c>
      <c r="C247" s="4">
        <v>1</v>
      </c>
      <c r="D247" s="5">
        <v>5.5</v>
      </c>
      <c r="E247" s="5">
        <v>12.99</v>
      </c>
      <c r="F247" s="4" t="s">
        <v>5018</v>
      </c>
      <c r="G247" s="2" t="s">
        <v>129</v>
      </c>
      <c r="H247" s="7" t="s">
        <v>442</v>
      </c>
      <c r="I247" s="2" t="s">
        <v>92</v>
      </c>
      <c r="J247" s="2" t="s">
        <v>1076</v>
      </c>
      <c r="K247" s="2" t="s">
        <v>304</v>
      </c>
      <c r="L247" s="2" t="s">
        <v>5019</v>
      </c>
      <c r="M247" s="8" t="str">
        <f>HYPERLINK("http://slimages.macys.com/is/image/MCY/15654556 ")</f>
        <v xml:space="preserve">http://slimages.macys.com/is/image/MCY/15654556 </v>
      </c>
    </row>
    <row r="248" spans="1:13" ht="60" x14ac:dyDescent="0.25">
      <c r="A248" s="7" t="s">
        <v>5496</v>
      </c>
      <c r="B248" s="2" t="s">
        <v>1915</v>
      </c>
      <c r="C248" s="4">
        <v>1</v>
      </c>
      <c r="D248" s="5">
        <v>5.5</v>
      </c>
      <c r="E248" s="5">
        <v>10.99</v>
      </c>
      <c r="F248" s="4" t="s">
        <v>1916</v>
      </c>
      <c r="G248" s="2" t="s">
        <v>36</v>
      </c>
      <c r="H248" s="7" t="s">
        <v>228</v>
      </c>
      <c r="I248" s="2" t="s">
        <v>73</v>
      </c>
      <c r="J248" s="2" t="s">
        <v>1917</v>
      </c>
      <c r="K248" s="2" t="s">
        <v>304</v>
      </c>
      <c r="L248" s="2" t="s">
        <v>125</v>
      </c>
      <c r="M248" s="8" t="str">
        <f>HYPERLINK("http://slimages.macys.com/is/image/MCY/12235600 ")</f>
        <v xml:space="preserve">http://slimages.macys.com/is/image/MCY/12235600 </v>
      </c>
    </row>
    <row r="249" spans="1:13" ht="60" x14ac:dyDescent="0.25">
      <c r="A249" s="7" t="s">
        <v>5497</v>
      </c>
      <c r="B249" s="2" t="s">
        <v>1915</v>
      </c>
      <c r="C249" s="4">
        <v>1</v>
      </c>
      <c r="D249" s="5">
        <v>5.5</v>
      </c>
      <c r="E249" s="5">
        <v>10.99</v>
      </c>
      <c r="F249" s="4" t="s">
        <v>1916</v>
      </c>
      <c r="G249" s="2" t="s">
        <v>41</v>
      </c>
      <c r="H249" s="7" t="s">
        <v>196</v>
      </c>
      <c r="I249" s="2" t="s">
        <v>73</v>
      </c>
      <c r="J249" s="2" t="s">
        <v>1917</v>
      </c>
      <c r="K249" s="2" t="s">
        <v>304</v>
      </c>
      <c r="L249" s="2" t="s">
        <v>125</v>
      </c>
      <c r="M249" s="8" t="str">
        <f>HYPERLINK("http://slimages.macys.com/is/image/MCY/12235600 ")</f>
        <v xml:space="preserve">http://slimages.macys.com/is/image/MCY/12235600 </v>
      </c>
    </row>
    <row r="250" spans="1:13" ht="60" x14ac:dyDescent="0.25">
      <c r="A250" s="7" t="s">
        <v>5498</v>
      </c>
      <c r="B250" s="2" t="s">
        <v>5499</v>
      </c>
      <c r="C250" s="4">
        <v>1</v>
      </c>
      <c r="D250" s="5">
        <v>5.42</v>
      </c>
      <c r="E250" s="5">
        <v>12.99</v>
      </c>
      <c r="F250" s="4" t="s">
        <v>5500</v>
      </c>
      <c r="G250" s="2" t="s">
        <v>62</v>
      </c>
      <c r="H250" s="7" t="s">
        <v>159</v>
      </c>
      <c r="I250" s="2" t="s">
        <v>218</v>
      </c>
      <c r="J250" s="2" t="s">
        <v>1740</v>
      </c>
      <c r="K250" s="2" t="s">
        <v>304</v>
      </c>
      <c r="L250" s="2" t="s">
        <v>358</v>
      </c>
      <c r="M250" s="8" t="str">
        <f>HYPERLINK("http://slimages.macys.com/is/image/MCY/11952909 ")</f>
        <v xml:space="preserve">http://slimages.macys.com/is/image/MCY/11952909 </v>
      </c>
    </row>
    <row r="251" spans="1:13" ht="84" x14ac:dyDescent="0.25">
      <c r="A251" s="7" t="s">
        <v>1923</v>
      </c>
      <c r="B251" s="2" t="s">
        <v>1924</v>
      </c>
      <c r="C251" s="4">
        <v>1</v>
      </c>
      <c r="D251" s="5">
        <v>5.41</v>
      </c>
      <c r="E251" s="5">
        <v>16.989999999999998</v>
      </c>
      <c r="F251" s="4" t="s">
        <v>1925</v>
      </c>
      <c r="G251" s="2" t="s">
        <v>86</v>
      </c>
      <c r="H251" s="7" t="s">
        <v>159</v>
      </c>
      <c r="I251" s="2" t="s">
        <v>515</v>
      </c>
      <c r="J251" s="2" t="s">
        <v>827</v>
      </c>
      <c r="K251" s="2" t="s">
        <v>304</v>
      </c>
      <c r="L251" s="2" t="s">
        <v>1117</v>
      </c>
      <c r="M251" s="8" t="str">
        <f>HYPERLINK("http://slimages.macys.com/is/image/MCY/11605918 ")</f>
        <v xml:space="preserve">http://slimages.macys.com/is/image/MCY/11605918 </v>
      </c>
    </row>
    <row r="252" spans="1:13" ht="72" x14ac:dyDescent="0.25">
      <c r="A252" s="7" t="s">
        <v>1931</v>
      </c>
      <c r="B252" s="2" t="s">
        <v>1932</v>
      </c>
      <c r="C252" s="4">
        <v>4</v>
      </c>
      <c r="D252" s="5">
        <v>5.4</v>
      </c>
      <c r="E252" s="5">
        <v>12.99</v>
      </c>
      <c r="F252" s="4" t="s">
        <v>1933</v>
      </c>
      <c r="G252" s="2" t="s">
        <v>129</v>
      </c>
      <c r="H252" s="7" t="s">
        <v>442</v>
      </c>
      <c r="I252" s="2" t="s">
        <v>92</v>
      </c>
      <c r="J252" s="2" t="s">
        <v>1076</v>
      </c>
      <c r="K252" s="2" t="s">
        <v>304</v>
      </c>
      <c r="L252" s="2" t="s">
        <v>1929</v>
      </c>
      <c r="M252" s="8" t="str">
        <f>HYPERLINK("http://slimages.macys.com/is/image/MCY/15654548 ")</f>
        <v xml:space="preserve">http://slimages.macys.com/is/image/MCY/15654548 </v>
      </c>
    </row>
    <row r="253" spans="1:13" ht="72" x14ac:dyDescent="0.25">
      <c r="A253" s="7" t="s">
        <v>1936</v>
      </c>
      <c r="B253" s="2" t="s">
        <v>1932</v>
      </c>
      <c r="C253" s="4">
        <v>1</v>
      </c>
      <c r="D253" s="5">
        <v>5.4</v>
      </c>
      <c r="E253" s="5">
        <v>12.99</v>
      </c>
      <c r="F253" s="4" t="s">
        <v>1933</v>
      </c>
      <c r="G253" s="2" t="s">
        <v>129</v>
      </c>
      <c r="H253" s="7" t="s">
        <v>42</v>
      </c>
      <c r="I253" s="2" t="s">
        <v>92</v>
      </c>
      <c r="J253" s="2" t="s">
        <v>1076</v>
      </c>
      <c r="K253" s="2" t="s">
        <v>304</v>
      </c>
      <c r="L253" s="2" t="s">
        <v>1929</v>
      </c>
      <c r="M253" s="8" t="str">
        <f>HYPERLINK("http://slimages.macys.com/is/image/MCY/15654548 ")</f>
        <v xml:space="preserve">http://slimages.macys.com/is/image/MCY/15654548 </v>
      </c>
    </row>
    <row r="254" spans="1:13" ht="72" x14ac:dyDescent="0.25">
      <c r="A254" s="7" t="s">
        <v>1934</v>
      </c>
      <c r="B254" s="2" t="s">
        <v>1932</v>
      </c>
      <c r="C254" s="4">
        <v>6</v>
      </c>
      <c r="D254" s="5">
        <v>5.4</v>
      </c>
      <c r="E254" s="5">
        <v>12.99</v>
      </c>
      <c r="F254" s="4" t="s">
        <v>1933</v>
      </c>
      <c r="G254" s="2" t="s">
        <v>129</v>
      </c>
      <c r="H254" s="7" t="s">
        <v>91</v>
      </c>
      <c r="I254" s="2" t="s">
        <v>92</v>
      </c>
      <c r="J254" s="2" t="s">
        <v>1076</v>
      </c>
      <c r="K254" s="2" t="s">
        <v>304</v>
      </c>
      <c r="L254" s="2" t="s">
        <v>1929</v>
      </c>
      <c r="M254" s="8" t="str">
        <f>HYPERLINK("http://slimages.macys.com/is/image/MCY/15654548 ")</f>
        <v xml:space="preserve">http://slimages.macys.com/is/image/MCY/15654548 </v>
      </c>
    </row>
    <row r="255" spans="1:13" ht="60" x14ac:dyDescent="0.25">
      <c r="A255" s="7" t="s">
        <v>1080</v>
      </c>
      <c r="B255" s="2" t="s">
        <v>1081</v>
      </c>
      <c r="C255" s="4">
        <v>1</v>
      </c>
      <c r="D255" s="5">
        <v>5.35</v>
      </c>
      <c r="E255" s="5">
        <v>13.99</v>
      </c>
      <c r="F255" s="4" t="s">
        <v>1082</v>
      </c>
      <c r="G255" s="2" t="s">
        <v>41</v>
      </c>
      <c r="H255" s="7" t="s">
        <v>590</v>
      </c>
      <c r="I255" s="2" t="s">
        <v>483</v>
      </c>
      <c r="J255" s="2" t="s">
        <v>536</v>
      </c>
      <c r="K255" s="2" t="s">
        <v>304</v>
      </c>
      <c r="L255" s="2" t="s">
        <v>125</v>
      </c>
      <c r="M255" s="8" t="str">
        <f>HYPERLINK("http://slimages.macys.com/is/image/MCY/14447244 ")</f>
        <v xml:space="preserve">http://slimages.macys.com/is/image/MCY/14447244 </v>
      </c>
    </row>
    <row r="256" spans="1:13" ht="60" x14ac:dyDescent="0.25">
      <c r="A256" s="7" t="s">
        <v>5501</v>
      </c>
      <c r="B256" s="2" t="s">
        <v>1081</v>
      </c>
      <c r="C256" s="4">
        <v>1</v>
      </c>
      <c r="D256" s="5">
        <v>5.35</v>
      </c>
      <c r="E256" s="5">
        <v>13.99</v>
      </c>
      <c r="F256" s="4" t="s">
        <v>1082</v>
      </c>
      <c r="G256" s="2" t="s">
        <v>41</v>
      </c>
      <c r="H256" s="7" t="s">
        <v>149</v>
      </c>
      <c r="I256" s="2" t="s">
        <v>483</v>
      </c>
      <c r="J256" s="2" t="s">
        <v>536</v>
      </c>
      <c r="K256" s="2" t="s">
        <v>304</v>
      </c>
      <c r="L256" s="2" t="s">
        <v>125</v>
      </c>
      <c r="M256" s="8" t="str">
        <f>HYPERLINK("http://slimages.macys.com/is/image/MCY/14447244 ")</f>
        <v xml:space="preserve">http://slimages.macys.com/is/image/MCY/14447244 </v>
      </c>
    </row>
    <row r="257" spans="1:13" ht="60" x14ac:dyDescent="0.25">
      <c r="A257" s="7" t="s">
        <v>5502</v>
      </c>
      <c r="B257" s="2" t="s">
        <v>5503</v>
      </c>
      <c r="C257" s="4">
        <v>1</v>
      </c>
      <c r="D257" s="5">
        <v>5.25</v>
      </c>
      <c r="E257" s="5">
        <v>9.99</v>
      </c>
      <c r="F257" s="4" t="s">
        <v>5504</v>
      </c>
      <c r="G257" s="2" t="s">
        <v>62</v>
      </c>
      <c r="H257" s="7" t="s">
        <v>284</v>
      </c>
      <c r="I257" s="2" t="s">
        <v>468</v>
      </c>
      <c r="J257" s="2" t="s">
        <v>469</v>
      </c>
      <c r="K257" s="2" t="s">
        <v>304</v>
      </c>
      <c r="L257" s="2" t="s">
        <v>119</v>
      </c>
      <c r="M257" s="8" t="str">
        <f>HYPERLINK("http://slimages.macys.com/is/image/MCY/12894888 ")</f>
        <v xml:space="preserve">http://slimages.macys.com/is/image/MCY/12894888 </v>
      </c>
    </row>
    <row r="258" spans="1:13" ht="60" x14ac:dyDescent="0.25">
      <c r="A258" s="7" t="s">
        <v>533</v>
      </c>
      <c r="B258" s="2" t="s">
        <v>534</v>
      </c>
      <c r="C258" s="4">
        <v>1</v>
      </c>
      <c r="D258" s="5">
        <v>5.0999999999999996</v>
      </c>
      <c r="E258" s="5">
        <v>13.5</v>
      </c>
      <c r="F258" s="4" t="s">
        <v>535</v>
      </c>
      <c r="G258" s="2" t="s">
        <v>86</v>
      </c>
      <c r="H258" s="7"/>
      <c r="I258" s="2" t="s">
        <v>483</v>
      </c>
      <c r="J258" s="2" t="s">
        <v>536</v>
      </c>
      <c r="K258" s="2" t="s">
        <v>304</v>
      </c>
      <c r="L258" s="2" t="s">
        <v>537</v>
      </c>
      <c r="M258" s="8" t="str">
        <f>HYPERLINK("http://slimages.macys.com/is/image/MCY/9157948 ")</f>
        <v xml:space="preserve">http://slimages.macys.com/is/image/MCY/9157948 </v>
      </c>
    </row>
    <row r="259" spans="1:13" ht="60" x14ac:dyDescent="0.25">
      <c r="A259" s="7" t="s">
        <v>2656</v>
      </c>
      <c r="B259" s="2" t="s">
        <v>534</v>
      </c>
      <c r="C259" s="4">
        <v>1</v>
      </c>
      <c r="D259" s="5">
        <v>5.0999999999999996</v>
      </c>
      <c r="E259" s="5">
        <v>13.5</v>
      </c>
      <c r="F259" s="4" t="s">
        <v>535</v>
      </c>
      <c r="G259" s="2" t="s">
        <v>86</v>
      </c>
      <c r="H259" s="7" t="s">
        <v>442</v>
      </c>
      <c r="I259" s="2" t="s">
        <v>483</v>
      </c>
      <c r="J259" s="2" t="s">
        <v>536</v>
      </c>
      <c r="K259" s="2" t="s">
        <v>304</v>
      </c>
      <c r="L259" s="2" t="s">
        <v>537</v>
      </c>
      <c r="M259" s="8" t="str">
        <f>HYPERLINK("http://slimages.macys.com/is/image/MCY/9157948 ")</f>
        <v xml:space="preserve">http://slimages.macys.com/is/image/MCY/9157948 </v>
      </c>
    </row>
    <row r="260" spans="1:13" ht="60" x14ac:dyDescent="0.25">
      <c r="A260" s="7" t="s">
        <v>5505</v>
      </c>
      <c r="B260" s="2" t="s">
        <v>5506</v>
      </c>
      <c r="C260" s="4">
        <v>1</v>
      </c>
      <c r="D260" s="5">
        <v>4.92</v>
      </c>
      <c r="E260" s="5">
        <v>11.99</v>
      </c>
      <c r="F260" s="4" t="s">
        <v>5507</v>
      </c>
      <c r="G260" s="2" t="s">
        <v>657</v>
      </c>
      <c r="H260" s="7" t="s">
        <v>159</v>
      </c>
      <c r="I260" s="2" t="s">
        <v>292</v>
      </c>
      <c r="J260" s="2" t="s">
        <v>293</v>
      </c>
      <c r="K260" s="2" t="s">
        <v>304</v>
      </c>
      <c r="L260" s="2" t="s">
        <v>571</v>
      </c>
      <c r="M260" s="8" t="str">
        <f>HYPERLINK("http://slimages.macys.com/is/image/MCY/12951035 ")</f>
        <v xml:space="preserve">http://slimages.macys.com/is/image/MCY/12951035 </v>
      </c>
    </row>
    <row r="261" spans="1:13" ht="84" x14ac:dyDescent="0.25">
      <c r="A261" s="7" t="s">
        <v>5508</v>
      </c>
      <c r="B261" s="2" t="s">
        <v>1979</v>
      </c>
      <c r="C261" s="4">
        <v>1</v>
      </c>
      <c r="D261" s="5">
        <v>4.92</v>
      </c>
      <c r="E261" s="5">
        <v>12.99</v>
      </c>
      <c r="F261" s="4" t="s">
        <v>1980</v>
      </c>
      <c r="G261" s="2" t="s">
        <v>62</v>
      </c>
      <c r="H261" s="7" t="s">
        <v>196</v>
      </c>
      <c r="I261" s="2" t="s">
        <v>515</v>
      </c>
      <c r="J261" s="2" t="s">
        <v>827</v>
      </c>
      <c r="K261" s="2" t="s">
        <v>304</v>
      </c>
      <c r="L261" s="2" t="s">
        <v>1117</v>
      </c>
      <c r="M261" s="8" t="str">
        <f>HYPERLINK("http://slimages.macys.com/is/image/MCY/12687243 ")</f>
        <v xml:space="preserve">http://slimages.macys.com/is/image/MCY/12687243 </v>
      </c>
    </row>
    <row r="262" spans="1:13" ht="60" x14ac:dyDescent="0.25">
      <c r="A262" s="7" t="s">
        <v>5509</v>
      </c>
      <c r="B262" s="2" t="s">
        <v>5510</v>
      </c>
      <c r="C262" s="4">
        <v>1</v>
      </c>
      <c r="D262" s="5">
        <v>4.92</v>
      </c>
      <c r="E262" s="5">
        <v>11.99</v>
      </c>
      <c r="F262" s="4" t="s">
        <v>5511</v>
      </c>
      <c r="G262" s="2" t="s">
        <v>353</v>
      </c>
      <c r="H262" s="7" t="s">
        <v>284</v>
      </c>
      <c r="I262" s="2" t="s">
        <v>292</v>
      </c>
      <c r="J262" s="2" t="s">
        <v>293</v>
      </c>
      <c r="K262" s="2" t="s">
        <v>304</v>
      </c>
      <c r="L262" s="2" t="s">
        <v>119</v>
      </c>
      <c r="M262" s="8" t="str">
        <f>HYPERLINK("http://slimages.macys.com/is/image/MCY/13080815 ")</f>
        <v xml:space="preserve">http://slimages.macys.com/is/image/MCY/13080815 </v>
      </c>
    </row>
    <row r="263" spans="1:13" ht="60" x14ac:dyDescent="0.25">
      <c r="A263" s="7" t="s">
        <v>5512</v>
      </c>
      <c r="B263" s="2" t="s">
        <v>5513</v>
      </c>
      <c r="C263" s="4">
        <v>1</v>
      </c>
      <c r="D263" s="5">
        <v>4.9000000000000004</v>
      </c>
      <c r="E263" s="5">
        <v>10.99</v>
      </c>
      <c r="F263" s="4" t="s">
        <v>5514</v>
      </c>
      <c r="G263" s="2" t="s">
        <v>134</v>
      </c>
      <c r="H263" s="7" t="s">
        <v>228</v>
      </c>
      <c r="I263" s="2" t="s">
        <v>468</v>
      </c>
      <c r="J263" s="2" t="s">
        <v>544</v>
      </c>
      <c r="K263" s="2" t="s">
        <v>304</v>
      </c>
      <c r="L263" s="2" t="s">
        <v>119</v>
      </c>
      <c r="M263" s="8" t="str">
        <f>HYPERLINK("http://slimages.macys.com/is/image/MCY/11950232 ")</f>
        <v xml:space="preserve">http://slimages.macys.com/is/image/MCY/11950232 </v>
      </c>
    </row>
    <row r="264" spans="1:13" ht="60" x14ac:dyDescent="0.25">
      <c r="A264" s="7" t="s">
        <v>2660</v>
      </c>
      <c r="B264" s="2" t="s">
        <v>2661</v>
      </c>
      <c r="C264" s="4">
        <v>1</v>
      </c>
      <c r="D264" s="5">
        <v>4.88</v>
      </c>
      <c r="E264" s="5">
        <v>12.99</v>
      </c>
      <c r="F264" s="4" t="s">
        <v>2662</v>
      </c>
      <c r="G264" s="2" t="s">
        <v>134</v>
      </c>
      <c r="H264" s="7" t="s">
        <v>91</v>
      </c>
      <c r="I264" s="2" t="s">
        <v>483</v>
      </c>
      <c r="J264" s="2" t="s">
        <v>536</v>
      </c>
      <c r="K264" s="2" t="s">
        <v>304</v>
      </c>
      <c r="L264" s="2" t="s">
        <v>38</v>
      </c>
      <c r="M264" s="8" t="str">
        <f>HYPERLINK("http://slimages.macys.com/is/image/MCY/14517553 ")</f>
        <v xml:space="preserve">http://slimages.macys.com/is/image/MCY/14517553 </v>
      </c>
    </row>
    <row r="265" spans="1:13" ht="60" x14ac:dyDescent="0.25">
      <c r="A265" s="7" t="s">
        <v>3440</v>
      </c>
      <c r="B265" s="2" t="s">
        <v>2661</v>
      </c>
      <c r="C265" s="4">
        <v>1</v>
      </c>
      <c r="D265" s="5">
        <v>4.88</v>
      </c>
      <c r="E265" s="5">
        <v>12.99</v>
      </c>
      <c r="F265" s="4" t="s">
        <v>2662</v>
      </c>
      <c r="G265" s="2" t="s">
        <v>134</v>
      </c>
      <c r="H265" s="7" t="s">
        <v>442</v>
      </c>
      <c r="I265" s="2" t="s">
        <v>483</v>
      </c>
      <c r="J265" s="2" t="s">
        <v>536</v>
      </c>
      <c r="K265" s="2" t="s">
        <v>304</v>
      </c>
      <c r="L265" s="2" t="s">
        <v>38</v>
      </c>
      <c r="M265" s="8" t="str">
        <f>HYPERLINK("http://slimages.macys.com/is/image/MCY/14517553 ")</f>
        <v xml:space="preserve">http://slimages.macys.com/is/image/MCY/14517553 </v>
      </c>
    </row>
    <row r="266" spans="1:13" ht="60" x14ac:dyDescent="0.25">
      <c r="A266" s="7" t="s">
        <v>2663</v>
      </c>
      <c r="B266" s="2" t="s">
        <v>2661</v>
      </c>
      <c r="C266" s="4">
        <v>1</v>
      </c>
      <c r="D266" s="5">
        <v>4.88</v>
      </c>
      <c r="E266" s="5">
        <v>12.99</v>
      </c>
      <c r="F266" s="4" t="s">
        <v>2662</v>
      </c>
      <c r="G266" s="2" t="s">
        <v>134</v>
      </c>
      <c r="H266" s="7" t="s">
        <v>590</v>
      </c>
      <c r="I266" s="2" t="s">
        <v>483</v>
      </c>
      <c r="J266" s="2" t="s">
        <v>536</v>
      </c>
      <c r="K266" s="2" t="s">
        <v>304</v>
      </c>
      <c r="L266" s="2" t="s">
        <v>38</v>
      </c>
      <c r="M266" s="8" t="str">
        <f>HYPERLINK("http://slimages.macys.com/is/image/MCY/14517553 ")</f>
        <v xml:space="preserve">http://slimages.macys.com/is/image/MCY/14517553 </v>
      </c>
    </row>
    <row r="267" spans="1:13" ht="60" x14ac:dyDescent="0.25">
      <c r="A267" s="7" t="s">
        <v>5041</v>
      </c>
      <c r="B267" s="2" t="s">
        <v>2661</v>
      </c>
      <c r="C267" s="4">
        <v>2</v>
      </c>
      <c r="D267" s="5">
        <v>4.88</v>
      </c>
      <c r="E267" s="5">
        <v>12.99</v>
      </c>
      <c r="F267" s="4" t="s">
        <v>2662</v>
      </c>
      <c r="G267" s="2" t="s">
        <v>134</v>
      </c>
      <c r="H267" s="7" t="s">
        <v>149</v>
      </c>
      <c r="I267" s="2" t="s">
        <v>483</v>
      </c>
      <c r="J267" s="2" t="s">
        <v>536</v>
      </c>
      <c r="K267" s="2" t="s">
        <v>304</v>
      </c>
      <c r="L267" s="2" t="s">
        <v>38</v>
      </c>
      <c r="M267" s="8" t="str">
        <f>HYPERLINK("http://slimages.macys.com/is/image/MCY/14517553 ")</f>
        <v xml:space="preserve">http://slimages.macys.com/is/image/MCY/14517553 </v>
      </c>
    </row>
    <row r="268" spans="1:13" ht="60" x14ac:dyDescent="0.25">
      <c r="A268" s="7" t="s">
        <v>3439</v>
      </c>
      <c r="B268" s="2" t="s">
        <v>2661</v>
      </c>
      <c r="C268" s="4">
        <v>1</v>
      </c>
      <c r="D268" s="5">
        <v>4.88</v>
      </c>
      <c r="E268" s="5">
        <v>12.99</v>
      </c>
      <c r="F268" s="4" t="s">
        <v>2662</v>
      </c>
      <c r="G268" s="2" t="s">
        <v>134</v>
      </c>
      <c r="H268" s="7" t="s">
        <v>42</v>
      </c>
      <c r="I268" s="2" t="s">
        <v>483</v>
      </c>
      <c r="J268" s="2" t="s">
        <v>536</v>
      </c>
      <c r="K268" s="2" t="s">
        <v>304</v>
      </c>
      <c r="L268" s="2" t="s">
        <v>38</v>
      </c>
      <c r="M268" s="8" t="str">
        <f>HYPERLINK("http://slimages.macys.com/is/image/MCY/14517553 ")</f>
        <v xml:space="preserve">http://slimages.macys.com/is/image/MCY/14517553 </v>
      </c>
    </row>
    <row r="269" spans="1:13" ht="60" x14ac:dyDescent="0.25">
      <c r="A269" s="7" t="s">
        <v>5515</v>
      </c>
      <c r="B269" s="2" t="s">
        <v>5516</v>
      </c>
      <c r="C269" s="4">
        <v>1</v>
      </c>
      <c r="D269" s="5">
        <v>4.88</v>
      </c>
      <c r="E269" s="5">
        <v>12.99</v>
      </c>
      <c r="F269" s="4" t="s">
        <v>5517</v>
      </c>
      <c r="G269" s="2" t="s">
        <v>86</v>
      </c>
      <c r="H269" s="7" t="s">
        <v>590</v>
      </c>
      <c r="I269" s="2" t="s">
        <v>483</v>
      </c>
      <c r="J269" s="2" t="s">
        <v>536</v>
      </c>
      <c r="K269" s="2" t="s">
        <v>304</v>
      </c>
      <c r="L269" s="2" t="s">
        <v>206</v>
      </c>
      <c r="M269" s="8" t="str">
        <f>HYPERLINK("http://slimages.macys.com/is/image/MCY/14446383 ")</f>
        <v xml:space="preserve">http://slimages.macys.com/is/image/MCY/14446383 </v>
      </c>
    </row>
    <row r="270" spans="1:13" ht="60" x14ac:dyDescent="0.25">
      <c r="A270" s="7" t="s">
        <v>5518</v>
      </c>
      <c r="B270" s="2" t="s">
        <v>1105</v>
      </c>
      <c r="C270" s="4">
        <v>1</v>
      </c>
      <c r="D270" s="5">
        <v>4.8499999999999996</v>
      </c>
      <c r="E270" s="5">
        <v>11.99</v>
      </c>
      <c r="F270" s="4" t="s">
        <v>1106</v>
      </c>
      <c r="G270" s="2" t="s">
        <v>28</v>
      </c>
      <c r="H270" s="7" t="s">
        <v>196</v>
      </c>
      <c r="I270" s="2" t="s">
        <v>523</v>
      </c>
      <c r="J270" s="2" t="s">
        <v>921</v>
      </c>
      <c r="K270" s="2" t="s">
        <v>304</v>
      </c>
      <c r="L270" s="2" t="s">
        <v>323</v>
      </c>
      <c r="M270" s="8" t="str">
        <f>HYPERLINK("http://slimages.macys.com/is/image/MCY/11722256 ")</f>
        <v xml:space="preserve">http://slimages.macys.com/is/image/MCY/11722256 </v>
      </c>
    </row>
    <row r="271" spans="1:13" ht="60" x14ac:dyDescent="0.25">
      <c r="A271" s="7" t="s">
        <v>5519</v>
      </c>
      <c r="B271" s="2" t="s">
        <v>1105</v>
      </c>
      <c r="C271" s="4">
        <v>1</v>
      </c>
      <c r="D271" s="5">
        <v>4.8499999999999996</v>
      </c>
      <c r="E271" s="5">
        <v>11.99</v>
      </c>
      <c r="F271" s="4" t="s">
        <v>1106</v>
      </c>
      <c r="G271" s="2" t="s">
        <v>28</v>
      </c>
      <c r="H271" s="7" t="s">
        <v>159</v>
      </c>
      <c r="I271" s="2" t="s">
        <v>523</v>
      </c>
      <c r="J271" s="2" t="s">
        <v>921</v>
      </c>
      <c r="K271" s="2" t="s">
        <v>304</v>
      </c>
      <c r="L271" s="2" t="s">
        <v>323</v>
      </c>
      <c r="M271" s="8" t="str">
        <f>HYPERLINK("http://slimages.macys.com/is/image/MCY/11722256 ")</f>
        <v xml:space="preserve">http://slimages.macys.com/is/image/MCY/11722256 </v>
      </c>
    </row>
    <row r="272" spans="1:13" ht="60" x14ac:dyDescent="0.25">
      <c r="A272" s="7" t="s">
        <v>5520</v>
      </c>
      <c r="B272" s="2" t="s">
        <v>5521</v>
      </c>
      <c r="C272" s="4">
        <v>1</v>
      </c>
      <c r="D272" s="5">
        <v>4.75</v>
      </c>
      <c r="E272" s="5">
        <v>11.99</v>
      </c>
      <c r="F272" s="4" t="s">
        <v>5522</v>
      </c>
      <c r="G272" s="2" t="s">
        <v>41</v>
      </c>
      <c r="H272" s="7" t="s">
        <v>228</v>
      </c>
      <c r="I272" s="2" t="s">
        <v>292</v>
      </c>
      <c r="J272" s="2" t="s">
        <v>293</v>
      </c>
      <c r="K272" s="2" t="s">
        <v>304</v>
      </c>
      <c r="L272" s="2" t="s">
        <v>571</v>
      </c>
      <c r="M272" s="8" t="str">
        <f>HYPERLINK("http://slimages.macys.com/is/image/MCY/12685762 ")</f>
        <v xml:space="preserve">http://slimages.macys.com/is/image/MCY/12685762 </v>
      </c>
    </row>
    <row r="273" spans="1:13" ht="60" x14ac:dyDescent="0.25">
      <c r="A273" s="7" t="s">
        <v>5523</v>
      </c>
      <c r="B273" s="2" t="s">
        <v>5521</v>
      </c>
      <c r="C273" s="4">
        <v>1</v>
      </c>
      <c r="D273" s="5">
        <v>4.75</v>
      </c>
      <c r="E273" s="5">
        <v>11.99</v>
      </c>
      <c r="F273" s="4" t="s">
        <v>5522</v>
      </c>
      <c r="G273" s="2" t="s">
        <v>41</v>
      </c>
      <c r="H273" s="7" t="s">
        <v>159</v>
      </c>
      <c r="I273" s="2" t="s">
        <v>292</v>
      </c>
      <c r="J273" s="2" t="s">
        <v>293</v>
      </c>
      <c r="K273" s="2" t="s">
        <v>304</v>
      </c>
      <c r="L273" s="2" t="s">
        <v>571</v>
      </c>
      <c r="M273" s="8" t="str">
        <f>HYPERLINK("http://slimages.macys.com/is/image/MCY/12685762 ")</f>
        <v xml:space="preserve">http://slimages.macys.com/is/image/MCY/12685762 </v>
      </c>
    </row>
    <row r="274" spans="1:13" ht="60" x14ac:dyDescent="0.25">
      <c r="A274" s="7" t="s">
        <v>5524</v>
      </c>
      <c r="B274" s="2" t="s">
        <v>5525</v>
      </c>
      <c r="C274" s="4">
        <v>1</v>
      </c>
      <c r="D274" s="5">
        <v>4.75</v>
      </c>
      <c r="E274" s="5">
        <v>9.99</v>
      </c>
      <c r="F274" s="4" t="s">
        <v>5526</v>
      </c>
      <c r="G274" s="2" t="s">
        <v>86</v>
      </c>
      <c r="H274" s="7" t="s">
        <v>217</v>
      </c>
      <c r="I274" s="2" t="s">
        <v>468</v>
      </c>
      <c r="J274" s="2" t="s">
        <v>469</v>
      </c>
      <c r="K274" s="2" t="s">
        <v>304</v>
      </c>
      <c r="L274" s="2" t="s">
        <v>119</v>
      </c>
      <c r="M274" s="8" t="str">
        <f>HYPERLINK("http://slimages.macys.com/is/image/MCY/12809147 ")</f>
        <v xml:space="preserve">http://slimages.macys.com/is/image/MCY/12809147 </v>
      </c>
    </row>
    <row r="275" spans="1:13" ht="60" x14ac:dyDescent="0.25">
      <c r="A275" s="7" t="s">
        <v>5527</v>
      </c>
      <c r="B275" s="2" t="s">
        <v>5525</v>
      </c>
      <c r="C275" s="4">
        <v>1</v>
      </c>
      <c r="D275" s="5">
        <v>4.75</v>
      </c>
      <c r="E275" s="5">
        <v>9.99</v>
      </c>
      <c r="F275" s="4" t="s">
        <v>5526</v>
      </c>
      <c r="G275" s="2" t="s">
        <v>86</v>
      </c>
      <c r="H275" s="7" t="s">
        <v>284</v>
      </c>
      <c r="I275" s="2" t="s">
        <v>468</v>
      </c>
      <c r="J275" s="2" t="s">
        <v>469</v>
      </c>
      <c r="K275" s="2" t="s">
        <v>304</v>
      </c>
      <c r="L275" s="2" t="s">
        <v>119</v>
      </c>
      <c r="M275" s="8" t="str">
        <f>HYPERLINK("http://slimages.macys.com/is/image/MCY/12809147 ")</f>
        <v xml:space="preserve">http://slimages.macys.com/is/image/MCY/12809147 </v>
      </c>
    </row>
    <row r="276" spans="1:13" ht="60" x14ac:dyDescent="0.25">
      <c r="A276" s="7" t="s">
        <v>5528</v>
      </c>
      <c r="B276" s="2" t="s">
        <v>5525</v>
      </c>
      <c r="C276" s="4">
        <v>1</v>
      </c>
      <c r="D276" s="5">
        <v>4.75</v>
      </c>
      <c r="E276" s="5">
        <v>9.99</v>
      </c>
      <c r="F276" s="4" t="s">
        <v>5526</v>
      </c>
      <c r="G276" s="2" t="s">
        <v>86</v>
      </c>
      <c r="H276" s="7" t="s">
        <v>159</v>
      </c>
      <c r="I276" s="2" t="s">
        <v>468</v>
      </c>
      <c r="J276" s="2" t="s">
        <v>469</v>
      </c>
      <c r="K276" s="2" t="s">
        <v>304</v>
      </c>
      <c r="L276" s="2" t="s">
        <v>119</v>
      </c>
      <c r="M276" s="8" t="str">
        <f>HYPERLINK("http://slimages.macys.com/is/image/MCY/12809147 ")</f>
        <v xml:space="preserve">http://slimages.macys.com/is/image/MCY/12809147 </v>
      </c>
    </row>
    <row r="277" spans="1:13" ht="108" x14ac:dyDescent="0.25">
      <c r="A277" s="7" t="s">
        <v>1995</v>
      </c>
      <c r="B277" s="2" t="s">
        <v>1996</v>
      </c>
      <c r="C277" s="4">
        <v>2</v>
      </c>
      <c r="D277" s="5">
        <v>4.67</v>
      </c>
      <c r="E277" s="5">
        <v>12</v>
      </c>
      <c r="F277" s="4" t="s">
        <v>1997</v>
      </c>
      <c r="G277" s="2" t="s">
        <v>437</v>
      </c>
      <c r="H277" s="7" t="s">
        <v>149</v>
      </c>
      <c r="I277" s="2" t="s">
        <v>483</v>
      </c>
      <c r="J277" s="2" t="s">
        <v>536</v>
      </c>
      <c r="K277" s="2" t="s">
        <v>304</v>
      </c>
      <c r="L277" s="2" t="s">
        <v>1998</v>
      </c>
      <c r="M277" s="8" t="str">
        <f>HYPERLINK("http://slimages.macys.com/is/image/MCY/12466268 ")</f>
        <v xml:space="preserve">http://slimages.macys.com/is/image/MCY/12466268 </v>
      </c>
    </row>
    <row r="278" spans="1:13" ht="108" x14ac:dyDescent="0.25">
      <c r="A278" s="7" t="s">
        <v>5529</v>
      </c>
      <c r="B278" s="2" t="s">
        <v>1996</v>
      </c>
      <c r="C278" s="4">
        <v>1</v>
      </c>
      <c r="D278" s="5">
        <v>4.67</v>
      </c>
      <c r="E278" s="5">
        <v>12</v>
      </c>
      <c r="F278" s="4" t="s">
        <v>1997</v>
      </c>
      <c r="G278" s="2" t="s">
        <v>437</v>
      </c>
      <c r="H278" s="7" t="s">
        <v>442</v>
      </c>
      <c r="I278" s="2" t="s">
        <v>483</v>
      </c>
      <c r="J278" s="2" t="s">
        <v>536</v>
      </c>
      <c r="K278" s="2" t="s">
        <v>304</v>
      </c>
      <c r="L278" s="2" t="s">
        <v>1998</v>
      </c>
      <c r="M278" s="8" t="str">
        <f>HYPERLINK("http://slimages.macys.com/is/image/MCY/12466268 ")</f>
        <v xml:space="preserve">http://slimages.macys.com/is/image/MCY/12466268 </v>
      </c>
    </row>
    <row r="279" spans="1:13" ht="60" x14ac:dyDescent="0.25">
      <c r="A279" s="7" t="s">
        <v>5530</v>
      </c>
      <c r="B279" s="2" t="s">
        <v>2002</v>
      </c>
      <c r="C279" s="4">
        <v>1</v>
      </c>
      <c r="D279" s="5">
        <v>4.6500000000000004</v>
      </c>
      <c r="E279" s="5">
        <v>14.99</v>
      </c>
      <c r="F279" s="4" t="s">
        <v>2003</v>
      </c>
      <c r="G279" s="2" t="s">
        <v>657</v>
      </c>
      <c r="H279" s="7" t="s">
        <v>166</v>
      </c>
      <c r="I279" s="2" t="s">
        <v>292</v>
      </c>
      <c r="J279" s="2" t="s">
        <v>354</v>
      </c>
      <c r="K279" s="2" t="s">
        <v>304</v>
      </c>
      <c r="L279" s="2" t="s">
        <v>125</v>
      </c>
      <c r="M279" s="8" t="str">
        <f>HYPERLINK("http://slimages.macys.com/is/image/MCY/13893167 ")</f>
        <v xml:space="preserve">http://slimages.macys.com/is/image/MCY/13893167 </v>
      </c>
    </row>
    <row r="280" spans="1:13" ht="60" x14ac:dyDescent="0.25">
      <c r="A280" s="7" t="s">
        <v>5531</v>
      </c>
      <c r="B280" s="2" t="s">
        <v>2002</v>
      </c>
      <c r="C280" s="4">
        <v>1</v>
      </c>
      <c r="D280" s="5">
        <v>4.6500000000000004</v>
      </c>
      <c r="E280" s="5">
        <v>14.99</v>
      </c>
      <c r="F280" s="4" t="s">
        <v>2003</v>
      </c>
      <c r="G280" s="2" t="s">
        <v>657</v>
      </c>
      <c r="H280" s="7" t="s">
        <v>311</v>
      </c>
      <c r="I280" s="2" t="s">
        <v>292</v>
      </c>
      <c r="J280" s="2" t="s">
        <v>354</v>
      </c>
      <c r="K280" s="2" t="s">
        <v>304</v>
      </c>
      <c r="L280" s="2" t="s">
        <v>125</v>
      </c>
      <c r="M280" s="8" t="str">
        <f>HYPERLINK("http://slimages.macys.com/is/image/MCY/13893167 ")</f>
        <v xml:space="preserve">http://slimages.macys.com/is/image/MCY/13893167 </v>
      </c>
    </row>
    <row r="281" spans="1:13" ht="60" x14ac:dyDescent="0.25">
      <c r="A281" s="7" t="s">
        <v>5532</v>
      </c>
      <c r="B281" s="2" t="s">
        <v>5533</v>
      </c>
      <c r="C281" s="4">
        <v>1</v>
      </c>
      <c r="D281" s="5">
        <v>4.59</v>
      </c>
      <c r="E281" s="5">
        <v>10.99</v>
      </c>
      <c r="F281" s="4" t="s">
        <v>5534</v>
      </c>
      <c r="G281" s="2" t="s">
        <v>103</v>
      </c>
      <c r="H281" s="7" t="s">
        <v>228</v>
      </c>
      <c r="I281" s="2" t="s">
        <v>389</v>
      </c>
      <c r="J281" s="2" t="s">
        <v>354</v>
      </c>
      <c r="K281" s="2" t="s">
        <v>304</v>
      </c>
      <c r="L281" s="2" t="s">
        <v>596</v>
      </c>
      <c r="M281" s="8" t="str">
        <f>HYPERLINK("http://slimages.macys.com/is/image/MCY/11501012 ")</f>
        <v xml:space="preserve">http://slimages.macys.com/is/image/MCY/11501012 </v>
      </c>
    </row>
    <row r="282" spans="1:13" ht="84" x14ac:dyDescent="0.25">
      <c r="A282" s="7" t="s">
        <v>1114</v>
      </c>
      <c r="B282" s="2" t="s">
        <v>1115</v>
      </c>
      <c r="C282" s="4">
        <v>1</v>
      </c>
      <c r="D282" s="5">
        <v>4.59</v>
      </c>
      <c r="E282" s="5">
        <v>12.99</v>
      </c>
      <c r="F282" s="4" t="s">
        <v>1116</v>
      </c>
      <c r="G282" s="2" t="s">
        <v>28</v>
      </c>
      <c r="H282" s="7" t="s">
        <v>196</v>
      </c>
      <c r="I282" s="2" t="s">
        <v>515</v>
      </c>
      <c r="J282" s="2" t="s">
        <v>827</v>
      </c>
      <c r="K282" s="2" t="s">
        <v>304</v>
      </c>
      <c r="L282" s="2" t="s">
        <v>1117</v>
      </c>
      <c r="M282" s="8" t="str">
        <f>HYPERLINK("http://slimages.macys.com/is/image/MCY/11606022 ")</f>
        <v xml:space="preserve">http://slimages.macys.com/is/image/MCY/11606022 </v>
      </c>
    </row>
    <row r="283" spans="1:13" ht="60" x14ac:dyDescent="0.25">
      <c r="A283" s="7" t="s">
        <v>5535</v>
      </c>
      <c r="B283" s="2" t="s">
        <v>5533</v>
      </c>
      <c r="C283" s="4">
        <v>1</v>
      </c>
      <c r="D283" s="5">
        <v>4.59</v>
      </c>
      <c r="E283" s="5">
        <v>10.99</v>
      </c>
      <c r="F283" s="4" t="s">
        <v>5534</v>
      </c>
      <c r="G283" s="2" t="s">
        <v>103</v>
      </c>
      <c r="H283" s="7" t="s">
        <v>159</v>
      </c>
      <c r="I283" s="2" t="s">
        <v>389</v>
      </c>
      <c r="J283" s="2" t="s">
        <v>354</v>
      </c>
      <c r="K283" s="2" t="s">
        <v>304</v>
      </c>
      <c r="L283" s="2" t="s">
        <v>596</v>
      </c>
      <c r="M283" s="8" t="str">
        <f>HYPERLINK("http://slimages.macys.com/is/image/MCY/11501012 ")</f>
        <v xml:space="preserve">http://slimages.macys.com/is/image/MCY/11501012 </v>
      </c>
    </row>
    <row r="284" spans="1:13" ht="60" x14ac:dyDescent="0.25">
      <c r="A284" s="7" t="s">
        <v>5536</v>
      </c>
      <c r="B284" s="2" t="s">
        <v>5537</v>
      </c>
      <c r="C284" s="4">
        <v>1</v>
      </c>
      <c r="D284" s="5">
        <v>4.5</v>
      </c>
      <c r="E284" s="5">
        <v>12.99</v>
      </c>
      <c r="F284" s="4" t="s">
        <v>5538</v>
      </c>
      <c r="G284" s="2" t="s">
        <v>1265</v>
      </c>
      <c r="H284" s="7" t="s">
        <v>531</v>
      </c>
      <c r="I284" s="2" t="s">
        <v>483</v>
      </c>
      <c r="J284" s="2" t="s">
        <v>536</v>
      </c>
      <c r="K284" s="2" t="s">
        <v>304</v>
      </c>
      <c r="L284" s="2" t="s">
        <v>358</v>
      </c>
      <c r="M284" s="8" t="str">
        <f>HYPERLINK("http://slimages.macys.com/is/image/MCY/10468510 ")</f>
        <v xml:space="preserve">http://slimages.macys.com/is/image/MCY/10468510 </v>
      </c>
    </row>
    <row r="285" spans="1:13" ht="60" x14ac:dyDescent="0.25">
      <c r="A285" s="7" t="s">
        <v>5539</v>
      </c>
      <c r="B285" s="2" t="s">
        <v>5537</v>
      </c>
      <c r="C285" s="4">
        <v>1</v>
      </c>
      <c r="D285" s="5">
        <v>4.5</v>
      </c>
      <c r="E285" s="5">
        <v>12.99</v>
      </c>
      <c r="F285" s="4" t="s">
        <v>5538</v>
      </c>
      <c r="G285" s="2" t="s">
        <v>262</v>
      </c>
      <c r="H285" s="7" t="s">
        <v>531</v>
      </c>
      <c r="I285" s="2" t="s">
        <v>483</v>
      </c>
      <c r="J285" s="2" t="s">
        <v>5540</v>
      </c>
      <c r="K285" s="2" t="s">
        <v>304</v>
      </c>
      <c r="L285" s="2" t="s">
        <v>358</v>
      </c>
      <c r="M285" s="8" t="str">
        <f>HYPERLINK("http://slimages.macys.com/is/image/MCY/9939833 ")</f>
        <v xml:space="preserve">http://slimages.macys.com/is/image/MCY/9939833 </v>
      </c>
    </row>
    <row r="286" spans="1:13" ht="60" x14ac:dyDescent="0.25">
      <c r="A286" s="7" t="s">
        <v>5541</v>
      </c>
      <c r="B286" s="2" t="s">
        <v>5537</v>
      </c>
      <c r="C286" s="4">
        <v>1</v>
      </c>
      <c r="D286" s="5">
        <v>4.5</v>
      </c>
      <c r="E286" s="5">
        <v>12.99</v>
      </c>
      <c r="F286" s="4" t="s">
        <v>5538</v>
      </c>
      <c r="G286" s="2" t="s">
        <v>62</v>
      </c>
      <c r="H286" s="7" t="s">
        <v>531</v>
      </c>
      <c r="I286" s="2" t="s">
        <v>483</v>
      </c>
      <c r="J286" s="2" t="s">
        <v>536</v>
      </c>
      <c r="K286" s="2" t="s">
        <v>304</v>
      </c>
      <c r="L286" s="2" t="s">
        <v>358</v>
      </c>
      <c r="M286" s="8" t="str">
        <f>HYPERLINK("http://slimages.macys.com/is/image/MCY/10379051 ")</f>
        <v xml:space="preserve">http://slimages.macys.com/is/image/MCY/10379051 </v>
      </c>
    </row>
    <row r="287" spans="1:13" ht="60" x14ac:dyDescent="0.25">
      <c r="A287" s="7" t="s">
        <v>5542</v>
      </c>
      <c r="B287" s="2" t="s">
        <v>5543</v>
      </c>
      <c r="C287" s="4">
        <v>1</v>
      </c>
      <c r="D287" s="5">
        <v>4.4000000000000004</v>
      </c>
      <c r="E287" s="5">
        <v>8.99</v>
      </c>
      <c r="F287" s="4">
        <v>16475213</v>
      </c>
      <c r="G287" s="2"/>
      <c r="H287" s="7" t="s">
        <v>482</v>
      </c>
      <c r="I287" s="2" t="s">
        <v>153</v>
      </c>
      <c r="J287" s="2" t="s">
        <v>154</v>
      </c>
      <c r="K287" s="2" t="s">
        <v>304</v>
      </c>
      <c r="L287" s="2" t="s">
        <v>206</v>
      </c>
      <c r="M287" s="8" t="str">
        <f>HYPERLINK("http://slimages.macys.com/is/image/MCY/11867393 ")</f>
        <v xml:space="preserve">http://slimages.macys.com/is/image/MCY/11867393 </v>
      </c>
    </row>
    <row r="288" spans="1:13" ht="60" x14ac:dyDescent="0.25">
      <c r="A288" s="7" t="s">
        <v>5544</v>
      </c>
      <c r="B288" s="2" t="s">
        <v>5545</v>
      </c>
      <c r="C288" s="4">
        <v>1</v>
      </c>
      <c r="D288" s="5">
        <v>4.4000000000000004</v>
      </c>
      <c r="E288" s="5">
        <v>9.99</v>
      </c>
      <c r="F288" s="4" t="s">
        <v>5546</v>
      </c>
      <c r="G288" s="2" t="s">
        <v>86</v>
      </c>
      <c r="H288" s="7" t="s">
        <v>217</v>
      </c>
      <c r="I288" s="2" t="s">
        <v>468</v>
      </c>
      <c r="J288" s="2" t="s">
        <v>469</v>
      </c>
      <c r="K288" s="2" t="s">
        <v>304</v>
      </c>
      <c r="L288" s="2" t="s">
        <v>119</v>
      </c>
      <c r="M288" s="8" t="str">
        <f>HYPERLINK("http://slimages.macys.com/is/image/MCY/13042540 ")</f>
        <v xml:space="preserve">http://slimages.macys.com/is/image/MCY/13042540 </v>
      </c>
    </row>
    <row r="289" spans="1:13" ht="60" x14ac:dyDescent="0.25">
      <c r="A289" s="7" t="s">
        <v>5547</v>
      </c>
      <c r="B289" s="2" t="s">
        <v>5548</v>
      </c>
      <c r="C289" s="4">
        <v>1</v>
      </c>
      <c r="D289" s="5">
        <v>4.4000000000000004</v>
      </c>
      <c r="E289" s="5">
        <v>9.99</v>
      </c>
      <c r="F289" s="4" t="s">
        <v>5549</v>
      </c>
      <c r="G289" s="2" t="s">
        <v>1160</v>
      </c>
      <c r="H289" s="7" t="s">
        <v>284</v>
      </c>
      <c r="I289" s="2" t="s">
        <v>468</v>
      </c>
      <c r="J289" s="2" t="s">
        <v>469</v>
      </c>
      <c r="K289" s="2" t="s">
        <v>304</v>
      </c>
      <c r="L289" s="2" t="s">
        <v>119</v>
      </c>
      <c r="M289" s="8" t="str">
        <f>HYPERLINK("http://slimages.macys.com/is/image/MCY/13398921 ")</f>
        <v xml:space="preserve">http://slimages.macys.com/is/image/MCY/13398921 </v>
      </c>
    </row>
    <row r="290" spans="1:13" ht="60" x14ac:dyDescent="0.25">
      <c r="A290" s="7" t="s">
        <v>5550</v>
      </c>
      <c r="B290" s="2" t="s">
        <v>3473</v>
      </c>
      <c r="C290" s="4">
        <v>1</v>
      </c>
      <c r="D290" s="5">
        <v>4.4000000000000004</v>
      </c>
      <c r="E290" s="5">
        <v>9.99</v>
      </c>
      <c r="F290" s="4" t="s">
        <v>3474</v>
      </c>
      <c r="G290" s="2" t="s">
        <v>171</v>
      </c>
      <c r="H290" s="7" t="s">
        <v>228</v>
      </c>
      <c r="I290" s="2" t="s">
        <v>468</v>
      </c>
      <c r="J290" s="2" t="s">
        <v>469</v>
      </c>
      <c r="K290" s="2" t="s">
        <v>304</v>
      </c>
      <c r="L290" s="2" t="s">
        <v>119</v>
      </c>
      <c r="M290" s="8" t="str">
        <f>HYPERLINK("http://slimages.macys.com/is/image/MCY/12809149 ")</f>
        <v xml:space="preserve">http://slimages.macys.com/is/image/MCY/12809149 </v>
      </c>
    </row>
    <row r="291" spans="1:13" ht="60" x14ac:dyDescent="0.25">
      <c r="A291" s="7" t="s">
        <v>5551</v>
      </c>
      <c r="B291" s="2" t="s">
        <v>5552</v>
      </c>
      <c r="C291" s="4">
        <v>1</v>
      </c>
      <c r="D291" s="5">
        <v>4.38</v>
      </c>
      <c r="E291" s="5">
        <v>11.99</v>
      </c>
      <c r="F291" s="4" t="s">
        <v>5553</v>
      </c>
      <c r="G291" s="2" t="s">
        <v>28</v>
      </c>
      <c r="H291" s="7" t="s">
        <v>228</v>
      </c>
      <c r="I291" s="2" t="s">
        <v>292</v>
      </c>
      <c r="J291" s="2" t="s">
        <v>293</v>
      </c>
      <c r="K291" s="2" t="s">
        <v>304</v>
      </c>
      <c r="L291" s="2" t="s">
        <v>119</v>
      </c>
      <c r="M291" s="8" t="str">
        <f>HYPERLINK("http://slimages.macys.com/is/image/MCY/14590207 ")</f>
        <v xml:space="preserve">http://slimages.macys.com/is/image/MCY/14590207 </v>
      </c>
    </row>
    <row r="292" spans="1:13" ht="60" x14ac:dyDescent="0.25">
      <c r="A292" s="7" t="s">
        <v>1135</v>
      </c>
      <c r="B292" s="2" t="s">
        <v>1136</v>
      </c>
      <c r="C292" s="4">
        <v>1</v>
      </c>
      <c r="D292" s="5">
        <v>4.38</v>
      </c>
      <c r="E292" s="5">
        <v>11.98</v>
      </c>
      <c r="F292" s="4">
        <v>10006013400</v>
      </c>
      <c r="G292" s="2" t="s">
        <v>107</v>
      </c>
      <c r="H292" s="7" t="s">
        <v>531</v>
      </c>
      <c r="I292" s="2" t="s">
        <v>483</v>
      </c>
      <c r="J292" s="2" t="s">
        <v>536</v>
      </c>
      <c r="K292" s="2" t="s">
        <v>304</v>
      </c>
      <c r="L292" s="2" t="s">
        <v>125</v>
      </c>
      <c r="M292" s="8" t="str">
        <f>HYPERLINK("http://slimages.macys.com/is/image/MCY/12646586 ")</f>
        <v xml:space="preserve">http://slimages.macys.com/is/image/MCY/12646586 </v>
      </c>
    </row>
    <row r="293" spans="1:13" ht="60" x14ac:dyDescent="0.25">
      <c r="A293" s="7" t="s">
        <v>5554</v>
      </c>
      <c r="B293" s="2" t="s">
        <v>2044</v>
      </c>
      <c r="C293" s="4">
        <v>1</v>
      </c>
      <c r="D293" s="5">
        <v>4.37</v>
      </c>
      <c r="E293" s="5">
        <v>12.99</v>
      </c>
      <c r="F293" s="4" t="s">
        <v>2045</v>
      </c>
      <c r="G293" s="2" t="s">
        <v>437</v>
      </c>
      <c r="H293" s="7" t="s">
        <v>159</v>
      </c>
      <c r="I293" s="2" t="s">
        <v>515</v>
      </c>
      <c r="J293" s="2" t="s">
        <v>1971</v>
      </c>
      <c r="K293" s="2" t="s">
        <v>304</v>
      </c>
      <c r="L293" s="2" t="s">
        <v>119</v>
      </c>
      <c r="M293" s="8" t="str">
        <f>HYPERLINK("http://slimages.macys.com/is/image/MCY/12508210 ")</f>
        <v xml:space="preserve">http://slimages.macys.com/is/image/MCY/12508210 </v>
      </c>
    </row>
    <row r="294" spans="1:13" ht="60" x14ac:dyDescent="0.25">
      <c r="A294" s="7" t="s">
        <v>5555</v>
      </c>
      <c r="B294" s="2" t="s">
        <v>2049</v>
      </c>
      <c r="C294" s="4">
        <v>1</v>
      </c>
      <c r="D294" s="5">
        <v>4.32</v>
      </c>
      <c r="E294" s="5">
        <v>10.99</v>
      </c>
      <c r="F294" s="4">
        <v>10005384800</v>
      </c>
      <c r="G294" s="2" t="s">
        <v>1360</v>
      </c>
      <c r="H294" s="7" t="s">
        <v>590</v>
      </c>
      <c r="I294" s="2" t="s">
        <v>483</v>
      </c>
      <c r="J294" s="2" t="s">
        <v>536</v>
      </c>
      <c r="K294" s="2" t="s">
        <v>304</v>
      </c>
      <c r="L294" s="2" t="s">
        <v>119</v>
      </c>
      <c r="M294" s="8" t="str">
        <f>HYPERLINK("http://slimages.macys.com/is/image/MCY/12465277 ")</f>
        <v xml:space="preserve">http://slimages.macys.com/is/image/MCY/12465277 </v>
      </c>
    </row>
    <row r="295" spans="1:13" ht="60" x14ac:dyDescent="0.25">
      <c r="A295" s="7" t="s">
        <v>5556</v>
      </c>
      <c r="B295" s="2" t="s">
        <v>2049</v>
      </c>
      <c r="C295" s="4">
        <v>1</v>
      </c>
      <c r="D295" s="5">
        <v>4.32</v>
      </c>
      <c r="E295" s="5">
        <v>10.99</v>
      </c>
      <c r="F295" s="4">
        <v>10005384800</v>
      </c>
      <c r="G295" s="2" t="s">
        <v>86</v>
      </c>
      <c r="H295" s="7" t="s">
        <v>149</v>
      </c>
      <c r="I295" s="2" t="s">
        <v>483</v>
      </c>
      <c r="J295" s="2" t="s">
        <v>536</v>
      </c>
      <c r="K295" s="2" t="s">
        <v>304</v>
      </c>
      <c r="L295" s="2" t="s">
        <v>119</v>
      </c>
      <c r="M295" s="8" t="str">
        <f>HYPERLINK("http://slimages.macys.com/is/image/MCY/12465277 ")</f>
        <v xml:space="preserve">http://slimages.macys.com/is/image/MCY/12465277 </v>
      </c>
    </row>
    <row r="296" spans="1:13" ht="60" x14ac:dyDescent="0.25">
      <c r="A296" s="7" t="s">
        <v>2050</v>
      </c>
      <c r="B296" s="2" t="s">
        <v>2049</v>
      </c>
      <c r="C296" s="4">
        <v>1</v>
      </c>
      <c r="D296" s="5">
        <v>4.32</v>
      </c>
      <c r="E296" s="5">
        <v>10.99</v>
      </c>
      <c r="F296" s="4">
        <v>10005384800</v>
      </c>
      <c r="G296" s="2" t="s">
        <v>1360</v>
      </c>
      <c r="H296" s="7" t="s">
        <v>442</v>
      </c>
      <c r="I296" s="2" t="s">
        <v>483</v>
      </c>
      <c r="J296" s="2" t="s">
        <v>536</v>
      </c>
      <c r="K296" s="2" t="s">
        <v>304</v>
      </c>
      <c r="L296" s="2" t="s">
        <v>119</v>
      </c>
      <c r="M296" s="8" t="str">
        <f>HYPERLINK("http://slimages.macys.com/is/image/MCY/12465277 ")</f>
        <v xml:space="preserve">http://slimages.macys.com/is/image/MCY/12465277 </v>
      </c>
    </row>
    <row r="297" spans="1:13" ht="60" x14ac:dyDescent="0.25">
      <c r="A297" s="7" t="s">
        <v>5557</v>
      </c>
      <c r="B297" s="2" t="s">
        <v>2049</v>
      </c>
      <c r="C297" s="4">
        <v>1</v>
      </c>
      <c r="D297" s="5">
        <v>4.32</v>
      </c>
      <c r="E297" s="5">
        <v>10.99</v>
      </c>
      <c r="F297" s="4">
        <v>10005384800</v>
      </c>
      <c r="G297" s="2" t="s">
        <v>1360</v>
      </c>
      <c r="H297" s="7" t="s">
        <v>42</v>
      </c>
      <c r="I297" s="2" t="s">
        <v>483</v>
      </c>
      <c r="J297" s="2" t="s">
        <v>536</v>
      </c>
      <c r="K297" s="2" t="s">
        <v>304</v>
      </c>
      <c r="L297" s="2" t="s">
        <v>119</v>
      </c>
      <c r="M297" s="8" t="str">
        <f>HYPERLINK("http://slimages.macys.com/is/image/MCY/12465277 ")</f>
        <v xml:space="preserve">http://slimages.macys.com/is/image/MCY/12465277 </v>
      </c>
    </row>
    <row r="298" spans="1:13" ht="60" x14ac:dyDescent="0.25">
      <c r="A298" s="7" t="s">
        <v>5558</v>
      </c>
      <c r="B298" s="2" t="s">
        <v>5559</v>
      </c>
      <c r="C298" s="4">
        <v>1</v>
      </c>
      <c r="D298" s="5">
        <v>4.25</v>
      </c>
      <c r="E298" s="5">
        <v>10.99</v>
      </c>
      <c r="F298" s="4" t="s">
        <v>5560</v>
      </c>
      <c r="G298" s="2" t="s">
        <v>41</v>
      </c>
      <c r="H298" s="7"/>
      <c r="I298" s="2" t="s">
        <v>312</v>
      </c>
      <c r="J298" s="2" t="s">
        <v>2077</v>
      </c>
      <c r="K298" s="2" t="s">
        <v>304</v>
      </c>
      <c r="L298" s="2" t="s">
        <v>125</v>
      </c>
      <c r="M298" s="8" t="str">
        <f>HYPERLINK("http://slimages.macys.com/is/image/MCY/12045146 ")</f>
        <v xml:space="preserve">http://slimages.macys.com/is/image/MCY/12045146 </v>
      </c>
    </row>
    <row r="299" spans="1:13" ht="60" x14ac:dyDescent="0.25">
      <c r="A299" s="7" t="s">
        <v>5561</v>
      </c>
      <c r="B299" s="2" t="s">
        <v>2071</v>
      </c>
      <c r="C299" s="4">
        <v>1</v>
      </c>
      <c r="D299" s="5">
        <v>4.25</v>
      </c>
      <c r="E299" s="5">
        <v>7.99</v>
      </c>
      <c r="F299" s="4" t="s">
        <v>2072</v>
      </c>
      <c r="G299" s="2" t="s">
        <v>41</v>
      </c>
      <c r="H299" s="7" t="s">
        <v>317</v>
      </c>
      <c r="I299" s="2" t="s">
        <v>73</v>
      </c>
      <c r="J299" s="2" t="s">
        <v>1963</v>
      </c>
      <c r="K299" s="2" t="s">
        <v>304</v>
      </c>
      <c r="L299" s="2" t="s">
        <v>119</v>
      </c>
      <c r="M299" s="8" t="str">
        <f>HYPERLINK("http://slimages.macys.com/is/image/MCY/12684273 ")</f>
        <v xml:space="preserve">http://slimages.macys.com/is/image/MCY/12684273 </v>
      </c>
    </row>
    <row r="300" spans="1:13" ht="60" x14ac:dyDescent="0.25">
      <c r="A300" s="7" t="s">
        <v>5562</v>
      </c>
      <c r="B300" s="2" t="s">
        <v>1991</v>
      </c>
      <c r="C300" s="4">
        <v>1</v>
      </c>
      <c r="D300" s="5">
        <v>4.25</v>
      </c>
      <c r="E300" s="5">
        <v>5.99</v>
      </c>
      <c r="F300" s="4" t="s">
        <v>2061</v>
      </c>
      <c r="G300" s="2" t="s">
        <v>36</v>
      </c>
      <c r="H300" s="7" t="s">
        <v>123</v>
      </c>
      <c r="I300" s="2" t="s">
        <v>73</v>
      </c>
      <c r="J300" s="2" t="s">
        <v>1963</v>
      </c>
      <c r="K300" s="2" t="s">
        <v>304</v>
      </c>
      <c r="L300" s="2" t="s">
        <v>125</v>
      </c>
      <c r="M300" s="8" t="str">
        <f>HYPERLINK("http://slimages.macys.com/is/image/MCY/13726811 ")</f>
        <v xml:space="preserve">http://slimages.macys.com/is/image/MCY/13726811 </v>
      </c>
    </row>
    <row r="301" spans="1:13" ht="60" x14ac:dyDescent="0.25">
      <c r="A301" s="7" t="s">
        <v>5563</v>
      </c>
      <c r="B301" s="2" t="s">
        <v>5564</v>
      </c>
      <c r="C301" s="4">
        <v>1</v>
      </c>
      <c r="D301" s="5">
        <v>4.1500000000000004</v>
      </c>
      <c r="E301" s="5">
        <v>10.99</v>
      </c>
      <c r="F301" s="4" t="s">
        <v>5565</v>
      </c>
      <c r="G301" s="2" t="s">
        <v>41</v>
      </c>
      <c r="H301" s="7"/>
      <c r="I301" s="2" t="s">
        <v>312</v>
      </c>
      <c r="J301" s="2" t="s">
        <v>2077</v>
      </c>
      <c r="K301" s="2" t="s">
        <v>304</v>
      </c>
      <c r="L301" s="2" t="s">
        <v>5566</v>
      </c>
      <c r="M301" s="8" t="str">
        <f>HYPERLINK("http://slimages.macys.com/is/image/MCY/12045148 ")</f>
        <v xml:space="preserve">http://slimages.macys.com/is/image/MCY/12045148 </v>
      </c>
    </row>
    <row r="302" spans="1:13" ht="60" x14ac:dyDescent="0.25">
      <c r="A302" s="7" t="s">
        <v>2079</v>
      </c>
      <c r="B302" s="2" t="s">
        <v>2075</v>
      </c>
      <c r="C302" s="4">
        <v>1</v>
      </c>
      <c r="D302" s="5">
        <v>4.1500000000000004</v>
      </c>
      <c r="E302" s="5">
        <v>10.99</v>
      </c>
      <c r="F302" s="4" t="s">
        <v>2076</v>
      </c>
      <c r="G302" s="2"/>
      <c r="H302" s="7"/>
      <c r="I302" s="2" t="s">
        <v>312</v>
      </c>
      <c r="J302" s="2" t="s">
        <v>2077</v>
      </c>
      <c r="K302" s="2" t="s">
        <v>304</v>
      </c>
      <c r="L302" s="2" t="s">
        <v>2078</v>
      </c>
      <c r="M302" s="8" t="str">
        <f>HYPERLINK("http://slimages.macys.com/is/image/MCY/12045142 ")</f>
        <v xml:space="preserve">http://slimages.macys.com/is/image/MCY/12045142 </v>
      </c>
    </row>
    <row r="303" spans="1:13" ht="60" x14ac:dyDescent="0.25">
      <c r="A303" s="7" t="s">
        <v>2081</v>
      </c>
      <c r="B303" s="2" t="s">
        <v>2075</v>
      </c>
      <c r="C303" s="4">
        <v>2</v>
      </c>
      <c r="D303" s="5">
        <v>4.1500000000000004</v>
      </c>
      <c r="E303" s="5">
        <v>10.99</v>
      </c>
      <c r="F303" s="4" t="s">
        <v>2076</v>
      </c>
      <c r="G303" s="2"/>
      <c r="H303" s="7"/>
      <c r="I303" s="2" t="s">
        <v>312</v>
      </c>
      <c r="J303" s="2" t="s">
        <v>2077</v>
      </c>
      <c r="K303" s="2" t="s">
        <v>304</v>
      </c>
      <c r="L303" s="2" t="s">
        <v>2078</v>
      </c>
      <c r="M303" s="8" t="str">
        <f>HYPERLINK("http://slimages.macys.com/is/image/MCY/12045142 ")</f>
        <v xml:space="preserve">http://slimages.macys.com/is/image/MCY/12045142 </v>
      </c>
    </row>
    <row r="304" spans="1:13" ht="60" x14ac:dyDescent="0.25">
      <c r="A304" s="7" t="s">
        <v>5567</v>
      </c>
      <c r="B304" s="2" t="s">
        <v>5568</v>
      </c>
      <c r="C304" s="4">
        <v>1</v>
      </c>
      <c r="D304" s="5">
        <v>4.1100000000000003</v>
      </c>
      <c r="E304" s="5">
        <v>10.99</v>
      </c>
      <c r="F304" s="4" t="s">
        <v>5569</v>
      </c>
      <c r="G304" s="2" t="s">
        <v>86</v>
      </c>
      <c r="H304" s="7" t="s">
        <v>196</v>
      </c>
      <c r="I304" s="2" t="s">
        <v>389</v>
      </c>
      <c r="J304" s="2" t="s">
        <v>354</v>
      </c>
      <c r="K304" s="2" t="s">
        <v>304</v>
      </c>
      <c r="L304" s="2" t="s">
        <v>119</v>
      </c>
      <c r="M304" s="8" t="str">
        <f>HYPERLINK("http://slimages.macys.com/is/image/MCY/12938557 ")</f>
        <v xml:space="preserve">http://slimages.macys.com/is/image/MCY/12938557 </v>
      </c>
    </row>
    <row r="305" spans="1:13" ht="180" x14ac:dyDescent="0.25">
      <c r="A305" s="7" t="s">
        <v>5570</v>
      </c>
      <c r="B305" s="2" t="s">
        <v>4254</v>
      </c>
      <c r="C305" s="4">
        <v>1</v>
      </c>
      <c r="D305" s="5">
        <v>4.0999999999999996</v>
      </c>
      <c r="E305" s="5">
        <v>10.99</v>
      </c>
      <c r="F305" s="4">
        <v>64784</v>
      </c>
      <c r="G305" s="2" t="s">
        <v>36</v>
      </c>
      <c r="H305" s="7" t="s">
        <v>5571</v>
      </c>
      <c r="I305" s="2" t="s">
        <v>523</v>
      </c>
      <c r="J305" s="2" t="s">
        <v>1227</v>
      </c>
      <c r="K305" s="2" t="s">
        <v>304</v>
      </c>
      <c r="L305" s="2" t="s">
        <v>4255</v>
      </c>
      <c r="M305" s="8" t="str">
        <f>HYPERLINK("http://slimages.macys.com/is/image/MCY/11869829 ")</f>
        <v xml:space="preserve">http://slimages.macys.com/is/image/MCY/11869829 </v>
      </c>
    </row>
    <row r="306" spans="1:13" ht="180" x14ac:dyDescent="0.25">
      <c r="A306" s="7" t="s">
        <v>4253</v>
      </c>
      <c r="B306" s="2" t="s">
        <v>4254</v>
      </c>
      <c r="C306" s="4">
        <v>1</v>
      </c>
      <c r="D306" s="5">
        <v>4.0999999999999996</v>
      </c>
      <c r="E306" s="5">
        <v>10.99</v>
      </c>
      <c r="F306" s="4">
        <v>64784</v>
      </c>
      <c r="G306" s="2" t="s">
        <v>36</v>
      </c>
      <c r="H306" s="7"/>
      <c r="I306" s="2" t="s">
        <v>523</v>
      </c>
      <c r="J306" s="2" t="s">
        <v>1227</v>
      </c>
      <c r="K306" s="2" t="s">
        <v>304</v>
      </c>
      <c r="L306" s="2" t="s">
        <v>4255</v>
      </c>
      <c r="M306" s="8" t="str">
        <f>HYPERLINK("http://slimages.macys.com/is/image/MCY/11869829 ")</f>
        <v xml:space="preserve">http://slimages.macys.com/is/image/MCY/11869829 </v>
      </c>
    </row>
    <row r="307" spans="1:13" ht="180" x14ac:dyDescent="0.25">
      <c r="A307" s="7" t="s">
        <v>5572</v>
      </c>
      <c r="B307" s="2" t="s">
        <v>4254</v>
      </c>
      <c r="C307" s="4">
        <v>1</v>
      </c>
      <c r="D307" s="5">
        <v>4.0999999999999996</v>
      </c>
      <c r="E307" s="5">
        <v>10.99</v>
      </c>
      <c r="F307" s="4">
        <v>64784</v>
      </c>
      <c r="G307" s="2" t="s">
        <v>36</v>
      </c>
      <c r="H307" s="7" t="s">
        <v>5573</v>
      </c>
      <c r="I307" s="2" t="s">
        <v>523</v>
      </c>
      <c r="J307" s="2" t="s">
        <v>1227</v>
      </c>
      <c r="K307" s="2" t="s">
        <v>304</v>
      </c>
      <c r="L307" s="2" t="s">
        <v>4255</v>
      </c>
      <c r="M307" s="8" t="str">
        <f>HYPERLINK("http://slimages.macys.com/is/image/MCY/11869829 ")</f>
        <v xml:space="preserve">http://slimages.macys.com/is/image/MCY/11869829 </v>
      </c>
    </row>
    <row r="308" spans="1:13" ht="60" x14ac:dyDescent="0.25">
      <c r="A308" s="7" t="s">
        <v>5574</v>
      </c>
      <c r="B308" s="2" t="s">
        <v>5575</v>
      </c>
      <c r="C308" s="4">
        <v>2</v>
      </c>
      <c r="D308" s="5">
        <v>4.04</v>
      </c>
      <c r="E308" s="5">
        <v>6.99</v>
      </c>
      <c r="F308" s="4" t="s">
        <v>5576</v>
      </c>
      <c r="G308" s="2" t="s">
        <v>48</v>
      </c>
      <c r="H308" s="7" t="s">
        <v>284</v>
      </c>
      <c r="I308" s="2" t="s">
        <v>80</v>
      </c>
      <c r="J308" s="2" t="s">
        <v>1917</v>
      </c>
      <c r="K308" s="2" t="s">
        <v>304</v>
      </c>
      <c r="L308" s="2" t="s">
        <v>119</v>
      </c>
      <c r="M308" s="8" t="str">
        <f>HYPERLINK("http://slimages.macys.com/is/image/MCY/11272143 ")</f>
        <v xml:space="preserve">http://slimages.macys.com/is/image/MCY/11272143 </v>
      </c>
    </row>
    <row r="309" spans="1:13" ht="60" x14ac:dyDescent="0.25">
      <c r="A309" s="7" t="s">
        <v>5577</v>
      </c>
      <c r="B309" s="2" t="s">
        <v>5578</v>
      </c>
      <c r="C309" s="4">
        <v>1</v>
      </c>
      <c r="D309" s="5">
        <v>4.04</v>
      </c>
      <c r="E309" s="5">
        <v>6.99</v>
      </c>
      <c r="F309" s="4" t="s">
        <v>5579</v>
      </c>
      <c r="G309" s="2" t="s">
        <v>28</v>
      </c>
      <c r="H309" s="7" t="s">
        <v>228</v>
      </c>
      <c r="I309" s="2" t="s">
        <v>80</v>
      </c>
      <c r="J309" s="2" t="s">
        <v>1917</v>
      </c>
      <c r="K309" s="2" t="s">
        <v>304</v>
      </c>
      <c r="L309" s="2" t="s">
        <v>125</v>
      </c>
      <c r="M309" s="8" t="str">
        <f>HYPERLINK("http://slimages.macys.com/is/image/MCY/2581838 ")</f>
        <v xml:space="preserve">http://slimages.macys.com/is/image/MCY/2581838 </v>
      </c>
    </row>
    <row r="310" spans="1:13" ht="60" x14ac:dyDescent="0.25">
      <c r="A310" s="7" t="s">
        <v>2094</v>
      </c>
      <c r="B310" s="2" t="s">
        <v>2095</v>
      </c>
      <c r="C310" s="4">
        <v>1</v>
      </c>
      <c r="D310" s="5">
        <v>4</v>
      </c>
      <c r="E310" s="5">
        <v>10.99</v>
      </c>
      <c r="F310" s="4" t="s">
        <v>2096</v>
      </c>
      <c r="G310" s="2" t="s">
        <v>28</v>
      </c>
      <c r="H310" s="7" t="s">
        <v>159</v>
      </c>
      <c r="I310" s="2" t="s">
        <v>389</v>
      </c>
      <c r="J310" s="2" t="s">
        <v>354</v>
      </c>
      <c r="K310" s="2" t="s">
        <v>304</v>
      </c>
      <c r="L310" s="2" t="s">
        <v>2097</v>
      </c>
      <c r="M310" s="8" t="str">
        <f>HYPERLINK("http://slimages.macys.com/is/image/MCY/12121841 ")</f>
        <v xml:space="preserve">http://slimages.macys.com/is/image/MCY/12121841 </v>
      </c>
    </row>
    <row r="311" spans="1:13" ht="60" x14ac:dyDescent="0.25">
      <c r="A311" s="7" t="s">
        <v>2674</v>
      </c>
      <c r="B311" s="2" t="s">
        <v>2675</v>
      </c>
      <c r="C311" s="4">
        <v>1</v>
      </c>
      <c r="D311" s="5">
        <v>4</v>
      </c>
      <c r="E311" s="5">
        <v>10.99</v>
      </c>
      <c r="F311" s="4" t="s">
        <v>2676</v>
      </c>
      <c r="G311" s="2" t="s">
        <v>347</v>
      </c>
      <c r="H311" s="7" t="s">
        <v>159</v>
      </c>
      <c r="I311" s="2" t="s">
        <v>389</v>
      </c>
      <c r="J311" s="2" t="s">
        <v>354</v>
      </c>
      <c r="K311" s="2" t="s">
        <v>304</v>
      </c>
      <c r="L311" s="2" t="s">
        <v>390</v>
      </c>
      <c r="M311" s="8" t="str">
        <f>HYPERLINK("http://slimages.macys.com/is/image/MCY/12898616 ")</f>
        <v xml:space="preserve">http://slimages.macys.com/is/image/MCY/12898616 </v>
      </c>
    </row>
    <row r="312" spans="1:13" ht="60" x14ac:dyDescent="0.25">
      <c r="A312" s="7" t="s">
        <v>5580</v>
      </c>
      <c r="B312" s="2" t="s">
        <v>5581</v>
      </c>
      <c r="C312" s="4">
        <v>2</v>
      </c>
      <c r="D312" s="5">
        <v>3.9</v>
      </c>
      <c r="E312" s="5">
        <v>7.99</v>
      </c>
      <c r="F312" s="4" t="s">
        <v>5582</v>
      </c>
      <c r="G312" s="2" t="s">
        <v>1047</v>
      </c>
      <c r="H312" s="7"/>
      <c r="I312" s="2" t="s">
        <v>523</v>
      </c>
      <c r="J312" s="2" t="s">
        <v>5056</v>
      </c>
      <c r="K312" s="2" t="s">
        <v>304</v>
      </c>
      <c r="L312" s="2" t="s">
        <v>358</v>
      </c>
      <c r="M312" s="8" t="str">
        <f>HYPERLINK("http://slimages.macys.com/is/image/MCY/8847919 ")</f>
        <v xml:space="preserve">http://slimages.macys.com/is/image/MCY/8847919 </v>
      </c>
    </row>
    <row r="313" spans="1:13" ht="60" x14ac:dyDescent="0.25">
      <c r="A313" s="7" t="s">
        <v>5583</v>
      </c>
      <c r="B313" s="2" t="s">
        <v>5584</v>
      </c>
      <c r="C313" s="4">
        <v>1</v>
      </c>
      <c r="D313" s="5">
        <v>3.9</v>
      </c>
      <c r="E313" s="5">
        <v>7.99</v>
      </c>
      <c r="F313" s="4" t="s">
        <v>5585</v>
      </c>
      <c r="G313" s="2" t="s">
        <v>1047</v>
      </c>
      <c r="H313" s="7" t="s">
        <v>5586</v>
      </c>
      <c r="I313" s="2" t="s">
        <v>523</v>
      </c>
      <c r="J313" s="2" t="s">
        <v>5056</v>
      </c>
      <c r="K313" s="2" t="s">
        <v>304</v>
      </c>
      <c r="L313" s="2" t="s">
        <v>358</v>
      </c>
      <c r="M313" s="8" t="str">
        <f>HYPERLINK("http://slimages.macys.com/is/image/MCY/8847919 ")</f>
        <v xml:space="preserve">http://slimages.macys.com/is/image/MCY/8847919 </v>
      </c>
    </row>
    <row r="314" spans="1:13" ht="60" x14ac:dyDescent="0.25">
      <c r="A314" s="7" t="s">
        <v>5053</v>
      </c>
      <c r="B314" s="2" t="s">
        <v>5054</v>
      </c>
      <c r="C314" s="4">
        <v>2</v>
      </c>
      <c r="D314" s="5">
        <v>3.9</v>
      </c>
      <c r="E314" s="5">
        <v>7.99</v>
      </c>
      <c r="F314" s="4" t="s">
        <v>5055</v>
      </c>
      <c r="G314" s="2" t="s">
        <v>1047</v>
      </c>
      <c r="H314" s="7"/>
      <c r="I314" s="2" t="s">
        <v>523</v>
      </c>
      <c r="J314" s="2" t="s">
        <v>5056</v>
      </c>
      <c r="K314" s="2" t="s">
        <v>304</v>
      </c>
      <c r="L314" s="2" t="s">
        <v>358</v>
      </c>
      <c r="M314" s="8" t="str">
        <f>HYPERLINK("http://slimages.macys.com/is/image/MCY/3254673 ")</f>
        <v xml:space="preserve">http://slimages.macys.com/is/image/MCY/3254673 </v>
      </c>
    </row>
    <row r="315" spans="1:13" ht="60" x14ac:dyDescent="0.25">
      <c r="A315" s="7" t="s">
        <v>5587</v>
      </c>
      <c r="B315" s="2" t="s">
        <v>5588</v>
      </c>
      <c r="C315" s="4">
        <v>6</v>
      </c>
      <c r="D315" s="5">
        <v>3.9</v>
      </c>
      <c r="E315" s="5">
        <v>7.99</v>
      </c>
      <c r="F315" s="4" t="s">
        <v>5589</v>
      </c>
      <c r="G315" s="2" t="s">
        <v>1047</v>
      </c>
      <c r="H315" s="7" t="s">
        <v>5590</v>
      </c>
      <c r="I315" s="2" t="s">
        <v>523</v>
      </c>
      <c r="J315" s="2" t="s">
        <v>5056</v>
      </c>
      <c r="K315" s="2" t="s">
        <v>304</v>
      </c>
      <c r="L315" s="2" t="s">
        <v>358</v>
      </c>
      <c r="M315" s="8" t="str">
        <f>HYPERLINK("http://slimages.macys.com/is/image/MCY/3254673 ")</f>
        <v xml:space="preserve">http://slimages.macys.com/is/image/MCY/3254673 </v>
      </c>
    </row>
    <row r="316" spans="1:13" ht="60" x14ac:dyDescent="0.25">
      <c r="A316" s="7" t="s">
        <v>5591</v>
      </c>
      <c r="B316" s="2" t="s">
        <v>5592</v>
      </c>
      <c r="C316" s="4">
        <v>1</v>
      </c>
      <c r="D316" s="5">
        <v>3.75</v>
      </c>
      <c r="E316" s="5">
        <v>7.99</v>
      </c>
      <c r="F316" s="4" t="s">
        <v>5593</v>
      </c>
      <c r="G316" s="2" t="s">
        <v>86</v>
      </c>
      <c r="H316" s="7" t="s">
        <v>514</v>
      </c>
      <c r="I316" s="2" t="s">
        <v>1689</v>
      </c>
      <c r="J316" s="2" t="s">
        <v>354</v>
      </c>
      <c r="K316" s="2" t="s">
        <v>304</v>
      </c>
      <c r="L316" s="2" t="s">
        <v>596</v>
      </c>
      <c r="M316" s="8" t="str">
        <f>HYPERLINK("http://slimages.macys.com/is/image/MCY/2131868 ")</f>
        <v xml:space="preserve">http://slimages.macys.com/is/image/MCY/2131868 </v>
      </c>
    </row>
    <row r="317" spans="1:13" ht="60" x14ac:dyDescent="0.25">
      <c r="A317" s="7" t="s">
        <v>5594</v>
      </c>
      <c r="B317" s="2" t="s">
        <v>5595</v>
      </c>
      <c r="C317" s="4">
        <v>1</v>
      </c>
      <c r="D317" s="5">
        <v>3.7</v>
      </c>
      <c r="E317" s="5">
        <v>7.99</v>
      </c>
      <c r="F317" s="4" t="s">
        <v>5596</v>
      </c>
      <c r="G317" s="2" t="s">
        <v>41</v>
      </c>
      <c r="H317" s="7" t="s">
        <v>618</v>
      </c>
      <c r="I317" s="2" t="s">
        <v>292</v>
      </c>
      <c r="J317" s="2" t="s">
        <v>354</v>
      </c>
      <c r="K317" s="2" t="s">
        <v>304</v>
      </c>
      <c r="L317" s="2" t="s">
        <v>119</v>
      </c>
      <c r="M317" s="8" t="str">
        <f>HYPERLINK("http://slimages.macys.com/is/image/MCY/11279619 ")</f>
        <v xml:space="preserve">http://slimages.macys.com/is/image/MCY/11279619 </v>
      </c>
    </row>
    <row r="318" spans="1:13" ht="60" x14ac:dyDescent="0.25">
      <c r="A318" s="7" t="s">
        <v>5597</v>
      </c>
      <c r="B318" s="2" t="s">
        <v>5598</v>
      </c>
      <c r="C318" s="4">
        <v>1</v>
      </c>
      <c r="D318" s="5">
        <v>3.66</v>
      </c>
      <c r="E318" s="5">
        <v>7.99</v>
      </c>
      <c r="F318" s="4" t="s">
        <v>5599</v>
      </c>
      <c r="G318" s="2" t="s">
        <v>36</v>
      </c>
      <c r="H318" s="7" t="s">
        <v>123</v>
      </c>
      <c r="I318" s="2" t="s">
        <v>292</v>
      </c>
      <c r="J318" s="2" t="s">
        <v>354</v>
      </c>
      <c r="K318" s="2" t="s">
        <v>304</v>
      </c>
      <c r="L318" s="2" t="s">
        <v>119</v>
      </c>
      <c r="M318" s="8" t="str">
        <f>HYPERLINK("http://slimages.macys.com/is/image/MCY/11776293 ")</f>
        <v xml:space="preserve">http://slimages.macys.com/is/image/MCY/11776293 </v>
      </c>
    </row>
    <row r="319" spans="1:13" ht="60" x14ac:dyDescent="0.25">
      <c r="A319" s="7" t="s">
        <v>5600</v>
      </c>
      <c r="B319" s="2" t="s">
        <v>5601</v>
      </c>
      <c r="C319" s="4">
        <v>1</v>
      </c>
      <c r="D319" s="5">
        <v>3.58</v>
      </c>
      <c r="E319" s="5">
        <v>7.99</v>
      </c>
      <c r="F319" s="4" t="s">
        <v>5602</v>
      </c>
      <c r="G319" s="2" t="s">
        <v>657</v>
      </c>
      <c r="H319" s="7" t="s">
        <v>514</v>
      </c>
      <c r="I319" s="2" t="s">
        <v>483</v>
      </c>
      <c r="J319" s="2" t="s">
        <v>536</v>
      </c>
      <c r="K319" s="2" t="s">
        <v>304</v>
      </c>
      <c r="L319" s="2" t="s">
        <v>119</v>
      </c>
      <c r="M319" s="8" t="str">
        <f>HYPERLINK("http://slimages.macys.com/is/image/MCY/13531944 ")</f>
        <v xml:space="preserve">http://slimages.macys.com/is/image/MCY/13531944 </v>
      </c>
    </row>
    <row r="320" spans="1:13" ht="60" x14ac:dyDescent="0.25">
      <c r="A320" s="7" t="s">
        <v>552</v>
      </c>
      <c r="B320" s="2" t="s">
        <v>553</v>
      </c>
      <c r="C320" s="4">
        <v>2</v>
      </c>
      <c r="D320" s="5">
        <v>3.54</v>
      </c>
      <c r="E320" s="5">
        <v>7.99</v>
      </c>
      <c r="F320" s="4" t="s">
        <v>554</v>
      </c>
      <c r="G320" s="2" t="s">
        <v>134</v>
      </c>
      <c r="H320" s="7" t="s">
        <v>514</v>
      </c>
      <c r="I320" s="2" t="s">
        <v>483</v>
      </c>
      <c r="J320" s="2" t="s">
        <v>536</v>
      </c>
      <c r="K320" s="2" t="s">
        <v>304</v>
      </c>
      <c r="L320" s="2" t="s">
        <v>119</v>
      </c>
      <c r="M320" s="8" t="str">
        <f>HYPERLINK("http://slimages.macys.com/is/image/MCY/14532191 ")</f>
        <v xml:space="preserve">http://slimages.macys.com/is/image/MCY/14532191 </v>
      </c>
    </row>
    <row r="321" spans="1:13" ht="60" x14ac:dyDescent="0.25">
      <c r="A321" s="7" t="s">
        <v>4274</v>
      </c>
      <c r="B321" s="2" t="s">
        <v>4275</v>
      </c>
      <c r="C321" s="4">
        <v>1</v>
      </c>
      <c r="D321" s="5">
        <v>3.54</v>
      </c>
      <c r="E321" s="5">
        <v>7.99</v>
      </c>
      <c r="F321" s="4" t="s">
        <v>4276</v>
      </c>
      <c r="G321" s="2" t="s">
        <v>657</v>
      </c>
      <c r="H321" s="7" t="s">
        <v>618</v>
      </c>
      <c r="I321" s="2" t="s">
        <v>292</v>
      </c>
      <c r="J321" s="2" t="s">
        <v>354</v>
      </c>
      <c r="K321" s="2" t="s">
        <v>304</v>
      </c>
      <c r="L321" s="2" t="s">
        <v>119</v>
      </c>
      <c r="M321" s="8" t="str">
        <f>HYPERLINK("http://slimages.macys.com/is/image/MCY/11279578 ")</f>
        <v xml:space="preserve">http://slimages.macys.com/is/image/MCY/11279578 </v>
      </c>
    </row>
    <row r="322" spans="1:13" ht="60" x14ac:dyDescent="0.25">
      <c r="A322" s="7" t="s">
        <v>5603</v>
      </c>
      <c r="B322" s="2" t="s">
        <v>4302</v>
      </c>
      <c r="C322" s="4">
        <v>1</v>
      </c>
      <c r="D322" s="5">
        <v>3.54</v>
      </c>
      <c r="E322" s="5">
        <v>7.99</v>
      </c>
      <c r="F322" s="4" t="s">
        <v>5604</v>
      </c>
      <c r="G322" s="2" t="s">
        <v>41</v>
      </c>
      <c r="H322" s="7" t="s">
        <v>317</v>
      </c>
      <c r="I322" s="2" t="s">
        <v>292</v>
      </c>
      <c r="J322" s="2" t="s">
        <v>354</v>
      </c>
      <c r="K322" s="2" t="s">
        <v>304</v>
      </c>
      <c r="L322" s="2" t="s">
        <v>119</v>
      </c>
      <c r="M322" s="8" t="str">
        <f>HYPERLINK("http://slimages.macys.com/is/image/MCY/11136824 ")</f>
        <v xml:space="preserve">http://slimages.macys.com/is/image/MCY/11136824 </v>
      </c>
    </row>
    <row r="323" spans="1:13" ht="60" x14ac:dyDescent="0.25">
      <c r="A323" s="7" t="s">
        <v>5605</v>
      </c>
      <c r="B323" s="2" t="s">
        <v>5606</v>
      </c>
      <c r="C323" s="4">
        <v>1</v>
      </c>
      <c r="D323" s="5">
        <v>3.49</v>
      </c>
      <c r="E323" s="5">
        <v>7.99</v>
      </c>
      <c r="F323" s="4" t="s">
        <v>5607</v>
      </c>
      <c r="G323" s="2" t="s">
        <v>41</v>
      </c>
      <c r="H323" s="7" t="s">
        <v>311</v>
      </c>
      <c r="I323" s="2" t="s">
        <v>292</v>
      </c>
      <c r="J323" s="2" t="s">
        <v>354</v>
      </c>
      <c r="K323" s="2" t="s">
        <v>304</v>
      </c>
      <c r="L323" s="2" t="s">
        <v>119</v>
      </c>
      <c r="M323" s="8" t="str">
        <f>HYPERLINK("http://slimages.macys.com/is/image/MCY/12001025 ")</f>
        <v xml:space="preserve">http://slimages.macys.com/is/image/MCY/12001025 </v>
      </c>
    </row>
    <row r="324" spans="1:13" ht="60" x14ac:dyDescent="0.25">
      <c r="A324" s="7" t="s">
        <v>5608</v>
      </c>
      <c r="B324" s="2" t="s">
        <v>5606</v>
      </c>
      <c r="C324" s="4">
        <v>1</v>
      </c>
      <c r="D324" s="5">
        <v>3.49</v>
      </c>
      <c r="E324" s="5">
        <v>7.99</v>
      </c>
      <c r="F324" s="4" t="s">
        <v>5607</v>
      </c>
      <c r="G324" s="2" t="s">
        <v>41</v>
      </c>
      <c r="H324" s="7" t="s">
        <v>379</v>
      </c>
      <c r="I324" s="2" t="s">
        <v>292</v>
      </c>
      <c r="J324" s="2" t="s">
        <v>354</v>
      </c>
      <c r="K324" s="2" t="s">
        <v>304</v>
      </c>
      <c r="L324" s="2" t="s">
        <v>119</v>
      </c>
      <c r="M324" s="8" t="str">
        <f>HYPERLINK("http://slimages.macys.com/is/image/MCY/12001025 ")</f>
        <v xml:space="preserve">http://slimages.macys.com/is/image/MCY/12001025 </v>
      </c>
    </row>
    <row r="325" spans="1:13" ht="60" x14ac:dyDescent="0.25">
      <c r="A325" s="7" t="s">
        <v>5609</v>
      </c>
      <c r="B325" s="2" t="s">
        <v>4316</v>
      </c>
      <c r="C325" s="4">
        <v>1</v>
      </c>
      <c r="D325" s="5">
        <v>3.49</v>
      </c>
      <c r="E325" s="5">
        <v>7.99</v>
      </c>
      <c r="F325" s="4" t="s">
        <v>4317</v>
      </c>
      <c r="G325" s="2" t="s">
        <v>103</v>
      </c>
      <c r="H325" s="7" t="s">
        <v>514</v>
      </c>
      <c r="I325" s="2" t="s">
        <v>1689</v>
      </c>
      <c r="J325" s="2" t="s">
        <v>354</v>
      </c>
      <c r="K325" s="2" t="s">
        <v>304</v>
      </c>
      <c r="L325" s="2" t="s">
        <v>596</v>
      </c>
      <c r="M325" s="8" t="str">
        <f>HYPERLINK("http://slimages.macys.com/is/image/MCY/12101731 ")</f>
        <v xml:space="preserve">http://slimages.macys.com/is/image/MCY/12101731 </v>
      </c>
    </row>
    <row r="326" spans="1:13" ht="60" x14ac:dyDescent="0.25">
      <c r="A326" s="7" t="s">
        <v>5610</v>
      </c>
      <c r="B326" s="2" t="s">
        <v>5606</v>
      </c>
      <c r="C326" s="4">
        <v>2</v>
      </c>
      <c r="D326" s="5">
        <v>3.49</v>
      </c>
      <c r="E326" s="5">
        <v>7.99</v>
      </c>
      <c r="F326" s="4" t="s">
        <v>5607</v>
      </c>
      <c r="G326" s="2" t="s">
        <v>41</v>
      </c>
      <c r="H326" s="7" t="s">
        <v>317</v>
      </c>
      <c r="I326" s="2" t="s">
        <v>292</v>
      </c>
      <c r="J326" s="2" t="s">
        <v>354</v>
      </c>
      <c r="K326" s="2" t="s">
        <v>304</v>
      </c>
      <c r="L326" s="2" t="s">
        <v>119</v>
      </c>
      <c r="M326" s="8" t="str">
        <f>HYPERLINK("http://slimages.macys.com/is/image/MCY/12001025 ")</f>
        <v xml:space="preserve">http://slimages.macys.com/is/image/MCY/12001025 </v>
      </c>
    </row>
    <row r="327" spans="1:13" ht="60" x14ac:dyDescent="0.25">
      <c r="A327" s="7" t="s">
        <v>5611</v>
      </c>
      <c r="B327" s="2" t="s">
        <v>5521</v>
      </c>
      <c r="C327" s="4">
        <v>1</v>
      </c>
      <c r="D327" s="5">
        <v>3.49</v>
      </c>
      <c r="E327" s="5">
        <v>7.99</v>
      </c>
      <c r="F327" s="4" t="s">
        <v>5612</v>
      </c>
      <c r="G327" s="2" t="s">
        <v>41</v>
      </c>
      <c r="H327" s="7" t="s">
        <v>311</v>
      </c>
      <c r="I327" s="2" t="s">
        <v>292</v>
      </c>
      <c r="J327" s="2" t="s">
        <v>354</v>
      </c>
      <c r="K327" s="2" t="s">
        <v>304</v>
      </c>
      <c r="L327" s="2" t="s">
        <v>571</v>
      </c>
      <c r="M327" s="8" t="str">
        <f>HYPERLINK("http://slimages.macys.com/is/image/MCY/12684342 ")</f>
        <v xml:space="preserve">http://slimages.macys.com/is/image/MCY/12684342 </v>
      </c>
    </row>
    <row r="328" spans="1:13" ht="60" x14ac:dyDescent="0.25">
      <c r="A328" s="7" t="s">
        <v>5613</v>
      </c>
      <c r="B328" s="2" t="s">
        <v>5521</v>
      </c>
      <c r="C328" s="4">
        <v>2</v>
      </c>
      <c r="D328" s="5">
        <v>3.49</v>
      </c>
      <c r="E328" s="5">
        <v>7.99</v>
      </c>
      <c r="F328" s="4" t="s">
        <v>5612</v>
      </c>
      <c r="G328" s="2" t="s">
        <v>41</v>
      </c>
      <c r="H328" s="7" t="s">
        <v>1151</v>
      </c>
      <c r="I328" s="2" t="s">
        <v>292</v>
      </c>
      <c r="J328" s="2" t="s">
        <v>354</v>
      </c>
      <c r="K328" s="2" t="s">
        <v>304</v>
      </c>
      <c r="L328" s="2" t="s">
        <v>571</v>
      </c>
      <c r="M328" s="8" t="str">
        <f>HYPERLINK("http://slimages.macys.com/is/image/MCY/12684342 ")</f>
        <v xml:space="preserve">http://slimages.macys.com/is/image/MCY/12684342 </v>
      </c>
    </row>
    <row r="329" spans="1:13" ht="60" x14ac:dyDescent="0.25">
      <c r="A329" s="7" t="s">
        <v>5614</v>
      </c>
      <c r="B329" s="2" t="s">
        <v>5606</v>
      </c>
      <c r="C329" s="4">
        <v>1</v>
      </c>
      <c r="D329" s="5">
        <v>3.49</v>
      </c>
      <c r="E329" s="5">
        <v>7.99</v>
      </c>
      <c r="F329" s="4" t="s">
        <v>5607</v>
      </c>
      <c r="G329" s="2" t="s">
        <v>41</v>
      </c>
      <c r="H329" s="7" t="s">
        <v>166</v>
      </c>
      <c r="I329" s="2" t="s">
        <v>292</v>
      </c>
      <c r="J329" s="2" t="s">
        <v>354</v>
      </c>
      <c r="K329" s="2" t="s">
        <v>304</v>
      </c>
      <c r="L329" s="2" t="s">
        <v>119</v>
      </c>
      <c r="M329" s="8" t="str">
        <f>HYPERLINK("http://slimages.macys.com/is/image/MCY/12001025 ")</f>
        <v xml:space="preserve">http://slimages.macys.com/is/image/MCY/12001025 </v>
      </c>
    </row>
    <row r="330" spans="1:13" ht="60" x14ac:dyDescent="0.25">
      <c r="A330" s="7" t="s">
        <v>5615</v>
      </c>
      <c r="B330" s="2" t="s">
        <v>4316</v>
      </c>
      <c r="C330" s="4">
        <v>3</v>
      </c>
      <c r="D330" s="5">
        <v>3.49</v>
      </c>
      <c r="E330" s="5">
        <v>7.99</v>
      </c>
      <c r="F330" s="4" t="s">
        <v>4317</v>
      </c>
      <c r="G330" s="2" t="s">
        <v>103</v>
      </c>
      <c r="H330" s="7" t="s">
        <v>311</v>
      </c>
      <c r="I330" s="2" t="s">
        <v>1689</v>
      </c>
      <c r="J330" s="2" t="s">
        <v>354</v>
      </c>
      <c r="K330" s="2" t="s">
        <v>304</v>
      </c>
      <c r="L330" s="2" t="s">
        <v>596</v>
      </c>
      <c r="M330" s="8" t="str">
        <f>HYPERLINK("http://slimages.macys.com/is/image/MCY/12101731 ")</f>
        <v xml:space="preserve">http://slimages.macys.com/is/image/MCY/12101731 </v>
      </c>
    </row>
    <row r="331" spans="1:13" ht="60" x14ac:dyDescent="0.25">
      <c r="A331" s="7" t="s">
        <v>5616</v>
      </c>
      <c r="B331" s="2" t="s">
        <v>5062</v>
      </c>
      <c r="C331" s="4">
        <v>1</v>
      </c>
      <c r="D331" s="5">
        <v>3.48</v>
      </c>
      <c r="E331" s="5">
        <v>5.99</v>
      </c>
      <c r="F331" s="4" t="s">
        <v>5063</v>
      </c>
      <c r="G331" s="2" t="s">
        <v>28</v>
      </c>
      <c r="H331" s="7" t="s">
        <v>311</v>
      </c>
      <c r="I331" s="2" t="s">
        <v>80</v>
      </c>
      <c r="J331" s="2" t="s">
        <v>1857</v>
      </c>
      <c r="K331" s="2" t="s">
        <v>304</v>
      </c>
      <c r="L331" s="2" t="s">
        <v>125</v>
      </c>
      <c r="M331" s="8" t="str">
        <f>HYPERLINK("http://slimages.macys.com/is/image/MCY/2581838 ")</f>
        <v xml:space="preserve">http://slimages.macys.com/is/image/MCY/2581838 </v>
      </c>
    </row>
    <row r="332" spans="1:13" ht="60" x14ac:dyDescent="0.25">
      <c r="A332" s="7" t="s">
        <v>5617</v>
      </c>
      <c r="B332" s="2" t="s">
        <v>2131</v>
      </c>
      <c r="C332" s="4">
        <v>1</v>
      </c>
      <c r="D332" s="5">
        <v>3.45</v>
      </c>
      <c r="E332" s="5">
        <v>7.99</v>
      </c>
      <c r="F332" s="4" t="s">
        <v>2132</v>
      </c>
      <c r="G332" s="2" t="s">
        <v>41</v>
      </c>
      <c r="H332" s="7" t="s">
        <v>123</v>
      </c>
      <c r="I332" s="2" t="s">
        <v>292</v>
      </c>
      <c r="J332" s="2" t="s">
        <v>354</v>
      </c>
      <c r="K332" s="2" t="s">
        <v>304</v>
      </c>
      <c r="L332" s="2" t="s">
        <v>119</v>
      </c>
      <c r="M332" s="8" t="str">
        <f>HYPERLINK("http://slimages.macys.com/is/image/MCY/12684452 ")</f>
        <v xml:space="preserve">http://slimages.macys.com/is/image/MCY/12684452 </v>
      </c>
    </row>
    <row r="333" spans="1:13" ht="60" x14ac:dyDescent="0.25">
      <c r="A333" s="7" t="s">
        <v>5618</v>
      </c>
      <c r="B333" s="2" t="s">
        <v>5619</v>
      </c>
      <c r="C333" s="4">
        <v>1</v>
      </c>
      <c r="D333" s="5">
        <v>3.44</v>
      </c>
      <c r="E333" s="5">
        <v>7.99</v>
      </c>
      <c r="F333" s="4" t="s">
        <v>5620</v>
      </c>
      <c r="G333" s="2" t="s">
        <v>785</v>
      </c>
      <c r="H333" s="7" t="s">
        <v>123</v>
      </c>
      <c r="I333" s="2" t="s">
        <v>1689</v>
      </c>
      <c r="J333" s="2" t="s">
        <v>354</v>
      </c>
      <c r="K333" s="2" t="s">
        <v>304</v>
      </c>
      <c r="L333" s="2" t="s">
        <v>596</v>
      </c>
      <c r="M333" s="8" t="str">
        <f>HYPERLINK("http://slimages.macys.com/is/image/MCY/11524090 ")</f>
        <v xml:space="preserve">http://slimages.macys.com/is/image/MCY/11524090 </v>
      </c>
    </row>
    <row r="334" spans="1:13" ht="60" x14ac:dyDescent="0.25">
      <c r="A334" s="7" t="s">
        <v>5621</v>
      </c>
      <c r="B334" s="2" t="s">
        <v>5619</v>
      </c>
      <c r="C334" s="4">
        <v>1</v>
      </c>
      <c r="D334" s="5">
        <v>3.44</v>
      </c>
      <c r="E334" s="5">
        <v>7.99</v>
      </c>
      <c r="F334" s="4" t="s">
        <v>5620</v>
      </c>
      <c r="G334" s="2" t="s">
        <v>785</v>
      </c>
      <c r="H334" s="7" t="s">
        <v>311</v>
      </c>
      <c r="I334" s="2" t="s">
        <v>1689</v>
      </c>
      <c r="J334" s="2" t="s">
        <v>354</v>
      </c>
      <c r="K334" s="2" t="s">
        <v>304</v>
      </c>
      <c r="L334" s="2" t="s">
        <v>596</v>
      </c>
      <c r="M334" s="8" t="str">
        <f>HYPERLINK("http://slimages.macys.com/is/image/MCY/11524090 ")</f>
        <v xml:space="preserve">http://slimages.macys.com/is/image/MCY/11524090 </v>
      </c>
    </row>
    <row r="335" spans="1:13" ht="60" x14ac:dyDescent="0.25">
      <c r="A335" s="7" t="s">
        <v>5622</v>
      </c>
      <c r="B335" s="2" t="s">
        <v>5619</v>
      </c>
      <c r="C335" s="4">
        <v>1</v>
      </c>
      <c r="D335" s="5">
        <v>3.44</v>
      </c>
      <c r="E335" s="5">
        <v>7.99</v>
      </c>
      <c r="F335" s="4" t="s">
        <v>5620</v>
      </c>
      <c r="G335" s="2" t="s">
        <v>785</v>
      </c>
      <c r="H335" s="7" t="s">
        <v>514</v>
      </c>
      <c r="I335" s="2" t="s">
        <v>1689</v>
      </c>
      <c r="J335" s="2" t="s">
        <v>354</v>
      </c>
      <c r="K335" s="2" t="s">
        <v>304</v>
      </c>
      <c r="L335" s="2" t="s">
        <v>596</v>
      </c>
      <c r="M335" s="8" t="str">
        <f>HYPERLINK("http://slimages.macys.com/is/image/MCY/11524090 ")</f>
        <v xml:space="preserve">http://slimages.macys.com/is/image/MCY/11524090 </v>
      </c>
    </row>
    <row r="336" spans="1:13" ht="60" x14ac:dyDescent="0.25">
      <c r="A336" s="7" t="s">
        <v>5623</v>
      </c>
      <c r="B336" s="2" t="s">
        <v>5619</v>
      </c>
      <c r="C336" s="4">
        <v>2</v>
      </c>
      <c r="D336" s="5">
        <v>3.44</v>
      </c>
      <c r="E336" s="5">
        <v>7.99</v>
      </c>
      <c r="F336" s="4" t="s">
        <v>5620</v>
      </c>
      <c r="G336" s="2" t="s">
        <v>785</v>
      </c>
      <c r="H336" s="7" t="s">
        <v>1151</v>
      </c>
      <c r="I336" s="2" t="s">
        <v>1689</v>
      </c>
      <c r="J336" s="2" t="s">
        <v>354</v>
      </c>
      <c r="K336" s="2" t="s">
        <v>304</v>
      </c>
      <c r="L336" s="2" t="s">
        <v>596</v>
      </c>
      <c r="M336" s="8" t="str">
        <f>HYPERLINK("http://slimages.macys.com/is/image/MCY/11524090 ")</f>
        <v xml:space="preserve">http://slimages.macys.com/is/image/MCY/11524090 </v>
      </c>
    </row>
    <row r="337" spans="1:13" ht="60" x14ac:dyDescent="0.25">
      <c r="A337" s="7" t="s">
        <v>5624</v>
      </c>
      <c r="B337" s="2" t="s">
        <v>5625</v>
      </c>
      <c r="C337" s="4">
        <v>1</v>
      </c>
      <c r="D337" s="5">
        <v>3.36</v>
      </c>
      <c r="E337" s="5">
        <v>7.99</v>
      </c>
      <c r="F337" s="4" t="s">
        <v>5626</v>
      </c>
      <c r="G337" s="2" t="s">
        <v>103</v>
      </c>
      <c r="H337" s="7" t="s">
        <v>1151</v>
      </c>
      <c r="I337" s="2" t="s">
        <v>1689</v>
      </c>
      <c r="J337" s="2" t="s">
        <v>354</v>
      </c>
      <c r="K337" s="2" t="s">
        <v>304</v>
      </c>
      <c r="L337" s="2" t="s">
        <v>596</v>
      </c>
      <c r="M337" s="8" t="str">
        <f>HYPERLINK("http://slimages.macys.com/is/image/MCY/11500990 ")</f>
        <v xml:space="preserve">http://slimages.macys.com/is/image/MCY/11500990 </v>
      </c>
    </row>
    <row r="338" spans="1:13" ht="60" x14ac:dyDescent="0.25">
      <c r="A338" s="7" t="s">
        <v>5627</v>
      </c>
      <c r="B338" s="2" t="s">
        <v>5628</v>
      </c>
      <c r="C338" s="4">
        <v>1</v>
      </c>
      <c r="D338" s="5">
        <v>3.36</v>
      </c>
      <c r="E338" s="5">
        <v>7.99</v>
      </c>
      <c r="F338" s="4" t="s">
        <v>5629</v>
      </c>
      <c r="G338" s="2" t="s">
        <v>86</v>
      </c>
      <c r="H338" s="7" t="s">
        <v>578</v>
      </c>
      <c r="I338" s="2" t="s">
        <v>1689</v>
      </c>
      <c r="J338" s="2" t="s">
        <v>354</v>
      </c>
      <c r="K338" s="2" t="s">
        <v>304</v>
      </c>
      <c r="L338" s="2" t="s">
        <v>119</v>
      </c>
      <c r="M338" s="8" t="str">
        <f>HYPERLINK("http://slimages.macys.com/is/image/MCY/11976240 ")</f>
        <v xml:space="preserve">http://slimages.macys.com/is/image/MCY/11976240 </v>
      </c>
    </row>
    <row r="339" spans="1:13" ht="60" x14ac:dyDescent="0.25">
      <c r="A339" s="7" t="s">
        <v>5630</v>
      </c>
      <c r="B339" s="2" t="s">
        <v>569</v>
      </c>
      <c r="C339" s="4">
        <v>1</v>
      </c>
      <c r="D339" s="5">
        <v>3.33</v>
      </c>
      <c r="E339" s="5">
        <v>7.99</v>
      </c>
      <c r="F339" s="4" t="s">
        <v>570</v>
      </c>
      <c r="G339" s="2" t="s">
        <v>86</v>
      </c>
      <c r="H339" s="7" t="s">
        <v>578</v>
      </c>
      <c r="I339" s="2" t="s">
        <v>292</v>
      </c>
      <c r="J339" s="2" t="s">
        <v>354</v>
      </c>
      <c r="K339" s="2" t="s">
        <v>304</v>
      </c>
      <c r="L339" s="2" t="s">
        <v>571</v>
      </c>
      <c r="M339" s="8" t="str">
        <f>HYPERLINK("http://slimages.macys.com/is/image/MCY/12684379 ")</f>
        <v xml:space="preserve">http://slimages.macys.com/is/image/MCY/12684379 </v>
      </c>
    </row>
    <row r="340" spans="1:13" ht="60" x14ac:dyDescent="0.25">
      <c r="A340" s="7" t="s">
        <v>5631</v>
      </c>
      <c r="B340" s="2" t="s">
        <v>5632</v>
      </c>
      <c r="C340" s="4">
        <v>1</v>
      </c>
      <c r="D340" s="5">
        <v>3.3</v>
      </c>
      <c r="E340" s="5">
        <v>7.99</v>
      </c>
      <c r="F340" s="4" t="s">
        <v>5633</v>
      </c>
      <c r="G340" s="2" t="s">
        <v>86</v>
      </c>
      <c r="H340" s="7" t="s">
        <v>1151</v>
      </c>
      <c r="I340" s="2" t="s">
        <v>1689</v>
      </c>
      <c r="J340" s="2" t="s">
        <v>354</v>
      </c>
      <c r="K340" s="2" t="s">
        <v>304</v>
      </c>
      <c r="L340" s="2" t="s">
        <v>119</v>
      </c>
      <c r="M340" s="8" t="str">
        <f>HYPERLINK("http://slimages.macys.com/is/image/MCY/11374691 ")</f>
        <v xml:space="preserve">http://slimages.macys.com/is/image/MCY/11374691 </v>
      </c>
    </row>
    <row r="341" spans="1:13" ht="60" x14ac:dyDescent="0.25">
      <c r="A341" s="7" t="s">
        <v>5634</v>
      </c>
      <c r="B341" s="2" t="s">
        <v>5635</v>
      </c>
      <c r="C341" s="4">
        <v>1</v>
      </c>
      <c r="D341" s="5">
        <v>3.29</v>
      </c>
      <c r="E341" s="5">
        <v>7.99</v>
      </c>
      <c r="F341" s="4" t="s">
        <v>5636</v>
      </c>
      <c r="G341" s="2" t="s">
        <v>103</v>
      </c>
      <c r="H341" s="7" t="s">
        <v>311</v>
      </c>
      <c r="I341" s="2" t="s">
        <v>1689</v>
      </c>
      <c r="J341" s="2" t="s">
        <v>354</v>
      </c>
      <c r="K341" s="2" t="s">
        <v>304</v>
      </c>
      <c r="L341" s="2" t="s">
        <v>119</v>
      </c>
      <c r="M341" s="8" t="str">
        <f>HYPERLINK("http://slimages.macys.com/is/image/MCY/11776815 ")</f>
        <v xml:space="preserve">http://slimages.macys.com/is/image/MCY/11776815 </v>
      </c>
    </row>
    <row r="342" spans="1:13" ht="60" x14ac:dyDescent="0.25">
      <c r="A342" s="7" t="s">
        <v>5637</v>
      </c>
      <c r="B342" s="2" t="s">
        <v>4361</v>
      </c>
      <c r="C342" s="4">
        <v>2</v>
      </c>
      <c r="D342" s="5">
        <v>3.29</v>
      </c>
      <c r="E342" s="5">
        <v>7.99</v>
      </c>
      <c r="F342" s="4" t="s">
        <v>4362</v>
      </c>
      <c r="G342" s="2" t="s">
        <v>303</v>
      </c>
      <c r="H342" s="7" t="s">
        <v>1151</v>
      </c>
      <c r="I342" s="2" t="s">
        <v>1689</v>
      </c>
      <c r="J342" s="2" t="s">
        <v>354</v>
      </c>
      <c r="K342" s="2" t="s">
        <v>304</v>
      </c>
      <c r="L342" s="2" t="s">
        <v>119</v>
      </c>
      <c r="M342" s="8" t="str">
        <f>HYPERLINK("http://slimages.macys.com/is/image/MCY/11710236 ")</f>
        <v xml:space="preserve">http://slimages.macys.com/is/image/MCY/11710236 </v>
      </c>
    </row>
    <row r="343" spans="1:13" ht="60" x14ac:dyDescent="0.25">
      <c r="A343" s="7" t="s">
        <v>5638</v>
      </c>
      <c r="B343" s="2" t="s">
        <v>4357</v>
      </c>
      <c r="C343" s="4">
        <v>1</v>
      </c>
      <c r="D343" s="5">
        <v>3.29</v>
      </c>
      <c r="E343" s="5">
        <v>7.99</v>
      </c>
      <c r="F343" s="4" t="s">
        <v>4358</v>
      </c>
      <c r="G343" s="2" t="s">
        <v>86</v>
      </c>
      <c r="H343" s="7" t="s">
        <v>578</v>
      </c>
      <c r="I343" s="2" t="s">
        <v>1689</v>
      </c>
      <c r="J343" s="2" t="s">
        <v>354</v>
      </c>
      <c r="K343" s="2" t="s">
        <v>304</v>
      </c>
      <c r="L343" s="2" t="s">
        <v>119</v>
      </c>
      <c r="M343" s="8" t="str">
        <f>HYPERLINK("http://slimages.macys.com/is/image/MCY/11499070 ")</f>
        <v xml:space="preserve">http://slimages.macys.com/is/image/MCY/11499070 </v>
      </c>
    </row>
    <row r="344" spans="1:13" ht="60" x14ac:dyDescent="0.25">
      <c r="A344" s="7" t="s">
        <v>5639</v>
      </c>
      <c r="B344" s="2" t="s">
        <v>5640</v>
      </c>
      <c r="C344" s="4">
        <v>1</v>
      </c>
      <c r="D344" s="5">
        <v>3.29</v>
      </c>
      <c r="E344" s="5">
        <v>7.99</v>
      </c>
      <c r="F344" s="4" t="s">
        <v>5641</v>
      </c>
      <c r="G344" s="2" t="s">
        <v>752</v>
      </c>
      <c r="H344" s="7" t="s">
        <v>123</v>
      </c>
      <c r="I344" s="2" t="s">
        <v>1689</v>
      </c>
      <c r="J344" s="2" t="s">
        <v>354</v>
      </c>
      <c r="K344" s="2" t="s">
        <v>304</v>
      </c>
      <c r="L344" s="2" t="s">
        <v>119</v>
      </c>
      <c r="M344" s="8" t="str">
        <f>HYPERLINK("http://slimages.macys.com/is/image/MCY/12493752 ")</f>
        <v xml:space="preserve">http://slimages.macys.com/is/image/MCY/12493752 </v>
      </c>
    </row>
    <row r="345" spans="1:13" ht="60" x14ac:dyDescent="0.25">
      <c r="A345" s="7" t="s">
        <v>5642</v>
      </c>
      <c r="B345" s="2" t="s">
        <v>5643</v>
      </c>
      <c r="C345" s="4">
        <v>2</v>
      </c>
      <c r="D345" s="5">
        <v>3.29</v>
      </c>
      <c r="E345" s="5">
        <v>7.99</v>
      </c>
      <c r="F345" s="4" t="s">
        <v>5644</v>
      </c>
      <c r="G345" s="2" t="s">
        <v>86</v>
      </c>
      <c r="H345" s="7" t="s">
        <v>1151</v>
      </c>
      <c r="I345" s="2" t="s">
        <v>1689</v>
      </c>
      <c r="J345" s="2" t="s">
        <v>354</v>
      </c>
      <c r="K345" s="2" t="s">
        <v>304</v>
      </c>
      <c r="L345" s="2" t="s">
        <v>119</v>
      </c>
      <c r="M345" s="8" t="str">
        <f>HYPERLINK("http://slimages.macys.com/is/image/MCY/12101662 ")</f>
        <v xml:space="preserve">http://slimages.macys.com/is/image/MCY/12101662 </v>
      </c>
    </row>
    <row r="346" spans="1:13" ht="60" x14ac:dyDescent="0.25">
      <c r="A346" s="7" t="s">
        <v>4360</v>
      </c>
      <c r="B346" s="2" t="s">
        <v>4361</v>
      </c>
      <c r="C346" s="4">
        <v>1</v>
      </c>
      <c r="D346" s="5">
        <v>3.29</v>
      </c>
      <c r="E346" s="5">
        <v>7.99</v>
      </c>
      <c r="F346" s="4" t="s">
        <v>4362</v>
      </c>
      <c r="G346" s="2" t="s">
        <v>303</v>
      </c>
      <c r="H346" s="7" t="s">
        <v>123</v>
      </c>
      <c r="I346" s="2" t="s">
        <v>1689</v>
      </c>
      <c r="J346" s="2" t="s">
        <v>354</v>
      </c>
      <c r="K346" s="2" t="s">
        <v>304</v>
      </c>
      <c r="L346" s="2" t="s">
        <v>119</v>
      </c>
      <c r="M346" s="8" t="str">
        <f>HYPERLINK("http://slimages.macys.com/is/image/MCY/11710236 ")</f>
        <v xml:space="preserve">http://slimages.macys.com/is/image/MCY/11710236 </v>
      </c>
    </row>
    <row r="347" spans="1:13" ht="60" x14ac:dyDescent="0.25">
      <c r="A347" s="7" t="s">
        <v>5645</v>
      </c>
      <c r="B347" s="2" t="s">
        <v>5646</v>
      </c>
      <c r="C347" s="4">
        <v>2</v>
      </c>
      <c r="D347" s="5">
        <v>3.29</v>
      </c>
      <c r="E347" s="5">
        <v>7.99</v>
      </c>
      <c r="F347" s="4" t="s">
        <v>5647</v>
      </c>
      <c r="G347" s="2" t="s">
        <v>103</v>
      </c>
      <c r="H347" s="7" t="s">
        <v>514</v>
      </c>
      <c r="I347" s="2" t="s">
        <v>1689</v>
      </c>
      <c r="J347" s="2" t="s">
        <v>354</v>
      </c>
      <c r="K347" s="2" t="s">
        <v>304</v>
      </c>
      <c r="L347" s="2" t="s">
        <v>119</v>
      </c>
      <c r="M347" s="8" t="str">
        <f>HYPERLINK("http://slimages.macys.com/is/image/MCY/11499072 ")</f>
        <v xml:space="preserve">http://slimages.macys.com/is/image/MCY/11499072 </v>
      </c>
    </row>
    <row r="348" spans="1:13" ht="60" x14ac:dyDescent="0.25">
      <c r="A348" s="7" t="s">
        <v>5648</v>
      </c>
      <c r="B348" s="2" t="s">
        <v>5649</v>
      </c>
      <c r="C348" s="4">
        <v>1</v>
      </c>
      <c r="D348" s="5">
        <v>3.29</v>
      </c>
      <c r="E348" s="5">
        <v>7.99</v>
      </c>
      <c r="F348" s="4" t="s">
        <v>5650</v>
      </c>
      <c r="G348" s="2" t="s">
        <v>582</v>
      </c>
      <c r="H348" s="7" t="s">
        <v>311</v>
      </c>
      <c r="I348" s="2" t="s">
        <v>1689</v>
      </c>
      <c r="J348" s="2" t="s">
        <v>354</v>
      </c>
      <c r="K348" s="2" t="s">
        <v>304</v>
      </c>
      <c r="L348" s="2" t="s">
        <v>119</v>
      </c>
      <c r="M348" s="8" t="str">
        <f>HYPERLINK("http://slimages.macys.com/is/image/MCY/12101663 ")</f>
        <v xml:space="preserve">http://slimages.macys.com/is/image/MCY/12101663 </v>
      </c>
    </row>
    <row r="349" spans="1:13" ht="60" x14ac:dyDescent="0.25">
      <c r="A349" s="7" t="s">
        <v>5651</v>
      </c>
      <c r="B349" s="2" t="s">
        <v>5652</v>
      </c>
      <c r="C349" s="4">
        <v>1</v>
      </c>
      <c r="D349" s="5">
        <v>3.29</v>
      </c>
      <c r="E349" s="5">
        <v>7.99</v>
      </c>
      <c r="F349" s="4" t="s">
        <v>5653</v>
      </c>
      <c r="G349" s="2" t="s">
        <v>103</v>
      </c>
      <c r="H349" s="7" t="s">
        <v>123</v>
      </c>
      <c r="I349" s="2" t="s">
        <v>1689</v>
      </c>
      <c r="J349" s="2" t="s">
        <v>354</v>
      </c>
      <c r="K349" s="2" t="s">
        <v>304</v>
      </c>
      <c r="L349" s="2" t="s">
        <v>119</v>
      </c>
      <c r="M349" s="8" t="str">
        <f>HYPERLINK("http://slimages.macys.com/is/image/MCY/12101653 ")</f>
        <v xml:space="preserve">http://slimages.macys.com/is/image/MCY/12101653 </v>
      </c>
    </row>
    <row r="350" spans="1:13" ht="60" x14ac:dyDescent="0.25">
      <c r="A350" s="7" t="s">
        <v>5654</v>
      </c>
      <c r="B350" s="2" t="s">
        <v>5655</v>
      </c>
      <c r="C350" s="4">
        <v>1</v>
      </c>
      <c r="D350" s="5">
        <v>3.29</v>
      </c>
      <c r="E350" s="5">
        <v>7.99</v>
      </c>
      <c r="F350" s="4" t="s">
        <v>5656</v>
      </c>
      <c r="G350" s="2" t="s">
        <v>86</v>
      </c>
      <c r="H350" s="7" t="s">
        <v>123</v>
      </c>
      <c r="I350" s="2" t="s">
        <v>1689</v>
      </c>
      <c r="J350" s="2" t="s">
        <v>354</v>
      </c>
      <c r="K350" s="2" t="s">
        <v>304</v>
      </c>
      <c r="L350" s="2" t="s">
        <v>119</v>
      </c>
      <c r="M350" s="8" t="str">
        <f>HYPERLINK("http://slimages.macys.com/is/image/MCY/12493876 ")</f>
        <v xml:space="preserve">http://slimages.macys.com/is/image/MCY/12493876 </v>
      </c>
    </row>
    <row r="351" spans="1:13" ht="60" x14ac:dyDescent="0.25">
      <c r="A351" s="7" t="s">
        <v>5657</v>
      </c>
      <c r="B351" s="2" t="s">
        <v>5643</v>
      </c>
      <c r="C351" s="4">
        <v>1</v>
      </c>
      <c r="D351" s="5">
        <v>3.29</v>
      </c>
      <c r="E351" s="5">
        <v>7.99</v>
      </c>
      <c r="F351" s="4" t="s">
        <v>5644</v>
      </c>
      <c r="G351" s="2" t="s">
        <v>86</v>
      </c>
      <c r="H351" s="7" t="s">
        <v>578</v>
      </c>
      <c r="I351" s="2" t="s">
        <v>1689</v>
      </c>
      <c r="J351" s="2" t="s">
        <v>354</v>
      </c>
      <c r="K351" s="2" t="s">
        <v>304</v>
      </c>
      <c r="L351" s="2" t="s">
        <v>119</v>
      </c>
      <c r="M351" s="8" t="str">
        <f>HYPERLINK("http://slimages.macys.com/is/image/MCY/12101662 ")</f>
        <v xml:space="preserve">http://slimages.macys.com/is/image/MCY/12101662 </v>
      </c>
    </row>
    <row r="352" spans="1:13" ht="60" x14ac:dyDescent="0.25">
      <c r="A352" s="7" t="s">
        <v>4356</v>
      </c>
      <c r="B352" s="2" t="s">
        <v>4357</v>
      </c>
      <c r="C352" s="4">
        <v>1</v>
      </c>
      <c r="D352" s="5">
        <v>3.29</v>
      </c>
      <c r="E352" s="5">
        <v>7.99</v>
      </c>
      <c r="F352" s="4" t="s">
        <v>4358</v>
      </c>
      <c r="G352" s="2" t="s">
        <v>86</v>
      </c>
      <c r="H352" s="7" t="s">
        <v>311</v>
      </c>
      <c r="I352" s="2" t="s">
        <v>1689</v>
      </c>
      <c r="J352" s="2" t="s">
        <v>354</v>
      </c>
      <c r="K352" s="2" t="s">
        <v>304</v>
      </c>
      <c r="L352" s="2" t="s">
        <v>119</v>
      </c>
      <c r="M352" s="8" t="str">
        <f>HYPERLINK("http://slimages.macys.com/is/image/MCY/11499070 ")</f>
        <v xml:space="preserve">http://slimages.macys.com/is/image/MCY/11499070 </v>
      </c>
    </row>
    <row r="353" spans="1:13" ht="60" x14ac:dyDescent="0.25">
      <c r="A353" s="7" t="s">
        <v>5658</v>
      </c>
      <c r="B353" s="2" t="s">
        <v>5643</v>
      </c>
      <c r="C353" s="4">
        <v>1</v>
      </c>
      <c r="D353" s="5">
        <v>3.29</v>
      </c>
      <c r="E353" s="5">
        <v>7.99</v>
      </c>
      <c r="F353" s="4" t="s">
        <v>5644</v>
      </c>
      <c r="G353" s="2" t="s">
        <v>86</v>
      </c>
      <c r="H353" s="7" t="s">
        <v>123</v>
      </c>
      <c r="I353" s="2" t="s">
        <v>1689</v>
      </c>
      <c r="J353" s="2" t="s">
        <v>354</v>
      </c>
      <c r="K353" s="2" t="s">
        <v>304</v>
      </c>
      <c r="L353" s="2" t="s">
        <v>119</v>
      </c>
      <c r="M353" s="8" t="str">
        <f>HYPERLINK("http://slimages.macys.com/is/image/MCY/12101662 ")</f>
        <v xml:space="preserve">http://slimages.macys.com/is/image/MCY/12101662 </v>
      </c>
    </row>
    <row r="354" spans="1:13" ht="60" x14ac:dyDescent="0.25">
      <c r="A354" s="7" t="s">
        <v>5659</v>
      </c>
      <c r="B354" s="2" t="s">
        <v>5652</v>
      </c>
      <c r="C354" s="4">
        <v>1</v>
      </c>
      <c r="D354" s="5">
        <v>3.29</v>
      </c>
      <c r="E354" s="5">
        <v>7.99</v>
      </c>
      <c r="F354" s="4" t="s">
        <v>5653</v>
      </c>
      <c r="G354" s="2" t="s">
        <v>103</v>
      </c>
      <c r="H354" s="7" t="s">
        <v>1151</v>
      </c>
      <c r="I354" s="2" t="s">
        <v>1689</v>
      </c>
      <c r="J354" s="2" t="s">
        <v>354</v>
      </c>
      <c r="K354" s="2" t="s">
        <v>304</v>
      </c>
      <c r="L354" s="2" t="s">
        <v>119</v>
      </c>
      <c r="M354" s="8" t="str">
        <f>HYPERLINK("http://slimages.macys.com/is/image/MCY/12101653 ")</f>
        <v xml:space="preserve">http://slimages.macys.com/is/image/MCY/12101653 </v>
      </c>
    </row>
    <row r="355" spans="1:13" ht="60" x14ac:dyDescent="0.25">
      <c r="A355" s="7" t="s">
        <v>5660</v>
      </c>
      <c r="B355" s="2" t="s">
        <v>4368</v>
      </c>
      <c r="C355" s="4">
        <v>1</v>
      </c>
      <c r="D355" s="5">
        <v>3.15</v>
      </c>
      <c r="E355" s="5">
        <v>7.99</v>
      </c>
      <c r="F355" s="4" t="s">
        <v>4369</v>
      </c>
      <c r="G355" s="2" t="s">
        <v>262</v>
      </c>
      <c r="H355" s="7" t="s">
        <v>1151</v>
      </c>
      <c r="I355" s="2" t="s">
        <v>483</v>
      </c>
      <c r="J355" s="2" t="s">
        <v>536</v>
      </c>
      <c r="K355" s="2" t="s">
        <v>304</v>
      </c>
      <c r="L355" s="2" t="s">
        <v>87</v>
      </c>
      <c r="M355" s="8" t="str">
        <f>HYPERLINK("http://slimages.macys.com/is/image/MCY/11436881 ")</f>
        <v xml:space="preserve">http://slimages.macys.com/is/image/MCY/11436881 </v>
      </c>
    </row>
    <row r="356" spans="1:13" ht="60" x14ac:dyDescent="0.25">
      <c r="A356" s="7" t="s">
        <v>584</v>
      </c>
      <c r="B356" s="2" t="s">
        <v>585</v>
      </c>
      <c r="C356" s="4">
        <v>1</v>
      </c>
      <c r="D356" s="5">
        <v>3.14</v>
      </c>
      <c r="E356" s="5">
        <v>7.99</v>
      </c>
      <c r="F356" s="4">
        <v>10004192500</v>
      </c>
      <c r="G356" s="2" t="s">
        <v>171</v>
      </c>
      <c r="H356" s="7" t="s">
        <v>586</v>
      </c>
      <c r="I356" s="2" t="s">
        <v>483</v>
      </c>
      <c r="J356" s="2" t="s">
        <v>536</v>
      </c>
      <c r="K356" s="2" t="s">
        <v>304</v>
      </c>
      <c r="L356" s="2" t="s">
        <v>75</v>
      </c>
      <c r="M356" s="8" t="str">
        <f>HYPERLINK("http://slimages.macys.com/is/image/MCY/11519409 ")</f>
        <v xml:space="preserve">http://slimages.macys.com/is/image/MCY/11519409 </v>
      </c>
    </row>
    <row r="357" spans="1:13" ht="60" x14ac:dyDescent="0.25">
      <c r="A357" s="7" t="s">
        <v>5661</v>
      </c>
      <c r="B357" s="2" t="s">
        <v>4386</v>
      </c>
      <c r="C357" s="4">
        <v>1</v>
      </c>
      <c r="D357" s="5">
        <v>3.03</v>
      </c>
      <c r="E357" s="5">
        <v>7.99</v>
      </c>
      <c r="F357" s="4" t="s">
        <v>4387</v>
      </c>
      <c r="G357" s="2" t="s">
        <v>28</v>
      </c>
      <c r="H357" s="7" t="s">
        <v>578</v>
      </c>
      <c r="I357" s="2" t="s">
        <v>483</v>
      </c>
      <c r="J357" s="2" t="s">
        <v>536</v>
      </c>
      <c r="K357" s="2" t="s">
        <v>304</v>
      </c>
      <c r="L357" s="2" t="s">
        <v>100</v>
      </c>
      <c r="M357" s="8" t="str">
        <f>HYPERLINK("http://slimages.macys.com/is/image/MCY/13336558 ")</f>
        <v xml:space="preserve">http://slimages.macys.com/is/image/MCY/13336558 </v>
      </c>
    </row>
    <row r="358" spans="1:13" ht="60" x14ac:dyDescent="0.25">
      <c r="A358" s="7" t="s">
        <v>4394</v>
      </c>
      <c r="B358" s="2" t="s">
        <v>2177</v>
      </c>
      <c r="C358" s="4">
        <v>1</v>
      </c>
      <c r="D358" s="5">
        <v>2.97</v>
      </c>
      <c r="E358" s="5">
        <v>7.99</v>
      </c>
      <c r="F358" s="4" t="s">
        <v>2178</v>
      </c>
      <c r="G358" s="2" t="s">
        <v>86</v>
      </c>
      <c r="H358" s="7"/>
      <c r="I358" s="2" t="s">
        <v>483</v>
      </c>
      <c r="J358" s="2" t="s">
        <v>536</v>
      </c>
      <c r="K358" s="2" t="s">
        <v>304</v>
      </c>
      <c r="L358" s="2" t="s">
        <v>119</v>
      </c>
      <c r="M358" s="8" t="str">
        <f>HYPERLINK("http://slimages.macys.com/is/image/MCY/12465218 ")</f>
        <v xml:space="preserve">http://slimages.macys.com/is/image/MCY/12465218 </v>
      </c>
    </row>
    <row r="359" spans="1:13" ht="60" x14ac:dyDescent="0.25">
      <c r="A359" s="7" t="s">
        <v>4403</v>
      </c>
      <c r="B359" s="2" t="s">
        <v>588</v>
      </c>
      <c r="C359" s="4">
        <v>3</v>
      </c>
      <c r="D359" s="5">
        <v>2.96</v>
      </c>
      <c r="E359" s="5">
        <v>6.99</v>
      </c>
      <c r="F359" s="4" t="s">
        <v>589</v>
      </c>
      <c r="G359" s="2" t="s">
        <v>134</v>
      </c>
      <c r="H359" s="7" t="s">
        <v>149</v>
      </c>
      <c r="I359" s="2" t="s">
        <v>483</v>
      </c>
      <c r="J359" s="2" t="s">
        <v>536</v>
      </c>
      <c r="K359" s="2" t="s">
        <v>304</v>
      </c>
      <c r="L359" s="2" t="s">
        <v>119</v>
      </c>
      <c r="M359" s="8" t="str">
        <f>HYPERLINK("http://slimages.macys.com/is/image/MCY/14532191 ")</f>
        <v xml:space="preserve">http://slimages.macys.com/is/image/MCY/14532191 </v>
      </c>
    </row>
    <row r="360" spans="1:13" ht="60" x14ac:dyDescent="0.25">
      <c r="A360" s="7" t="s">
        <v>587</v>
      </c>
      <c r="B360" s="2" t="s">
        <v>588</v>
      </c>
      <c r="C360" s="4">
        <v>1</v>
      </c>
      <c r="D360" s="5">
        <v>2.96</v>
      </c>
      <c r="E360" s="5">
        <v>6.99</v>
      </c>
      <c r="F360" s="4" t="s">
        <v>589</v>
      </c>
      <c r="G360" s="2" t="s">
        <v>134</v>
      </c>
      <c r="H360" s="7" t="s">
        <v>590</v>
      </c>
      <c r="I360" s="2" t="s">
        <v>483</v>
      </c>
      <c r="J360" s="2" t="s">
        <v>536</v>
      </c>
      <c r="K360" s="2" t="s">
        <v>304</v>
      </c>
      <c r="L360" s="2" t="s">
        <v>119</v>
      </c>
      <c r="M360" s="8" t="str">
        <f>HYPERLINK("http://slimages.macys.com/is/image/MCY/14532191 ")</f>
        <v xml:space="preserve">http://slimages.macys.com/is/image/MCY/14532191 </v>
      </c>
    </row>
    <row r="361" spans="1:13" ht="60" x14ac:dyDescent="0.25">
      <c r="A361" s="7" t="s">
        <v>5662</v>
      </c>
      <c r="B361" s="2" t="s">
        <v>5663</v>
      </c>
      <c r="C361" s="4">
        <v>1</v>
      </c>
      <c r="D361" s="5">
        <v>2.96</v>
      </c>
      <c r="E361" s="5">
        <v>6.99</v>
      </c>
      <c r="F361" s="4" t="s">
        <v>5664</v>
      </c>
      <c r="G361" s="2" t="s">
        <v>28</v>
      </c>
      <c r="H361" s="7" t="s">
        <v>91</v>
      </c>
      <c r="I361" s="2" t="s">
        <v>483</v>
      </c>
      <c r="J361" s="2" t="s">
        <v>536</v>
      </c>
      <c r="K361" s="2" t="s">
        <v>304</v>
      </c>
      <c r="L361" s="2" t="s">
        <v>119</v>
      </c>
      <c r="M361" s="8" t="str">
        <f>HYPERLINK("http://slimages.macys.com/is/image/MCY/11436913 ")</f>
        <v xml:space="preserve">http://slimages.macys.com/is/image/MCY/11436913 </v>
      </c>
    </row>
    <row r="362" spans="1:13" ht="60" x14ac:dyDescent="0.25">
      <c r="A362" s="7" t="s">
        <v>5076</v>
      </c>
      <c r="B362" s="2" t="s">
        <v>5077</v>
      </c>
      <c r="C362" s="4">
        <v>1</v>
      </c>
      <c r="D362" s="5">
        <v>2.94</v>
      </c>
      <c r="E362" s="5">
        <v>6.99</v>
      </c>
      <c r="F362" s="4" t="s">
        <v>5078</v>
      </c>
      <c r="G362" s="2" t="s">
        <v>200</v>
      </c>
      <c r="H362" s="7" t="s">
        <v>91</v>
      </c>
      <c r="I362" s="2" t="s">
        <v>483</v>
      </c>
      <c r="J362" s="2" t="s">
        <v>536</v>
      </c>
      <c r="K362" s="2" t="s">
        <v>304</v>
      </c>
      <c r="L362" s="2" t="s">
        <v>119</v>
      </c>
      <c r="M362" s="8" t="str">
        <f>HYPERLINK("http://slimages.macys.com/is/image/MCY/10528643 ")</f>
        <v xml:space="preserve">http://slimages.macys.com/is/image/MCY/10528643 </v>
      </c>
    </row>
    <row r="363" spans="1:13" ht="60" x14ac:dyDescent="0.25">
      <c r="A363" s="7" t="s">
        <v>5665</v>
      </c>
      <c r="B363" s="2" t="s">
        <v>5077</v>
      </c>
      <c r="C363" s="4">
        <v>1</v>
      </c>
      <c r="D363" s="5">
        <v>2.94</v>
      </c>
      <c r="E363" s="5">
        <v>6.99</v>
      </c>
      <c r="F363" s="4" t="s">
        <v>5078</v>
      </c>
      <c r="G363" s="2" t="s">
        <v>200</v>
      </c>
      <c r="H363" s="7" t="s">
        <v>590</v>
      </c>
      <c r="I363" s="2" t="s">
        <v>483</v>
      </c>
      <c r="J363" s="2" t="s">
        <v>536</v>
      </c>
      <c r="K363" s="2" t="s">
        <v>304</v>
      </c>
      <c r="L363" s="2" t="s">
        <v>119</v>
      </c>
      <c r="M363" s="8" t="str">
        <f>HYPERLINK("http://slimages.macys.com/is/image/MCY/10528643 ")</f>
        <v xml:space="preserve">http://slimages.macys.com/is/image/MCY/10528643 </v>
      </c>
    </row>
    <row r="364" spans="1:13" ht="60" x14ac:dyDescent="0.25">
      <c r="A364" s="7" t="s">
        <v>5666</v>
      </c>
      <c r="B364" s="2" t="s">
        <v>5077</v>
      </c>
      <c r="C364" s="4">
        <v>1</v>
      </c>
      <c r="D364" s="5">
        <v>2.94</v>
      </c>
      <c r="E364" s="5">
        <v>6.99</v>
      </c>
      <c r="F364" s="4" t="s">
        <v>5078</v>
      </c>
      <c r="G364" s="2" t="s">
        <v>200</v>
      </c>
      <c r="H364" s="7" t="s">
        <v>149</v>
      </c>
      <c r="I364" s="2" t="s">
        <v>483</v>
      </c>
      <c r="J364" s="2" t="s">
        <v>536</v>
      </c>
      <c r="K364" s="2" t="s">
        <v>304</v>
      </c>
      <c r="L364" s="2" t="s">
        <v>119</v>
      </c>
      <c r="M364" s="8" t="str">
        <f>HYPERLINK("http://slimages.macys.com/is/image/MCY/10528643 ")</f>
        <v xml:space="preserve">http://slimages.macys.com/is/image/MCY/10528643 </v>
      </c>
    </row>
    <row r="365" spans="1:13" ht="60" x14ac:dyDescent="0.25">
      <c r="A365" s="7" t="s">
        <v>5667</v>
      </c>
      <c r="B365" s="2" t="s">
        <v>5077</v>
      </c>
      <c r="C365" s="4">
        <v>2</v>
      </c>
      <c r="D365" s="5">
        <v>2.94</v>
      </c>
      <c r="E365" s="5">
        <v>6.99</v>
      </c>
      <c r="F365" s="4" t="s">
        <v>5078</v>
      </c>
      <c r="G365" s="2" t="s">
        <v>200</v>
      </c>
      <c r="H365" s="7" t="s">
        <v>442</v>
      </c>
      <c r="I365" s="2" t="s">
        <v>483</v>
      </c>
      <c r="J365" s="2" t="s">
        <v>536</v>
      </c>
      <c r="K365" s="2" t="s">
        <v>304</v>
      </c>
      <c r="L365" s="2" t="s">
        <v>119</v>
      </c>
      <c r="M365" s="8" t="str">
        <f>HYPERLINK("http://slimages.macys.com/is/image/MCY/10528643 ")</f>
        <v xml:space="preserve">http://slimages.macys.com/is/image/MCY/10528643 </v>
      </c>
    </row>
    <row r="366" spans="1:13" ht="60" x14ac:dyDescent="0.25">
      <c r="A366" s="7" t="s">
        <v>5668</v>
      </c>
      <c r="B366" s="2" t="s">
        <v>5669</v>
      </c>
      <c r="C366" s="4">
        <v>1</v>
      </c>
      <c r="D366" s="5">
        <v>2.91</v>
      </c>
      <c r="E366" s="5">
        <v>6.99</v>
      </c>
      <c r="F366" s="4" t="s">
        <v>5670</v>
      </c>
      <c r="G366" s="2" t="s">
        <v>48</v>
      </c>
      <c r="H366" s="7" t="s">
        <v>149</v>
      </c>
      <c r="I366" s="2" t="s">
        <v>483</v>
      </c>
      <c r="J366" s="2" t="s">
        <v>536</v>
      </c>
      <c r="K366" s="2" t="s">
        <v>304</v>
      </c>
      <c r="L366" s="2" t="s">
        <v>119</v>
      </c>
      <c r="M366" s="8" t="str">
        <f>HYPERLINK("http://slimages.macys.com/is/image/MCY/11436908 ")</f>
        <v xml:space="preserve">http://slimages.macys.com/is/image/MCY/11436908 </v>
      </c>
    </row>
    <row r="367" spans="1:13" ht="60" x14ac:dyDescent="0.25">
      <c r="A367" s="7" t="s">
        <v>5671</v>
      </c>
      <c r="B367" s="2" t="s">
        <v>5672</v>
      </c>
      <c r="C367" s="4">
        <v>1</v>
      </c>
      <c r="D367" s="5">
        <v>2.91</v>
      </c>
      <c r="E367" s="5">
        <v>6.99</v>
      </c>
      <c r="F367" s="4" t="s">
        <v>5673</v>
      </c>
      <c r="G367" s="2" t="s">
        <v>657</v>
      </c>
      <c r="H367" s="7" t="s">
        <v>442</v>
      </c>
      <c r="I367" s="2" t="s">
        <v>483</v>
      </c>
      <c r="J367" s="2" t="s">
        <v>536</v>
      </c>
      <c r="K367" s="2" t="s">
        <v>304</v>
      </c>
      <c r="L367" s="2" t="s">
        <v>119</v>
      </c>
      <c r="M367" s="8" t="str">
        <f>HYPERLINK("http://slimages.macys.com/is/image/MCY/10326410 ")</f>
        <v xml:space="preserve">http://slimages.macys.com/is/image/MCY/10326410 </v>
      </c>
    </row>
    <row r="368" spans="1:13" ht="60" x14ac:dyDescent="0.25">
      <c r="A368" s="7" t="s">
        <v>1204</v>
      </c>
      <c r="B368" s="2" t="s">
        <v>1205</v>
      </c>
      <c r="C368" s="4">
        <v>1</v>
      </c>
      <c r="D368" s="5">
        <v>2.87</v>
      </c>
      <c r="E368" s="5">
        <v>7.99</v>
      </c>
      <c r="F368" s="4" t="s">
        <v>1206</v>
      </c>
      <c r="G368" s="2" t="s">
        <v>437</v>
      </c>
      <c r="H368" s="7" t="s">
        <v>531</v>
      </c>
      <c r="I368" s="2" t="s">
        <v>483</v>
      </c>
      <c r="J368" s="2" t="s">
        <v>536</v>
      </c>
      <c r="K368" s="2" t="s">
        <v>304</v>
      </c>
      <c r="L368" s="2" t="s">
        <v>1207</v>
      </c>
      <c r="M368" s="8" t="str">
        <f>HYPERLINK("http://slimages.macys.com/is/image/MCY/12466264 ")</f>
        <v xml:space="preserve">http://slimages.macys.com/is/image/MCY/12466264 </v>
      </c>
    </row>
    <row r="369" spans="1:13" ht="60" x14ac:dyDescent="0.25">
      <c r="A369" s="7" t="s">
        <v>5674</v>
      </c>
      <c r="B369" s="2" t="s">
        <v>5675</v>
      </c>
      <c r="C369" s="4">
        <v>1</v>
      </c>
      <c r="D369" s="5">
        <v>2.84</v>
      </c>
      <c r="E369" s="5">
        <v>7.99</v>
      </c>
      <c r="F369" s="4" t="s">
        <v>5676</v>
      </c>
      <c r="G369" s="2" t="s">
        <v>41</v>
      </c>
      <c r="H369" s="7" t="s">
        <v>590</v>
      </c>
      <c r="I369" s="2" t="s">
        <v>483</v>
      </c>
      <c r="J369" s="2" t="s">
        <v>536</v>
      </c>
      <c r="K369" s="2" t="s">
        <v>304</v>
      </c>
      <c r="L369" s="2" t="s">
        <v>87</v>
      </c>
      <c r="M369" s="8" t="str">
        <f>HYPERLINK("http://slimages.macys.com/is/image/MCY/14384843 ")</f>
        <v xml:space="preserve">http://slimages.macys.com/is/image/MCY/14384843 </v>
      </c>
    </row>
    <row r="370" spans="1:13" ht="120" x14ac:dyDescent="0.25">
      <c r="A370" s="7" t="s">
        <v>597</v>
      </c>
      <c r="B370" s="2" t="s">
        <v>598</v>
      </c>
      <c r="C370" s="4">
        <v>1</v>
      </c>
      <c r="D370" s="5">
        <v>2.84</v>
      </c>
      <c r="E370" s="5">
        <v>7.99</v>
      </c>
      <c r="F370" s="4" t="s">
        <v>599</v>
      </c>
      <c r="G370" s="2" t="s">
        <v>62</v>
      </c>
      <c r="H370" s="7"/>
      <c r="I370" s="2" t="s">
        <v>483</v>
      </c>
      <c r="J370" s="2" t="s">
        <v>536</v>
      </c>
      <c r="K370" s="2" t="s">
        <v>304</v>
      </c>
      <c r="L370" s="2" t="s">
        <v>600</v>
      </c>
      <c r="M370" s="8" t="str">
        <f>HYPERLINK("http://slimages.macys.com/is/image/MCY/14384837 ")</f>
        <v xml:space="preserve">http://slimages.macys.com/is/image/MCY/14384837 </v>
      </c>
    </row>
    <row r="371" spans="1:13" ht="60" x14ac:dyDescent="0.25">
      <c r="A371" s="7" t="s">
        <v>5677</v>
      </c>
      <c r="B371" s="2" t="s">
        <v>5675</v>
      </c>
      <c r="C371" s="4">
        <v>2</v>
      </c>
      <c r="D371" s="5">
        <v>2.84</v>
      </c>
      <c r="E371" s="5">
        <v>7.99</v>
      </c>
      <c r="F371" s="4" t="s">
        <v>5676</v>
      </c>
      <c r="G371" s="2" t="s">
        <v>41</v>
      </c>
      <c r="H371" s="7" t="s">
        <v>149</v>
      </c>
      <c r="I371" s="2" t="s">
        <v>483</v>
      </c>
      <c r="J371" s="2" t="s">
        <v>536</v>
      </c>
      <c r="K371" s="2" t="s">
        <v>304</v>
      </c>
      <c r="L371" s="2" t="s">
        <v>87</v>
      </c>
      <c r="M371" s="8" t="str">
        <f>HYPERLINK("http://slimages.macys.com/is/image/MCY/14384843 ")</f>
        <v xml:space="preserve">http://slimages.macys.com/is/image/MCY/14384843 </v>
      </c>
    </row>
    <row r="372" spans="1:13" ht="120" x14ac:dyDescent="0.25">
      <c r="A372" s="7" t="s">
        <v>2199</v>
      </c>
      <c r="B372" s="2" t="s">
        <v>598</v>
      </c>
      <c r="C372" s="4">
        <v>2</v>
      </c>
      <c r="D372" s="5">
        <v>2.84</v>
      </c>
      <c r="E372" s="5">
        <v>7.99</v>
      </c>
      <c r="F372" s="4" t="s">
        <v>599</v>
      </c>
      <c r="G372" s="2" t="s">
        <v>62</v>
      </c>
      <c r="H372" s="7" t="s">
        <v>590</v>
      </c>
      <c r="I372" s="2" t="s">
        <v>483</v>
      </c>
      <c r="J372" s="2" t="s">
        <v>536</v>
      </c>
      <c r="K372" s="2" t="s">
        <v>304</v>
      </c>
      <c r="L372" s="2" t="s">
        <v>600</v>
      </c>
      <c r="M372" s="8" t="str">
        <f>HYPERLINK("http://slimages.macys.com/is/image/MCY/14384837 ")</f>
        <v xml:space="preserve">http://slimages.macys.com/is/image/MCY/14384837 </v>
      </c>
    </row>
    <row r="373" spans="1:13" ht="120" x14ac:dyDescent="0.25">
      <c r="A373" s="7" t="s">
        <v>2200</v>
      </c>
      <c r="B373" s="2" t="s">
        <v>598</v>
      </c>
      <c r="C373" s="4">
        <v>1</v>
      </c>
      <c r="D373" s="5">
        <v>2.84</v>
      </c>
      <c r="E373" s="5">
        <v>7.99</v>
      </c>
      <c r="F373" s="4" t="s">
        <v>599</v>
      </c>
      <c r="G373" s="2" t="s">
        <v>62</v>
      </c>
      <c r="H373" s="7" t="s">
        <v>149</v>
      </c>
      <c r="I373" s="2" t="s">
        <v>483</v>
      </c>
      <c r="J373" s="2" t="s">
        <v>536</v>
      </c>
      <c r="K373" s="2" t="s">
        <v>304</v>
      </c>
      <c r="L373" s="2" t="s">
        <v>600</v>
      </c>
      <c r="M373" s="8" t="str">
        <f>HYPERLINK("http://slimages.macys.com/is/image/MCY/14384837 ")</f>
        <v xml:space="preserve">http://slimages.macys.com/is/image/MCY/14384837 </v>
      </c>
    </row>
    <row r="374" spans="1:13" ht="60" x14ac:dyDescent="0.25">
      <c r="A374" s="7" t="s">
        <v>5678</v>
      </c>
      <c r="B374" s="2" t="s">
        <v>5675</v>
      </c>
      <c r="C374" s="4">
        <v>1</v>
      </c>
      <c r="D374" s="5">
        <v>2.84</v>
      </c>
      <c r="E374" s="5">
        <v>7.99</v>
      </c>
      <c r="F374" s="4" t="s">
        <v>5676</v>
      </c>
      <c r="G374" s="2" t="s">
        <v>41</v>
      </c>
      <c r="H374" s="7"/>
      <c r="I374" s="2" t="s">
        <v>483</v>
      </c>
      <c r="J374" s="2" t="s">
        <v>536</v>
      </c>
      <c r="K374" s="2" t="s">
        <v>304</v>
      </c>
      <c r="L374" s="2" t="s">
        <v>87</v>
      </c>
      <c r="M374" s="8" t="str">
        <f>HYPERLINK("http://slimages.macys.com/is/image/MCY/14384843 ")</f>
        <v xml:space="preserve">http://slimages.macys.com/is/image/MCY/14384843 </v>
      </c>
    </row>
    <row r="375" spans="1:13" ht="60" x14ac:dyDescent="0.25">
      <c r="A375" s="7" t="s">
        <v>5679</v>
      </c>
      <c r="B375" s="2" t="s">
        <v>1217</v>
      </c>
      <c r="C375" s="4">
        <v>2</v>
      </c>
      <c r="D375" s="5">
        <v>2.77</v>
      </c>
      <c r="E375" s="5">
        <v>7.99</v>
      </c>
      <c r="F375" s="4">
        <v>10005049100</v>
      </c>
      <c r="G375" s="2" t="s">
        <v>527</v>
      </c>
      <c r="H375" s="7"/>
      <c r="I375" s="2" t="s">
        <v>483</v>
      </c>
      <c r="J375" s="2" t="s">
        <v>536</v>
      </c>
      <c r="K375" s="2" t="s">
        <v>304</v>
      </c>
      <c r="L375" s="2" t="s">
        <v>119</v>
      </c>
      <c r="M375" s="8" t="str">
        <f>HYPERLINK("http://slimages.macys.com/is/image/MCY/11520375 ")</f>
        <v xml:space="preserve">http://slimages.macys.com/is/image/MCY/11520375 </v>
      </c>
    </row>
    <row r="376" spans="1:13" ht="60" x14ac:dyDescent="0.25">
      <c r="A376" s="7" t="s">
        <v>2226</v>
      </c>
      <c r="B376" s="2" t="s">
        <v>2223</v>
      </c>
      <c r="C376" s="4">
        <v>1</v>
      </c>
      <c r="D376" s="5">
        <v>2.69</v>
      </c>
      <c r="E376" s="5">
        <v>5.99</v>
      </c>
      <c r="F376" s="4" t="s">
        <v>2224</v>
      </c>
      <c r="G376" s="2" t="s">
        <v>28</v>
      </c>
      <c r="H376" s="7" t="s">
        <v>42</v>
      </c>
      <c r="I376" s="2" t="s">
        <v>483</v>
      </c>
      <c r="J376" s="2" t="s">
        <v>536</v>
      </c>
      <c r="K376" s="2" t="s">
        <v>304</v>
      </c>
      <c r="L376" s="2" t="s">
        <v>206</v>
      </c>
      <c r="M376" s="8" t="str">
        <f>HYPERLINK("http://slimages.macys.com/is/image/MCY/11436881 ")</f>
        <v xml:space="preserve">http://slimages.macys.com/is/image/MCY/11436881 </v>
      </c>
    </row>
    <row r="377" spans="1:13" ht="60" x14ac:dyDescent="0.25">
      <c r="A377" s="7" t="s">
        <v>5680</v>
      </c>
      <c r="B377" s="2" t="s">
        <v>2223</v>
      </c>
      <c r="C377" s="4">
        <v>1</v>
      </c>
      <c r="D377" s="5">
        <v>2.69</v>
      </c>
      <c r="E377" s="5">
        <v>5.99</v>
      </c>
      <c r="F377" s="4" t="s">
        <v>2224</v>
      </c>
      <c r="G377" s="2" t="s">
        <v>437</v>
      </c>
      <c r="H377" s="7" t="s">
        <v>42</v>
      </c>
      <c r="I377" s="2" t="s">
        <v>483</v>
      </c>
      <c r="J377" s="2" t="s">
        <v>536</v>
      </c>
      <c r="K377" s="2" t="s">
        <v>304</v>
      </c>
      <c r="L377" s="2" t="s">
        <v>206</v>
      </c>
      <c r="M377" s="8" t="str">
        <f>HYPERLINK("http://slimages.macys.com/is/image/MCY/11436881 ")</f>
        <v xml:space="preserve">http://slimages.macys.com/is/image/MCY/11436881 </v>
      </c>
    </row>
    <row r="378" spans="1:13" ht="60" x14ac:dyDescent="0.25">
      <c r="A378" s="7" t="s">
        <v>5681</v>
      </c>
      <c r="B378" s="2" t="s">
        <v>2223</v>
      </c>
      <c r="C378" s="4">
        <v>1</v>
      </c>
      <c r="D378" s="5">
        <v>2.69</v>
      </c>
      <c r="E378" s="5">
        <v>5.99</v>
      </c>
      <c r="F378" s="4" t="s">
        <v>2224</v>
      </c>
      <c r="G378" s="2" t="s">
        <v>62</v>
      </c>
      <c r="H378" s="7" t="s">
        <v>42</v>
      </c>
      <c r="I378" s="2" t="s">
        <v>483</v>
      </c>
      <c r="J378" s="2" t="s">
        <v>536</v>
      </c>
      <c r="K378" s="2" t="s">
        <v>304</v>
      </c>
      <c r="L378" s="2" t="s">
        <v>206</v>
      </c>
      <c r="M378" s="8" t="str">
        <f>HYPERLINK("http://slimages.macys.com/is/image/MCY/11436881 ")</f>
        <v xml:space="preserve">http://slimages.macys.com/is/image/MCY/11436881 </v>
      </c>
    </row>
    <row r="379" spans="1:13" ht="60" x14ac:dyDescent="0.25">
      <c r="A379" s="7" t="s">
        <v>5682</v>
      </c>
      <c r="B379" s="2" t="s">
        <v>2223</v>
      </c>
      <c r="C379" s="4">
        <v>1</v>
      </c>
      <c r="D379" s="5">
        <v>2.69</v>
      </c>
      <c r="E379" s="5">
        <v>5.99</v>
      </c>
      <c r="F379" s="4" t="s">
        <v>2224</v>
      </c>
      <c r="G379" s="2" t="s">
        <v>262</v>
      </c>
      <c r="H379" s="7" t="s">
        <v>42</v>
      </c>
      <c r="I379" s="2" t="s">
        <v>483</v>
      </c>
      <c r="J379" s="2" t="s">
        <v>536</v>
      </c>
      <c r="K379" s="2" t="s">
        <v>304</v>
      </c>
      <c r="L379" s="2" t="s">
        <v>206</v>
      </c>
      <c r="M379" s="8" t="str">
        <f>HYPERLINK("http://slimages.macys.com/is/image/MCY/11436881 ")</f>
        <v xml:space="preserve">http://slimages.macys.com/is/image/MCY/11436881 </v>
      </c>
    </row>
    <row r="380" spans="1:13" ht="60" x14ac:dyDescent="0.25">
      <c r="A380" s="7" t="s">
        <v>5683</v>
      </c>
      <c r="B380" s="2" t="s">
        <v>4479</v>
      </c>
      <c r="C380" s="4">
        <v>1</v>
      </c>
      <c r="D380" s="5">
        <v>2.67</v>
      </c>
      <c r="E380" s="5">
        <v>6.99</v>
      </c>
      <c r="F380" s="4" t="s">
        <v>4480</v>
      </c>
      <c r="G380" s="2" t="s">
        <v>195</v>
      </c>
      <c r="H380" s="7" t="s">
        <v>149</v>
      </c>
      <c r="I380" s="2" t="s">
        <v>483</v>
      </c>
      <c r="J380" s="2" t="s">
        <v>536</v>
      </c>
      <c r="K380" s="2" t="s">
        <v>304</v>
      </c>
      <c r="L380" s="2" t="s">
        <v>38</v>
      </c>
      <c r="M380" s="8" t="str">
        <f>HYPERLINK("http://slimages.macys.com/is/image/MCY/12465793 ")</f>
        <v xml:space="preserve">http://slimages.macys.com/is/image/MCY/12465793 </v>
      </c>
    </row>
    <row r="381" spans="1:13" ht="60" x14ac:dyDescent="0.25">
      <c r="A381" s="7" t="s">
        <v>5684</v>
      </c>
      <c r="B381" s="2" t="s">
        <v>4479</v>
      </c>
      <c r="C381" s="4">
        <v>1</v>
      </c>
      <c r="D381" s="5">
        <v>2.67</v>
      </c>
      <c r="E381" s="5">
        <v>6.99</v>
      </c>
      <c r="F381" s="4" t="s">
        <v>4480</v>
      </c>
      <c r="G381" s="2" t="s">
        <v>195</v>
      </c>
      <c r="H381" s="7" t="s">
        <v>590</v>
      </c>
      <c r="I381" s="2" t="s">
        <v>483</v>
      </c>
      <c r="J381" s="2" t="s">
        <v>536</v>
      </c>
      <c r="K381" s="2" t="s">
        <v>304</v>
      </c>
      <c r="L381" s="2" t="s">
        <v>38</v>
      </c>
      <c r="M381" s="8" t="str">
        <f>HYPERLINK("http://slimages.macys.com/is/image/MCY/12465793 ")</f>
        <v xml:space="preserve">http://slimages.macys.com/is/image/MCY/12465793 </v>
      </c>
    </row>
    <row r="382" spans="1:13" ht="84" x14ac:dyDescent="0.25">
      <c r="A382" s="7" t="s">
        <v>2238</v>
      </c>
      <c r="B382" s="2" t="s">
        <v>2228</v>
      </c>
      <c r="C382" s="4">
        <v>2</v>
      </c>
      <c r="D382" s="5">
        <v>2.67</v>
      </c>
      <c r="E382" s="5">
        <v>7.99</v>
      </c>
      <c r="F382" s="4" t="s">
        <v>2229</v>
      </c>
      <c r="G382" s="2" t="s">
        <v>527</v>
      </c>
      <c r="H382" s="7" t="s">
        <v>590</v>
      </c>
      <c r="I382" s="2" t="s">
        <v>483</v>
      </c>
      <c r="J382" s="2" t="s">
        <v>536</v>
      </c>
      <c r="K382" s="2" t="s">
        <v>304</v>
      </c>
      <c r="L382" s="2" t="s">
        <v>2230</v>
      </c>
      <c r="M382" s="8" t="str">
        <f>HYPERLINK("http://slimages.macys.com/is/image/MCY/14385110 ")</f>
        <v xml:space="preserve">http://slimages.macys.com/is/image/MCY/14385110 </v>
      </c>
    </row>
    <row r="383" spans="1:13" ht="84" x14ac:dyDescent="0.25">
      <c r="A383" s="7" t="s">
        <v>2237</v>
      </c>
      <c r="B383" s="2" t="s">
        <v>2228</v>
      </c>
      <c r="C383" s="4">
        <v>2</v>
      </c>
      <c r="D383" s="5">
        <v>2.67</v>
      </c>
      <c r="E383" s="5">
        <v>7.99</v>
      </c>
      <c r="F383" s="4" t="s">
        <v>2229</v>
      </c>
      <c r="G383" s="2" t="s">
        <v>527</v>
      </c>
      <c r="H383" s="7"/>
      <c r="I383" s="2" t="s">
        <v>483</v>
      </c>
      <c r="J383" s="2" t="s">
        <v>536</v>
      </c>
      <c r="K383" s="2" t="s">
        <v>304</v>
      </c>
      <c r="L383" s="2" t="s">
        <v>2230</v>
      </c>
      <c r="M383" s="8" t="str">
        <f>HYPERLINK("http://slimages.macys.com/is/image/MCY/14385110 ")</f>
        <v xml:space="preserve">http://slimages.macys.com/is/image/MCY/14385110 </v>
      </c>
    </row>
    <row r="384" spans="1:13" ht="84" x14ac:dyDescent="0.25">
      <c r="A384" s="7" t="s">
        <v>2227</v>
      </c>
      <c r="B384" s="2" t="s">
        <v>2228</v>
      </c>
      <c r="C384" s="4">
        <v>2</v>
      </c>
      <c r="D384" s="5">
        <v>2.67</v>
      </c>
      <c r="E384" s="5">
        <v>7.99</v>
      </c>
      <c r="F384" s="4" t="s">
        <v>2229</v>
      </c>
      <c r="G384" s="2" t="s">
        <v>527</v>
      </c>
      <c r="H384" s="7" t="s">
        <v>149</v>
      </c>
      <c r="I384" s="2" t="s">
        <v>483</v>
      </c>
      <c r="J384" s="2" t="s">
        <v>536</v>
      </c>
      <c r="K384" s="2" t="s">
        <v>304</v>
      </c>
      <c r="L384" s="2" t="s">
        <v>2230</v>
      </c>
      <c r="M384" s="8" t="str">
        <f>HYPERLINK("http://slimages.macys.com/is/image/MCY/14385110 ")</f>
        <v xml:space="preserve">http://slimages.macys.com/is/image/MCY/14385110 </v>
      </c>
    </row>
    <row r="385" spans="1:13" ht="84" x14ac:dyDescent="0.25">
      <c r="A385" s="7" t="s">
        <v>5685</v>
      </c>
      <c r="B385" s="2" t="s">
        <v>2228</v>
      </c>
      <c r="C385" s="4">
        <v>1</v>
      </c>
      <c r="D385" s="5">
        <v>2.67</v>
      </c>
      <c r="E385" s="5">
        <v>7.99</v>
      </c>
      <c r="F385" s="4" t="s">
        <v>2229</v>
      </c>
      <c r="G385" s="2" t="s">
        <v>527</v>
      </c>
      <c r="H385" s="7" t="s">
        <v>442</v>
      </c>
      <c r="I385" s="2" t="s">
        <v>483</v>
      </c>
      <c r="J385" s="2" t="s">
        <v>536</v>
      </c>
      <c r="K385" s="2" t="s">
        <v>304</v>
      </c>
      <c r="L385" s="2" t="s">
        <v>2230</v>
      </c>
      <c r="M385" s="8" t="str">
        <f>HYPERLINK("http://slimages.macys.com/is/image/MCY/14385110 ")</f>
        <v xml:space="preserve">http://slimages.macys.com/is/image/MCY/14385110 </v>
      </c>
    </row>
    <row r="386" spans="1:13" ht="60" x14ac:dyDescent="0.25">
      <c r="A386" s="7" t="s">
        <v>2243</v>
      </c>
      <c r="B386" s="2" t="s">
        <v>1236</v>
      </c>
      <c r="C386" s="4">
        <v>1</v>
      </c>
      <c r="D386" s="5">
        <v>2.65</v>
      </c>
      <c r="E386" s="5">
        <v>6.99</v>
      </c>
      <c r="F386" s="4" t="s">
        <v>1237</v>
      </c>
      <c r="G386" s="2" t="s">
        <v>41</v>
      </c>
      <c r="H386" s="7" t="s">
        <v>91</v>
      </c>
      <c r="I386" s="2" t="s">
        <v>483</v>
      </c>
      <c r="J386" s="2" t="s">
        <v>536</v>
      </c>
      <c r="K386" s="2" t="s">
        <v>304</v>
      </c>
      <c r="L386" s="2" t="s">
        <v>100</v>
      </c>
      <c r="M386" s="8" t="str">
        <f>HYPERLINK("http://slimages.macys.com/is/image/MCY/13337374 ")</f>
        <v xml:space="preserve">http://slimages.macys.com/is/image/MCY/13337374 </v>
      </c>
    </row>
    <row r="387" spans="1:13" ht="60" x14ac:dyDescent="0.25">
      <c r="A387" s="7" t="s">
        <v>2244</v>
      </c>
      <c r="B387" s="2" t="s">
        <v>1236</v>
      </c>
      <c r="C387" s="4">
        <v>2</v>
      </c>
      <c r="D387" s="5">
        <v>2.65</v>
      </c>
      <c r="E387" s="5">
        <v>6.99</v>
      </c>
      <c r="F387" s="4" t="s">
        <v>1237</v>
      </c>
      <c r="G387" s="2" t="s">
        <v>41</v>
      </c>
      <c r="H387" s="7" t="s">
        <v>590</v>
      </c>
      <c r="I387" s="2" t="s">
        <v>483</v>
      </c>
      <c r="J387" s="2" t="s">
        <v>536</v>
      </c>
      <c r="K387" s="2" t="s">
        <v>304</v>
      </c>
      <c r="L387" s="2" t="s">
        <v>100</v>
      </c>
      <c r="M387" s="8" t="str">
        <f>HYPERLINK("http://slimages.macys.com/is/image/MCY/13337374 ")</f>
        <v xml:space="preserve">http://slimages.macys.com/is/image/MCY/13337374 </v>
      </c>
    </row>
    <row r="388" spans="1:13" ht="60" x14ac:dyDescent="0.25">
      <c r="A388" s="7" t="s">
        <v>5686</v>
      </c>
      <c r="B388" s="2" t="s">
        <v>4495</v>
      </c>
      <c r="C388" s="4">
        <v>1</v>
      </c>
      <c r="D388" s="5">
        <v>2.63</v>
      </c>
      <c r="E388" s="5">
        <v>5.99</v>
      </c>
      <c r="F388" s="4" t="s">
        <v>4496</v>
      </c>
      <c r="G388" s="2" t="s">
        <v>86</v>
      </c>
      <c r="H388" s="7" t="s">
        <v>149</v>
      </c>
      <c r="I388" s="2" t="s">
        <v>483</v>
      </c>
      <c r="J388" s="2" t="s">
        <v>536</v>
      </c>
      <c r="K388" s="2" t="s">
        <v>304</v>
      </c>
      <c r="L388" s="2" t="s">
        <v>206</v>
      </c>
      <c r="M388" s="8" t="str">
        <f>HYPERLINK("http://slimages.macys.com/is/image/MCY/11709478 ")</f>
        <v xml:space="preserve">http://slimages.macys.com/is/image/MCY/11709478 </v>
      </c>
    </row>
    <row r="389" spans="1:13" ht="60" x14ac:dyDescent="0.25">
      <c r="A389" s="7" t="s">
        <v>5687</v>
      </c>
      <c r="B389" s="2" t="s">
        <v>4495</v>
      </c>
      <c r="C389" s="4">
        <v>1</v>
      </c>
      <c r="D389" s="5">
        <v>2.63</v>
      </c>
      <c r="E389" s="5">
        <v>5.99</v>
      </c>
      <c r="F389" s="4" t="s">
        <v>4496</v>
      </c>
      <c r="G389" s="2" t="s">
        <v>86</v>
      </c>
      <c r="H389" s="7" t="s">
        <v>442</v>
      </c>
      <c r="I389" s="2" t="s">
        <v>483</v>
      </c>
      <c r="J389" s="2" t="s">
        <v>536</v>
      </c>
      <c r="K389" s="2" t="s">
        <v>304</v>
      </c>
      <c r="L389" s="2" t="s">
        <v>206</v>
      </c>
      <c r="M389" s="8" t="str">
        <f>HYPERLINK("http://slimages.macys.com/is/image/MCY/11709478 ")</f>
        <v xml:space="preserve">http://slimages.macys.com/is/image/MCY/11709478 </v>
      </c>
    </row>
    <row r="390" spans="1:13" ht="60" x14ac:dyDescent="0.25">
      <c r="A390" s="7" t="s">
        <v>5688</v>
      </c>
      <c r="B390" s="2" t="s">
        <v>1246</v>
      </c>
      <c r="C390" s="4">
        <v>1</v>
      </c>
      <c r="D390" s="5">
        <v>2.62</v>
      </c>
      <c r="E390" s="5">
        <v>6.99</v>
      </c>
      <c r="F390" s="4" t="s">
        <v>1247</v>
      </c>
      <c r="G390" s="2" t="s">
        <v>41</v>
      </c>
      <c r="H390" s="7" t="s">
        <v>91</v>
      </c>
      <c r="I390" s="2" t="s">
        <v>483</v>
      </c>
      <c r="J390" s="2" t="s">
        <v>536</v>
      </c>
      <c r="K390" s="2" t="s">
        <v>304</v>
      </c>
      <c r="L390" s="2" t="s">
        <v>100</v>
      </c>
      <c r="M390" s="8" t="str">
        <f>HYPERLINK("http://slimages.macys.com/is/image/MCY/13337544 ")</f>
        <v xml:space="preserve">http://slimages.macys.com/is/image/MCY/13337544 </v>
      </c>
    </row>
    <row r="391" spans="1:13" ht="60" x14ac:dyDescent="0.25">
      <c r="A391" s="7" t="s">
        <v>1245</v>
      </c>
      <c r="B391" s="2" t="s">
        <v>1246</v>
      </c>
      <c r="C391" s="4">
        <v>1</v>
      </c>
      <c r="D391" s="5">
        <v>2.62</v>
      </c>
      <c r="E391" s="5">
        <v>6.99</v>
      </c>
      <c r="F391" s="4" t="s">
        <v>1247</v>
      </c>
      <c r="G391" s="2" t="s">
        <v>41</v>
      </c>
      <c r="H391" s="7" t="s">
        <v>149</v>
      </c>
      <c r="I391" s="2" t="s">
        <v>483</v>
      </c>
      <c r="J391" s="2" t="s">
        <v>536</v>
      </c>
      <c r="K391" s="2" t="s">
        <v>304</v>
      </c>
      <c r="L391" s="2" t="s">
        <v>100</v>
      </c>
      <c r="M391" s="8" t="str">
        <f>HYPERLINK("http://slimages.macys.com/is/image/MCY/13337544 ")</f>
        <v xml:space="preserve">http://slimages.macys.com/is/image/MCY/13337544 </v>
      </c>
    </row>
    <row r="392" spans="1:13" ht="60" x14ac:dyDescent="0.25">
      <c r="A392" s="7" t="s">
        <v>2267</v>
      </c>
      <c r="B392" s="2" t="s">
        <v>2254</v>
      </c>
      <c r="C392" s="4">
        <v>1</v>
      </c>
      <c r="D392" s="5">
        <v>2.62</v>
      </c>
      <c r="E392" s="5">
        <v>5.99</v>
      </c>
      <c r="F392" s="4" t="s">
        <v>2255</v>
      </c>
      <c r="G392" s="2" t="s">
        <v>657</v>
      </c>
      <c r="H392" s="7" t="s">
        <v>590</v>
      </c>
      <c r="I392" s="2" t="s">
        <v>483</v>
      </c>
      <c r="J392" s="2" t="s">
        <v>536</v>
      </c>
      <c r="K392" s="2" t="s">
        <v>304</v>
      </c>
      <c r="L392" s="2" t="s">
        <v>119</v>
      </c>
      <c r="M392" s="8" t="str">
        <f>HYPERLINK("http://slimages.macys.com/is/image/MCY/12644604 ")</f>
        <v xml:space="preserve">http://slimages.macys.com/is/image/MCY/12644604 </v>
      </c>
    </row>
    <row r="393" spans="1:13" ht="60" x14ac:dyDescent="0.25">
      <c r="A393" s="7" t="s">
        <v>5689</v>
      </c>
      <c r="B393" s="2" t="s">
        <v>1253</v>
      </c>
      <c r="C393" s="4">
        <v>3</v>
      </c>
      <c r="D393" s="5">
        <v>2.61</v>
      </c>
      <c r="E393" s="5">
        <v>6.99</v>
      </c>
      <c r="F393" s="4" t="s">
        <v>1254</v>
      </c>
      <c r="G393" s="2" t="s">
        <v>171</v>
      </c>
      <c r="H393" s="7"/>
      <c r="I393" s="2" t="s">
        <v>483</v>
      </c>
      <c r="J393" s="2" t="s">
        <v>536</v>
      </c>
      <c r="K393" s="2" t="s">
        <v>304</v>
      </c>
      <c r="L393" s="2" t="s">
        <v>38</v>
      </c>
      <c r="M393" s="8" t="str">
        <f>HYPERLINK("http://slimages.macys.com/is/image/MCY/13987491 ")</f>
        <v xml:space="preserve">http://slimages.macys.com/is/image/MCY/13987491 </v>
      </c>
    </row>
    <row r="394" spans="1:13" ht="60" x14ac:dyDescent="0.25">
      <c r="A394" s="7" t="s">
        <v>2273</v>
      </c>
      <c r="B394" s="2" t="s">
        <v>1253</v>
      </c>
      <c r="C394" s="4">
        <v>1</v>
      </c>
      <c r="D394" s="5">
        <v>2.61</v>
      </c>
      <c r="E394" s="5">
        <v>6.99</v>
      </c>
      <c r="F394" s="4" t="s">
        <v>1254</v>
      </c>
      <c r="G394" s="2" t="s">
        <v>171</v>
      </c>
      <c r="H394" s="7" t="s">
        <v>442</v>
      </c>
      <c r="I394" s="2" t="s">
        <v>483</v>
      </c>
      <c r="J394" s="2" t="s">
        <v>536</v>
      </c>
      <c r="K394" s="2" t="s">
        <v>304</v>
      </c>
      <c r="L394" s="2" t="s">
        <v>38</v>
      </c>
      <c r="M394" s="8" t="str">
        <f>HYPERLINK("http://slimages.macys.com/is/image/MCY/13987491 ")</f>
        <v xml:space="preserve">http://slimages.macys.com/is/image/MCY/13987491 </v>
      </c>
    </row>
    <row r="395" spans="1:13" ht="60" x14ac:dyDescent="0.25">
      <c r="A395" s="7" t="s">
        <v>2274</v>
      </c>
      <c r="B395" s="2" t="s">
        <v>1253</v>
      </c>
      <c r="C395" s="4">
        <v>1</v>
      </c>
      <c r="D395" s="5">
        <v>2.61</v>
      </c>
      <c r="E395" s="5">
        <v>6.99</v>
      </c>
      <c r="F395" s="4" t="s">
        <v>1254</v>
      </c>
      <c r="G395" s="2" t="s">
        <v>171</v>
      </c>
      <c r="H395" s="7" t="s">
        <v>590</v>
      </c>
      <c r="I395" s="2" t="s">
        <v>483</v>
      </c>
      <c r="J395" s="2" t="s">
        <v>536</v>
      </c>
      <c r="K395" s="2" t="s">
        <v>304</v>
      </c>
      <c r="L395" s="2" t="s">
        <v>38</v>
      </c>
      <c r="M395" s="8" t="str">
        <f>HYPERLINK("http://slimages.macys.com/is/image/MCY/13987491 ")</f>
        <v xml:space="preserve">http://slimages.macys.com/is/image/MCY/13987491 </v>
      </c>
    </row>
    <row r="396" spans="1:13" ht="60" x14ac:dyDescent="0.25">
      <c r="A396" s="7" t="s">
        <v>1252</v>
      </c>
      <c r="B396" s="2" t="s">
        <v>1253</v>
      </c>
      <c r="C396" s="4">
        <v>1</v>
      </c>
      <c r="D396" s="5">
        <v>2.61</v>
      </c>
      <c r="E396" s="5">
        <v>6.99</v>
      </c>
      <c r="F396" s="4" t="s">
        <v>1254</v>
      </c>
      <c r="G396" s="2" t="s">
        <v>171</v>
      </c>
      <c r="H396" s="7" t="s">
        <v>149</v>
      </c>
      <c r="I396" s="2" t="s">
        <v>483</v>
      </c>
      <c r="J396" s="2" t="s">
        <v>536</v>
      </c>
      <c r="K396" s="2" t="s">
        <v>304</v>
      </c>
      <c r="L396" s="2" t="s">
        <v>38</v>
      </c>
      <c r="M396" s="8" t="str">
        <f>HYPERLINK("http://slimages.macys.com/is/image/MCY/13987491 ")</f>
        <v xml:space="preserve">http://slimages.macys.com/is/image/MCY/13987491 </v>
      </c>
    </row>
    <row r="397" spans="1:13" ht="60" x14ac:dyDescent="0.25">
      <c r="A397" s="7" t="s">
        <v>5690</v>
      </c>
      <c r="B397" s="2" t="s">
        <v>1312</v>
      </c>
      <c r="C397" s="4">
        <v>1</v>
      </c>
      <c r="D397" s="5">
        <v>2.59</v>
      </c>
      <c r="E397" s="5">
        <v>7.99</v>
      </c>
      <c r="F397" s="4">
        <v>10005378600</v>
      </c>
      <c r="G397" s="2" t="s">
        <v>437</v>
      </c>
      <c r="H397" s="7" t="s">
        <v>590</v>
      </c>
      <c r="I397" s="2" t="s">
        <v>483</v>
      </c>
      <c r="J397" s="2" t="s">
        <v>536</v>
      </c>
      <c r="K397" s="2" t="s">
        <v>304</v>
      </c>
      <c r="L397" s="2" t="s">
        <v>100</v>
      </c>
      <c r="M397" s="8" t="str">
        <f>HYPERLINK("http://slimages.macys.com/is/image/MCY/12633240 ")</f>
        <v xml:space="preserve">http://slimages.macys.com/is/image/MCY/12633240 </v>
      </c>
    </row>
    <row r="398" spans="1:13" ht="60" x14ac:dyDescent="0.25">
      <c r="A398" s="7" t="s">
        <v>5691</v>
      </c>
      <c r="B398" s="2" t="s">
        <v>5692</v>
      </c>
      <c r="C398" s="4">
        <v>1</v>
      </c>
      <c r="D398" s="5">
        <v>2.5499999999999998</v>
      </c>
      <c r="E398" s="5">
        <v>6.99</v>
      </c>
      <c r="F398" s="4">
        <v>10004349400</v>
      </c>
      <c r="G398" s="2" t="s">
        <v>1360</v>
      </c>
      <c r="H398" s="7" t="s">
        <v>149</v>
      </c>
      <c r="I398" s="2" t="s">
        <v>483</v>
      </c>
      <c r="J398" s="2" t="s">
        <v>536</v>
      </c>
      <c r="K398" s="2" t="s">
        <v>304</v>
      </c>
      <c r="L398" s="2" t="s">
        <v>206</v>
      </c>
      <c r="M398" s="8" t="str">
        <f>HYPERLINK("http://slimages.macys.com/is/image/MCY/11434525 ")</f>
        <v xml:space="preserve">http://slimages.macys.com/is/image/MCY/11434525 </v>
      </c>
    </row>
    <row r="399" spans="1:13" ht="60" x14ac:dyDescent="0.25">
      <c r="A399" s="7" t="s">
        <v>5693</v>
      </c>
      <c r="B399" s="2" t="s">
        <v>5694</v>
      </c>
      <c r="C399" s="4">
        <v>1</v>
      </c>
      <c r="D399" s="5">
        <v>2.5499999999999998</v>
      </c>
      <c r="E399" s="5">
        <v>6.99</v>
      </c>
      <c r="F399" s="4" t="s">
        <v>5695</v>
      </c>
      <c r="G399" s="2" t="s">
        <v>2107</v>
      </c>
      <c r="H399" s="7"/>
      <c r="I399" s="2" t="s">
        <v>483</v>
      </c>
      <c r="J399" s="2" t="s">
        <v>536</v>
      </c>
      <c r="K399" s="2" t="s">
        <v>304</v>
      </c>
      <c r="L399" s="2" t="s">
        <v>206</v>
      </c>
      <c r="M399" s="8" t="str">
        <f>HYPERLINK("http://slimages.macys.com/is/image/MCY/11436886 ")</f>
        <v xml:space="preserve">http://slimages.macys.com/is/image/MCY/11436886 </v>
      </c>
    </row>
    <row r="400" spans="1:13" ht="60" x14ac:dyDescent="0.25">
      <c r="A400" s="7" t="s">
        <v>2282</v>
      </c>
      <c r="B400" s="2" t="s">
        <v>2283</v>
      </c>
      <c r="C400" s="4">
        <v>1</v>
      </c>
      <c r="D400" s="5">
        <v>2.5499999999999998</v>
      </c>
      <c r="E400" s="5">
        <v>5.99</v>
      </c>
      <c r="F400" s="4" t="s">
        <v>2284</v>
      </c>
      <c r="G400" s="2" t="s">
        <v>86</v>
      </c>
      <c r="H400" s="7" t="s">
        <v>149</v>
      </c>
      <c r="I400" s="2" t="s">
        <v>483</v>
      </c>
      <c r="J400" s="2" t="s">
        <v>536</v>
      </c>
      <c r="K400" s="2" t="s">
        <v>304</v>
      </c>
      <c r="L400" s="2" t="s">
        <v>206</v>
      </c>
      <c r="M400" s="8" t="str">
        <f>HYPERLINK("http://slimages.macys.com/is/image/MCY/11436902 ")</f>
        <v xml:space="preserve">http://slimages.macys.com/is/image/MCY/11436902 </v>
      </c>
    </row>
    <row r="401" spans="1:13" ht="60" x14ac:dyDescent="0.25">
      <c r="A401" s="7" t="s">
        <v>5696</v>
      </c>
      <c r="B401" s="2" t="s">
        <v>5697</v>
      </c>
      <c r="C401" s="4">
        <v>1</v>
      </c>
      <c r="D401" s="5">
        <v>2.5499999999999998</v>
      </c>
      <c r="E401" s="5">
        <v>6.99</v>
      </c>
      <c r="F401" s="4" t="s">
        <v>5698</v>
      </c>
      <c r="G401" s="2" t="s">
        <v>171</v>
      </c>
      <c r="H401" s="7" t="s">
        <v>590</v>
      </c>
      <c r="I401" s="2" t="s">
        <v>483</v>
      </c>
      <c r="J401" s="2" t="s">
        <v>536</v>
      </c>
      <c r="K401" s="2" t="s">
        <v>304</v>
      </c>
      <c r="L401" s="2" t="s">
        <v>38</v>
      </c>
      <c r="M401" s="8" t="str">
        <f>HYPERLINK("http://slimages.macys.com/is/image/MCY/11435769 ")</f>
        <v xml:space="preserve">http://slimages.macys.com/is/image/MCY/11435769 </v>
      </c>
    </row>
    <row r="402" spans="1:13" ht="60" x14ac:dyDescent="0.25">
      <c r="A402" s="7" t="s">
        <v>5699</v>
      </c>
      <c r="B402" s="2" t="s">
        <v>5692</v>
      </c>
      <c r="C402" s="4">
        <v>1</v>
      </c>
      <c r="D402" s="5">
        <v>2.5499999999999998</v>
      </c>
      <c r="E402" s="5">
        <v>6.99</v>
      </c>
      <c r="F402" s="4">
        <v>10004349400</v>
      </c>
      <c r="G402" s="2" t="s">
        <v>1360</v>
      </c>
      <c r="H402" s="7" t="s">
        <v>590</v>
      </c>
      <c r="I402" s="2" t="s">
        <v>483</v>
      </c>
      <c r="J402" s="2" t="s">
        <v>536</v>
      </c>
      <c r="K402" s="2" t="s">
        <v>304</v>
      </c>
      <c r="L402" s="2" t="s">
        <v>206</v>
      </c>
      <c r="M402" s="8" t="str">
        <f>HYPERLINK("http://slimages.macys.com/is/image/MCY/11434525 ")</f>
        <v xml:space="preserve">http://slimages.macys.com/is/image/MCY/11434525 </v>
      </c>
    </row>
    <row r="403" spans="1:13" ht="60" x14ac:dyDescent="0.25">
      <c r="A403" s="7" t="s">
        <v>5700</v>
      </c>
      <c r="B403" s="2" t="s">
        <v>5694</v>
      </c>
      <c r="C403" s="4">
        <v>2</v>
      </c>
      <c r="D403" s="5">
        <v>2.5499999999999998</v>
      </c>
      <c r="E403" s="5">
        <v>6.99</v>
      </c>
      <c r="F403" s="4" t="s">
        <v>5695</v>
      </c>
      <c r="G403" s="2" t="s">
        <v>2107</v>
      </c>
      <c r="H403" s="7" t="s">
        <v>482</v>
      </c>
      <c r="I403" s="2" t="s">
        <v>483</v>
      </c>
      <c r="J403" s="2" t="s">
        <v>536</v>
      </c>
      <c r="K403" s="2" t="s">
        <v>304</v>
      </c>
      <c r="L403" s="2" t="s">
        <v>206</v>
      </c>
      <c r="M403" s="8" t="str">
        <f>HYPERLINK("http://slimages.macys.com/is/image/MCY/11436886 ")</f>
        <v xml:space="preserve">http://slimages.macys.com/is/image/MCY/11436886 </v>
      </c>
    </row>
    <row r="404" spans="1:13" ht="60" x14ac:dyDescent="0.25">
      <c r="A404" s="7" t="s">
        <v>5701</v>
      </c>
      <c r="B404" s="2" t="s">
        <v>4536</v>
      </c>
      <c r="C404" s="4">
        <v>1</v>
      </c>
      <c r="D404" s="5">
        <v>2.5499999999999998</v>
      </c>
      <c r="E404" s="5">
        <v>6.99</v>
      </c>
      <c r="F404" s="4">
        <v>10005486300</v>
      </c>
      <c r="G404" s="2" t="s">
        <v>134</v>
      </c>
      <c r="H404" s="7" t="s">
        <v>590</v>
      </c>
      <c r="I404" s="2" t="s">
        <v>483</v>
      </c>
      <c r="J404" s="2" t="s">
        <v>536</v>
      </c>
      <c r="K404" s="2" t="s">
        <v>304</v>
      </c>
      <c r="L404" s="2" t="s">
        <v>119</v>
      </c>
      <c r="M404" s="8" t="str">
        <f>HYPERLINK("http://slimages.macys.com/is/image/MCY/12466262 ")</f>
        <v xml:space="preserve">http://slimages.macys.com/is/image/MCY/12466262 </v>
      </c>
    </row>
    <row r="405" spans="1:13" ht="60" x14ac:dyDescent="0.25">
      <c r="A405" s="7" t="s">
        <v>5702</v>
      </c>
      <c r="B405" s="2" t="s">
        <v>5697</v>
      </c>
      <c r="C405" s="4">
        <v>2</v>
      </c>
      <c r="D405" s="5">
        <v>2.5499999999999998</v>
      </c>
      <c r="E405" s="5">
        <v>6.99</v>
      </c>
      <c r="F405" s="4" t="s">
        <v>5698</v>
      </c>
      <c r="G405" s="2" t="s">
        <v>171</v>
      </c>
      <c r="H405" s="7" t="s">
        <v>442</v>
      </c>
      <c r="I405" s="2" t="s">
        <v>483</v>
      </c>
      <c r="J405" s="2" t="s">
        <v>536</v>
      </c>
      <c r="K405" s="2" t="s">
        <v>304</v>
      </c>
      <c r="L405" s="2" t="s">
        <v>38</v>
      </c>
      <c r="M405" s="8" t="str">
        <f>HYPERLINK("http://slimages.macys.com/is/image/MCY/11435769 ")</f>
        <v xml:space="preserve">http://slimages.macys.com/is/image/MCY/11435769 </v>
      </c>
    </row>
    <row r="406" spans="1:13" ht="60" x14ac:dyDescent="0.25">
      <c r="A406" s="7" t="s">
        <v>5703</v>
      </c>
      <c r="B406" s="2" t="s">
        <v>5697</v>
      </c>
      <c r="C406" s="4">
        <v>2</v>
      </c>
      <c r="D406" s="5">
        <v>2.5499999999999998</v>
      </c>
      <c r="E406" s="5">
        <v>6.99</v>
      </c>
      <c r="F406" s="4" t="s">
        <v>5698</v>
      </c>
      <c r="G406" s="2" t="s">
        <v>171</v>
      </c>
      <c r="H406" s="7" t="s">
        <v>149</v>
      </c>
      <c r="I406" s="2" t="s">
        <v>483</v>
      </c>
      <c r="J406" s="2" t="s">
        <v>536</v>
      </c>
      <c r="K406" s="2" t="s">
        <v>304</v>
      </c>
      <c r="L406" s="2" t="s">
        <v>38</v>
      </c>
      <c r="M406" s="8" t="str">
        <f>HYPERLINK("http://slimages.macys.com/is/image/MCY/11435769 ")</f>
        <v xml:space="preserve">http://slimages.macys.com/is/image/MCY/11435769 </v>
      </c>
    </row>
    <row r="407" spans="1:13" ht="60" x14ac:dyDescent="0.25">
      <c r="A407" s="7" t="s">
        <v>5704</v>
      </c>
      <c r="B407" s="2" t="s">
        <v>5697</v>
      </c>
      <c r="C407" s="4">
        <v>1</v>
      </c>
      <c r="D407" s="5">
        <v>2.5499999999999998</v>
      </c>
      <c r="E407" s="5">
        <v>6.99</v>
      </c>
      <c r="F407" s="4" t="s">
        <v>5698</v>
      </c>
      <c r="G407" s="2" t="s">
        <v>171</v>
      </c>
      <c r="H407" s="7"/>
      <c r="I407" s="2" t="s">
        <v>483</v>
      </c>
      <c r="J407" s="2" t="s">
        <v>536</v>
      </c>
      <c r="K407" s="2" t="s">
        <v>304</v>
      </c>
      <c r="L407" s="2" t="s">
        <v>38</v>
      </c>
      <c r="M407" s="8" t="str">
        <f>HYPERLINK("http://slimages.macys.com/is/image/MCY/11435769 ")</f>
        <v xml:space="preserve">http://slimages.macys.com/is/image/MCY/11435769 </v>
      </c>
    </row>
    <row r="408" spans="1:13" ht="84" x14ac:dyDescent="0.25">
      <c r="A408" s="7" t="s">
        <v>5705</v>
      </c>
      <c r="B408" s="2" t="s">
        <v>4538</v>
      </c>
      <c r="C408" s="4">
        <v>1</v>
      </c>
      <c r="D408" s="5">
        <v>2.5499999999999998</v>
      </c>
      <c r="E408" s="5">
        <v>6.99</v>
      </c>
      <c r="F408" s="4" t="s">
        <v>4539</v>
      </c>
      <c r="G408" s="2" t="s">
        <v>1265</v>
      </c>
      <c r="H408" s="7" t="s">
        <v>482</v>
      </c>
      <c r="I408" s="2" t="s">
        <v>483</v>
      </c>
      <c r="J408" s="2" t="s">
        <v>536</v>
      </c>
      <c r="K408" s="2" t="s">
        <v>304</v>
      </c>
      <c r="L408" s="2" t="s">
        <v>1308</v>
      </c>
      <c r="M408" s="8" t="str">
        <f>HYPERLINK("http://slimages.macys.com/is/image/MCY/13987471 ")</f>
        <v xml:space="preserve">http://slimages.macys.com/is/image/MCY/13987471 </v>
      </c>
    </row>
    <row r="409" spans="1:13" ht="60" x14ac:dyDescent="0.25">
      <c r="A409" s="7" t="s">
        <v>5706</v>
      </c>
      <c r="B409" s="2" t="s">
        <v>5707</v>
      </c>
      <c r="C409" s="4">
        <v>2</v>
      </c>
      <c r="D409" s="5">
        <v>2.54</v>
      </c>
      <c r="E409" s="5">
        <v>5.99</v>
      </c>
      <c r="F409" s="4" t="s">
        <v>5708</v>
      </c>
      <c r="G409" s="2" t="s">
        <v>1265</v>
      </c>
      <c r="H409" s="7" t="s">
        <v>149</v>
      </c>
      <c r="I409" s="2" t="s">
        <v>483</v>
      </c>
      <c r="J409" s="2" t="s">
        <v>536</v>
      </c>
      <c r="K409" s="2" t="s">
        <v>304</v>
      </c>
      <c r="L409" s="2" t="s">
        <v>206</v>
      </c>
      <c r="M409" s="8" t="str">
        <f>HYPERLINK("http://slimages.macys.com/is/image/MCY/11708647 ")</f>
        <v xml:space="preserve">http://slimages.macys.com/is/image/MCY/11708647 </v>
      </c>
    </row>
    <row r="410" spans="1:13" ht="60" x14ac:dyDescent="0.25">
      <c r="A410" s="7" t="s">
        <v>5709</v>
      </c>
      <c r="B410" s="2" t="s">
        <v>5710</v>
      </c>
      <c r="C410" s="4">
        <v>1</v>
      </c>
      <c r="D410" s="5">
        <v>2.54</v>
      </c>
      <c r="E410" s="5">
        <v>6.99</v>
      </c>
      <c r="F410" s="4">
        <v>10005487500</v>
      </c>
      <c r="G410" s="2" t="s">
        <v>1360</v>
      </c>
      <c r="H410" s="7"/>
      <c r="I410" s="2" t="s">
        <v>483</v>
      </c>
      <c r="J410" s="2" t="s">
        <v>536</v>
      </c>
      <c r="K410" s="2" t="s">
        <v>304</v>
      </c>
      <c r="L410" s="2" t="s">
        <v>38</v>
      </c>
      <c r="M410" s="8" t="str">
        <f>HYPERLINK("http://slimages.macys.com/is/image/MCY/12466277 ")</f>
        <v xml:space="preserve">http://slimages.macys.com/is/image/MCY/12466277 </v>
      </c>
    </row>
    <row r="411" spans="1:13" ht="60" x14ac:dyDescent="0.25">
      <c r="A411" s="7" t="s">
        <v>1271</v>
      </c>
      <c r="B411" s="2" t="s">
        <v>1269</v>
      </c>
      <c r="C411" s="4">
        <v>1</v>
      </c>
      <c r="D411" s="5">
        <v>2.54</v>
      </c>
      <c r="E411" s="5">
        <v>6.99</v>
      </c>
      <c r="F411" s="4" t="s">
        <v>1270</v>
      </c>
      <c r="G411" s="2" t="s">
        <v>41</v>
      </c>
      <c r="H411" s="7" t="s">
        <v>590</v>
      </c>
      <c r="I411" s="2" t="s">
        <v>483</v>
      </c>
      <c r="J411" s="2" t="s">
        <v>536</v>
      </c>
      <c r="K411" s="2" t="s">
        <v>304</v>
      </c>
      <c r="L411" s="2" t="s">
        <v>38</v>
      </c>
      <c r="M411" s="8" t="str">
        <f>HYPERLINK("http://slimages.macys.com/is/image/MCY/13987495 ")</f>
        <v xml:space="preserve">http://slimages.macys.com/is/image/MCY/13987495 </v>
      </c>
    </row>
    <row r="412" spans="1:13" ht="60" x14ac:dyDescent="0.25">
      <c r="A412" s="7" t="s">
        <v>5711</v>
      </c>
      <c r="B412" s="2" t="s">
        <v>5712</v>
      </c>
      <c r="C412" s="4">
        <v>1</v>
      </c>
      <c r="D412" s="5">
        <v>2.5299999999999998</v>
      </c>
      <c r="E412" s="5">
        <v>5.99</v>
      </c>
      <c r="F412" s="4" t="s">
        <v>5713</v>
      </c>
      <c r="G412" s="2" t="s">
        <v>28</v>
      </c>
      <c r="H412" s="7" t="s">
        <v>590</v>
      </c>
      <c r="I412" s="2" t="s">
        <v>483</v>
      </c>
      <c r="J412" s="2" t="s">
        <v>536</v>
      </c>
      <c r="K412" s="2" t="s">
        <v>304</v>
      </c>
      <c r="L412" s="2" t="s">
        <v>206</v>
      </c>
      <c r="M412" s="8" t="str">
        <f>HYPERLINK("http://slimages.macys.com/is/image/MCY/13386207 ")</f>
        <v xml:space="preserve">http://slimages.macys.com/is/image/MCY/13386207 </v>
      </c>
    </row>
    <row r="413" spans="1:13" ht="60" x14ac:dyDescent="0.25">
      <c r="A413" s="7" t="s">
        <v>4544</v>
      </c>
      <c r="B413" s="2" t="s">
        <v>4545</v>
      </c>
      <c r="C413" s="4">
        <v>1</v>
      </c>
      <c r="D413" s="5">
        <v>2.5299999999999998</v>
      </c>
      <c r="E413" s="5">
        <v>5.99</v>
      </c>
      <c r="F413" s="4" t="s">
        <v>4546</v>
      </c>
      <c r="G413" s="2" t="s">
        <v>657</v>
      </c>
      <c r="H413" s="7" t="s">
        <v>91</v>
      </c>
      <c r="I413" s="2" t="s">
        <v>483</v>
      </c>
      <c r="J413" s="2" t="s">
        <v>536</v>
      </c>
      <c r="K413" s="2" t="s">
        <v>304</v>
      </c>
      <c r="L413" s="2" t="s">
        <v>119</v>
      </c>
      <c r="M413" s="8" t="str">
        <f>HYPERLINK("http://slimages.macys.com/is/image/MCY/11856951 ")</f>
        <v xml:space="preserve">http://slimages.macys.com/is/image/MCY/11856951 </v>
      </c>
    </row>
    <row r="414" spans="1:13" ht="60" x14ac:dyDescent="0.25">
      <c r="A414" s="7" t="s">
        <v>5714</v>
      </c>
      <c r="B414" s="2" t="s">
        <v>5715</v>
      </c>
      <c r="C414" s="4">
        <v>1</v>
      </c>
      <c r="D414" s="5">
        <v>2.5299999999999998</v>
      </c>
      <c r="E414" s="5">
        <v>5.99</v>
      </c>
      <c r="F414" s="4" t="s">
        <v>5716</v>
      </c>
      <c r="G414" s="2" t="s">
        <v>657</v>
      </c>
      <c r="H414" s="7" t="s">
        <v>149</v>
      </c>
      <c r="I414" s="2" t="s">
        <v>483</v>
      </c>
      <c r="J414" s="2" t="s">
        <v>536</v>
      </c>
      <c r="K414" s="2" t="s">
        <v>304</v>
      </c>
      <c r="L414" s="2" t="s">
        <v>119</v>
      </c>
      <c r="M414" s="8" t="str">
        <f>HYPERLINK("http://slimages.macys.com/is/image/MCY/12228382 ")</f>
        <v xml:space="preserve">http://slimages.macys.com/is/image/MCY/12228382 </v>
      </c>
    </row>
    <row r="415" spans="1:13" ht="60" x14ac:dyDescent="0.25">
      <c r="A415" s="7" t="s">
        <v>5717</v>
      </c>
      <c r="B415" s="2" t="s">
        <v>5718</v>
      </c>
      <c r="C415" s="4">
        <v>1</v>
      </c>
      <c r="D415" s="5">
        <v>2.5099999999999998</v>
      </c>
      <c r="E415" s="5">
        <v>5.99</v>
      </c>
      <c r="F415" s="4" t="s">
        <v>5719</v>
      </c>
      <c r="G415" s="2" t="s">
        <v>1302</v>
      </c>
      <c r="H415" s="7" t="s">
        <v>91</v>
      </c>
      <c r="I415" s="2" t="s">
        <v>483</v>
      </c>
      <c r="J415" s="2" t="s">
        <v>536</v>
      </c>
      <c r="K415" s="2" t="s">
        <v>304</v>
      </c>
      <c r="L415" s="2" t="s">
        <v>119</v>
      </c>
      <c r="M415" s="8" t="str">
        <f>HYPERLINK("http://slimages.macys.com/is/image/MCY/11855981 ")</f>
        <v xml:space="preserve">http://slimages.macys.com/is/image/MCY/11855981 </v>
      </c>
    </row>
    <row r="416" spans="1:13" ht="60" x14ac:dyDescent="0.25">
      <c r="A416" s="7" t="s">
        <v>3522</v>
      </c>
      <c r="B416" s="2" t="s">
        <v>3523</v>
      </c>
      <c r="C416" s="4">
        <v>2</v>
      </c>
      <c r="D416" s="5">
        <v>2.5099999999999998</v>
      </c>
      <c r="E416" s="5">
        <v>5.99</v>
      </c>
      <c r="F416" s="4" t="s">
        <v>3524</v>
      </c>
      <c r="G416" s="2" t="s">
        <v>657</v>
      </c>
      <c r="H416" s="7" t="s">
        <v>42</v>
      </c>
      <c r="I416" s="2" t="s">
        <v>483</v>
      </c>
      <c r="J416" s="2" t="s">
        <v>536</v>
      </c>
      <c r="K416" s="2" t="s">
        <v>304</v>
      </c>
      <c r="L416" s="2" t="s">
        <v>119</v>
      </c>
      <c r="M416" s="8" t="str">
        <f>HYPERLINK("http://slimages.macys.com/is/image/MCY/13987476 ")</f>
        <v xml:space="preserve">http://slimages.macys.com/is/image/MCY/13987476 </v>
      </c>
    </row>
    <row r="417" spans="1:13" ht="60" x14ac:dyDescent="0.25">
      <c r="A417" s="7" t="s">
        <v>5720</v>
      </c>
      <c r="B417" s="2" t="s">
        <v>5721</v>
      </c>
      <c r="C417" s="4">
        <v>1</v>
      </c>
      <c r="D417" s="5">
        <v>2.5</v>
      </c>
      <c r="E417" s="5">
        <v>5.99</v>
      </c>
      <c r="F417" s="4" t="s">
        <v>5722</v>
      </c>
      <c r="G417" s="2" t="s">
        <v>793</v>
      </c>
      <c r="H417" s="7" t="s">
        <v>217</v>
      </c>
      <c r="I417" s="2" t="s">
        <v>468</v>
      </c>
      <c r="J417" s="2" t="s">
        <v>544</v>
      </c>
      <c r="K417" s="2" t="s">
        <v>304</v>
      </c>
      <c r="L417" s="2" t="s">
        <v>38</v>
      </c>
      <c r="M417" s="8" t="str">
        <f>HYPERLINK("http://slimages.macys.com/is/image/MCY/12228345 ")</f>
        <v xml:space="preserve">http://slimages.macys.com/is/image/MCY/12228345 </v>
      </c>
    </row>
    <row r="418" spans="1:13" ht="60" x14ac:dyDescent="0.25">
      <c r="A418" s="7" t="s">
        <v>5723</v>
      </c>
      <c r="B418" s="2" t="s">
        <v>2725</v>
      </c>
      <c r="C418" s="4">
        <v>1</v>
      </c>
      <c r="D418" s="5">
        <v>2.5</v>
      </c>
      <c r="E418" s="5">
        <v>5.99</v>
      </c>
      <c r="F418" s="4" t="s">
        <v>2726</v>
      </c>
      <c r="G418" s="2" t="s">
        <v>2107</v>
      </c>
      <c r="H418" s="7" t="s">
        <v>42</v>
      </c>
      <c r="I418" s="2" t="s">
        <v>483</v>
      </c>
      <c r="J418" s="2" t="s">
        <v>536</v>
      </c>
      <c r="K418" s="2" t="s">
        <v>304</v>
      </c>
      <c r="L418" s="2" t="s">
        <v>87</v>
      </c>
      <c r="M418" s="8" t="str">
        <f>HYPERLINK("http://slimages.macys.com/is/image/MCY/11524101 ")</f>
        <v xml:space="preserve">http://slimages.macys.com/is/image/MCY/11524101 </v>
      </c>
    </row>
    <row r="419" spans="1:13" ht="60" x14ac:dyDescent="0.25">
      <c r="A419" s="7" t="s">
        <v>5724</v>
      </c>
      <c r="B419" s="2" t="s">
        <v>5725</v>
      </c>
      <c r="C419" s="4">
        <v>1</v>
      </c>
      <c r="D419" s="5">
        <v>2.5</v>
      </c>
      <c r="E419" s="5">
        <v>5.99</v>
      </c>
      <c r="F419" s="4" t="s">
        <v>5726</v>
      </c>
      <c r="G419" s="2" t="s">
        <v>41</v>
      </c>
      <c r="H419" s="7" t="s">
        <v>317</v>
      </c>
      <c r="I419" s="2" t="s">
        <v>380</v>
      </c>
      <c r="J419" s="2" t="s">
        <v>544</v>
      </c>
      <c r="K419" s="2" t="s">
        <v>304</v>
      </c>
      <c r="L419" s="2" t="s">
        <v>206</v>
      </c>
      <c r="M419" s="8" t="str">
        <f>HYPERLINK("http://slimages.macys.com/is/image/MCY/12282685 ")</f>
        <v xml:space="preserve">http://slimages.macys.com/is/image/MCY/12282685 </v>
      </c>
    </row>
    <row r="420" spans="1:13" ht="60" x14ac:dyDescent="0.25">
      <c r="A420" s="7" t="s">
        <v>5727</v>
      </c>
      <c r="B420" s="2" t="s">
        <v>5728</v>
      </c>
      <c r="C420" s="4">
        <v>2</v>
      </c>
      <c r="D420" s="5">
        <v>2.4900000000000002</v>
      </c>
      <c r="E420" s="5">
        <v>6.99</v>
      </c>
      <c r="F420" s="4" t="s">
        <v>5729</v>
      </c>
      <c r="G420" s="2" t="s">
        <v>657</v>
      </c>
      <c r="H420" s="7" t="s">
        <v>442</v>
      </c>
      <c r="I420" s="2" t="s">
        <v>483</v>
      </c>
      <c r="J420" s="2" t="s">
        <v>536</v>
      </c>
      <c r="K420" s="2" t="s">
        <v>304</v>
      </c>
      <c r="L420" s="2" t="s">
        <v>119</v>
      </c>
      <c r="M420" s="8" t="str">
        <f>HYPERLINK("http://slimages.macys.com/is/image/MCY/11792612 ")</f>
        <v xml:space="preserve">http://slimages.macys.com/is/image/MCY/11792612 </v>
      </c>
    </row>
    <row r="421" spans="1:13" ht="60" x14ac:dyDescent="0.25">
      <c r="A421" s="7" t="s">
        <v>5730</v>
      </c>
      <c r="B421" s="2" t="s">
        <v>5731</v>
      </c>
      <c r="C421" s="4">
        <v>1</v>
      </c>
      <c r="D421" s="5">
        <v>2.4900000000000002</v>
      </c>
      <c r="E421" s="5">
        <v>5.99</v>
      </c>
      <c r="F421" s="4" t="s">
        <v>5732</v>
      </c>
      <c r="G421" s="2" t="s">
        <v>657</v>
      </c>
      <c r="H421" s="7" t="s">
        <v>442</v>
      </c>
      <c r="I421" s="2" t="s">
        <v>483</v>
      </c>
      <c r="J421" s="2" t="s">
        <v>536</v>
      </c>
      <c r="K421" s="2" t="s">
        <v>304</v>
      </c>
      <c r="L421" s="2" t="s">
        <v>119</v>
      </c>
      <c r="M421" s="8" t="str">
        <f>HYPERLINK("http://slimages.macys.com/is/image/MCY/13987264 ")</f>
        <v xml:space="preserve">http://slimages.macys.com/is/image/MCY/13987264 </v>
      </c>
    </row>
    <row r="422" spans="1:13" ht="84" x14ac:dyDescent="0.25">
      <c r="A422" s="7" t="s">
        <v>5733</v>
      </c>
      <c r="B422" s="2" t="s">
        <v>1307</v>
      </c>
      <c r="C422" s="4">
        <v>1</v>
      </c>
      <c r="D422" s="5">
        <v>2.4900000000000002</v>
      </c>
      <c r="E422" s="5">
        <v>6.99</v>
      </c>
      <c r="F422" s="4">
        <v>10006315700</v>
      </c>
      <c r="G422" s="2" t="s">
        <v>41</v>
      </c>
      <c r="H422" s="7" t="s">
        <v>482</v>
      </c>
      <c r="I422" s="2" t="s">
        <v>483</v>
      </c>
      <c r="J422" s="2" t="s">
        <v>536</v>
      </c>
      <c r="K422" s="2" t="s">
        <v>304</v>
      </c>
      <c r="L422" s="2" t="s">
        <v>1308</v>
      </c>
      <c r="M422" s="8" t="str">
        <f>HYPERLINK("http://slimages.macys.com/is/image/MCY/13987457 ")</f>
        <v xml:space="preserve">http://slimages.macys.com/is/image/MCY/13987457 </v>
      </c>
    </row>
    <row r="423" spans="1:13" ht="60" x14ac:dyDescent="0.25">
      <c r="A423" s="7" t="s">
        <v>621</v>
      </c>
      <c r="B423" s="2" t="s">
        <v>622</v>
      </c>
      <c r="C423" s="4">
        <v>2</v>
      </c>
      <c r="D423" s="5">
        <v>2.48</v>
      </c>
      <c r="E423" s="5">
        <v>7.99</v>
      </c>
      <c r="F423" s="4">
        <v>10005379300</v>
      </c>
      <c r="G423" s="2" t="s">
        <v>437</v>
      </c>
      <c r="H423" s="7" t="s">
        <v>590</v>
      </c>
      <c r="I423" s="2" t="s">
        <v>483</v>
      </c>
      <c r="J423" s="2" t="s">
        <v>536</v>
      </c>
      <c r="K423" s="2" t="s">
        <v>304</v>
      </c>
      <c r="L423" s="2" t="s">
        <v>623</v>
      </c>
      <c r="M423" s="8" t="str">
        <f>HYPERLINK("http://slimages.macys.com/is/image/MCY/12465415 ")</f>
        <v xml:space="preserve">http://slimages.macys.com/is/image/MCY/12465415 </v>
      </c>
    </row>
    <row r="424" spans="1:13" ht="60" x14ac:dyDescent="0.25">
      <c r="A424" s="7" t="s">
        <v>2310</v>
      </c>
      <c r="B424" s="2" t="s">
        <v>622</v>
      </c>
      <c r="C424" s="4">
        <v>2</v>
      </c>
      <c r="D424" s="5">
        <v>2.48</v>
      </c>
      <c r="E424" s="5">
        <v>7.99</v>
      </c>
      <c r="F424" s="4">
        <v>10005379300</v>
      </c>
      <c r="G424" s="2" t="s">
        <v>62</v>
      </c>
      <c r="H424" s="7"/>
      <c r="I424" s="2" t="s">
        <v>483</v>
      </c>
      <c r="J424" s="2" t="s">
        <v>536</v>
      </c>
      <c r="K424" s="2" t="s">
        <v>304</v>
      </c>
      <c r="L424" s="2" t="s">
        <v>623</v>
      </c>
      <c r="M424" s="8" t="str">
        <f>HYPERLINK("http://slimages.macys.com/is/image/MCY/12465415 ")</f>
        <v xml:space="preserve">http://slimages.macys.com/is/image/MCY/12465415 </v>
      </c>
    </row>
    <row r="425" spans="1:13" ht="60" x14ac:dyDescent="0.25">
      <c r="A425" s="7" t="s">
        <v>2314</v>
      </c>
      <c r="B425" s="2" t="s">
        <v>622</v>
      </c>
      <c r="C425" s="4">
        <v>3</v>
      </c>
      <c r="D425" s="5">
        <v>2.48</v>
      </c>
      <c r="E425" s="5">
        <v>7.99</v>
      </c>
      <c r="F425" s="4">
        <v>10005379300</v>
      </c>
      <c r="G425" s="2" t="s">
        <v>437</v>
      </c>
      <c r="H425" s="7"/>
      <c r="I425" s="2" t="s">
        <v>483</v>
      </c>
      <c r="J425" s="2" t="s">
        <v>536</v>
      </c>
      <c r="K425" s="2" t="s">
        <v>304</v>
      </c>
      <c r="L425" s="2" t="s">
        <v>623</v>
      </c>
      <c r="M425" s="8" t="str">
        <f>HYPERLINK("http://slimages.macys.com/is/image/MCY/12465415 ")</f>
        <v xml:space="preserve">http://slimages.macys.com/is/image/MCY/12465415 </v>
      </c>
    </row>
    <row r="426" spans="1:13" ht="60" x14ac:dyDescent="0.25">
      <c r="A426" s="7" t="s">
        <v>2313</v>
      </c>
      <c r="B426" s="2" t="s">
        <v>622</v>
      </c>
      <c r="C426" s="4">
        <v>2</v>
      </c>
      <c r="D426" s="5">
        <v>2.48</v>
      </c>
      <c r="E426" s="5">
        <v>7.99</v>
      </c>
      <c r="F426" s="4">
        <v>10005379300</v>
      </c>
      <c r="G426" s="2" t="s">
        <v>437</v>
      </c>
      <c r="H426" s="7" t="s">
        <v>149</v>
      </c>
      <c r="I426" s="2" t="s">
        <v>483</v>
      </c>
      <c r="J426" s="2" t="s">
        <v>536</v>
      </c>
      <c r="K426" s="2" t="s">
        <v>304</v>
      </c>
      <c r="L426" s="2" t="s">
        <v>623</v>
      </c>
      <c r="M426" s="8" t="str">
        <f>HYPERLINK("http://slimages.macys.com/is/image/MCY/12465415 ")</f>
        <v xml:space="preserve">http://slimages.macys.com/is/image/MCY/12465415 </v>
      </c>
    </row>
    <row r="427" spans="1:13" ht="60" x14ac:dyDescent="0.25">
      <c r="A427" s="7" t="s">
        <v>2309</v>
      </c>
      <c r="B427" s="2" t="s">
        <v>622</v>
      </c>
      <c r="C427" s="4">
        <v>1</v>
      </c>
      <c r="D427" s="5">
        <v>2.48</v>
      </c>
      <c r="E427" s="5">
        <v>7.99</v>
      </c>
      <c r="F427" s="4">
        <v>10005379300</v>
      </c>
      <c r="G427" s="2" t="s">
        <v>437</v>
      </c>
      <c r="H427" s="7" t="s">
        <v>482</v>
      </c>
      <c r="I427" s="2" t="s">
        <v>483</v>
      </c>
      <c r="J427" s="2" t="s">
        <v>536</v>
      </c>
      <c r="K427" s="2" t="s">
        <v>304</v>
      </c>
      <c r="L427" s="2" t="s">
        <v>623</v>
      </c>
      <c r="M427" s="8" t="str">
        <f>HYPERLINK("http://slimages.macys.com/is/image/MCY/12465415 ")</f>
        <v xml:space="preserve">http://slimages.macys.com/is/image/MCY/12465415 </v>
      </c>
    </row>
    <row r="428" spans="1:13" ht="60" x14ac:dyDescent="0.25">
      <c r="A428" s="7" t="s">
        <v>5734</v>
      </c>
      <c r="B428" s="2" t="s">
        <v>5735</v>
      </c>
      <c r="C428" s="4">
        <v>1</v>
      </c>
      <c r="D428" s="5">
        <v>2.44</v>
      </c>
      <c r="E428" s="5">
        <v>6.99</v>
      </c>
      <c r="F428" s="4">
        <v>100022480</v>
      </c>
      <c r="G428" s="2" t="s">
        <v>41</v>
      </c>
      <c r="H428" s="7" t="s">
        <v>590</v>
      </c>
      <c r="I428" s="2" t="s">
        <v>483</v>
      </c>
      <c r="J428" s="2" t="s">
        <v>536</v>
      </c>
      <c r="K428" s="2" t="s">
        <v>304</v>
      </c>
      <c r="L428" s="2" t="s">
        <v>75</v>
      </c>
      <c r="M428" s="8" t="str">
        <f>HYPERLINK("http://slimages.macys.com/is/image/MCY/9809091 ")</f>
        <v xml:space="preserve">http://slimages.macys.com/is/image/MCY/9809091 </v>
      </c>
    </row>
    <row r="429" spans="1:13" ht="108" x14ac:dyDescent="0.25">
      <c r="A429" s="7" t="s">
        <v>5736</v>
      </c>
      <c r="B429" s="2" t="s">
        <v>2322</v>
      </c>
      <c r="C429" s="4">
        <v>1</v>
      </c>
      <c r="D429" s="5">
        <v>2.4300000000000002</v>
      </c>
      <c r="E429" s="5">
        <v>7.99</v>
      </c>
      <c r="F429" s="4" t="s">
        <v>2323</v>
      </c>
      <c r="G429" s="2" t="s">
        <v>41</v>
      </c>
      <c r="H429" s="7" t="s">
        <v>442</v>
      </c>
      <c r="I429" s="2" t="s">
        <v>483</v>
      </c>
      <c r="J429" s="2" t="s">
        <v>536</v>
      </c>
      <c r="K429" s="2" t="s">
        <v>304</v>
      </c>
      <c r="L429" s="2" t="s">
        <v>2324</v>
      </c>
      <c r="M429" s="8" t="str">
        <f>HYPERLINK("http://slimages.macys.com/is/image/MCY/14384998 ")</f>
        <v xml:space="preserve">http://slimages.macys.com/is/image/MCY/14384998 </v>
      </c>
    </row>
    <row r="430" spans="1:13" ht="108" x14ac:dyDescent="0.25">
      <c r="A430" s="7" t="s">
        <v>2321</v>
      </c>
      <c r="B430" s="2" t="s">
        <v>2322</v>
      </c>
      <c r="C430" s="4">
        <v>2</v>
      </c>
      <c r="D430" s="5">
        <v>2.4300000000000002</v>
      </c>
      <c r="E430" s="5">
        <v>7.99</v>
      </c>
      <c r="F430" s="4" t="s">
        <v>2323</v>
      </c>
      <c r="G430" s="2" t="s">
        <v>41</v>
      </c>
      <c r="H430" s="7"/>
      <c r="I430" s="2" t="s">
        <v>483</v>
      </c>
      <c r="J430" s="2" t="s">
        <v>536</v>
      </c>
      <c r="K430" s="2" t="s">
        <v>304</v>
      </c>
      <c r="L430" s="2" t="s">
        <v>2324</v>
      </c>
      <c r="M430" s="8" t="str">
        <f>HYPERLINK("http://slimages.macys.com/is/image/MCY/14384998 ")</f>
        <v xml:space="preserve">http://slimages.macys.com/is/image/MCY/14384998 </v>
      </c>
    </row>
    <row r="431" spans="1:13" ht="60" x14ac:dyDescent="0.25">
      <c r="A431" s="7" t="s">
        <v>5737</v>
      </c>
      <c r="B431" s="2" t="s">
        <v>5738</v>
      </c>
      <c r="C431" s="4">
        <v>2</v>
      </c>
      <c r="D431" s="5">
        <v>2.41</v>
      </c>
      <c r="E431" s="5">
        <v>5.99</v>
      </c>
      <c r="F431" s="4" t="s">
        <v>5739</v>
      </c>
      <c r="G431" s="2" t="s">
        <v>1360</v>
      </c>
      <c r="H431" s="7" t="s">
        <v>149</v>
      </c>
      <c r="I431" s="2" t="s">
        <v>483</v>
      </c>
      <c r="J431" s="2" t="s">
        <v>536</v>
      </c>
      <c r="K431" s="2" t="s">
        <v>304</v>
      </c>
      <c r="L431" s="2" t="s">
        <v>119</v>
      </c>
      <c r="M431" s="8" t="str">
        <f>HYPERLINK("http://slimages.macys.com/is/image/MCY/12641081 ")</f>
        <v xml:space="preserve">http://slimages.macys.com/is/image/MCY/12641081 </v>
      </c>
    </row>
    <row r="432" spans="1:13" ht="60" x14ac:dyDescent="0.25">
      <c r="A432" s="7" t="s">
        <v>5740</v>
      </c>
      <c r="B432" s="2" t="s">
        <v>5738</v>
      </c>
      <c r="C432" s="4">
        <v>5</v>
      </c>
      <c r="D432" s="5">
        <v>2.41</v>
      </c>
      <c r="E432" s="5">
        <v>5.99</v>
      </c>
      <c r="F432" s="4" t="s">
        <v>5739</v>
      </c>
      <c r="G432" s="2" t="s">
        <v>1360</v>
      </c>
      <c r="H432" s="7" t="s">
        <v>42</v>
      </c>
      <c r="I432" s="2" t="s">
        <v>483</v>
      </c>
      <c r="J432" s="2" t="s">
        <v>536</v>
      </c>
      <c r="K432" s="2" t="s">
        <v>304</v>
      </c>
      <c r="L432" s="2" t="s">
        <v>119</v>
      </c>
      <c r="M432" s="8" t="str">
        <f>HYPERLINK("http://slimages.macys.com/is/image/MCY/12641081 ")</f>
        <v xml:space="preserve">http://slimages.macys.com/is/image/MCY/12641081 </v>
      </c>
    </row>
    <row r="433" spans="1:13" ht="60" x14ac:dyDescent="0.25">
      <c r="A433" s="7" t="s">
        <v>5741</v>
      </c>
      <c r="B433" s="2" t="s">
        <v>5738</v>
      </c>
      <c r="C433" s="4">
        <v>2</v>
      </c>
      <c r="D433" s="5">
        <v>2.41</v>
      </c>
      <c r="E433" s="5">
        <v>5.99</v>
      </c>
      <c r="F433" s="4" t="s">
        <v>5739</v>
      </c>
      <c r="G433" s="2" t="s">
        <v>1360</v>
      </c>
      <c r="H433" s="7" t="s">
        <v>590</v>
      </c>
      <c r="I433" s="2" t="s">
        <v>483</v>
      </c>
      <c r="J433" s="2" t="s">
        <v>536</v>
      </c>
      <c r="K433" s="2" t="s">
        <v>304</v>
      </c>
      <c r="L433" s="2" t="s">
        <v>119</v>
      </c>
      <c r="M433" s="8" t="str">
        <f>HYPERLINK("http://slimages.macys.com/is/image/MCY/12641081 ")</f>
        <v xml:space="preserve">http://slimages.macys.com/is/image/MCY/12641081 </v>
      </c>
    </row>
    <row r="434" spans="1:13" ht="60" x14ac:dyDescent="0.25">
      <c r="A434" s="7" t="s">
        <v>5742</v>
      </c>
      <c r="B434" s="2" t="s">
        <v>5738</v>
      </c>
      <c r="C434" s="4">
        <v>4</v>
      </c>
      <c r="D434" s="5">
        <v>2.41</v>
      </c>
      <c r="E434" s="5">
        <v>5.99</v>
      </c>
      <c r="F434" s="4" t="s">
        <v>5739</v>
      </c>
      <c r="G434" s="2" t="s">
        <v>1360</v>
      </c>
      <c r="H434" s="7" t="s">
        <v>442</v>
      </c>
      <c r="I434" s="2" t="s">
        <v>483</v>
      </c>
      <c r="J434" s="2" t="s">
        <v>536</v>
      </c>
      <c r="K434" s="2" t="s">
        <v>304</v>
      </c>
      <c r="L434" s="2" t="s">
        <v>119</v>
      </c>
      <c r="M434" s="8" t="str">
        <f>HYPERLINK("http://slimages.macys.com/is/image/MCY/12641081 ")</f>
        <v xml:space="preserve">http://slimages.macys.com/is/image/MCY/12641081 </v>
      </c>
    </row>
    <row r="435" spans="1:13" ht="60" x14ac:dyDescent="0.25">
      <c r="A435" s="7" t="s">
        <v>5743</v>
      </c>
      <c r="B435" s="2" t="s">
        <v>5738</v>
      </c>
      <c r="C435" s="4">
        <v>6</v>
      </c>
      <c r="D435" s="5">
        <v>2.41</v>
      </c>
      <c r="E435" s="5">
        <v>5.99</v>
      </c>
      <c r="F435" s="4" t="s">
        <v>5739</v>
      </c>
      <c r="G435" s="2" t="s">
        <v>1360</v>
      </c>
      <c r="H435" s="7" t="s">
        <v>91</v>
      </c>
      <c r="I435" s="2" t="s">
        <v>483</v>
      </c>
      <c r="J435" s="2" t="s">
        <v>536</v>
      </c>
      <c r="K435" s="2" t="s">
        <v>304</v>
      </c>
      <c r="L435" s="2" t="s">
        <v>119</v>
      </c>
      <c r="M435" s="8" t="str">
        <f>HYPERLINK("http://slimages.macys.com/is/image/MCY/12641081 ")</f>
        <v xml:space="preserve">http://slimages.macys.com/is/image/MCY/12641081 </v>
      </c>
    </row>
    <row r="436" spans="1:13" ht="60" x14ac:dyDescent="0.25">
      <c r="A436" s="7" t="s">
        <v>5744</v>
      </c>
      <c r="B436" s="2" t="s">
        <v>5745</v>
      </c>
      <c r="C436" s="4">
        <v>1</v>
      </c>
      <c r="D436" s="5">
        <v>2.39</v>
      </c>
      <c r="E436" s="5">
        <v>6.99</v>
      </c>
      <c r="F436" s="4" t="s">
        <v>5746</v>
      </c>
      <c r="G436" s="2" t="s">
        <v>36</v>
      </c>
      <c r="H436" s="7" t="s">
        <v>149</v>
      </c>
      <c r="I436" s="2" t="s">
        <v>483</v>
      </c>
      <c r="J436" s="2" t="s">
        <v>536</v>
      </c>
      <c r="K436" s="2" t="s">
        <v>304</v>
      </c>
      <c r="L436" s="2" t="s">
        <v>100</v>
      </c>
      <c r="M436" s="8" t="str">
        <f>HYPERLINK("http://slimages.macys.com/is/image/MCY/11792552 ")</f>
        <v xml:space="preserve">http://slimages.macys.com/is/image/MCY/11792552 </v>
      </c>
    </row>
    <row r="437" spans="1:13" ht="60" x14ac:dyDescent="0.25">
      <c r="A437" s="7" t="s">
        <v>5747</v>
      </c>
      <c r="B437" s="2" t="s">
        <v>5748</v>
      </c>
      <c r="C437" s="4">
        <v>1</v>
      </c>
      <c r="D437" s="5">
        <v>2.37</v>
      </c>
      <c r="E437" s="5">
        <v>6.99</v>
      </c>
      <c r="F437" s="4" t="s">
        <v>5749</v>
      </c>
      <c r="G437" s="2" t="s">
        <v>353</v>
      </c>
      <c r="H437" s="7" t="s">
        <v>149</v>
      </c>
      <c r="I437" s="2" t="s">
        <v>483</v>
      </c>
      <c r="J437" s="2" t="s">
        <v>536</v>
      </c>
      <c r="K437" s="2" t="s">
        <v>304</v>
      </c>
      <c r="L437" s="2" t="s">
        <v>206</v>
      </c>
      <c r="M437" s="8" t="str">
        <f>HYPERLINK("http://slimages.macys.com/is/image/MCY/10524809 ")</f>
        <v xml:space="preserve">http://slimages.macys.com/is/image/MCY/10524809 </v>
      </c>
    </row>
    <row r="438" spans="1:13" ht="60" x14ac:dyDescent="0.25">
      <c r="A438" s="7" t="s">
        <v>5750</v>
      </c>
      <c r="B438" s="2" t="s">
        <v>5748</v>
      </c>
      <c r="C438" s="4">
        <v>2</v>
      </c>
      <c r="D438" s="5">
        <v>2.37</v>
      </c>
      <c r="E438" s="5">
        <v>6.99</v>
      </c>
      <c r="F438" s="4" t="s">
        <v>5749</v>
      </c>
      <c r="G438" s="2" t="s">
        <v>353</v>
      </c>
      <c r="H438" s="7" t="s">
        <v>590</v>
      </c>
      <c r="I438" s="2" t="s">
        <v>483</v>
      </c>
      <c r="J438" s="2" t="s">
        <v>536</v>
      </c>
      <c r="K438" s="2" t="s">
        <v>304</v>
      </c>
      <c r="L438" s="2" t="s">
        <v>206</v>
      </c>
      <c r="M438" s="8" t="str">
        <f>HYPERLINK("http://slimages.macys.com/is/image/MCY/10524809 ")</f>
        <v xml:space="preserve">http://slimages.macys.com/is/image/MCY/10524809 </v>
      </c>
    </row>
    <row r="439" spans="1:13" ht="60" x14ac:dyDescent="0.25">
      <c r="A439" s="7" t="s">
        <v>5751</v>
      </c>
      <c r="B439" s="2" t="s">
        <v>5748</v>
      </c>
      <c r="C439" s="4">
        <v>2</v>
      </c>
      <c r="D439" s="5">
        <v>2.37</v>
      </c>
      <c r="E439" s="5">
        <v>6.99</v>
      </c>
      <c r="F439" s="4" t="s">
        <v>5749</v>
      </c>
      <c r="G439" s="2" t="s">
        <v>353</v>
      </c>
      <c r="H439" s="7" t="s">
        <v>442</v>
      </c>
      <c r="I439" s="2" t="s">
        <v>483</v>
      </c>
      <c r="J439" s="2" t="s">
        <v>536</v>
      </c>
      <c r="K439" s="2" t="s">
        <v>304</v>
      </c>
      <c r="L439" s="2" t="s">
        <v>206</v>
      </c>
      <c r="M439" s="8" t="str">
        <f>HYPERLINK("http://slimages.macys.com/is/image/MCY/10524809 ")</f>
        <v xml:space="preserve">http://slimages.macys.com/is/image/MCY/10524809 </v>
      </c>
    </row>
    <row r="440" spans="1:13" ht="60" x14ac:dyDescent="0.25">
      <c r="A440" s="7" t="s">
        <v>5752</v>
      </c>
      <c r="B440" s="2" t="s">
        <v>628</v>
      </c>
      <c r="C440" s="4">
        <v>1</v>
      </c>
      <c r="D440" s="5">
        <v>2.36</v>
      </c>
      <c r="E440" s="5">
        <v>6.99</v>
      </c>
      <c r="F440" s="4" t="s">
        <v>629</v>
      </c>
      <c r="G440" s="2" t="s">
        <v>388</v>
      </c>
      <c r="H440" s="7" t="s">
        <v>590</v>
      </c>
      <c r="I440" s="2" t="s">
        <v>483</v>
      </c>
      <c r="J440" s="2" t="s">
        <v>536</v>
      </c>
      <c r="K440" s="2" t="s">
        <v>304</v>
      </c>
      <c r="L440" s="2" t="s">
        <v>87</v>
      </c>
      <c r="M440" s="8" t="str">
        <f>HYPERLINK("http://slimages.macys.com/is/image/MCY/14532052 ")</f>
        <v xml:space="preserve">http://slimages.macys.com/is/image/MCY/14532052 </v>
      </c>
    </row>
    <row r="441" spans="1:13" ht="60" x14ac:dyDescent="0.25">
      <c r="A441" s="7" t="s">
        <v>2332</v>
      </c>
      <c r="B441" s="2" t="s">
        <v>2330</v>
      </c>
      <c r="C441" s="4">
        <v>4</v>
      </c>
      <c r="D441" s="5">
        <v>2.35</v>
      </c>
      <c r="E441" s="5">
        <v>5.99</v>
      </c>
      <c r="F441" s="4" t="s">
        <v>2331</v>
      </c>
      <c r="G441" s="2" t="s">
        <v>36</v>
      </c>
      <c r="H441" s="7" t="s">
        <v>42</v>
      </c>
      <c r="I441" s="2" t="s">
        <v>483</v>
      </c>
      <c r="J441" s="2" t="s">
        <v>536</v>
      </c>
      <c r="K441" s="2" t="s">
        <v>304</v>
      </c>
      <c r="L441" s="2" t="s">
        <v>596</v>
      </c>
      <c r="M441" s="8" t="str">
        <f>HYPERLINK("http://slimages.macys.com/is/image/MCY/12466357 ")</f>
        <v xml:space="preserve">http://slimages.macys.com/is/image/MCY/12466357 </v>
      </c>
    </row>
    <row r="442" spans="1:13" ht="60" x14ac:dyDescent="0.25">
      <c r="A442" s="7" t="s">
        <v>2333</v>
      </c>
      <c r="B442" s="2" t="s">
        <v>2330</v>
      </c>
      <c r="C442" s="4">
        <v>2</v>
      </c>
      <c r="D442" s="5">
        <v>2.35</v>
      </c>
      <c r="E442" s="5">
        <v>5.99</v>
      </c>
      <c r="F442" s="4" t="s">
        <v>2331</v>
      </c>
      <c r="G442" s="2" t="s">
        <v>36</v>
      </c>
      <c r="H442" s="7" t="s">
        <v>590</v>
      </c>
      <c r="I442" s="2" t="s">
        <v>483</v>
      </c>
      <c r="J442" s="2" t="s">
        <v>536</v>
      </c>
      <c r="K442" s="2" t="s">
        <v>304</v>
      </c>
      <c r="L442" s="2" t="s">
        <v>596</v>
      </c>
      <c r="M442" s="8" t="str">
        <f>HYPERLINK("http://slimages.macys.com/is/image/MCY/12466357 ")</f>
        <v xml:space="preserve">http://slimages.macys.com/is/image/MCY/12466357 </v>
      </c>
    </row>
    <row r="443" spans="1:13" ht="60" x14ac:dyDescent="0.25">
      <c r="A443" s="7" t="s">
        <v>5753</v>
      </c>
      <c r="B443" s="2" t="s">
        <v>2330</v>
      </c>
      <c r="C443" s="4">
        <v>3</v>
      </c>
      <c r="D443" s="5">
        <v>2.35</v>
      </c>
      <c r="E443" s="5">
        <v>5.99</v>
      </c>
      <c r="F443" s="4" t="s">
        <v>2331</v>
      </c>
      <c r="G443" s="2" t="s">
        <v>36</v>
      </c>
      <c r="H443" s="7" t="s">
        <v>91</v>
      </c>
      <c r="I443" s="2" t="s">
        <v>483</v>
      </c>
      <c r="J443" s="2" t="s">
        <v>536</v>
      </c>
      <c r="K443" s="2" t="s">
        <v>304</v>
      </c>
      <c r="L443" s="2" t="s">
        <v>596</v>
      </c>
      <c r="M443" s="8" t="str">
        <f>HYPERLINK("http://slimages.macys.com/is/image/MCY/12466357 ")</f>
        <v xml:space="preserve">http://slimages.macys.com/is/image/MCY/12466357 </v>
      </c>
    </row>
    <row r="444" spans="1:13" ht="60" x14ac:dyDescent="0.25">
      <c r="A444" s="7" t="s">
        <v>4570</v>
      </c>
      <c r="B444" s="2" t="s">
        <v>2330</v>
      </c>
      <c r="C444" s="4">
        <v>2</v>
      </c>
      <c r="D444" s="5">
        <v>2.35</v>
      </c>
      <c r="E444" s="5">
        <v>5.99</v>
      </c>
      <c r="F444" s="4" t="s">
        <v>2331</v>
      </c>
      <c r="G444" s="2" t="s">
        <v>36</v>
      </c>
      <c r="H444" s="7" t="s">
        <v>149</v>
      </c>
      <c r="I444" s="2" t="s">
        <v>483</v>
      </c>
      <c r="J444" s="2" t="s">
        <v>536</v>
      </c>
      <c r="K444" s="2" t="s">
        <v>304</v>
      </c>
      <c r="L444" s="2" t="s">
        <v>596</v>
      </c>
      <c r="M444" s="8" t="str">
        <f>HYPERLINK("http://slimages.macys.com/is/image/MCY/12466357 ")</f>
        <v xml:space="preserve">http://slimages.macys.com/is/image/MCY/12466357 </v>
      </c>
    </row>
    <row r="445" spans="1:13" ht="60" x14ac:dyDescent="0.25">
      <c r="A445" s="7" t="s">
        <v>2329</v>
      </c>
      <c r="B445" s="2" t="s">
        <v>2330</v>
      </c>
      <c r="C445" s="4">
        <v>2</v>
      </c>
      <c r="D445" s="5">
        <v>2.35</v>
      </c>
      <c r="E445" s="5">
        <v>5.99</v>
      </c>
      <c r="F445" s="4" t="s">
        <v>2331</v>
      </c>
      <c r="G445" s="2" t="s">
        <v>36</v>
      </c>
      <c r="H445" s="7" t="s">
        <v>442</v>
      </c>
      <c r="I445" s="2" t="s">
        <v>483</v>
      </c>
      <c r="J445" s="2" t="s">
        <v>536</v>
      </c>
      <c r="K445" s="2" t="s">
        <v>304</v>
      </c>
      <c r="L445" s="2" t="s">
        <v>596</v>
      </c>
      <c r="M445" s="8" t="str">
        <f>HYPERLINK("http://slimages.macys.com/is/image/MCY/12466357 ")</f>
        <v xml:space="preserve">http://slimages.macys.com/is/image/MCY/12466357 </v>
      </c>
    </row>
    <row r="446" spans="1:13" ht="60" x14ac:dyDescent="0.25">
      <c r="A446" s="7" t="s">
        <v>5754</v>
      </c>
      <c r="B446" s="2" t="s">
        <v>5755</v>
      </c>
      <c r="C446" s="4">
        <v>2</v>
      </c>
      <c r="D446" s="5">
        <v>2.35</v>
      </c>
      <c r="E446" s="5">
        <v>6.99</v>
      </c>
      <c r="F446" s="4" t="s">
        <v>5756</v>
      </c>
      <c r="G446" s="2" t="s">
        <v>171</v>
      </c>
      <c r="H446" s="7" t="s">
        <v>149</v>
      </c>
      <c r="I446" s="2" t="s">
        <v>483</v>
      </c>
      <c r="J446" s="2" t="s">
        <v>536</v>
      </c>
      <c r="K446" s="2" t="s">
        <v>304</v>
      </c>
      <c r="L446" s="2" t="s">
        <v>75</v>
      </c>
      <c r="M446" s="8" t="str">
        <f>HYPERLINK("http://slimages.macys.com/is/image/MCY/11435855 ")</f>
        <v xml:space="preserve">http://slimages.macys.com/is/image/MCY/11435855 </v>
      </c>
    </row>
    <row r="447" spans="1:13" ht="60" x14ac:dyDescent="0.25">
      <c r="A447" s="7" t="s">
        <v>5757</v>
      </c>
      <c r="B447" s="2" t="s">
        <v>5758</v>
      </c>
      <c r="C447" s="4">
        <v>1</v>
      </c>
      <c r="D447" s="5">
        <v>2.34</v>
      </c>
      <c r="E447" s="5">
        <v>5.99</v>
      </c>
      <c r="F447" s="4" t="s">
        <v>5759</v>
      </c>
      <c r="G447" s="2" t="s">
        <v>41</v>
      </c>
      <c r="H447" s="7" t="s">
        <v>42</v>
      </c>
      <c r="I447" s="2" t="s">
        <v>483</v>
      </c>
      <c r="J447" s="2" t="s">
        <v>536</v>
      </c>
      <c r="K447" s="2" t="s">
        <v>304</v>
      </c>
      <c r="L447" s="2" t="s">
        <v>100</v>
      </c>
      <c r="M447" s="8" t="str">
        <f>HYPERLINK("http://slimages.macys.com/is/image/MCY/11524494 ")</f>
        <v xml:space="preserve">http://slimages.macys.com/is/image/MCY/11524494 </v>
      </c>
    </row>
    <row r="448" spans="1:13" ht="60" x14ac:dyDescent="0.25">
      <c r="A448" s="7" t="s">
        <v>5760</v>
      </c>
      <c r="B448" s="2" t="s">
        <v>1362</v>
      </c>
      <c r="C448" s="4">
        <v>1</v>
      </c>
      <c r="D448" s="5">
        <v>2.33</v>
      </c>
      <c r="E448" s="5">
        <v>6.99</v>
      </c>
      <c r="F448" s="4" t="s">
        <v>1363</v>
      </c>
      <c r="G448" s="2" t="s">
        <v>527</v>
      </c>
      <c r="H448" s="7"/>
      <c r="I448" s="2" t="s">
        <v>483</v>
      </c>
      <c r="J448" s="2" t="s">
        <v>536</v>
      </c>
      <c r="K448" s="2" t="s">
        <v>304</v>
      </c>
      <c r="L448" s="2" t="s">
        <v>100</v>
      </c>
      <c r="M448" s="8" t="str">
        <f>HYPERLINK("http://slimages.macys.com/is/image/MCY/12465866 ")</f>
        <v xml:space="preserve">http://slimages.macys.com/is/image/MCY/12465866 </v>
      </c>
    </row>
    <row r="449" spans="1:13" ht="60" x14ac:dyDescent="0.25">
      <c r="A449" s="7" t="s">
        <v>1358</v>
      </c>
      <c r="B449" s="2" t="s">
        <v>1359</v>
      </c>
      <c r="C449" s="4">
        <v>1</v>
      </c>
      <c r="D449" s="5">
        <v>2.33</v>
      </c>
      <c r="E449" s="5">
        <v>7.99</v>
      </c>
      <c r="F449" s="4">
        <v>10004191800</v>
      </c>
      <c r="G449" s="2" t="s">
        <v>1360</v>
      </c>
      <c r="H449" s="7" t="s">
        <v>531</v>
      </c>
      <c r="I449" s="2" t="s">
        <v>483</v>
      </c>
      <c r="J449" s="2" t="s">
        <v>536</v>
      </c>
      <c r="K449" s="2" t="s">
        <v>304</v>
      </c>
      <c r="L449" s="2" t="s">
        <v>38</v>
      </c>
      <c r="M449" s="8" t="str">
        <f>HYPERLINK("http://slimages.macys.com/is/image/MCY/11520378 ")</f>
        <v xml:space="preserve">http://slimages.macys.com/is/image/MCY/11520378 </v>
      </c>
    </row>
    <row r="450" spans="1:13" ht="60" x14ac:dyDescent="0.25">
      <c r="A450" s="7" t="s">
        <v>2342</v>
      </c>
      <c r="B450" s="2" t="s">
        <v>2343</v>
      </c>
      <c r="C450" s="4">
        <v>3</v>
      </c>
      <c r="D450" s="5">
        <v>2.33</v>
      </c>
      <c r="E450" s="5">
        <v>7.99</v>
      </c>
      <c r="F450" s="4">
        <v>10005049200</v>
      </c>
      <c r="G450" s="2" t="s">
        <v>527</v>
      </c>
      <c r="H450" s="7" t="s">
        <v>531</v>
      </c>
      <c r="I450" s="2" t="s">
        <v>483</v>
      </c>
      <c r="J450" s="2" t="s">
        <v>536</v>
      </c>
      <c r="K450" s="2" t="s">
        <v>304</v>
      </c>
      <c r="L450" s="2" t="s">
        <v>75</v>
      </c>
      <c r="M450" s="8" t="str">
        <f>HYPERLINK("http://slimages.macys.com/is/image/MCY/11520401 ")</f>
        <v xml:space="preserve">http://slimages.macys.com/is/image/MCY/11520401 </v>
      </c>
    </row>
    <row r="451" spans="1:13" ht="60" x14ac:dyDescent="0.25">
      <c r="A451" s="7" t="s">
        <v>5761</v>
      </c>
      <c r="B451" s="2" t="s">
        <v>5762</v>
      </c>
      <c r="C451" s="4">
        <v>1</v>
      </c>
      <c r="D451" s="5">
        <v>2.33</v>
      </c>
      <c r="E451" s="5">
        <v>5.99</v>
      </c>
      <c r="F451" s="4" t="s">
        <v>5763</v>
      </c>
      <c r="G451" s="2" t="s">
        <v>657</v>
      </c>
      <c r="H451" s="7" t="s">
        <v>149</v>
      </c>
      <c r="I451" s="2" t="s">
        <v>483</v>
      </c>
      <c r="J451" s="2" t="s">
        <v>536</v>
      </c>
      <c r="K451" s="2" t="s">
        <v>304</v>
      </c>
      <c r="L451" s="2" t="s">
        <v>119</v>
      </c>
      <c r="M451" s="8" t="str">
        <f>HYPERLINK("http://slimages.macys.com/is/image/MCY/11856987 ")</f>
        <v xml:space="preserve">http://slimages.macys.com/is/image/MCY/11856987 </v>
      </c>
    </row>
    <row r="452" spans="1:13" ht="60" x14ac:dyDescent="0.25">
      <c r="A452" s="7" t="s">
        <v>5764</v>
      </c>
      <c r="B452" s="2" t="s">
        <v>4579</v>
      </c>
      <c r="C452" s="4">
        <v>4</v>
      </c>
      <c r="D452" s="5">
        <v>2.31</v>
      </c>
      <c r="E452" s="5">
        <v>7.99</v>
      </c>
      <c r="F452" s="4">
        <v>10004192100</v>
      </c>
      <c r="G452" s="2" t="s">
        <v>171</v>
      </c>
      <c r="H452" s="7" t="s">
        <v>531</v>
      </c>
      <c r="I452" s="2" t="s">
        <v>483</v>
      </c>
      <c r="J452" s="2" t="s">
        <v>536</v>
      </c>
      <c r="K452" s="2" t="s">
        <v>304</v>
      </c>
      <c r="L452" s="2" t="s">
        <v>75</v>
      </c>
      <c r="M452" s="8" t="str">
        <f>HYPERLINK("http://slimages.macys.com/is/image/MCY/11519987 ")</f>
        <v xml:space="preserve">http://slimages.macys.com/is/image/MCY/11519987 </v>
      </c>
    </row>
    <row r="453" spans="1:13" ht="60" x14ac:dyDescent="0.25">
      <c r="A453" s="7" t="s">
        <v>2352</v>
      </c>
      <c r="B453" s="2" t="s">
        <v>2353</v>
      </c>
      <c r="C453" s="4">
        <v>1</v>
      </c>
      <c r="D453" s="5">
        <v>2.31</v>
      </c>
      <c r="E453" s="5">
        <v>7.99</v>
      </c>
      <c r="F453" s="4" t="s">
        <v>2354</v>
      </c>
      <c r="G453" s="2" t="s">
        <v>657</v>
      </c>
      <c r="H453" s="7" t="s">
        <v>1151</v>
      </c>
      <c r="I453" s="2" t="s">
        <v>483</v>
      </c>
      <c r="J453" s="2" t="s">
        <v>536</v>
      </c>
      <c r="K453" s="2" t="s">
        <v>304</v>
      </c>
      <c r="L453" s="2" t="s">
        <v>119</v>
      </c>
      <c r="M453" s="8" t="str">
        <f>HYPERLINK("http://slimages.macys.com/is/image/MCY/13987628 ")</f>
        <v xml:space="preserve">http://slimages.macys.com/is/image/MCY/13987628 </v>
      </c>
    </row>
    <row r="454" spans="1:13" ht="60" x14ac:dyDescent="0.25">
      <c r="A454" s="7" t="s">
        <v>5765</v>
      </c>
      <c r="B454" s="2" t="s">
        <v>2353</v>
      </c>
      <c r="C454" s="4">
        <v>1</v>
      </c>
      <c r="D454" s="5">
        <v>2.31</v>
      </c>
      <c r="E454" s="5">
        <v>7.99</v>
      </c>
      <c r="F454" s="4" t="s">
        <v>2354</v>
      </c>
      <c r="G454" s="2" t="s">
        <v>657</v>
      </c>
      <c r="H454" s="7" t="s">
        <v>514</v>
      </c>
      <c r="I454" s="2" t="s">
        <v>483</v>
      </c>
      <c r="J454" s="2" t="s">
        <v>536</v>
      </c>
      <c r="K454" s="2" t="s">
        <v>304</v>
      </c>
      <c r="L454" s="2" t="s">
        <v>119</v>
      </c>
      <c r="M454" s="8" t="str">
        <f>HYPERLINK("http://slimages.macys.com/is/image/MCY/13987628 ")</f>
        <v xml:space="preserve">http://slimages.macys.com/is/image/MCY/13987628 </v>
      </c>
    </row>
    <row r="455" spans="1:13" ht="60" x14ac:dyDescent="0.25">
      <c r="A455" s="7" t="s">
        <v>4581</v>
      </c>
      <c r="B455" s="2" t="s">
        <v>2350</v>
      </c>
      <c r="C455" s="4">
        <v>1</v>
      </c>
      <c r="D455" s="5">
        <v>2.31</v>
      </c>
      <c r="E455" s="5">
        <v>7.99</v>
      </c>
      <c r="F455" s="4" t="s">
        <v>2351</v>
      </c>
      <c r="G455" s="2" t="s">
        <v>657</v>
      </c>
      <c r="H455" s="7" t="s">
        <v>578</v>
      </c>
      <c r="I455" s="2" t="s">
        <v>483</v>
      </c>
      <c r="J455" s="2" t="s">
        <v>536</v>
      </c>
      <c r="K455" s="2" t="s">
        <v>304</v>
      </c>
      <c r="L455" s="2" t="s">
        <v>38</v>
      </c>
      <c r="M455" s="8" t="str">
        <f>HYPERLINK("http://slimages.macys.com/is/image/MCY/13987607 ")</f>
        <v xml:space="preserve">http://slimages.macys.com/is/image/MCY/13987607 </v>
      </c>
    </row>
    <row r="456" spans="1:13" ht="60" x14ac:dyDescent="0.25">
      <c r="A456" s="7" t="s">
        <v>2347</v>
      </c>
      <c r="B456" s="2" t="s">
        <v>2348</v>
      </c>
      <c r="C456" s="4">
        <v>1</v>
      </c>
      <c r="D456" s="5">
        <v>2.31</v>
      </c>
      <c r="E456" s="5">
        <v>7.99</v>
      </c>
      <c r="F456" s="4">
        <v>10005380100</v>
      </c>
      <c r="G456" s="2" t="s">
        <v>1360</v>
      </c>
      <c r="H456" s="7" t="s">
        <v>531</v>
      </c>
      <c r="I456" s="2" t="s">
        <v>483</v>
      </c>
      <c r="J456" s="2" t="s">
        <v>536</v>
      </c>
      <c r="K456" s="2" t="s">
        <v>304</v>
      </c>
      <c r="L456" s="2" t="s">
        <v>87</v>
      </c>
      <c r="M456" s="8" t="str">
        <f>HYPERLINK("http://slimages.macys.com/is/image/MCY/12466174 ")</f>
        <v xml:space="preserve">http://slimages.macys.com/is/image/MCY/12466174 </v>
      </c>
    </row>
    <row r="457" spans="1:13" ht="60" x14ac:dyDescent="0.25">
      <c r="A457" s="7" t="s">
        <v>5766</v>
      </c>
      <c r="B457" s="2" t="s">
        <v>5767</v>
      </c>
      <c r="C457" s="4">
        <v>1</v>
      </c>
      <c r="D457" s="5">
        <v>2.29</v>
      </c>
      <c r="E457" s="5">
        <v>5.99</v>
      </c>
      <c r="F457" s="4" t="s">
        <v>5768</v>
      </c>
      <c r="G457" s="2" t="s">
        <v>129</v>
      </c>
      <c r="H457" s="7" t="s">
        <v>590</v>
      </c>
      <c r="I457" s="2" t="s">
        <v>483</v>
      </c>
      <c r="J457" s="2" t="s">
        <v>536</v>
      </c>
      <c r="K457" s="2" t="s">
        <v>304</v>
      </c>
      <c r="L457" s="2" t="s">
        <v>119</v>
      </c>
      <c r="M457" s="8" t="str">
        <f>HYPERLINK("http://slimages.macys.com/is/image/MCY/11523899 ")</f>
        <v xml:space="preserve">http://slimages.macys.com/is/image/MCY/11523899 </v>
      </c>
    </row>
    <row r="458" spans="1:13" ht="60" x14ac:dyDescent="0.25">
      <c r="A458" s="7" t="s">
        <v>2362</v>
      </c>
      <c r="B458" s="2" t="s">
        <v>2359</v>
      </c>
      <c r="C458" s="4">
        <v>1</v>
      </c>
      <c r="D458" s="5">
        <v>2.29</v>
      </c>
      <c r="E458" s="5">
        <v>5.99</v>
      </c>
      <c r="F458" s="4" t="s">
        <v>2360</v>
      </c>
      <c r="G458" s="2" t="s">
        <v>28</v>
      </c>
      <c r="H458" s="7" t="s">
        <v>442</v>
      </c>
      <c r="I458" s="2" t="s">
        <v>483</v>
      </c>
      <c r="J458" s="2" t="s">
        <v>536</v>
      </c>
      <c r="K458" s="2" t="s">
        <v>304</v>
      </c>
      <c r="L458" s="2" t="s">
        <v>119</v>
      </c>
      <c r="M458" s="8" t="str">
        <f>HYPERLINK("http://slimages.macys.com/is/image/MCY/12644507 ")</f>
        <v xml:space="preserve">http://slimages.macys.com/is/image/MCY/12644507 </v>
      </c>
    </row>
    <row r="459" spans="1:13" ht="60" x14ac:dyDescent="0.25">
      <c r="A459" s="7" t="s">
        <v>5769</v>
      </c>
      <c r="B459" s="2" t="s">
        <v>1365</v>
      </c>
      <c r="C459" s="4">
        <v>1</v>
      </c>
      <c r="D459" s="5">
        <v>2.29</v>
      </c>
      <c r="E459" s="5">
        <v>5.99</v>
      </c>
      <c r="F459" s="4" t="s">
        <v>1366</v>
      </c>
      <c r="G459" s="2" t="s">
        <v>62</v>
      </c>
      <c r="H459" s="7" t="s">
        <v>91</v>
      </c>
      <c r="I459" s="2" t="s">
        <v>483</v>
      </c>
      <c r="J459" s="2" t="s">
        <v>536</v>
      </c>
      <c r="K459" s="2" t="s">
        <v>304</v>
      </c>
      <c r="L459" s="2" t="s">
        <v>206</v>
      </c>
      <c r="M459" s="8" t="str">
        <f>HYPERLINK("http://slimages.macys.com/is/image/MCY/12463166 ")</f>
        <v xml:space="preserve">http://slimages.macys.com/is/image/MCY/12463166 </v>
      </c>
    </row>
    <row r="460" spans="1:13" ht="60" x14ac:dyDescent="0.25">
      <c r="A460" s="7" t="s">
        <v>1367</v>
      </c>
      <c r="B460" s="2" t="s">
        <v>1368</v>
      </c>
      <c r="C460" s="4">
        <v>1</v>
      </c>
      <c r="D460" s="5">
        <v>2.2799999999999998</v>
      </c>
      <c r="E460" s="5">
        <v>5.99</v>
      </c>
      <c r="F460" s="4" t="s">
        <v>1369</v>
      </c>
      <c r="G460" s="2" t="s">
        <v>41</v>
      </c>
      <c r="H460" s="7" t="s">
        <v>442</v>
      </c>
      <c r="I460" s="2" t="s">
        <v>483</v>
      </c>
      <c r="J460" s="2" t="s">
        <v>536</v>
      </c>
      <c r="K460" s="2" t="s">
        <v>304</v>
      </c>
      <c r="L460" s="2" t="s">
        <v>38</v>
      </c>
      <c r="M460" s="8" t="str">
        <f>HYPERLINK("http://slimages.macys.com/is/image/MCY/13987603 ")</f>
        <v xml:space="preserve">http://slimages.macys.com/is/image/MCY/13987603 </v>
      </c>
    </row>
    <row r="461" spans="1:13" ht="60" x14ac:dyDescent="0.25">
      <c r="A461" s="7" t="s">
        <v>1377</v>
      </c>
      <c r="B461" s="2" t="s">
        <v>1372</v>
      </c>
      <c r="C461" s="4">
        <v>1</v>
      </c>
      <c r="D461" s="5">
        <v>2.27</v>
      </c>
      <c r="E461" s="5">
        <v>5.99</v>
      </c>
      <c r="F461" s="4" t="s">
        <v>1373</v>
      </c>
      <c r="G461" s="2" t="s">
        <v>134</v>
      </c>
      <c r="H461" s="7" t="s">
        <v>91</v>
      </c>
      <c r="I461" s="2" t="s">
        <v>483</v>
      </c>
      <c r="J461" s="2" t="s">
        <v>536</v>
      </c>
      <c r="K461" s="2" t="s">
        <v>304</v>
      </c>
      <c r="L461" s="2" t="s">
        <v>119</v>
      </c>
      <c r="M461" s="8" t="str">
        <f>HYPERLINK("http://slimages.macys.com/is/image/MCY/12642166 ")</f>
        <v xml:space="preserve">http://slimages.macys.com/is/image/MCY/12642166 </v>
      </c>
    </row>
    <row r="462" spans="1:13" ht="60" x14ac:dyDescent="0.25">
      <c r="A462" s="7" t="s">
        <v>5770</v>
      </c>
      <c r="B462" s="2" t="s">
        <v>2374</v>
      </c>
      <c r="C462" s="4">
        <v>1</v>
      </c>
      <c r="D462" s="5">
        <v>2.2599999999999998</v>
      </c>
      <c r="E462" s="5">
        <v>6.99</v>
      </c>
      <c r="F462" s="4" t="s">
        <v>2375</v>
      </c>
      <c r="G462" s="2" t="s">
        <v>41</v>
      </c>
      <c r="H462" s="7" t="s">
        <v>91</v>
      </c>
      <c r="I462" s="2" t="s">
        <v>483</v>
      </c>
      <c r="J462" s="2" t="s">
        <v>536</v>
      </c>
      <c r="K462" s="2" t="s">
        <v>304</v>
      </c>
      <c r="L462" s="2" t="s">
        <v>100</v>
      </c>
      <c r="M462" s="8" t="str">
        <f>HYPERLINK("http://slimages.macys.com/is/image/MCY/11792552 ")</f>
        <v xml:space="preserve">http://slimages.macys.com/is/image/MCY/11792552 </v>
      </c>
    </row>
    <row r="463" spans="1:13" ht="60" x14ac:dyDescent="0.25">
      <c r="A463" s="7" t="s">
        <v>5771</v>
      </c>
      <c r="B463" s="2" t="s">
        <v>2374</v>
      </c>
      <c r="C463" s="4">
        <v>2</v>
      </c>
      <c r="D463" s="5">
        <v>2.2599999999999998</v>
      </c>
      <c r="E463" s="5">
        <v>6.99</v>
      </c>
      <c r="F463" s="4" t="s">
        <v>2375</v>
      </c>
      <c r="G463" s="2" t="s">
        <v>41</v>
      </c>
      <c r="H463" s="7" t="s">
        <v>442</v>
      </c>
      <c r="I463" s="2" t="s">
        <v>483</v>
      </c>
      <c r="J463" s="2" t="s">
        <v>536</v>
      </c>
      <c r="K463" s="2" t="s">
        <v>304</v>
      </c>
      <c r="L463" s="2" t="s">
        <v>100</v>
      </c>
      <c r="M463" s="8" t="str">
        <f>HYPERLINK("http://slimages.macys.com/is/image/MCY/11792552 ")</f>
        <v xml:space="preserve">http://slimages.macys.com/is/image/MCY/11792552 </v>
      </c>
    </row>
    <row r="464" spans="1:13" ht="60" x14ac:dyDescent="0.25">
      <c r="A464" s="7" t="s">
        <v>4600</v>
      </c>
      <c r="B464" s="2" t="s">
        <v>4598</v>
      </c>
      <c r="C464" s="4">
        <v>1</v>
      </c>
      <c r="D464" s="5">
        <v>2.2200000000000002</v>
      </c>
      <c r="E464" s="5">
        <v>5.99</v>
      </c>
      <c r="F464" s="4" t="s">
        <v>4599</v>
      </c>
      <c r="G464" s="2" t="s">
        <v>171</v>
      </c>
      <c r="H464" s="7" t="s">
        <v>590</v>
      </c>
      <c r="I464" s="2" t="s">
        <v>483</v>
      </c>
      <c r="J464" s="2" t="s">
        <v>536</v>
      </c>
      <c r="K464" s="2" t="s">
        <v>304</v>
      </c>
      <c r="L464" s="2" t="s">
        <v>119</v>
      </c>
      <c r="M464" s="8" t="str">
        <f>HYPERLINK("http://slimages.macys.com/is/image/MCY/14380996 ")</f>
        <v xml:space="preserve">http://slimages.macys.com/is/image/MCY/14380996 </v>
      </c>
    </row>
    <row r="465" spans="1:13" ht="60" x14ac:dyDescent="0.25">
      <c r="A465" s="7" t="s">
        <v>2382</v>
      </c>
      <c r="B465" s="2" t="s">
        <v>2383</v>
      </c>
      <c r="C465" s="4">
        <v>10</v>
      </c>
      <c r="D465" s="5">
        <v>2.2200000000000002</v>
      </c>
      <c r="E465" s="5">
        <v>4.99</v>
      </c>
      <c r="F465" s="4">
        <v>10004193500</v>
      </c>
      <c r="G465" s="2" t="s">
        <v>1360</v>
      </c>
      <c r="H465" s="7" t="s">
        <v>531</v>
      </c>
      <c r="I465" s="2" t="s">
        <v>483</v>
      </c>
      <c r="J465" s="2" t="s">
        <v>536</v>
      </c>
      <c r="K465" s="2" t="s">
        <v>304</v>
      </c>
      <c r="L465" s="2" t="s">
        <v>87</v>
      </c>
      <c r="M465" s="8" t="str">
        <f>HYPERLINK("http://slimages.macys.com/is/image/MCY/11520388 ")</f>
        <v xml:space="preserve">http://slimages.macys.com/is/image/MCY/11520388 </v>
      </c>
    </row>
    <row r="466" spans="1:13" ht="60" x14ac:dyDescent="0.25">
      <c r="A466" s="7" t="s">
        <v>5772</v>
      </c>
      <c r="B466" s="2" t="s">
        <v>5773</v>
      </c>
      <c r="C466" s="4">
        <v>1</v>
      </c>
      <c r="D466" s="5">
        <v>2.2200000000000002</v>
      </c>
      <c r="E466" s="5">
        <v>5.99</v>
      </c>
      <c r="F466" s="4" t="s">
        <v>5774</v>
      </c>
      <c r="G466" s="2" t="s">
        <v>28</v>
      </c>
      <c r="H466" s="7" t="s">
        <v>442</v>
      </c>
      <c r="I466" s="2" t="s">
        <v>483</v>
      </c>
      <c r="J466" s="2" t="s">
        <v>536</v>
      </c>
      <c r="K466" s="2" t="s">
        <v>304</v>
      </c>
      <c r="L466" s="2" t="s">
        <v>119</v>
      </c>
      <c r="M466" s="8" t="str">
        <f>HYPERLINK("http://slimages.macys.com/is/image/MCY/13987620 ")</f>
        <v xml:space="preserve">http://slimages.macys.com/is/image/MCY/13987620 </v>
      </c>
    </row>
    <row r="467" spans="1:13" ht="84" x14ac:dyDescent="0.25">
      <c r="A467" s="7" t="s">
        <v>636</v>
      </c>
      <c r="B467" s="2" t="s">
        <v>637</v>
      </c>
      <c r="C467" s="4">
        <v>6</v>
      </c>
      <c r="D467" s="5">
        <v>2.21</v>
      </c>
      <c r="E467" s="5">
        <v>6.99</v>
      </c>
      <c r="F467" s="4" t="s">
        <v>638</v>
      </c>
      <c r="G467" s="2" t="s">
        <v>171</v>
      </c>
      <c r="H467" s="7" t="s">
        <v>604</v>
      </c>
      <c r="I467" s="2" t="s">
        <v>483</v>
      </c>
      <c r="J467" s="2" t="s">
        <v>536</v>
      </c>
      <c r="K467" s="2" t="s">
        <v>304</v>
      </c>
      <c r="L467" s="2" t="s">
        <v>639</v>
      </c>
      <c r="M467" s="8" t="str">
        <f>HYPERLINK("http://slimages.macys.com/is/image/MCY/13987507 ")</f>
        <v xml:space="preserve">http://slimages.macys.com/is/image/MCY/13987507 </v>
      </c>
    </row>
    <row r="468" spans="1:13" ht="84" x14ac:dyDescent="0.25">
      <c r="A468" s="7" t="s">
        <v>2733</v>
      </c>
      <c r="B468" s="2" t="s">
        <v>637</v>
      </c>
      <c r="C468" s="4">
        <v>5</v>
      </c>
      <c r="D468" s="5">
        <v>2.21</v>
      </c>
      <c r="E468" s="5">
        <v>6.99</v>
      </c>
      <c r="F468" s="4" t="s">
        <v>638</v>
      </c>
      <c r="G468" s="2" t="s">
        <v>171</v>
      </c>
      <c r="H468" s="7" t="s">
        <v>586</v>
      </c>
      <c r="I468" s="2" t="s">
        <v>483</v>
      </c>
      <c r="J468" s="2" t="s">
        <v>536</v>
      </c>
      <c r="K468" s="2" t="s">
        <v>304</v>
      </c>
      <c r="L468" s="2" t="s">
        <v>639</v>
      </c>
      <c r="M468" s="8" t="str">
        <f>HYPERLINK("http://slimages.macys.com/is/image/MCY/13987507 ")</f>
        <v xml:space="preserve">http://slimages.macys.com/is/image/MCY/13987507 </v>
      </c>
    </row>
    <row r="469" spans="1:13" ht="60" x14ac:dyDescent="0.25">
      <c r="A469" s="7" t="s">
        <v>5775</v>
      </c>
      <c r="B469" s="2" t="s">
        <v>5776</v>
      </c>
      <c r="C469" s="4">
        <v>1</v>
      </c>
      <c r="D469" s="5">
        <v>2.19</v>
      </c>
      <c r="E469" s="5">
        <v>5.99</v>
      </c>
      <c r="F469" s="4" t="s">
        <v>5777</v>
      </c>
      <c r="G469" s="2" t="s">
        <v>28</v>
      </c>
      <c r="H469" s="7" t="s">
        <v>91</v>
      </c>
      <c r="I469" s="2" t="s">
        <v>483</v>
      </c>
      <c r="J469" s="2" t="s">
        <v>536</v>
      </c>
      <c r="K469" s="2" t="s">
        <v>304</v>
      </c>
      <c r="L469" s="2" t="s">
        <v>38</v>
      </c>
      <c r="M469" s="8" t="str">
        <f>HYPERLINK("http://slimages.macys.com/is/image/MCY/13987609 ")</f>
        <v xml:space="preserve">http://slimages.macys.com/is/image/MCY/13987609 </v>
      </c>
    </row>
    <row r="470" spans="1:13" ht="84" x14ac:dyDescent="0.25">
      <c r="A470" s="7" t="s">
        <v>5778</v>
      </c>
      <c r="B470" s="2" t="s">
        <v>5779</v>
      </c>
      <c r="C470" s="4">
        <v>1</v>
      </c>
      <c r="D470" s="5">
        <v>2.1800000000000002</v>
      </c>
      <c r="E470" s="5">
        <v>5.99</v>
      </c>
      <c r="F470" s="4" t="s">
        <v>5780</v>
      </c>
      <c r="G470" s="2" t="s">
        <v>262</v>
      </c>
      <c r="H470" s="7" t="s">
        <v>149</v>
      </c>
      <c r="I470" s="2" t="s">
        <v>483</v>
      </c>
      <c r="J470" s="2" t="s">
        <v>536</v>
      </c>
      <c r="K470" s="2" t="s">
        <v>304</v>
      </c>
      <c r="L470" s="2" t="s">
        <v>5781</v>
      </c>
      <c r="M470" s="8" t="str">
        <f>HYPERLINK("http://slimages.macys.com/is/image/MCY/11383109 ")</f>
        <v xml:space="preserve">http://slimages.macys.com/is/image/MCY/11383109 </v>
      </c>
    </row>
    <row r="471" spans="1:13" ht="60" x14ac:dyDescent="0.25">
      <c r="A471" s="7" t="s">
        <v>5782</v>
      </c>
      <c r="B471" s="2" t="s">
        <v>5783</v>
      </c>
      <c r="C471" s="4">
        <v>1</v>
      </c>
      <c r="D471" s="5">
        <v>2.17</v>
      </c>
      <c r="E471" s="5">
        <v>5.99</v>
      </c>
      <c r="F471" s="4" t="s">
        <v>5784</v>
      </c>
      <c r="G471" s="2" t="s">
        <v>200</v>
      </c>
      <c r="H471" s="7" t="s">
        <v>590</v>
      </c>
      <c r="I471" s="2" t="s">
        <v>483</v>
      </c>
      <c r="J471" s="2" t="s">
        <v>536</v>
      </c>
      <c r="K471" s="2" t="s">
        <v>304</v>
      </c>
      <c r="L471" s="2" t="s">
        <v>206</v>
      </c>
      <c r="M471" s="8" t="str">
        <f>HYPERLINK("http://slimages.macys.com/is/image/MCY/10532949 ")</f>
        <v xml:space="preserve">http://slimages.macys.com/is/image/MCY/10532949 </v>
      </c>
    </row>
    <row r="472" spans="1:13" ht="60" x14ac:dyDescent="0.25">
      <c r="A472" s="7" t="s">
        <v>1393</v>
      </c>
      <c r="B472" s="2" t="s">
        <v>1394</v>
      </c>
      <c r="C472" s="4">
        <v>3</v>
      </c>
      <c r="D472" s="5">
        <v>2.17</v>
      </c>
      <c r="E472" s="5">
        <v>4.99</v>
      </c>
      <c r="F472" s="4">
        <v>10000297900</v>
      </c>
      <c r="G472" s="2" t="s">
        <v>582</v>
      </c>
      <c r="H472" s="7" t="s">
        <v>531</v>
      </c>
      <c r="I472" s="2" t="s">
        <v>483</v>
      </c>
      <c r="J472" s="2" t="s">
        <v>536</v>
      </c>
      <c r="K472" s="2" t="s">
        <v>304</v>
      </c>
      <c r="L472" s="2" t="s">
        <v>38</v>
      </c>
      <c r="M472" s="8" t="str">
        <f>HYPERLINK("http://slimages.macys.com/is/image/MCY/11547503 ")</f>
        <v xml:space="preserve">http://slimages.macys.com/is/image/MCY/11547503 </v>
      </c>
    </row>
    <row r="473" spans="1:13" ht="60" x14ac:dyDescent="0.25">
      <c r="A473" s="7" t="s">
        <v>5785</v>
      </c>
      <c r="B473" s="2" t="s">
        <v>5786</v>
      </c>
      <c r="C473" s="4">
        <v>1</v>
      </c>
      <c r="D473" s="5">
        <v>2.16</v>
      </c>
      <c r="E473" s="5">
        <v>5.99</v>
      </c>
      <c r="F473" s="4" t="s">
        <v>5787</v>
      </c>
      <c r="G473" s="2" t="s">
        <v>41</v>
      </c>
      <c r="H473" s="7" t="s">
        <v>91</v>
      </c>
      <c r="I473" s="2" t="s">
        <v>483</v>
      </c>
      <c r="J473" s="2" t="s">
        <v>536</v>
      </c>
      <c r="K473" s="2" t="s">
        <v>304</v>
      </c>
      <c r="L473" s="2" t="s">
        <v>100</v>
      </c>
      <c r="M473" s="8" t="str">
        <f>HYPERLINK("http://slimages.macys.com/is/image/MCY/11856992 ")</f>
        <v xml:space="preserve">http://slimages.macys.com/is/image/MCY/11856992 </v>
      </c>
    </row>
    <row r="474" spans="1:13" ht="60" x14ac:dyDescent="0.25">
      <c r="A474" s="7" t="s">
        <v>5788</v>
      </c>
      <c r="B474" s="2" t="s">
        <v>5789</v>
      </c>
      <c r="C474" s="4">
        <v>1</v>
      </c>
      <c r="D474" s="5">
        <v>2.15</v>
      </c>
      <c r="E474" s="5">
        <v>5.99</v>
      </c>
      <c r="F474" s="4" t="s">
        <v>5790</v>
      </c>
      <c r="G474" s="2" t="s">
        <v>353</v>
      </c>
      <c r="H474" s="7" t="s">
        <v>149</v>
      </c>
      <c r="I474" s="2" t="s">
        <v>483</v>
      </c>
      <c r="J474" s="2" t="s">
        <v>536</v>
      </c>
      <c r="K474" s="2" t="s">
        <v>304</v>
      </c>
      <c r="L474" s="2" t="s">
        <v>100</v>
      </c>
      <c r="M474" s="8" t="str">
        <f>HYPERLINK("http://slimages.macys.com/is/image/MCY/11857485 ")</f>
        <v xml:space="preserve">http://slimages.macys.com/is/image/MCY/11857485 </v>
      </c>
    </row>
    <row r="475" spans="1:13" ht="60" x14ac:dyDescent="0.25">
      <c r="A475" s="7" t="s">
        <v>5791</v>
      </c>
      <c r="B475" s="2" t="s">
        <v>5792</v>
      </c>
      <c r="C475" s="4">
        <v>1</v>
      </c>
      <c r="D475" s="5">
        <v>2.12</v>
      </c>
      <c r="E475" s="5">
        <v>5.99</v>
      </c>
      <c r="F475" s="4" t="s">
        <v>5793</v>
      </c>
      <c r="G475" s="2" t="s">
        <v>262</v>
      </c>
      <c r="H475" s="7" t="s">
        <v>149</v>
      </c>
      <c r="I475" s="2" t="s">
        <v>483</v>
      </c>
      <c r="J475" s="2" t="s">
        <v>536</v>
      </c>
      <c r="K475" s="2" t="s">
        <v>304</v>
      </c>
      <c r="L475" s="2" t="s">
        <v>206</v>
      </c>
      <c r="M475" s="8" t="str">
        <f>HYPERLINK("http://slimages.macys.com/is/image/MCY/11382941 ")</f>
        <v xml:space="preserve">http://slimages.macys.com/is/image/MCY/11382941 </v>
      </c>
    </row>
    <row r="476" spans="1:13" ht="60" x14ac:dyDescent="0.25">
      <c r="A476" s="7" t="s">
        <v>5794</v>
      </c>
      <c r="B476" s="2" t="s">
        <v>5795</v>
      </c>
      <c r="C476" s="4">
        <v>1</v>
      </c>
      <c r="D476" s="5">
        <v>2.08</v>
      </c>
      <c r="E476" s="5">
        <v>5.99</v>
      </c>
      <c r="F476" s="4" t="s">
        <v>5796</v>
      </c>
      <c r="G476" s="2" t="s">
        <v>28</v>
      </c>
      <c r="H476" s="7" t="s">
        <v>42</v>
      </c>
      <c r="I476" s="2" t="s">
        <v>483</v>
      </c>
      <c r="J476" s="2" t="s">
        <v>536</v>
      </c>
      <c r="K476" s="2" t="s">
        <v>304</v>
      </c>
      <c r="L476" s="2" t="s">
        <v>206</v>
      </c>
      <c r="M476" s="8" t="str">
        <f>HYPERLINK("http://slimages.macys.com/is/image/MCY/11856654 ")</f>
        <v xml:space="preserve">http://slimages.macys.com/is/image/MCY/11856654 </v>
      </c>
    </row>
    <row r="477" spans="1:13" ht="60" x14ac:dyDescent="0.25">
      <c r="A477" s="7" t="s">
        <v>5797</v>
      </c>
      <c r="B477" s="2" t="s">
        <v>1399</v>
      </c>
      <c r="C477" s="4">
        <v>1</v>
      </c>
      <c r="D477" s="5">
        <v>1.97</v>
      </c>
      <c r="E477" s="5">
        <v>5.99</v>
      </c>
      <c r="F477" s="4" t="s">
        <v>1400</v>
      </c>
      <c r="G477" s="2" t="s">
        <v>657</v>
      </c>
      <c r="H477" s="7" t="s">
        <v>442</v>
      </c>
      <c r="I477" s="2" t="s">
        <v>483</v>
      </c>
      <c r="J477" s="2" t="s">
        <v>536</v>
      </c>
      <c r="K477" s="2" t="s">
        <v>304</v>
      </c>
      <c r="L477" s="2" t="s">
        <v>119</v>
      </c>
      <c r="M477" s="8" t="str">
        <f>HYPERLINK("http://slimages.macys.com/is/image/MCY/13987628 ")</f>
        <v xml:space="preserve">http://slimages.macys.com/is/image/MCY/13987628 </v>
      </c>
    </row>
    <row r="478" spans="1:13" ht="60" x14ac:dyDescent="0.25">
      <c r="A478" s="7" t="s">
        <v>5798</v>
      </c>
      <c r="B478" s="2" t="s">
        <v>5799</v>
      </c>
      <c r="C478" s="4">
        <v>1</v>
      </c>
      <c r="D478" s="5">
        <v>1.95</v>
      </c>
      <c r="E478" s="5">
        <v>5.99</v>
      </c>
      <c r="F478" s="4" t="s">
        <v>5800</v>
      </c>
      <c r="G478" s="2" t="s">
        <v>129</v>
      </c>
      <c r="H478" s="7" t="s">
        <v>42</v>
      </c>
      <c r="I478" s="2" t="s">
        <v>483</v>
      </c>
      <c r="J478" s="2" t="s">
        <v>536</v>
      </c>
      <c r="K478" s="2" t="s">
        <v>304</v>
      </c>
      <c r="L478" s="2" t="s">
        <v>119</v>
      </c>
      <c r="M478" s="8" t="str">
        <f>HYPERLINK("http://slimages.macys.com/is/image/MCY/12776923 ")</f>
        <v xml:space="preserve">http://slimages.macys.com/is/image/MCY/12776923 </v>
      </c>
    </row>
    <row r="479" spans="1:13" ht="60" x14ac:dyDescent="0.25">
      <c r="A479" s="7" t="s">
        <v>5801</v>
      </c>
      <c r="B479" s="2" t="s">
        <v>5802</v>
      </c>
      <c r="C479" s="4">
        <v>1</v>
      </c>
      <c r="D479" s="5">
        <v>1.95</v>
      </c>
      <c r="E479" s="5">
        <v>5.99</v>
      </c>
      <c r="F479" s="4" t="s">
        <v>5803</v>
      </c>
      <c r="G479" s="2" t="s">
        <v>657</v>
      </c>
      <c r="H479" s="7" t="s">
        <v>590</v>
      </c>
      <c r="I479" s="2" t="s">
        <v>483</v>
      </c>
      <c r="J479" s="2" t="s">
        <v>536</v>
      </c>
      <c r="K479" s="2" t="s">
        <v>304</v>
      </c>
      <c r="L479" s="2" t="s">
        <v>119</v>
      </c>
      <c r="M479" s="8" t="str">
        <f>HYPERLINK("http://slimages.macys.com/is/image/MCY/11856984 ")</f>
        <v xml:space="preserve">http://slimages.macys.com/is/image/MCY/11856984 </v>
      </c>
    </row>
    <row r="480" spans="1:13" ht="36" x14ac:dyDescent="0.25">
      <c r="A480" s="7" t="s">
        <v>3562</v>
      </c>
      <c r="B480" s="2" t="s">
        <v>3563</v>
      </c>
      <c r="C480" s="4">
        <v>1</v>
      </c>
      <c r="D480" s="5">
        <v>11</v>
      </c>
      <c r="E480" s="5">
        <v>34</v>
      </c>
      <c r="F480" s="4" t="s">
        <v>3563</v>
      </c>
      <c r="G480" s="2" t="s">
        <v>41</v>
      </c>
      <c r="H480" s="7" t="s">
        <v>166</v>
      </c>
      <c r="I480" s="2" t="s">
        <v>50</v>
      </c>
      <c r="J480" s="2" t="s">
        <v>650</v>
      </c>
      <c r="K480" s="2"/>
      <c r="L480" s="2"/>
      <c r="M480" s="8"/>
    </row>
    <row r="481" spans="1:13" ht="36" x14ac:dyDescent="0.25">
      <c r="A481" s="7" t="s">
        <v>5804</v>
      </c>
      <c r="B481" s="2" t="s">
        <v>1402</v>
      </c>
      <c r="C481" s="4">
        <v>1</v>
      </c>
      <c r="D481" s="5">
        <v>10.25</v>
      </c>
      <c r="E481" s="5">
        <v>34</v>
      </c>
      <c r="F481" s="4" t="s">
        <v>1403</v>
      </c>
      <c r="G481" s="2" t="s">
        <v>657</v>
      </c>
      <c r="H481" s="7" t="s">
        <v>2740</v>
      </c>
      <c r="I481" s="2" t="s">
        <v>50</v>
      </c>
      <c r="J481" s="2" t="s">
        <v>650</v>
      </c>
      <c r="K481" s="2"/>
      <c r="L481" s="2"/>
      <c r="M481" s="8"/>
    </row>
    <row r="482" spans="1:13" ht="48" x14ac:dyDescent="0.25">
      <c r="A482" s="7" t="s">
        <v>5805</v>
      </c>
      <c r="B482" s="2" t="s">
        <v>5806</v>
      </c>
      <c r="C482" s="4">
        <v>1</v>
      </c>
      <c r="D482" s="5">
        <v>8.1</v>
      </c>
      <c r="E482" s="5">
        <v>16.2</v>
      </c>
      <c r="F482" s="4">
        <v>27863610</v>
      </c>
      <c r="G482" s="2"/>
      <c r="H482" s="7" t="s">
        <v>209</v>
      </c>
      <c r="I482" s="2" t="s">
        <v>487</v>
      </c>
      <c r="J482" s="2" t="s">
        <v>488</v>
      </c>
      <c r="K482" s="2"/>
      <c r="L482" s="2"/>
      <c r="M482" s="8"/>
    </row>
    <row r="483" spans="1:13" ht="36" x14ac:dyDescent="0.25">
      <c r="A483" s="7" t="s">
        <v>5807</v>
      </c>
      <c r="B483" s="2" t="s">
        <v>5808</v>
      </c>
      <c r="C483" s="4">
        <v>1</v>
      </c>
      <c r="D483" s="5">
        <v>6.4</v>
      </c>
      <c r="E483" s="5">
        <v>14.55</v>
      </c>
      <c r="F483" s="4">
        <v>17889410</v>
      </c>
      <c r="G483" s="2" t="s">
        <v>28</v>
      </c>
      <c r="H483" s="7" t="s">
        <v>42</v>
      </c>
      <c r="I483" s="2" t="s">
        <v>153</v>
      </c>
      <c r="J483" s="2" t="s">
        <v>154</v>
      </c>
      <c r="K483" s="2"/>
      <c r="L483" s="2"/>
      <c r="M483" s="8"/>
    </row>
  </sheetData>
  <pageMargins left="0.5" right="0.5" top="0.25" bottom="0.25" header="0.3" footer="0.3"/>
  <pageSetup scale="65" orientation="landscape" horizontalDpi="0" verticalDpi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62"/>
  <sheetViews>
    <sheetView workbookViewId="0">
      <selection activeCell="N9" sqref="N9"/>
    </sheetView>
  </sheetViews>
  <sheetFormatPr defaultRowHeight="15" x14ac:dyDescent="0.25"/>
  <cols>
    <col min="1" max="1" width="14.28515625" customWidth="1"/>
    <col min="2" max="2" width="44.5703125" customWidth="1"/>
    <col min="3" max="3" width="15" customWidth="1"/>
    <col min="4" max="4" width="10.85546875" customWidth="1"/>
    <col min="5" max="5" width="12" customWidth="1"/>
    <col min="6" max="6" width="15" customWidth="1"/>
    <col min="7" max="7" width="10.28515625" customWidth="1"/>
    <col min="8" max="8" width="12.5703125" customWidth="1"/>
    <col min="9" max="10" width="11.42578125" customWidth="1"/>
    <col min="11" max="11" width="10.85546875" customWidth="1"/>
    <col min="12" max="12" width="7.42578125" customWidth="1"/>
    <col min="13" max="13" width="10.85546875" customWidth="1"/>
    <col min="14" max="14" width="12.140625" customWidth="1"/>
    <col min="15" max="15" width="36.5703125" bestFit="1" customWidth="1"/>
    <col min="16" max="17" width="20.7109375" customWidth="1"/>
    <col min="18" max="18" width="64.28515625" customWidth="1"/>
  </cols>
  <sheetData>
    <row r="1" spans="1:13" ht="36" x14ac:dyDescent="0.25">
      <c r="A1" s="15" t="s">
        <v>0</v>
      </c>
      <c r="B1" s="15" t="s">
        <v>1</v>
      </c>
      <c r="C1" s="15" t="s">
        <v>2</v>
      </c>
      <c r="D1" s="15" t="s">
        <v>3</v>
      </c>
      <c r="E1" s="15" t="s">
        <v>4</v>
      </c>
      <c r="F1" s="15" t="s">
        <v>5</v>
      </c>
      <c r="G1" s="15" t="s">
        <v>6</v>
      </c>
      <c r="H1" s="15" t="s">
        <v>7</v>
      </c>
      <c r="I1" s="15" t="s">
        <v>8</v>
      </c>
      <c r="J1" s="15" t="s">
        <v>9</v>
      </c>
    </row>
    <row r="2" spans="1:13" ht="36" x14ac:dyDescent="0.25">
      <c r="A2" s="2" t="s">
        <v>654</v>
      </c>
      <c r="B2" s="3">
        <v>12465859</v>
      </c>
      <c r="C2" s="2" t="s">
        <v>11</v>
      </c>
      <c r="D2" s="2" t="s">
        <v>12</v>
      </c>
      <c r="E2" s="4">
        <v>1</v>
      </c>
      <c r="F2" s="4">
        <v>27</v>
      </c>
      <c r="G2" s="2">
        <v>153</v>
      </c>
      <c r="H2" s="5">
        <v>2928.46</v>
      </c>
      <c r="I2" s="5">
        <v>7405.1</v>
      </c>
      <c r="J2" s="2">
        <v>300</v>
      </c>
    </row>
    <row r="4" spans="1:13" s="6" customFormat="1" x14ac:dyDescent="0.25"/>
    <row r="8" spans="1:13" s="6" customFormat="1" x14ac:dyDescent="0.25"/>
    <row r="9" spans="1:13" ht="36" x14ac:dyDescent="0.25">
      <c r="A9" s="15" t="s">
        <v>13</v>
      </c>
      <c r="B9" s="15" t="s">
        <v>14</v>
      </c>
      <c r="C9" s="15" t="s">
        <v>15</v>
      </c>
      <c r="D9" s="15" t="s">
        <v>16</v>
      </c>
      <c r="E9" s="15" t="s">
        <v>17</v>
      </c>
      <c r="F9" s="15" t="s">
        <v>18</v>
      </c>
      <c r="G9" s="15" t="s">
        <v>19</v>
      </c>
      <c r="H9" s="15" t="s">
        <v>20</v>
      </c>
      <c r="I9" s="15" t="s">
        <v>21</v>
      </c>
      <c r="J9" s="15" t="s">
        <v>22</v>
      </c>
      <c r="K9" s="15" t="s">
        <v>2737</v>
      </c>
      <c r="L9" s="15" t="s">
        <v>23</v>
      </c>
      <c r="M9" s="15" t="s">
        <v>24</v>
      </c>
    </row>
    <row r="10" spans="1:13" ht="348" x14ac:dyDescent="0.25">
      <c r="A10" s="7" t="s">
        <v>4625</v>
      </c>
      <c r="B10" s="2" t="s">
        <v>4626</v>
      </c>
      <c r="C10" s="4">
        <v>1</v>
      </c>
      <c r="D10" s="5">
        <v>40</v>
      </c>
      <c r="E10" s="5">
        <v>110</v>
      </c>
      <c r="F10" s="4" t="s">
        <v>4627</v>
      </c>
      <c r="G10" s="2" t="s">
        <v>41</v>
      </c>
      <c r="H10" s="7" t="s">
        <v>166</v>
      </c>
      <c r="I10" s="2" t="s">
        <v>668</v>
      </c>
      <c r="J10" s="2" t="s">
        <v>672</v>
      </c>
      <c r="K10" s="2" t="s">
        <v>304</v>
      </c>
      <c r="L10" s="2" t="s">
        <v>4628</v>
      </c>
      <c r="M10" s="8" t="str">
        <f>HYPERLINK("http://slimages.macys.com/is/image/MCY/12335412 ")</f>
        <v xml:space="preserve">http://slimages.macys.com/is/image/MCY/12335412 </v>
      </c>
    </row>
    <row r="11" spans="1:13" ht="60" x14ac:dyDescent="0.25">
      <c r="A11" s="7" t="s">
        <v>4629</v>
      </c>
      <c r="B11" s="2" t="s">
        <v>4630</v>
      </c>
      <c r="C11" s="4">
        <v>1</v>
      </c>
      <c r="D11" s="5">
        <v>38</v>
      </c>
      <c r="E11" s="5">
        <v>76.989999999999995</v>
      </c>
      <c r="F11" s="4" t="s">
        <v>4631</v>
      </c>
      <c r="G11" s="2" t="s">
        <v>262</v>
      </c>
      <c r="H11" s="7" t="s">
        <v>56</v>
      </c>
      <c r="I11" s="2" t="s">
        <v>30</v>
      </c>
      <c r="J11" s="2" t="s">
        <v>2986</v>
      </c>
      <c r="K11" s="2" t="s">
        <v>304</v>
      </c>
      <c r="L11" s="2" t="s">
        <v>712</v>
      </c>
      <c r="M11" s="8" t="str">
        <f>HYPERLINK("http://slimages.macys.com/is/image/MCY/12237744 ")</f>
        <v xml:space="preserve">http://slimages.macys.com/is/image/MCY/12237744 </v>
      </c>
    </row>
    <row r="12" spans="1:13" ht="204" x14ac:dyDescent="0.25">
      <c r="A12" s="7" t="s">
        <v>4632</v>
      </c>
      <c r="B12" s="2" t="s">
        <v>4633</v>
      </c>
      <c r="C12" s="4">
        <v>1</v>
      </c>
      <c r="D12" s="5">
        <v>32.56</v>
      </c>
      <c r="E12" s="5">
        <v>88</v>
      </c>
      <c r="F12" s="4">
        <v>3258</v>
      </c>
      <c r="G12" s="2" t="s">
        <v>892</v>
      </c>
      <c r="H12" s="7" t="s">
        <v>228</v>
      </c>
      <c r="I12" s="2" t="s">
        <v>173</v>
      </c>
      <c r="J12" s="2" t="s">
        <v>4634</v>
      </c>
      <c r="K12" s="2" t="s">
        <v>2746</v>
      </c>
      <c r="L12" s="2" t="s">
        <v>4635</v>
      </c>
      <c r="M12" s="8" t="str">
        <f>HYPERLINK("http://images.bloomingdales.com/is/image/BLM/10213560 ")</f>
        <v xml:space="preserve">http://images.bloomingdales.com/is/image/BLM/10213560 </v>
      </c>
    </row>
    <row r="13" spans="1:13" ht="144" x14ac:dyDescent="0.25">
      <c r="A13" s="7" t="s">
        <v>4636</v>
      </c>
      <c r="B13" s="2" t="s">
        <v>4637</v>
      </c>
      <c r="C13" s="4">
        <v>1</v>
      </c>
      <c r="D13" s="5">
        <v>29.25</v>
      </c>
      <c r="E13" s="5">
        <v>65</v>
      </c>
      <c r="F13" s="4">
        <v>310738430001</v>
      </c>
      <c r="G13" s="2" t="s">
        <v>41</v>
      </c>
      <c r="H13" s="7" t="s">
        <v>233</v>
      </c>
      <c r="I13" s="2" t="s">
        <v>676</v>
      </c>
      <c r="J13" s="2" t="s">
        <v>677</v>
      </c>
      <c r="K13" s="2" t="s">
        <v>304</v>
      </c>
      <c r="L13" s="2" t="s">
        <v>4638</v>
      </c>
      <c r="M13" s="8" t="str">
        <f>HYPERLINK("http://slimages.macys.com/is/image/MCY/12806966 ")</f>
        <v xml:space="preserve">http://slimages.macys.com/is/image/MCY/12806966 </v>
      </c>
    </row>
    <row r="14" spans="1:13" ht="108" x14ac:dyDescent="0.25">
      <c r="A14" s="7" t="s">
        <v>4639</v>
      </c>
      <c r="B14" s="2" t="s">
        <v>4640</v>
      </c>
      <c r="C14" s="4">
        <v>1</v>
      </c>
      <c r="D14" s="5">
        <v>29.25</v>
      </c>
      <c r="E14" s="5">
        <v>65</v>
      </c>
      <c r="F14" s="4">
        <v>320737392001</v>
      </c>
      <c r="G14" s="2" t="s">
        <v>41</v>
      </c>
      <c r="H14" s="7" t="s">
        <v>438</v>
      </c>
      <c r="I14" s="2" t="s">
        <v>676</v>
      </c>
      <c r="J14" s="2" t="s">
        <v>677</v>
      </c>
      <c r="K14" s="2" t="s">
        <v>304</v>
      </c>
      <c r="L14" s="2" t="s">
        <v>4641</v>
      </c>
      <c r="M14" s="8" t="str">
        <f>HYPERLINK("http://slimages.macys.com/is/image/MCY/11944177 ")</f>
        <v xml:space="preserve">http://slimages.macys.com/is/image/MCY/11944177 </v>
      </c>
    </row>
    <row r="15" spans="1:13" ht="60" x14ac:dyDescent="0.25">
      <c r="A15" s="7" t="s">
        <v>4642</v>
      </c>
      <c r="B15" s="2" t="s">
        <v>4643</v>
      </c>
      <c r="C15" s="4">
        <v>1</v>
      </c>
      <c r="D15" s="5">
        <v>27.5</v>
      </c>
      <c r="E15" s="5">
        <v>55</v>
      </c>
      <c r="F15" s="4" t="s">
        <v>4644</v>
      </c>
      <c r="G15" s="2" t="s">
        <v>4645</v>
      </c>
      <c r="H15" s="7" t="s">
        <v>317</v>
      </c>
      <c r="I15" s="2" t="s">
        <v>50</v>
      </c>
      <c r="J15" s="2" t="s">
        <v>51</v>
      </c>
      <c r="K15" s="2" t="s">
        <v>304</v>
      </c>
      <c r="L15" s="2" t="s">
        <v>4646</v>
      </c>
      <c r="M15" s="8" t="str">
        <f>HYPERLINK("http://slimages.macys.com/is/image/MCY/3532501 ")</f>
        <v xml:space="preserve">http://slimages.macys.com/is/image/MCY/3532501 </v>
      </c>
    </row>
    <row r="16" spans="1:13" ht="132" x14ac:dyDescent="0.25">
      <c r="A16" s="7" t="s">
        <v>4647</v>
      </c>
      <c r="B16" s="2" t="s">
        <v>4648</v>
      </c>
      <c r="C16" s="4">
        <v>1</v>
      </c>
      <c r="D16" s="5">
        <v>25.5</v>
      </c>
      <c r="E16" s="5">
        <v>52</v>
      </c>
      <c r="F16" s="4" t="s">
        <v>4649</v>
      </c>
      <c r="G16" s="2" t="s">
        <v>253</v>
      </c>
      <c r="H16" s="7" t="s">
        <v>4650</v>
      </c>
      <c r="I16" s="2" t="s">
        <v>50</v>
      </c>
      <c r="J16" s="2" t="s">
        <v>1447</v>
      </c>
      <c r="K16" s="2" t="s">
        <v>304</v>
      </c>
      <c r="L16" s="2" t="s">
        <v>4651</v>
      </c>
      <c r="M16" s="8" t="str">
        <f>HYPERLINK("http://slimages.macys.com/is/image/MCY/10324295 ")</f>
        <v xml:space="preserve">http://slimages.macys.com/is/image/MCY/10324295 </v>
      </c>
    </row>
    <row r="17" spans="1:13" ht="72" x14ac:dyDescent="0.25">
      <c r="A17" s="7" t="s">
        <v>4652</v>
      </c>
      <c r="B17" s="2" t="s">
        <v>4653</v>
      </c>
      <c r="C17" s="4">
        <v>1</v>
      </c>
      <c r="D17" s="5">
        <v>25.03</v>
      </c>
      <c r="E17" s="5">
        <v>55</v>
      </c>
      <c r="F17" s="4" t="s">
        <v>4654</v>
      </c>
      <c r="G17" s="2" t="s">
        <v>62</v>
      </c>
      <c r="H17" s="7" t="s">
        <v>4655</v>
      </c>
      <c r="I17" s="2" t="s">
        <v>815</v>
      </c>
      <c r="J17" s="2" t="s">
        <v>4656</v>
      </c>
      <c r="K17" s="2"/>
      <c r="L17" s="2" t="s">
        <v>4657</v>
      </c>
      <c r="M17" s="8" t="str">
        <f>HYPERLINK("http://images.bloomingdales.com/is/image/BLM/9084932 ")</f>
        <v xml:space="preserve">http://images.bloomingdales.com/is/image/BLM/9084932 </v>
      </c>
    </row>
    <row r="18" spans="1:13" ht="60" x14ac:dyDescent="0.25">
      <c r="A18" s="7" t="s">
        <v>4658</v>
      </c>
      <c r="B18" s="2" t="s">
        <v>4653</v>
      </c>
      <c r="C18" s="4">
        <v>1</v>
      </c>
      <c r="D18" s="5">
        <v>25.03</v>
      </c>
      <c r="E18" s="5">
        <v>55</v>
      </c>
      <c r="F18" s="4" t="s">
        <v>4654</v>
      </c>
      <c r="G18" s="2" t="s">
        <v>62</v>
      </c>
      <c r="H18" s="7" t="s">
        <v>311</v>
      </c>
      <c r="I18" s="2" t="s">
        <v>815</v>
      </c>
      <c r="J18" s="2" t="s">
        <v>4656</v>
      </c>
      <c r="K18" s="2" t="s">
        <v>304</v>
      </c>
      <c r="L18" s="2" t="s">
        <v>4659</v>
      </c>
      <c r="M18" s="8" t="str">
        <f>HYPERLINK("http://slimages.macys.com/is/image/MCY/1710742 ")</f>
        <v xml:space="preserve">http://slimages.macys.com/is/image/MCY/1710742 </v>
      </c>
    </row>
    <row r="19" spans="1:13" ht="72" x14ac:dyDescent="0.25">
      <c r="A19" s="7" t="s">
        <v>4660</v>
      </c>
      <c r="B19" s="2" t="s">
        <v>4653</v>
      </c>
      <c r="C19" s="4">
        <v>1</v>
      </c>
      <c r="D19" s="5">
        <v>25.03</v>
      </c>
      <c r="E19" s="5">
        <v>55</v>
      </c>
      <c r="F19" s="4" t="s">
        <v>4654</v>
      </c>
      <c r="G19" s="2" t="s">
        <v>62</v>
      </c>
      <c r="H19" s="7"/>
      <c r="I19" s="2" t="s">
        <v>815</v>
      </c>
      <c r="J19" s="2" t="s">
        <v>4656</v>
      </c>
      <c r="K19" s="2"/>
      <c r="L19" s="2" t="s">
        <v>4657</v>
      </c>
      <c r="M19" s="8" t="str">
        <f>HYPERLINK("http://images.bloomingdales.com/is/image/BLM/9084932 ")</f>
        <v xml:space="preserve">http://images.bloomingdales.com/is/image/BLM/9084932 </v>
      </c>
    </row>
    <row r="20" spans="1:13" ht="72" x14ac:dyDescent="0.25">
      <c r="A20" s="7" t="s">
        <v>4661</v>
      </c>
      <c r="B20" s="2" t="s">
        <v>4653</v>
      </c>
      <c r="C20" s="4">
        <v>1</v>
      </c>
      <c r="D20" s="5">
        <v>25.03</v>
      </c>
      <c r="E20" s="5">
        <v>55</v>
      </c>
      <c r="F20" s="4" t="s">
        <v>4654</v>
      </c>
      <c r="G20" s="2" t="s">
        <v>62</v>
      </c>
      <c r="H20" s="7"/>
      <c r="I20" s="2" t="s">
        <v>815</v>
      </c>
      <c r="J20" s="2" t="s">
        <v>4656</v>
      </c>
      <c r="K20" s="2"/>
      <c r="L20" s="2" t="s">
        <v>4657</v>
      </c>
      <c r="M20" s="8" t="str">
        <f>HYPERLINK("http://images.bloomingdales.com/is/image/BLM/9084932 ")</f>
        <v xml:space="preserve">http://images.bloomingdales.com/is/image/BLM/9084932 </v>
      </c>
    </row>
    <row r="21" spans="1:13" ht="72" x14ac:dyDescent="0.25">
      <c r="A21" s="7" t="s">
        <v>4662</v>
      </c>
      <c r="B21" s="2" t="s">
        <v>4653</v>
      </c>
      <c r="C21" s="4">
        <v>1</v>
      </c>
      <c r="D21" s="5">
        <v>25.03</v>
      </c>
      <c r="E21" s="5">
        <v>55</v>
      </c>
      <c r="F21" s="4" t="s">
        <v>4654</v>
      </c>
      <c r="G21" s="2" t="s">
        <v>62</v>
      </c>
      <c r="H21" s="7" t="s">
        <v>172</v>
      </c>
      <c r="I21" s="2" t="s">
        <v>815</v>
      </c>
      <c r="J21" s="2" t="s">
        <v>4656</v>
      </c>
      <c r="K21" s="2"/>
      <c r="L21" s="2" t="s">
        <v>4657</v>
      </c>
      <c r="M21" s="8" t="str">
        <f>HYPERLINK("http://images.bloomingdales.com/is/image/BLM/9084932 ")</f>
        <v xml:space="preserve">http://images.bloomingdales.com/is/image/BLM/9084932 </v>
      </c>
    </row>
    <row r="22" spans="1:13" ht="60" x14ac:dyDescent="0.25">
      <c r="A22" s="7" t="s">
        <v>4663</v>
      </c>
      <c r="B22" s="2" t="s">
        <v>3611</v>
      </c>
      <c r="C22" s="4">
        <v>1</v>
      </c>
      <c r="D22" s="5">
        <v>24.75</v>
      </c>
      <c r="E22" s="5">
        <v>65</v>
      </c>
      <c r="F22" s="4">
        <v>1437</v>
      </c>
      <c r="G22" s="2" t="s">
        <v>41</v>
      </c>
      <c r="H22" s="7" t="s">
        <v>590</v>
      </c>
      <c r="I22" s="2" t="s">
        <v>43</v>
      </c>
      <c r="J22" s="2" t="s">
        <v>44</v>
      </c>
      <c r="K22" s="2" t="s">
        <v>304</v>
      </c>
      <c r="L22" s="2" t="s">
        <v>87</v>
      </c>
      <c r="M22" s="8" t="str">
        <f>HYPERLINK("http://slimages.macys.com/is/image/MCY/796474 ")</f>
        <v xml:space="preserve">http://slimages.macys.com/is/image/MCY/796474 </v>
      </c>
    </row>
    <row r="23" spans="1:13" ht="60" x14ac:dyDescent="0.25">
      <c r="A23" s="7" t="s">
        <v>1423</v>
      </c>
      <c r="B23" s="2" t="s">
        <v>1420</v>
      </c>
      <c r="C23" s="4">
        <v>1</v>
      </c>
      <c r="D23" s="5">
        <v>23</v>
      </c>
      <c r="E23" s="5">
        <v>54.99</v>
      </c>
      <c r="F23" s="4" t="s">
        <v>1421</v>
      </c>
      <c r="G23" s="2" t="s">
        <v>103</v>
      </c>
      <c r="H23" s="7" t="s">
        <v>1417</v>
      </c>
      <c r="I23" s="2" t="s">
        <v>668</v>
      </c>
      <c r="J23" s="2" t="s">
        <v>239</v>
      </c>
      <c r="K23" s="2" t="s">
        <v>304</v>
      </c>
      <c r="L23" s="2" t="s">
        <v>1418</v>
      </c>
      <c r="M23" s="8" t="str">
        <f>HYPERLINK("http://slimages.macys.com/is/image/MCY/14459201 ")</f>
        <v xml:space="preserve">http://slimages.macys.com/is/image/MCY/14459201 </v>
      </c>
    </row>
    <row r="24" spans="1:13" ht="132" x14ac:dyDescent="0.25">
      <c r="A24" s="7" t="s">
        <v>4664</v>
      </c>
      <c r="B24" s="2" t="s">
        <v>4665</v>
      </c>
      <c r="C24" s="4">
        <v>1</v>
      </c>
      <c r="D24" s="5">
        <v>23</v>
      </c>
      <c r="E24" s="5">
        <v>51.99</v>
      </c>
      <c r="F24" s="4" t="s">
        <v>4666</v>
      </c>
      <c r="G24" s="2" t="s">
        <v>657</v>
      </c>
      <c r="H24" s="7" t="s">
        <v>266</v>
      </c>
      <c r="I24" s="2" t="s">
        <v>3129</v>
      </c>
      <c r="J24" s="2" t="s">
        <v>4667</v>
      </c>
      <c r="K24" s="2" t="s">
        <v>304</v>
      </c>
      <c r="L24" s="2" t="s">
        <v>4668</v>
      </c>
      <c r="M24" s="8" t="str">
        <f>HYPERLINK("http://slimages.macys.com/is/image/MCY/8687592 ")</f>
        <v xml:space="preserve">http://slimages.macys.com/is/image/MCY/8687592 </v>
      </c>
    </row>
    <row r="25" spans="1:13" ht="60" x14ac:dyDescent="0.25">
      <c r="A25" s="7" t="s">
        <v>4669</v>
      </c>
      <c r="B25" s="2" t="s">
        <v>4670</v>
      </c>
      <c r="C25" s="4">
        <v>1</v>
      </c>
      <c r="D25" s="5">
        <v>22.62</v>
      </c>
      <c r="E25" s="5">
        <v>68</v>
      </c>
      <c r="F25" s="4" t="s">
        <v>4671</v>
      </c>
      <c r="G25" s="2"/>
      <c r="H25" s="7" t="s">
        <v>196</v>
      </c>
      <c r="I25" s="2" t="s">
        <v>173</v>
      </c>
      <c r="J25" s="2" t="s">
        <v>4672</v>
      </c>
      <c r="K25" s="2" t="s">
        <v>2746</v>
      </c>
      <c r="L25" s="2" t="s">
        <v>390</v>
      </c>
      <c r="M25" s="8" t="str">
        <f>HYPERLINK("http://images.bloomingdales.com/is/image/BLM/10249436 ")</f>
        <v xml:space="preserve">http://images.bloomingdales.com/is/image/BLM/10249436 </v>
      </c>
    </row>
    <row r="26" spans="1:13" ht="120" x14ac:dyDescent="0.25">
      <c r="A26" s="7" t="s">
        <v>4673</v>
      </c>
      <c r="B26" s="2" t="s">
        <v>4674</v>
      </c>
      <c r="C26" s="4">
        <v>1</v>
      </c>
      <c r="D26" s="5">
        <v>22.28</v>
      </c>
      <c r="E26" s="5">
        <v>49.5</v>
      </c>
      <c r="F26" s="4">
        <v>322737150001</v>
      </c>
      <c r="G26" s="2" t="s">
        <v>28</v>
      </c>
      <c r="H26" s="7" t="s">
        <v>123</v>
      </c>
      <c r="I26" s="2" t="s">
        <v>700</v>
      </c>
      <c r="J26" s="2" t="s">
        <v>205</v>
      </c>
      <c r="K26" s="2" t="s">
        <v>304</v>
      </c>
      <c r="L26" s="2" t="s">
        <v>4675</v>
      </c>
      <c r="M26" s="8" t="str">
        <f>HYPERLINK("http://slimages.macys.com/is/image/MCY/12659256 ")</f>
        <v xml:space="preserve">http://slimages.macys.com/is/image/MCY/12659256 </v>
      </c>
    </row>
    <row r="27" spans="1:13" ht="60" x14ac:dyDescent="0.25">
      <c r="A27" s="7" t="s">
        <v>4676</v>
      </c>
      <c r="B27" s="2" t="s">
        <v>4677</v>
      </c>
      <c r="C27" s="4">
        <v>1</v>
      </c>
      <c r="D27" s="5">
        <v>22.08</v>
      </c>
      <c r="E27" s="5">
        <v>69</v>
      </c>
      <c r="F27" s="4" t="s">
        <v>4678</v>
      </c>
      <c r="G27" s="2" t="s">
        <v>28</v>
      </c>
      <c r="H27" s="7" t="s">
        <v>172</v>
      </c>
      <c r="I27" s="2" t="s">
        <v>3685</v>
      </c>
      <c r="J27" s="2" t="s">
        <v>3686</v>
      </c>
      <c r="K27" s="2" t="s">
        <v>304</v>
      </c>
      <c r="L27" s="2" t="s">
        <v>206</v>
      </c>
      <c r="M27" s="8" t="str">
        <f>HYPERLINK("http://slimages.macys.com/is/image/MCY/13384408 ")</f>
        <v xml:space="preserve">http://slimages.macys.com/is/image/MCY/13384408 </v>
      </c>
    </row>
    <row r="28" spans="1:13" ht="60" x14ac:dyDescent="0.25">
      <c r="A28" s="7" t="s">
        <v>4679</v>
      </c>
      <c r="B28" s="2" t="s">
        <v>4680</v>
      </c>
      <c r="C28" s="4">
        <v>1</v>
      </c>
      <c r="D28" s="5">
        <v>21</v>
      </c>
      <c r="E28" s="5">
        <v>46</v>
      </c>
      <c r="F28" s="4" t="s">
        <v>4681</v>
      </c>
      <c r="G28" s="2" t="s">
        <v>165</v>
      </c>
      <c r="H28" s="7" t="s">
        <v>68</v>
      </c>
      <c r="I28" s="2" t="s">
        <v>173</v>
      </c>
      <c r="J28" s="2" t="s">
        <v>4682</v>
      </c>
      <c r="K28" s="2" t="s">
        <v>2752</v>
      </c>
      <c r="L28" s="2" t="s">
        <v>4683</v>
      </c>
      <c r="M28" s="8" t="str">
        <f>HYPERLINK("http://images.bloomingdales.com/is/image/BLM/10322990 ")</f>
        <v xml:space="preserve">http://images.bloomingdales.com/is/image/BLM/10322990 </v>
      </c>
    </row>
    <row r="29" spans="1:13" ht="84" x14ac:dyDescent="0.25">
      <c r="A29" s="7" t="s">
        <v>4684</v>
      </c>
      <c r="B29" s="2" t="s">
        <v>4685</v>
      </c>
      <c r="C29" s="4">
        <v>1</v>
      </c>
      <c r="D29" s="5">
        <v>21</v>
      </c>
      <c r="E29" s="5">
        <v>59.99</v>
      </c>
      <c r="F29" s="4" t="s">
        <v>4686</v>
      </c>
      <c r="G29" s="2" t="s">
        <v>653</v>
      </c>
      <c r="H29" s="7" t="s">
        <v>179</v>
      </c>
      <c r="I29" s="2" t="s">
        <v>668</v>
      </c>
      <c r="J29" s="2" t="s">
        <v>239</v>
      </c>
      <c r="K29" s="2" t="s">
        <v>304</v>
      </c>
      <c r="L29" s="2" t="s">
        <v>4687</v>
      </c>
      <c r="M29" s="8" t="str">
        <f>HYPERLINK("http://slimages.macys.com/is/image/MCY/14382827 ")</f>
        <v xml:space="preserve">http://slimages.macys.com/is/image/MCY/14382827 </v>
      </c>
    </row>
    <row r="30" spans="1:13" ht="60" x14ac:dyDescent="0.25">
      <c r="A30" s="7" t="s">
        <v>4688</v>
      </c>
      <c r="B30" s="2" t="s">
        <v>2919</v>
      </c>
      <c r="C30" s="4">
        <v>1</v>
      </c>
      <c r="D30" s="5">
        <v>20.25</v>
      </c>
      <c r="E30" s="5">
        <v>45</v>
      </c>
      <c r="F30" s="4">
        <v>323750004001</v>
      </c>
      <c r="G30" s="2" t="s">
        <v>41</v>
      </c>
      <c r="H30" s="7" t="s">
        <v>228</v>
      </c>
      <c r="I30" s="2" t="s">
        <v>700</v>
      </c>
      <c r="J30" s="2" t="s">
        <v>205</v>
      </c>
      <c r="K30" s="2" t="s">
        <v>304</v>
      </c>
      <c r="L30" s="2" t="s">
        <v>38</v>
      </c>
      <c r="M30" s="8" t="str">
        <f>HYPERLINK("http://slimages.macys.com/is/image/MCY/13285180 ")</f>
        <v xml:space="preserve">http://slimages.macys.com/is/image/MCY/13285180 </v>
      </c>
    </row>
    <row r="31" spans="1:13" ht="60" x14ac:dyDescent="0.25">
      <c r="A31" s="7" t="s">
        <v>4689</v>
      </c>
      <c r="B31" s="2" t="s">
        <v>4690</v>
      </c>
      <c r="C31" s="4">
        <v>1</v>
      </c>
      <c r="D31" s="5">
        <v>20.25</v>
      </c>
      <c r="E31" s="5">
        <v>45</v>
      </c>
      <c r="F31" s="4">
        <v>311736653001</v>
      </c>
      <c r="G31" s="2" t="s">
        <v>41</v>
      </c>
      <c r="H31" s="7" t="s">
        <v>144</v>
      </c>
      <c r="I31" s="2" t="s">
        <v>3028</v>
      </c>
      <c r="J31" s="2" t="s">
        <v>205</v>
      </c>
      <c r="K31" s="2" t="s">
        <v>304</v>
      </c>
      <c r="L31" s="2" t="s">
        <v>38</v>
      </c>
      <c r="M31" s="8" t="str">
        <f>HYPERLINK("http://slimages.macys.com/is/image/MCY/11645923 ")</f>
        <v xml:space="preserve">http://slimages.macys.com/is/image/MCY/11645923 </v>
      </c>
    </row>
    <row r="32" spans="1:13" ht="60" x14ac:dyDescent="0.25">
      <c r="A32" s="7" t="s">
        <v>4691</v>
      </c>
      <c r="B32" s="2" t="s">
        <v>4690</v>
      </c>
      <c r="C32" s="4">
        <v>1</v>
      </c>
      <c r="D32" s="5">
        <v>20.25</v>
      </c>
      <c r="E32" s="5">
        <v>45</v>
      </c>
      <c r="F32" s="4">
        <v>311736653001</v>
      </c>
      <c r="G32" s="2" t="s">
        <v>41</v>
      </c>
      <c r="H32" s="7" t="s">
        <v>209</v>
      </c>
      <c r="I32" s="2" t="s">
        <v>3028</v>
      </c>
      <c r="J32" s="2" t="s">
        <v>205</v>
      </c>
      <c r="K32" s="2" t="s">
        <v>304</v>
      </c>
      <c r="L32" s="2" t="s">
        <v>38</v>
      </c>
      <c r="M32" s="8" t="str">
        <f>HYPERLINK("http://slimages.macys.com/is/image/MCY/11645923 ")</f>
        <v xml:space="preserve">http://slimages.macys.com/is/image/MCY/11645923 </v>
      </c>
    </row>
    <row r="33" spans="1:13" ht="60" x14ac:dyDescent="0.25">
      <c r="A33" s="7" t="s">
        <v>4692</v>
      </c>
      <c r="B33" s="2" t="s">
        <v>4693</v>
      </c>
      <c r="C33" s="4">
        <v>1</v>
      </c>
      <c r="D33" s="5">
        <v>20.25</v>
      </c>
      <c r="E33" s="5">
        <v>45</v>
      </c>
      <c r="F33" s="4">
        <v>320750290001</v>
      </c>
      <c r="G33" s="2" t="s">
        <v>129</v>
      </c>
      <c r="H33" s="7" t="s">
        <v>438</v>
      </c>
      <c r="I33" s="2" t="s">
        <v>676</v>
      </c>
      <c r="J33" s="2" t="s">
        <v>677</v>
      </c>
      <c r="K33" s="2" t="s">
        <v>304</v>
      </c>
      <c r="L33" s="2" t="s">
        <v>38</v>
      </c>
      <c r="M33" s="8" t="str">
        <f>HYPERLINK("http://slimages.macys.com/is/image/MCY/14361830 ")</f>
        <v xml:space="preserve">http://slimages.macys.com/is/image/MCY/14361830 </v>
      </c>
    </row>
    <row r="34" spans="1:13" ht="72" x14ac:dyDescent="0.25">
      <c r="A34" s="7" t="s">
        <v>4694</v>
      </c>
      <c r="B34" s="2" t="s">
        <v>4695</v>
      </c>
      <c r="C34" s="4">
        <v>1</v>
      </c>
      <c r="D34" s="5">
        <v>20</v>
      </c>
      <c r="E34" s="5">
        <v>54.99</v>
      </c>
      <c r="F34" s="4" t="s">
        <v>4696</v>
      </c>
      <c r="G34" s="2"/>
      <c r="H34" s="7" t="s">
        <v>172</v>
      </c>
      <c r="I34" s="2" t="s">
        <v>668</v>
      </c>
      <c r="J34" s="2" t="s">
        <v>1437</v>
      </c>
      <c r="K34" s="2" t="s">
        <v>304</v>
      </c>
      <c r="L34" s="2" t="s">
        <v>1520</v>
      </c>
      <c r="M34" s="8" t="str">
        <f>HYPERLINK("http://slimages.macys.com/is/image/MCY/13315290 ")</f>
        <v xml:space="preserve">http://slimages.macys.com/is/image/MCY/13315290 </v>
      </c>
    </row>
    <row r="35" spans="1:13" ht="60" x14ac:dyDescent="0.25">
      <c r="A35" s="7" t="s">
        <v>3620</v>
      </c>
      <c r="B35" s="2" t="s">
        <v>3619</v>
      </c>
      <c r="C35" s="4">
        <v>1</v>
      </c>
      <c r="D35" s="5">
        <v>19.8</v>
      </c>
      <c r="E35" s="5">
        <v>45</v>
      </c>
      <c r="F35" s="4">
        <v>1342652</v>
      </c>
      <c r="G35" s="2" t="s">
        <v>667</v>
      </c>
      <c r="H35" s="7" t="s">
        <v>1720</v>
      </c>
      <c r="I35" s="2" t="s">
        <v>815</v>
      </c>
      <c r="J35" s="2" t="s">
        <v>280</v>
      </c>
      <c r="K35" s="2" t="s">
        <v>304</v>
      </c>
      <c r="L35" s="2" t="s">
        <v>125</v>
      </c>
      <c r="M35" s="8" t="str">
        <f>HYPERLINK("http://slimages.macys.com/is/image/MCY/12953320 ")</f>
        <v xml:space="preserve">http://slimages.macys.com/is/image/MCY/12953320 </v>
      </c>
    </row>
    <row r="36" spans="1:13" ht="60" x14ac:dyDescent="0.25">
      <c r="A36" s="7" t="s">
        <v>4697</v>
      </c>
      <c r="B36" s="2" t="s">
        <v>4698</v>
      </c>
      <c r="C36" s="4">
        <v>1</v>
      </c>
      <c r="D36" s="5">
        <v>19.75</v>
      </c>
      <c r="E36" s="5">
        <v>49.99</v>
      </c>
      <c r="F36" s="4" t="s">
        <v>4699</v>
      </c>
      <c r="G36" s="2" t="s">
        <v>103</v>
      </c>
      <c r="H36" s="7"/>
      <c r="I36" s="2" t="s">
        <v>668</v>
      </c>
      <c r="J36" s="2" t="s">
        <v>239</v>
      </c>
      <c r="K36" s="2" t="s">
        <v>304</v>
      </c>
      <c r="L36" s="2" t="s">
        <v>1418</v>
      </c>
      <c r="M36" s="8" t="str">
        <f>HYPERLINK("http://slimages.macys.com/is/image/MCY/14382828 ")</f>
        <v xml:space="preserve">http://slimages.macys.com/is/image/MCY/14382828 </v>
      </c>
    </row>
    <row r="37" spans="1:13" ht="60" x14ac:dyDescent="0.25">
      <c r="A37" s="7" t="s">
        <v>4700</v>
      </c>
      <c r="B37" s="2" t="s">
        <v>685</v>
      </c>
      <c r="C37" s="4">
        <v>2</v>
      </c>
      <c r="D37" s="5">
        <v>18.899999999999999</v>
      </c>
      <c r="E37" s="5">
        <v>45</v>
      </c>
      <c r="F37" s="4" t="s">
        <v>4701</v>
      </c>
      <c r="G37" s="2" t="s">
        <v>62</v>
      </c>
      <c r="H37" s="7"/>
      <c r="I37" s="2" t="s">
        <v>80</v>
      </c>
      <c r="J37" s="2" t="s">
        <v>74</v>
      </c>
      <c r="K37" s="2" t="s">
        <v>304</v>
      </c>
      <c r="L37" s="2" t="s">
        <v>125</v>
      </c>
      <c r="M37" s="8" t="str">
        <f>HYPERLINK("http://slimages.macys.com/is/image/MCY/14838882 ")</f>
        <v xml:space="preserve">http://slimages.macys.com/is/image/MCY/14838882 </v>
      </c>
    </row>
    <row r="38" spans="1:13" ht="60" x14ac:dyDescent="0.25">
      <c r="A38" s="7" t="s">
        <v>1441</v>
      </c>
      <c r="B38" s="2" t="s">
        <v>84</v>
      </c>
      <c r="C38" s="4">
        <v>1</v>
      </c>
      <c r="D38" s="5">
        <v>17.8</v>
      </c>
      <c r="E38" s="5">
        <v>44.5</v>
      </c>
      <c r="F38" s="4" t="s">
        <v>85</v>
      </c>
      <c r="G38" s="2" t="s">
        <v>86</v>
      </c>
      <c r="H38" s="7"/>
      <c r="I38" s="2" t="s">
        <v>57</v>
      </c>
      <c r="J38" s="2" t="s">
        <v>58</v>
      </c>
      <c r="K38" s="2" t="s">
        <v>304</v>
      </c>
      <c r="L38" s="2" t="s">
        <v>87</v>
      </c>
      <c r="M38" s="8" t="str">
        <f>HYPERLINK("http://slimages.macys.com/is/image/MCY/13043471 ")</f>
        <v xml:space="preserve">http://slimages.macys.com/is/image/MCY/13043471 </v>
      </c>
    </row>
    <row r="39" spans="1:13" ht="60" x14ac:dyDescent="0.25">
      <c r="A39" s="7" t="s">
        <v>4702</v>
      </c>
      <c r="B39" s="2" t="s">
        <v>4703</v>
      </c>
      <c r="C39" s="4">
        <v>1</v>
      </c>
      <c r="D39" s="5">
        <v>17.8</v>
      </c>
      <c r="E39" s="5">
        <v>44.5</v>
      </c>
      <c r="F39" s="4" t="s">
        <v>4704</v>
      </c>
      <c r="G39" s="2" t="s">
        <v>79</v>
      </c>
      <c r="H39" s="7" t="s">
        <v>166</v>
      </c>
      <c r="I39" s="2" t="s">
        <v>690</v>
      </c>
      <c r="J39" s="2" t="s">
        <v>58</v>
      </c>
      <c r="K39" s="2" t="s">
        <v>304</v>
      </c>
      <c r="L39" s="2" t="s">
        <v>38</v>
      </c>
      <c r="M39" s="8" t="str">
        <f>HYPERLINK("http://slimages.macys.com/is/image/MCY/13786978 ")</f>
        <v xml:space="preserve">http://slimages.macys.com/is/image/MCY/13786978 </v>
      </c>
    </row>
    <row r="40" spans="1:13" ht="60" x14ac:dyDescent="0.25">
      <c r="A40" s="7" t="s">
        <v>4705</v>
      </c>
      <c r="B40" s="2" t="s">
        <v>4706</v>
      </c>
      <c r="C40" s="4">
        <v>1</v>
      </c>
      <c r="D40" s="5">
        <v>17.78</v>
      </c>
      <c r="E40" s="5">
        <v>39.5</v>
      </c>
      <c r="F40" s="4">
        <v>322737000001</v>
      </c>
      <c r="G40" s="2" t="s">
        <v>28</v>
      </c>
      <c r="H40" s="7" t="s">
        <v>123</v>
      </c>
      <c r="I40" s="2" t="s">
        <v>700</v>
      </c>
      <c r="J40" s="2" t="s">
        <v>205</v>
      </c>
      <c r="K40" s="2" t="s">
        <v>2786</v>
      </c>
      <c r="L40" s="2" t="s">
        <v>87</v>
      </c>
      <c r="M40" s="8" t="str">
        <f>HYPERLINK("http://images.bloomingdales.com/is/image/BLM/10292530 ")</f>
        <v xml:space="preserve">http://images.bloomingdales.com/is/image/BLM/10292530 </v>
      </c>
    </row>
    <row r="41" spans="1:13" ht="60" x14ac:dyDescent="0.25">
      <c r="A41" s="7" t="s">
        <v>4707</v>
      </c>
      <c r="B41" s="2" t="s">
        <v>4708</v>
      </c>
      <c r="C41" s="4">
        <v>1</v>
      </c>
      <c r="D41" s="5">
        <v>17.149999999999999</v>
      </c>
      <c r="E41" s="5">
        <v>49</v>
      </c>
      <c r="F41" s="4">
        <v>309604</v>
      </c>
      <c r="G41" s="2" t="s">
        <v>62</v>
      </c>
      <c r="H41" s="7" t="s">
        <v>4709</v>
      </c>
      <c r="I41" s="2" t="s">
        <v>50</v>
      </c>
      <c r="J41" s="2" t="s">
        <v>51</v>
      </c>
      <c r="K41" s="2" t="s">
        <v>304</v>
      </c>
      <c r="L41" s="2" t="s">
        <v>328</v>
      </c>
      <c r="M41" s="8" t="str">
        <f>HYPERLINK("http://slimages.macys.com/is/image/MCY/10180466 ")</f>
        <v xml:space="preserve">http://slimages.macys.com/is/image/MCY/10180466 </v>
      </c>
    </row>
    <row r="42" spans="1:13" ht="252" x14ac:dyDescent="0.25">
      <c r="A42" s="7" t="s">
        <v>4710</v>
      </c>
      <c r="B42" s="2" t="s">
        <v>4711</v>
      </c>
      <c r="C42" s="4">
        <v>1</v>
      </c>
      <c r="D42" s="5">
        <v>17</v>
      </c>
      <c r="E42" s="5">
        <v>45</v>
      </c>
      <c r="F42" s="4" t="s">
        <v>4712</v>
      </c>
      <c r="G42" s="2" t="s">
        <v>41</v>
      </c>
      <c r="H42" s="7" t="s">
        <v>172</v>
      </c>
      <c r="I42" s="2" t="s">
        <v>173</v>
      </c>
      <c r="J42" s="2" t="s">
        <v>672</v>
      </c>
      <c r="K42" s="2" t="s">
        <v>2752</v>
      </c>
      <c r="L42" s="2" t="s">
        <v>4713</v>
      </c>
      <c r="M42" s="8" t="str">
        <f>HYPERLINK("http://images.bloomingdales.com/is/image/BLM/10262407 ")</f>
        <v xml:space="preserve">http://images.bloomingdales.com/is/image/BLM/10262407 </v>
      </c>
    </row>
    <row r="43" spans="1:13" ht="132" x14ac:dyDescent="0.25">
      <c r="A43" s="7" t="s">
        <v>2930</v>
      </c>
      <c r="B43" s="2" t="s">
        <v>2929</v>
      </c>
      <c r="C43" s="4">
        <v>1</v>
      </c>
      <c r="D43" s="5">
        <v>17</v>
      </c>
      <c r="E43" s="5">
        <v>38</v>
      </c>
      <c r="F43" s="4">
        <v>102862</v>
      </c>
      <c r="G43" s="2" t="s">
        <v>28</v>
      </c>
      <c r="H43" s="7" t="s">
        <v>179</v>
      </c>
      <c r="I43" s="2" t="s">
        <v>173</v>
      </c>
      <c r="J43" s="2" t="s">
        <v>2904</v>
      </c>
      <c r="K43" s="2" t="s">
        <v>2905</v>
      </c>
      <c r="L43" s="2" t="s">
        <v>2927</v>
      </c>
      <c r="M43" s="8" t="str">
        <f>HYPERLINK("http://images.bloomingdales.com/is/image/BLM/10317726 ")</f>
        <v xml:space="preserve">http://images.bloomingdales.com/is/image/BLM/10317726 </v>
      </c>
    </row>
    <row r="44" spans="1:13" ht="168" x14ac:dyDescent="0.25">
      <c r="A44" s="7" t="s">
        <v>4714</v>
      </c>
      <c r="B44" s="2" t="s">
        <v>4715</v>
      </c>
      <c r="C44" s="4">
        <v>1</v>
      </c>
      <c r="D44" s="5">
        <v>16.72</v>
      </c>
      <c r="E44" s="5">
        <v>42</v>
      </c>
      <c r="F44" s="4" t="s">
        <v>4716</v>
      </c>
      <c r="G44" s="2" t="s">
        <v>165</v>
      </c>
      <c r="H44" s="7" t="s">
        <v>604</v>
      </c>
      <c r="I44" s="2" t="s">
        <v>676</v>
      </c>
      <c r="J44" s="2" t="s">
        <v>4682</v>
      </c>
      <c r="K44" s="2" t="s">
        <v>2752</v>
      </c>
      <c r="L44" s="2" t="s">
        <v>4717</v>
      </c>
      <c r="M44" s="8" t="str">
        <f>HYPERLINK("http://images.bloomingdales.com/is/image/BLM/10395581 ")</f>
        <v xml:space="preserve">http://images.bloomingdales.com/is/image/BLM/10395581 </v>
      </c>
    </row>
    <row r="45" spans="1:13" ht="180" x14ac:dyDescent="0.25">
      <c r="A45" s="7" t="s">
        <v>2950</v>
      </c>
      <c r="B45" s="2" t="s">
        <v>1450</v>
      </c>
      <c r="C45" s="4">
        <v>1</v>
      </c>
      <c r="D45" s="5">
        <v>16.5</v>
      </c>
      <c r="E45" s="5">
        <v>39.99</v>
      </c>
      <c r="F45" s="4" t="s">
        <v>1451</v>
      </c>
      <c r="G45" s="2" t="s">
        <v>103</v>
      </c>
      <c r="H45" s="7" t="s">
        <v>42</v>
      </c>
      <c r="I45" s="2" t="s">
        <v>92</v>
      </c>
      <c r="J45" s="2" t="s">
        <v>239</v>
      </c>
      <c r="K45" s="2" t="s">
        <v>304</v>
      </c>
      <c r="L45" s="2" t="s">
        <v>1452</v>
      </c>
      <c r="M45" s="8" t="str">
        <f>HYPERLINK("http://slimages.macys.com/is/image/MCY/14989365 ")</f>
        <v xml:space="preserve">http://slimages.macys.com/is/image/MCY/14989365 </v>
      </c>
    </row>
    <row r="46" spans="1:13" ht="60" x14ac:dyDescent="0.25">
      <c r="A46" s="7" t="s">
        <v>101</v>
      </c>
      <c r="B46" s="2" t="s">
        <v>102</v>
      </c>
      <c r="C46" s="4">
        <v>1</v>
      </c>
      <c r="D46" s="5">
        <v>16.2</v>
      </c>
      <c r="E46" s="5">
        <v>54</v>
      </c>
      <c r="F46" s="4">
        <v>328374</v>
      </c>
      <c r="G46" s="2" t="s">
        <v>103</v>
      </c>
      <c r="H46" s="7" t="s">
        <v>104</v>
      </c>
      <c r="I46" s="2" t="s">
        <v>50</v>
      </c>
      <c r="J46" s="2" t="s">
        <v>105</v>
      </c>
      <c r="K46" s="2" t="s">
        <v>304</v>
      </c>
      <c r="L46" s="2"/>
      <c r="M46" s="8" t="str">
        <f>HYPERLINK("http://slimages.macys.com/is/image/MCY/10476758 ")</f>
        <v xml:space="preserve">http://slimages.macys.com/is/image/MCY/10476758 </v>
      </c>
    </row>
    <row r="47" spans="1:13" ht="132" x14ac:dyDescent="0.25">
      <c r="A47" s="7" t="s">
        <v>4718</v>
      </c>
      <c r="B47" s="2" t="s">
        <v>4719</v>
      </c>
      <c r="C47" s="4">
        <v>1</v>
      </c>
      <c r="D47" s="5">
        <v>16.2</v>
      </c>
      <c r="E47" s="5">
        <v>36</v>
      </c>
      <c r="F47" s="4">
        <v>10012887</v>
      </c>
      <c r="G47" s="2" t="s">
        <v>28</v>
      </c>
      <c r="H47" s="7" t="s">
        <v>379</v>
      </c>
      <c r="I47" s="2" t="s">
        <v>815</v>
      </c>
      <c r="J47" s="2" t="s">
        <v>4720</v>
      </c>
      <c r="K47" s="2" t="s">
        <v>2752</v>
      </c>
      <c r="L47" s="2" t="s">
        <v>4721</v>
      </c>
      <c r="M47" s="8" t="str">
        <f>HYPERLINK("http://images.bloomingdales.com/is/image/BLM/9947645 ")</f>
        <v xml:space="preserve">http://images.bloomingdales.com/is/image/BLM/9947645 </v>
      </c>
    </row>
    <row r="48" spans="1:13" ht="60" x14ac:dyDescent="0.25">
      <c r="A48" s="7" t="s">
        <v>4722</v>
      </c>
      <c r="B48" s="2" t="s">
        <v>102</v>
      </c>
      <c r="C48" s="4">
        <v>1</v>
      </c>
      <c r="D48" s="5">
        <v>16.2</v>
      </c>
      <c r="E48" s="5">
        <v>54</v>
      </c>
      <c r="F48" s="4">
        <v>328374</v>
      </c>
      <c r="G48" s="2" t="s">
        <v>103</v>
      </c>
      <c r="H48" s="7" t="s">
        <v>708</v>
      </c>
      <c r="I48" s="2" t="s">
        <v>50</v>
      </c>
      <c r="J48" s="2" t="s">
        <v>105</v>
      </c>
      <c r="K48" s="2" t="s">
        <v>304</v>
      </c>
      <c r="L48" s="2"/>
      <c r="M48" s="8" t="str">
        <f>HYPERLINK("http://slimages.macys.com/is/image/MCY/10476758 ")</f>
        <v xml:space="preserve">http://slimages.macys.com/is/image/MCY/10476758 </v>
      </c>
    </row>
    <row r="49" spans="1:13" ht="108" x14ac:dyDescent="0.25">
      <c r="A49" s="7" t="s">
        <v>4723</v>
      </c>
      <c r="B49" s="2" t="s">
        <v>2958</v>
      </c>
      <c r="C49" s="4">
        <v>1</v>
      </c>
      <c r="D49" s="5">
        <v>16.2</v>
      </c>
      <c r="E49" s="5">
        <v>40</v>
      </c>
      <c r="F49" s="4">
        <v>102864</v>
      </c>
      <c r="G49" s="2" t="s">
        <v>79</v>
      </c>
      <c r="H49" s="7" t="s">
        <v>179</v>
      </c>
      <c r="I49" s="2" t="s">
        <v>173</v>
      </c>
      <c r="J49" s="2" t="s">
        <v>2904</v>
      </c>
      <c r="K49" s="2" t="s">
        <v>2905</v>
      </c>
      <c r="L49" s="2" t="s">
        <v>2906</v>
      </c>
      <c r="M49" s="8" t="str">
        <f>HYPERLINK("http://images.bloomingdales.com/is/image/BLM/10269928 ")</f>
        <v xml:space="preserve">http://images.bloomingdales.com/is/image/BLM/10269928 </v>
      </c>
    </row>
    <row r="50" spans="1:13" ht="60" x14ac:dyDescent="0.25">
      <c r="A50" s="7" t="s">
        <v>4724</v>
      </c>
      <c r="B50" s="2" t="s">
        <v>102</v>
      </c>
      <c r="C50" s="4">
        <v>1</v>
      </c>
      <c r="D50" s="5">
        <v>16.2</v>
      </c>
      <c r="E50" s="5">
        <v>54</v>
      </c>
      <c r="F50" s="4">
        <v>329354</v>
      </c>
      <c r="G50" s="2" t="s">
        <v>107</v>
      </c>
      <c r="H50" s="7" t="s">
        <v>104</v>
      </c>
      <c r="I50" s="2" t="s">
        <v>50</v>
      </c>
      <c r="J50" s="2" t="s">
        <v>105</v>
      </c>
      <c r="K50" s="2" t="s">
        <v>304</v>
      </c>
      <c r="L50" s="2"/>
      <c r="M50" s="8" t="str">
        <f>HYPERLINK("http://slimages.macys.com/is/image/MCY/10476758 ")</f>
        <v xml:space="preserve">http://slimages.macys.com/is/image/MCY/10476758 </v>
      </c>
    </row>
    <row r="51" spans="1:13" ht="60" x14ac:dyDescent="0.25">
      <c r="A51" s="7" t="s">
        <v>4725</v>
      </c>
      <c r="B51" s="2" t="s">
        <v>4726</v>
      </c>
      <c r="C51" s="4">
        <v>1</v>
      </c>
      <c r="D51" s="5">
        <v>16.100000000000001</v>
      </c>
      <c r="E51" s="5">
        <v>46</v>
      </c>
      <c r="F51" s="4" t="s">
        <v>4727</v>
      </c>
      <c r="G51" s="2" t="s">
        <v>129</v>
      </c>
      <c r="H51" s="7" t="s">
        <v>166</v>
      </c>
      <c r="I51" s="2" t="s">
        <v>80</v>
      </c>
      <c r="J51" s="2" t="s">
        <v>647</v>
      </c>
      <c r="K51" s="2" t="s">
        <v>304</v>
      </c>
      <c r="L51" s="2" t="s">
        <v>125</v>
      </c>
      <c r="M51" s="8" t="str">
        <f>HYPERLINK("http://slimages.macys.com/is/image/MCY/10319674 ")</f>
        <v xml:space="preserve">http://slimages.macys.com/is/image/MCY/10319674 </v>
      </c>
    </row>
    <row r="52" spans="1:13" ht="60" x14ac:dyDescent="0.25">
      <c r="A52" s="7" t="s">
        <v>4728</v>
      </c>
      <c r="B52" s="2" t="s">
        <v>4726</v>
      </c>
      <c r="C52" s="4">
        <v>1</v>
      </c>
      <c r="D52" s="5">
        <v>16.100000000000001</v>
      </c>
      <c r="E52" s="5">
        <v>46</v>
      </c>
      <c r="F52" s="4" t="s">
        <v>4727</v>
      </c>
      <c r="G52" s="2" t="s">
        <v>129</v>
      </c>
      <c r="H52" s="7" t="s">
        <v>123</v>
      </c>
      <c r="I52" s="2" t="s">
        <v>80</v>
      </c>
      <c r="J52" s="2" t="s">
        <v>647</v>
      </c>
      <c r="K52" s="2" t="s">
        <v>304</v>
      </c>
      <c r="L52" s="2" t="s">
        <v>125</v>
      </c>
      <c r="M52" s="8" t="str">
        <f>HYPERLINK("http://slimages.macys.com/is/image/MCY/10319674 ")</f>
        <v xml:space="preserve">http://slimages.macys.com/is/image/MCY/10319674 </v>
      </c>
    </row>
    <row r="53" spans="1:13" ht="96" x14ac:dyDescent="0.25">
      <c r="A53" s="7" t="s">
        <v>4729</v>
      </c>
      <c r="B53" s="2" t="s">
        <v>4730</v>
      </c>
      <c r="C53" s="4">
        <v>1</v>
      </c>
      <c r="D53" s="5">
        <v>16</v>
      </c>
      <c r="E53" s="5">
        <v>58</v>
      </c>
      <c r="F53" s="4" t="s">
        <v>4731</v>
      </c>
      <c r="G53" s="2" t="s">
        <v>62</v>
      </c>
      <c r="H53" s="7" t="s">
        <v>4732</v>
      </c>
      <c r="I53" s="2" t="s">
        <v>173</v>
      </c>
      <c r="J53" s="2" t="s">
        <v>4733</v>
      </c>
      <c r="K53" s="2" t="s">
        <v>2752</v>
      </c>
      <c r="L53" s="2" t="s">
        <v>4734</v>
      </c>
      <c r="M53" s="8" t="str">
        <f>HYPERLINK("http://images.bloomingdales.com/is/image/BLM/10311399 ")</f>
        <v xml:space="preserve">http://images.bloomingdales.com/is/image/BLM/10311399 </v>
      </c>
    </row>
    <row r="54" spans="1:13" ht="96" x14ac:dyDescent="0.25">
      <c r="A54" s="7" t="s">
        <v>4735</v>
      </c>
      <c r="B54" s="2" t="s">
        <v>4736</v>
      </c>
      <c r="C54" s="4">
        <v>1</v>
      </c>
      <c r="D54" s="5">
        <v>16</v>
      </c>
      <c r="E54" s="5">
        <v>58</v>
      </c>
      <c r="F54" s="4" t="s">
        <v>4737</v>
      </c>
      <c r="G54" s="2" t="s">
        <v>41</v>
      </c>
      <c r="H54" s="7" t="s">
        <v>320</v>
      </c>
      <c r="I54" s="2" t="s">
        <v>173</v>
      </c>
      <c r="J54" s="2" t="s">
        <v>4733</v>
      </c>
      <c r="K54" s="2" t="s">
        <v>2752</v>
      </c>
      <c r="L54" s="2" t="s">
        <v>4738</v>
      </c>
      <c r="M54" s="8" t="str">
        <f>HYPERLINK("http://images.bloomingdales.com/is/image/BLM/10311409 ")</f>
        <v xml:space="preserve">http://images.bloomingdales.com/is/image/BLM/10311409 </v>
      </c>
    </row>
    <row r="55" spans="1:13" ht="96" x14ac:dyDescent="0.25">
      <c r="A55" s="7" t="s">
        <v>4739</v>
      </c>
      <c r="B55" s="2" t="s">
        <v>1462</v>
      </c>
      <c r="C55" s="4">
        <v>1</v>
      </c>
      <c r="D55" s="5">
        <v>16</v>
      </c>
      <c r="E55" s="5">
        <v>45</v>
      </c>
      <c r="F55" s="4">
        <v>361004</v>
      </c>
      <c r="G55" s="2" t="s">
        <v>62</v>
      </c>
      <c r="H55" s="7" t="s">
        <v>786</v>
      </c>
      <c r="I55" s="2" t="s">
        <v>50</v>
      </c>
      <c r="J55" s="2" t="s">
        <v>51</v>
      </c>
      <c r="K55" s="2" t="s">
        <v>304</v>
      </c>
      <c r="L55" s="2" t="s">
        <v>1464</v>
      </c>
      <c r="M55" s="8" t="str">
        <f>HYPERLINK("http://slimages.macys.com/is/image/MCY/12462916 ")</f>
        <v xml:space="preserve">http://slimages.macys.com/is/image/MCY/12462916 </v>
      </c>
    </row>
    <row r="56" spans="1:13" ht="60" x14ac:dyDescent="0.25">
      <c r="A56" s="7" t="s">
        <v>4740</v>
      </c>
      <c r="B56" s="2" t="s">
        <v>4741</v>
      </c>
      <c r="C56" s="4">
        <v>1</v>
      </c>
      <c r="D56" s="5">
        <v>16</v>
      </c>
      <c r="E56" s="5">
        <v>40</v>
      </c>
      <c r="F56" s="4">
        <v>329554</v>
      </c>
      <c r="G56" s="2" t="s">
        <v>455</v>
      </c>
      <c r="H56" s="7" t="s">
        <v>917</v>
      </c>
      <c r="I56" s="2" t="s">
        <v>50</v>
      </c>
      <c r="J56" s="2" t="s">
        <v>51</v>
      </c>
      <c r="K56" s="2" t="s">
        <v>304</v>
      </c>
      <c r="L56" s="2" t="s">
        <v>328</v>
      </c>
      <c r="M56" s="8" t="str">
        <f>HYPERLINK("http://slimages.macys.com/is/image/MCY/10276925 ")</f>
        <v xml:space="preserve">http://slimages.macys.com/is/image/MCY/10276925 </v>
      </c>
    </row>
    <row r="57" spans="1:13" ht="96" x14ac:dyDescent="0.25">
      <c r="A57" s="7" t="s">
        <v>4742</v>
      </c>
      <c r="B57" s="2" t="s">
        <v>1462</v>
      </c>
      <c r="C57" s="4">
        <v>1</v>
      </c>
      <c r="D57" s="5">
        <v>16</v>
      </c>
      <c r="E57" s="5">
        <v>45</v>
      </c>
      <c r="F57" s="4">
        <v>361004</v>
      </c>
      <c r="G57" s="2" t="s">
        <v>62</v>
      </c>
      <c r="H57" s="7" t="s">
        <v>850</v>
      </c>
      <c r="I57" s="2" t="s">
        <v>50</v>
      </c>
      <c r="J57" s="2" t="s">
        <v>51</v>
      </c>
      <c r="K57" s="2" t="s">
        <v>304</v>
      </c>
      <c r="L57" s="2" t="s">
        <v>1464</v>
      </c>
      <c r="M57" s="8" t="str">
        <f>HYPERLINK("http://slimages.macys.com/is/image/MCY/12462916 ")</f>
        <v xml:space="preserve">http://slimages.macys.com/is/image/MCY/12462916 </v>
      </c>
    </row>
    <row r="58" spans="1:13" ht="84" x14ac:dyDescent="0.25">
      <c r="A58" s="7" t="s">
        <v>2473</v>
      </c>
      <c r="B58" s="2" t="s">
        <v>1458</v>
      </c>
      <c r="C58" s="4">
        <v>1</v>
      </c>
      <c r="D58" s="5">
        <v>16</v>
      </c>
      <c r="E58" s="5">
        <v>39.99</v>
      </c>
      <c r="F58" s="4" t="s">
        <v>1459</v>
      </c>
      <c r="G58" s="2" t="s">
        <v>129</v>
      </c>
      <c r="H58" s="7" t="s">
        <v>442</v>
      </c>
      <c r="I58" s="2" t="s">
        <v>92</v>
      </c>
      <c r="J58" s="2" t="s">
        <v>239</v>
      </c>
      <c r="K58" s="2" t="s">
        <v>304</v>
      </c>
      <c r="L58" s="2" t="s">
        <v>1460</v>
      </c>
      <c r="M58" s="8" t="str">
        <f>HYPERLINK("http://slimages.macys.com/is/image/MCY/14989246 ")</f>
        <v xml:space="preserve">http://slimages.macys.com/is/image/MCY/14989246 </v>
      </c>
    </row>
    <row r="59" spans="1:13" ht="60" x14ac:dyDescent="0.25">
      <c r="A59" s="7" t="s">
        <v>4743</v>
      </c>
      <c r="B59" s="2" t="s">
        <v>110</v>
      </c>
      <c r="C59" s="4">
        <v>1</v>
      </c>
      <c r="D59" s="5">
        <v>15.8</v>
      </c>
      <c r="E59" s="5">
        <v>39.5</v>
      </c>
      <c r="F59" s="4" t="s">
        <v>111</v>
      </c>
      <c r="G59" s="2" t="s">
        <v>41</v>
      </c>
      <c r="H59" s="7"/>
      <c r="I59" s="2" t="s">
        <v>57</v>
      </c>
      <c r="J59" s="2" t="s">
        <v>58</v>
      </c>
      <c r="K59" s="2" t="s">
        <v>304</v>
      </c>
      <c r="L59" s="2" t="s">
        <v>100</v>
      </c>
      <c r="M59" s="8" t="str">
        <f>HYPERLINK("http://slimages.macys.com/is/image/MCY/13049173 ")</f>
        <v xml:space="preserve">http://slimages.macys.com/is/image/MCY/13049173 </v>
      </c>
    </row>
    <row r="60" spans="1:13" ht="60" x14ac:dyDescent="0.25">
      <c r="A60" s="7" t="s">
        <v>4744</v>
      </c>
      <c r="B60" s="2" t="s">
        <v>4745</v>
      </c>
      <c r="C60" s="4">
        <v>1</v>
      </c>
      <c r="D60" s="5">
        <v>15.75</v>
      </c>
      <c r="E60" s="5">
        <v>35</v>
      </c>
      <c r="F60" s="4">
        <v>311698697004</v>
      </c>
      <c r="G60" s="2" t="s">
        <v>41</v>
      </c>
      <c r="H60" s="7" t="s">
        <v>144</v>
      </c>
      <c r="I60" s="2" t="s">
        <v>173</v>
      </c>
      <c r="J60" s="2" t="s">
        <v>205</v>
      </c>
      <c r="K60" s="2" t="s">
        <v>304</v>
      </c>
      <c r="L60" s="2" t="s">
        <v>75</v>
      </c>
      <c r="M60" s="8" t="str">
        <f>HYPERLINK("http://slimages.macys.com/is/image/MCY/13966909 ")</f>
        <v xml:space="preserve">http://slimages.macys.com/is/image/MCY/13966909 </v>
      </c>
    </row>
    <row r="61" spans="1:13" ht="60" x14ac:dyDescent="0.25">
      <c r="A61" s="7" t="s">
        <v>4746</v>
      </c>
      <c r="B61" s="2" t="s">
        <v>4747</v>
      </c>
      <c r="C61" s="4">
        <v>1</v>
      </c>
      <c r="D61" s="5">
        <v>15.75</v>
      </c>
      <c r="E61" s="5">
        <v>35</v>
      </c>
      <c r="F61" s="4">
        <v>321736997005</v>
      </c>
      <c r="G61" s="2" t="s">
        <v>62</v>
      </c>
      <c r="H61" s="7" t="s">
        <v>144</v>
      </c>
      <c r="I61" s="2" t="s">
        <v>204</v>
      </c>
      <c r="J61" s="2" t="s">
        <v>205</v>
      </c>
      <c r="K61" s="2" t="s">
        <v>304</v>
      </c>
      <c r="L61" s="2" t="s">
        <v>206</v>
      </c>
      <c r="M61" s="8" t="str">
        <f>HYPERLINK("http://slimages.macys.com/is/image/MCY/12084321 ")</f>
        <v xml:space="preserve">http://slimages.macys.com/is/image/MCY/12084321 </v>
      </c>
    </row>
    <row r="62" spans="1:13" ht="60" x14ac:dyDescent="0.25">
      <c r="A62" s="7" t="s">
        <v>4748</v>
      </c>
      <c r="B62" s="2" t="s">
        <v>4749</v>
      </c>
      <c r="C62" s="4">
        <v>1</v>
      </c>
      <c r="D62" s="5">
        <v>15.75</v>
      </c>
      <c r="E62" s="5">
        <v>35</v>
      </c>
      <c r="F62" s="4">
        <v>1342084</v>
      </c>
      <c r="G62" s="2" t="s">
        <v>28</v>
      </c>
      <c r="H62" s="7" t="s">
        <v>228</v>
      </c>
      <c r="I62" s="2" t="s">
        <v>700</v>
      </c>
      <c r="J62" s="2" t="s">
        <v>280</v>
      </c>
      <c r="K62" s="2" t="s">
        <v>304</v>
      </c>
      <c r="L62" s="2" t="s">
        <v>224</v>
      </c>
      <c r="M62" s="8" t="str">
        <f>HYPERLINK("http://slimages.macys.com/is/image/MCY/13368362 ")</f>
        <v xml:space="preserve">http://slimages.macys.com/is/image/MCY/13368362 </v>
      </c>
    </row>
    <row r="63" spans="1:13" ht="144" x14ac:dyDescent="0.25">
      <c r="A63" s="7" t="s">
        <v>4750</v>
      </c>
      <c r="B63" s="2" t="s">
        <v>4751</v>
      </c>
      <c r="C63" s="4">
        <v>1</v>
      </c>
      <c r="D63" s="5">
        <v>15</v>
      </c>
      <c r="E63" s="5">
        <v>48</v>
      </c>
      <c r="F63" s="4" t="s">
        <v>4752</v>
      </c>
      <c r="G63" s="2" t="s">
        <v>48</v>
      </c>
      <c r="H63" s="7" t="s">
        <v>196</v>
      </c>
      <c r="I63" s="2" t="s">
        <v>173</v>
      </c>
      <c r="J63" s="2" t="s">
        <v>4753</v>
      </c>
      <c r="K63" s="2" t="s">
        <v>2746</v>
      </c>
      <c r="L63" s="2" t="s">
        <v>4754</v>
      </c>
      <c r="M63" s="8" t="str">
        <f>HYPERLINK("http://images.bloomingdales.com/is/image/BLM/10339146 ")</f>
        <v xml:space="preserve">http://images.bloomingdales.com/is/image/BLM/10339146 </v>
      </c>
    </row>
    <row r="64" spans="1:13" ht="144" x14ac:dyDescent="0.25">
      <c r="A64" s="7" t="s">
        <v>4755</v>
      </c>
      <c r="B64" s="2" t="s">
        <v>4751</v>
      </c>
      <c r="C64" s="4">
        <v>2</v>
      </c>
      <c r="D64" s="5">
        <v>15</v>
      </c>
      <c r="E64" s="5">
        <v>48</v>
      </c>
      <c r="F64" s="4" t="s">
        <v>4752</v>
      </c>
      <c r="G64" s="2" t="s">
        <v>48</v>
      </c>
      <c r="H64" s="7" t="s">
        <v>228</v>
      </c>
      <c r="I64" s="2" t="s">
        <v>173</v>
      </c>
      <c r="J64" s="2" t="s">
        <v>4753</v>
      </c>
      <c r="K64" s="2" t="s">
        <v>2746</v>
      </c>
      <c r="L64" s="2" t="s">
        <v>4754</v>
      </c>
      <c r="M64" s="8" t="str">
        <f>HYPERLINK("http://images.bloomingdales.com/is/image/BLM/10339146 ")</f>
        <v xml:space="preserve">http://images.bloomingdales.com/is/image/BLM/10339146 </v>
      </c>
    </row>
    <row r="65" spans="1:13" ht="144" x14ac:dyDescent="0.25">
      <c r="A65" s="7" t="s">
        <v>4756</v>
      </c>
      <c r="B65" s="2" t="s">
        <v>4751</v>
      </c>
      <c r="C65" s="4">
        <v>2</v>
      </c>
      <c r="D65" s="5">
        <v>15</v>
      </c>
      <c r="E65" s="5">
        <v>48</v>
      </c>
      <c r="F65" s="4" t="s">
        <v>4752</v>
      </c>
      <c r="G65" s="2" t="s">
        <v>48</v>
      </c>
      <c r="H65" s="7" t="s">
        <v>159</v>
      </c>
      <c r="I65" s="2" t="s">
        <v>173</v>
      </c>
      <c r="J65" s="2" t="s">
        <v>4753</v>
      </c>
      <c r="K65" s="2" t="s">
        <v>2746</v>
      </c>
      <c r="L65" s="2" t="s">
        <v>4754</v>
      </c>
      <c r="M65" s="8" t="str">
        <f>HYPERLINK("http://images.bloomingdales.com/is/image/BLM/10339146 ")</f>
        <v xml:space="preserve">http://images.bloomingdales.com/is/image/BLM/10339146 </v>
      </c>
    </row>
    <row r="66" spans="1:13" ht="60" x14ac:dyDescent="0.25">
      <c r="A66" s="7" t="s">
        <v>2978</v>
      </c>
      <c r="B66" s="2" t="s">
        <v>1477</v>
      </c>
      <c r="C66" s="4">
        <v>1</v>
      </c>
      <c r="D66" s="5">
        <v>15</v>
      </c>
      <c r="E66" s="5">
        <v>39.99</v>
      </c>
      <c r="F66" s="4" t="s">
        <v>1478</v>
      </c>
      <c r="G66" s="2" t="s">
        <v>36</v>
      </c>
      <c r="H66" s="7" t="s">
        <v>590</v>
      </c>
      <c r="I66" s="2" t="s">
        <v>92</v>
      </c>
      <c r="J66" s="2" t="s">
        <v>187</v>
      </c>
      <c r="K66" s="2" t="s">
        <v>304</v>
      </c>
      <c r="L66" s="2" t="s">
        <v>1479</v>
      </c>
      <c r="M66" s="8" t="str">
        <f>HYPERLINK("http://slimages.macys.com/is/image/MCY/13310887 ")</f>
        <v xml:space="preserve">http://slimages.macys.com/is/image/MCY/13310887 </v>
      </c>
    </row>
    <row r="67" spans="1:13" ht="168" x14ac:dyDescent="0.25">
      <c r="A67" s="7" t="s">
        <v>4757</v>
      </c>
      <c r="B67" s="2" t="s">
        <v>2481</v>
      </c>
      <c r="C67" s="4">
        <v>1</v>
      </c>
      <c r="D67" s="5">
        <v>15</v>
      </c>
      <c r="E67" s="5">
        <v>39.99</v>
      </c>
      <c r="F67" s="4" t="s">
        <v>2482</v>
      </c>
      <c r="G67" s="2" t="s">
        <v>582</v>
      </c>
      <c r="H67" s="7" t="s">
        <v>442</v>
      </c>
      <c r="I67" s="2" t="s">
        <v>92</v>
      </c>
      <c r="J67" s="2" t="s">
        <v>65</v>
      </c>
      <c r="K67" s="2" t="s">
        <v>304</v>
      </c>
      <c r="L67" s="2" t="s">
        <v>2483</v>
      </c>
      <c r="M67" s="8" t="str">
        <f>HYPERLINK("http://slimages.macys.com/is/image/MCY/13965013 ")</f>
        <v xml:space="preserve">http://slimages.macys.com/is/image/MCY/13965013 </v>
      </c>
    </row>
    <row r="68" spans="1:13" ht="144" x14ac:dyDescent="0.25">
      <c r="A68" s="7" t="s">
        <v>4758</v>
      </c>
      <c r="B68" s="2" t="s">
        <v>4751</v>
      </c>
      <c r="C68" s="4">
        <v>1</v>
      </c>
      <c r="D68" s="5">
        <v>15</v>
      </c>
      <c r="E68" s="5">
        <v>48</v>
      </c>
      <c r="F68" s="4" t="s">
        <v>4752</v>
      </c>
      <c r="G68" s="2" t="s">
        <v>48</v>
      </c>
      <c r="H68" s="7" t="s">
        <v>284</v>
      </c>
      <c r="I68" s="2" t="s">
        <v>173</v>
      </c>
      <c r="J68" s="2" t="s">
        <v>4753</v>
      </c>
      <c r="K68" s="2" t="s">
        <v>2746</v>
      </c>
      <c r="L68" s="2" t="s">
        <v>4754</v>
      </c>
      <c r="M68" s="8" t="str">
        <f>HYPERLINK("http://images.bloomingdales.com/is/image/BLM/10339146 ")</f>
        <v xml:space="preserve">http://images.bloomingdales.com/is/image/BLM/10339146 </v>
      </c>
    </row>
    <row r="69" spans="1:13" ht="60" x14ac:dyDescent="0.25">
      <c r="A69" s="7" t="s">
        <v>4759</v>
      </c>
      <c r="B69" s="2" t="s">
        <v>4760</v>
      </c>
      <c r="C69" s="4">
        <v>1</v>
      </c>
      <c r="D69" s="5">
        <v>14.62</v>
      </c>
      <c r="E69" s="5">
        <v>39.5</v>
      </c>
      <c r="F69" s="4" t="s">
        <v>4761</v>
      </c>
      <c r="G69" s="2" t="s">
        <v>79</v>
      </c>
      <c r="H69" s="7" t="s">
        <v>68</v>
      </c>
      <c r="I69" s="2" t="s">
        <v>880</v>
      </c>
      <c r="J69" s="2" t="s">
        <v>881</v>
      </c>
      <c r="K69" s="2" t="s">
        <v>304</v>
      </c>
      <c r="L69" s="2" t="s">
        <v>596</v>
      </c>
      <c r="M69" s="8" t="str">
        <f>HYPERLINK("http://slimages.macys.com/is/image/MCY/12239556 ")</f>
        <v xml:space="preserve">http://slimages.macys.com/is/image/MCY/12239556 </v>
      </c>
    </row>
    <row r="70" spans="1:13" ht="60" x14ac:dyDescent="0.25">
      <c r="A70" s="7" t="s">
        <v>4762</v>
      </c>
      <c r="B70" s="2" t="s">
        <v>1491</v>
      </c>
      <c r="C70" s="4">
        <v>1</v>
      </c>
      <c r="D70" s="5">
        <v>14.62</v>
      </c>
      <c r="E70" s="5">
        <v>39.5</v>
      </c>
      <c r="F70" s="4" t="s">
        <v>1492</v>
      </c>
      <c r="G70" s="2" t="s">
        <v>800</v>
      </c>
      <c r="H70" s="7" t="s">
        <v>248</v>
      </c>
      <c r="I70" s="2" t="s">
        <v>880</v>
      </c>
      <c r="J70" s="2" t="s">
        <v>881</v>
      </c>
      <c r="K70" s="2" t="s">
        <v>304</v>
      </c>
      <c r="L70" s="2" t="s">
        <v>119</v>
      </c>
      <c r="M70" s="8" t="str">
        <f>HYPERLINK("http://slimages.macys.com/is/image/MCY/13357740 ")</f>
        <v xml:space="preserve">http://slimages.macys.com/is/image/MCY/13357740 </v>
      </c>
    </row>
    <row r="71" spans="1:13" ht="60" x14ac:dyDescent="0.25">
      <c r="A71" s="7" t="s">
        <v>4763</v>
      </c>
      <c r="B71" s="2" t="s">
        <v>4764</v>
      </c>
      <c r="C71" s="4">
        <v>1</v>
      </c>
      <c r="D71" s="5">
        <v>14.55</v>
      </c>
      <c r="E71" s="5">
        <v>44</v>
      </c>
      <c r="F71" s="4" t="s">
        <v>4765</v>
      </c>
      <c r="G71" s="2" t="s">
        <v>667</v>
      </c>
      <c r="H71" s="7" t="s">
        <v>438</v>
      </c>
      <c r="I71" s="2" t="s">
        <v>43</v>
      </c>
      <c r="J71" s="2" t="s">
        <v>497</v>
      </c>
      <c r="K71" s="2" t="s">
        <v>304</v>
      </c>
      <c r="L71" s="2" t="s">
        <v>38</v>
      </c>
      <c r="M71" s="8" t="str">
        <f>HYPERLINK("http://slimages.macys.com/is/image/MCY/12875266 ")</f>
        <v xml:space="preserve">http://slimages.macys.com/is/image/MCY/12875266 </v>
      </c>
    </row>
    <row r="72" spans="1:13" ht="60" x14ac:dyDescent="0.25">
      <c r="A72" s="7" t="s">
        <v>4766</v>
      </c>
      <c r="B72" s="2" t="s">
        <v>4767</v>
      </c>
      <c r="C72" s="4">
        <v>1</v>
      </c>
      <c r="D72" s="5">
        <v>14</v>
      </c>
      <c r="E72" s="5">
        <v>31.99</v>
      </c>
      <c r="F72" s="4" t="s">
        <v>4768</v>
      </c>
      <c r="G72" s="2" t="s">
        <v>657</v>
      </c>
      <c r="H72" s="7" t="s">
        <v>228</v>
      </c>
      <c r="I72" s="2" t="s">
        <v>80</v>
      </c>
      <c r="J72" s="2" t="s">
        <v>694</v>
      </c>
      <c r="K72" s="2" t="s">
        <v>304</v>
      </c>
      <c r="L72" s="2" t="s">
        <v>125</v>
      </c>
      <c r="M72" s="8" t="str">
        <f>HYPERLINK("http://slimages.macys.com/is/image/MCY/12226759 ")</f>
        <v xml:space="preserve">http://slimages.macys.com/is/image/MCY/12226759 </v>
      </c>
    </row>
    <row r="73" spans="1:13" ht="72" x14ac:dyDescent="0.25">
      <c r="A73" s="7" t="s">
        <v>4769</v>
      </c>
      <c r="B73" s="2" t="s">
        <v>4770</v>
      </c>
      <c r="C73" s="4">
        <v>1</v>
      </c>
      <c r="D73" s="5">
        <v>14</v>
      </c>
      <c r="E73" s="5">
        <v>39.99</v>
      </c>
      <c r="F73" s="4" t="s">
        <v>4771</v>
      </c>
      <c r="G73" s="2" t="s">
        <v>28</v>
      </c>
      <c r="H73" s="7" t="s">
        <v>209</v>
      </c>
      <c r="I73" s="2" t="s">
        <v>64</v>
      </c>
      <c r="J73" s="2" t="s">
        <v>65</v>
      </c>
      <c r="K73" s="2" t="s">
        <v>304</v>
      </c>
      <c r="L73" s="2" t="s">
        <v>4772</v>
      </c>
      <c r="M73" s="8" t="str">
        <f>HYPERLINK("http://slimages.macys.com/is/image/MCY/11937526 ")</f>
        <v xml:space="preserve">http://slimages.macys.com/is/image/MCY/11937526 </v>
      </c>
    </row>
    <row r="74" spans="1:13" ht="60" x14ac:dyDescent="0.25">
      <c r="A74" s="7" t="s">
        <v>4773</v>
      </c>
      <c r="B74" s="2" t="s">
        <v>4774</v>
      </c>
      <c r="C74" s="4">
        <v>1</v>
      </c>
      <c r="D74" s="5">
        <v>14</v>
      </c>
      <c r="E74" s="5">
        <v>31.99</v>
      </c>
      <c r="F74" s="4" t="s">
        <v>4775</v>
      </c>
      <c r="G74" s="2" t="s">
        <v>262</v>
      </c>
      <c r="H74" s="7" t="s">
        <v>166</v>
      </c>
      <c r="I74" s="2" t="s">
        <v>80</v>
      </c>
      <c r="J74" s="2" t="s">
        <v>167</v>
      </c>
      <c r="K74" s="2" t="s">
        <v>304</v>
      </c>
      <c r="L74" s="2" t="s">
        <v>125</v>
      </c>
      <c r="M74" s="8" t="str">
        <f>HYPERLINK("http://slimages.macys.com/is/image/MCY/13117110 ")</f>
        <v xml:space="preserve">http://slimages.macys.com/is/image/MCY/13117110 </v>
      </c>
    </row>
    <row r="75" spans="1:13" ht="60" x14ac:dyDescent="0.25">
      <c r="A75" s="7" t="s">
        <v>4776</v>
      </c>
      <c r="B75" s="2" t="s">
        <v>4777</v>
      </c>
      <c r="C75" s="4">
        <v>2</v>
      </c>
      <c r="D75" s="5">
        <v>14</v>
      </c>
      <c r="E75" s="5">
        <v>39.99</v>
      </c>
      <c r="F75" s="4" t="s">
        <v>4778</v>
      </c>
      <c r="G75" s="2" t="s">
        <v>103</v>
      </c>
      <c r="H75" s="7" t="s">
        <v>91</v>
      </c>
      <c r="I75" s="2" t="s">
        <v>92</v>
      </c>
      <c r="J75" s="2" t="s">
        <v>239</v>
      </c>
      <c r="K75" s="2" t="s">
        <v>304</v>
      </c>
      <c r="L75" s="2" t="s">
        <v>125</v>
      </c>
      <c r="M75" s="8" t="str">
        <f>HYPERLINK("http://slimages.macys.com/is/image/MCY/13893914 ")</f>
        <v xml:space="preserve">http://slimages.macys.com/is/image/MCY/13893914 </v>
      </c>
    </row>
    <row r="76" spans="1:13" ht="60" x14ac:dyDescent="0.25">
      <c r="A76" s="7" t="s">
        <v>4779</v>
      </c>
      <c r="B76" s="2" t="s">
        <v>4780</v>
      </c>
      <c r="C76" s="4">
        <v>1</v>
      </c>
      <c r="D76" s="5">
        <v>14</v>
      </c>
      <c r="E76" s="5">
        <v>35</v>
      </c>
      <c r="F76" s="4">
        <v>323102717635</v>
      </c>
      <c r="G76" s="2" t="s">
        <v>858</v>
      </c>
      <c r="H76" s="7" t="s">
        <v>217</v>
      </c>
      <c r="I76" s="2" t="s">
        <v>700</v>
      </c>
      <c r="J76" s="2" t="s">
        <v>205</v>
      </c>
      <c r="K76" s="2" t="s">
        <v>304</v>
      </c>
      <c r="L76" s="2" t="s">
        <v>87</v>
      </c>
      <c r="M76" s="8" t="str">
        <f>HYPERLINK("http://slimages.macys.com/is/image/MCY/11145692 ")</f>
        <v xml:space="preserve">http://slimages.macys.com/is/image/MCY/11145692 </v>
      </c>
    </row>
    <row r="77" spans="1:13" ht="60" x14ac:dyDescent="0.25">
      <c r="A77" s="7" t="s">
        <v>4781</v>
      </c>
      <c r="B77" s="2" t="s">
        <v>4782</v>
      </c>
      <c r="C77" s="4">
        <v>1</v>
      </c>
      <c r="D77" s="5">
        <v>14</v>
      </c>
      <c r="E77" s="5">
        <v>44.99</v>
      </c>
      <c r="F77" s="4" t="s">
        <v>4783</v>
      </c>
      <c r="G77" s="2" t="s">
        <v>41</v>
      </c>
      <c r="H77" s="7"/>
      <c r="I77" s="2" t="s">
        <v>668</v>
      </c>
      <c r="J77" s="2" t="s">
        <v>1427</v>
      </c>
      <c r="K77" s="2" t="s">
        <v>304</v>
      </c>
      <c r="L77" s="2" t="s">
        <v>125</v>
      </c>
      <c r="M77" s="8" t="str">
        <f>HYPERLINK("http://slimages.macys.com/is/image/MCY/12257941 ")</f>
        <v xml:space="preserve">http://slimages.macys.com/is/image/MCY/12257941 </v>
      </c>
    </row>
    <row r="78" spans="1:13" ht="204" x14ac:dyDescent="0.25">
      <c r="A78" s="7" t="s">
        <v>4784</v>
      </c>
      <c r="B78" s="2" t="s">
        <v>4785</v>
      </c>
      <c r="C78" s="4">
        <v>1</v>
      </c>
      <c r="D78" s="5">
        <v>13.95</v>
      </c>
      <c r="E78" s="5">
        <v>40</v>
      </c>
      <c r="F78" s="4" t="s">
        <v>4786</v>
      </c>
      <c r="G78" s="2"/>
      <c r="H78" s="7" t="s">
        <v>3268</v>
      </c>
      <c r="I78" s="2" t="s">
        <v>3129</v>
      </c>
      <c r="J78" s="2" t="s">
        <v>3269</v>
      </c>
      <c r="K78" s="2" t="s">
        <v>2752</v>
      </c>
      <c r="L78" s="2" t="s">
        <v>4787</v>
      </c>
      <c r="M78" s="8" t="str">
        <f>HYPERLINK("http://images.bloomingdales.com/is/image/BLM/10251382 ")</f>
        <v xml:space="preserve">http://images.bloomingdales.com/is/image/BLM/10251382 </v>
      </c>
    </row>
    <row r="79" spans="1:13" ht="144" x14ac:dyDescent="0.25">
      <c r="A79" s="7" t="s">
        <v>4788</v>
      </c>
      <c r="B79" s="2" t="s">
        <v>2493</v>
      </c>
      <c r="C79" s="4">
        <v>1</v>
      </c>
      <c r="D79" s="5">
        <v>13.75</v>
      </c>
      <c r="E79" s="5">
        <v>39.99</v>
      </c>
      <c r="F79" s="4" t="s">
        <v>2494</v>
      </c>
      <c r="G79" s="2" t="s">
        <v>752</v>
      </c>
      <c r="H79" s="7" t="s">
        <v>590</v>
      </c>
      <c r="I79" s="2" t="s">
        <v>92</v>
      </c>
      <c r="J79" s="2" t="s">
        <v>239</v>
      </c>
      <c r="K79" s="2" t="s">
        <v>304</v>
      </c>
      <c r="L79" s="2" t="s">
        <v>2495</v>
      </c>
      <c r="M79" s="8" t="str">
        <f>HYPERLINK("http://slimages.macys.com/is/image/MCY/14886820 ")</f>
        <v xml:space="preserve">http://slimages.macys.com/is/image/MCY/14886820 </v>
      </c>
    </row>
    <row r="80" spans="1:13" ht="168" x14ac:dyDescent="0.25">
      <c r="A80" s="7" t="s">
        <v>3014</v>
      </c>
      <c r="B80" s="2" t="s">
        <v>1522</v>
      </c>
      <c r="C80" s="4">
        <v>2</v>
      </c>
      <c r="D80" s="5">
        <v>13.75</v>
      </c>
      <c r="E80" s="5">
        <v>39.99</v>
      </c>
      <c r="F80" s="4" t="s">
        <v>1523</v>
      </c>
      <c r="G80" s="2" t="s">
        <v>62</v>
      </c>
      <c r="H80" s="7" t="s">
        <v>149</v>
      </c>
      <c r="I80" s="2" t="s">
        <v>92</v>
      </c>
      <c r="J80" s="2" t="s">
        <v>239</v>
      </c>
      <c r="K80" s="2" t="s">
        <v>304</v>
      </c>
      <c r="L80" s="2" t="s">
        <v>1524</v>
      </c>
      <c r="M80" s="8" t="str">
        <f>HYPERLINK("http://slimages.macys.com/is/image/MCY/14886823 ")</f>
        <v xml:space="preserve">http://slimages.macys.com/is/image/MCY/14886823 </v>
      </c>
    </row>
    <row r="81" spans="1:13" ht="168" x14ac:dyDescent="0.25">
      <c r="A81" s="7" t="s">
        <v>4789</v>
      </c>
      <c r="B81" s="2" t="s">
        <v>1522</v>
      </c>
      <c r="C81" s="4">
        <v>1</v>
      </c>
      <c r="D81" s="5">
        <v>13.75</v>
      </c>
      <c r="E81" s="5">
        <v>39.99</v>
      </c>
      <c r="F81" s="4" t="s">
        <v>1523</v>
      </c>
      <c r="G81" s="2" t="s">
        <v>62</v>
      </c>
      <c r="H81" s="7" t="s">
        <v>42</v>
      </c>
      <c r="I81" s="2" t="s">
        <v>92</v>
      </c>
      <c r="J81" s="2" t="s">
        <v>239</v>
      </c>
      <c r="K81" s="2" t="s">
        <v>304</v>
      </c>
      <c r="L81" s="2" t="s">
        <v>1524</v>
      </c>
      <c r="M81" s="8" t="str">
        <f>HYPERLINK("http://slimages.macys.com/is/image/MCY/14886823 ")</f>
        <v xml:space="preserve">http://slimages.macys.com/is/image/MCY/14886823 </v>
      </c>
    </row>
    <row r="82" spans="1:13" ht="60" x14ac:dyDescent="0.25">
      <c r="A82" s="7" t="s">
        <v>4790</v>
      </c>
      <c r="B82" s="2" t="s">
        <v>4791</v>
      </c>
      <c r="C82" s="4">
        <v>1</v>
      </c>
      <c r="D82" s="5">
        <v>13.72</v>
      </c>
      <c r="E82" s="5">
        <v>49</v>
      </c>
      <c r="F82" s="4">
        <v>329254</v>
      </c>
      <c r="G82" s="2" t="s">
        <v>62</v>
      </c>
      <c r="H82" s="7" t="s">
        <v>708</v>
      </c>
      <c r="I82" s="2" t="s">
        <v>50</v>
      </c>
      <c r="J82" s="2" t="s">
        <v>51</v>
      </c>
      <c r="K82" s="2" t="s">
        <v>304</v>
      </c>
      <c r="L82" s="2" t="s">
        <v>4646</v>
      </c>
      <c r="M82" s="8" t="str">
        <f>HYPERLINK("http://slimages.macys.com/is/image/MCY/10276906 ")</f>
        <v xml:space="preserve">http://slimages.macys.com/is/image/MCY/10276906 </v>
      </c>
    </row>
    <row r="83" spans="1:13" ht="84" x14ac:dyDescent="0.25">
      <c r="A83" s="7" t="s">
        <v>4792</v>
      </c>
      <c r="B83" s="2" t="s">
        <v>4793</v>
      </c>
      <c r="C83" s="4">
        <v>1</v>
      </c>
      <c r="D83" s="5">
        <v>13.6</v>
      </c>
      <c r="E83" s="5">
        <v>34</v>
      </c>
      <c r="F83" s="4">
        <v>333564</v>
      </c>
      <c r="G83" s="2" t="s">
        <v>1463</v>
      </c>
      <c r="H83" s="7" t="s">
        <v>786</v>
      </c>
      <c r="I83" s="2" t="s">
        <v>50</v>
      </c>
      <c r="J83" s="2" t="s">
        <v>51</v>
      </c>
      <c r="K83" s="2" t="s">
        <v>304</v>
      </c>
      <c r="L83" s="2" t="s">
        <v>4794</v>
      </c>
      <c r="M83" s="8" t="str">
        <f>HYPERLINK("http://slimages.macys.com/is/image/MCY/12341767 ")</f>
        <v xml:space="preserve">http://slimages.macys.com/is/image/MCY/12341767 </v>
      </c>
    </row>
    <row r="84" spans="1:13" ht="60" x14ac:dyDescent="0.25">
      <c r="A84" s="7" t="s">
        <v>4795</v>
      </c>
      <c r="B84" s="2" t="s">
        <v>4796</v>
      </c>
      <c r="C84" s="4">
        <v>1</v>
      </c>
      <c r="D84" s="5">
        <v>13.28</v>
      </c>
      <c r="E84" s="5">
        <v>29.5</v>
      </c>
      <c r="F84" s="4">
        <v>320735012001</v>
      </c>
      <c r="G84" s="2" t="s">
        <v>28</v>
      </c>
      <c r="H84" s="7" t="s">
        <v>438</v>
      </c>
      <c r="I84" s="2" t="s">
        <v>676</v>
      </c>
      <c r="J84" s="2" t="s">
        <v>205</v>
      </c>
      <c r="K84" s="2" t="s">
        <v>304</v>
      </c>
      <c r="L84" s="2" t="s">
        <v>206</v>
      </c>
      <c r="M84" s="8" t="str">
        <f>HYPERLINK("http://slimages.macys.com/is/image/MCY/11621848 ")</f>
        <v xml:space="preserve">http://slimages.macys.com/is/image/MCY/11621848 </v>
      </c>
    </row>
    <row r="85" spans="1:13" ht="60" x14ac:dyDescent="0.25">
      <c r="A85" s="7" t="s">
        <v>4797</v>
      </c>
      <c r="B85" s="2" t="s">
        <v>4798</v>
      </c>
      <c r="C85" s="4">
        <v>1</v>
      </c>
      <c r="D85" s="5">
        <v>13.25</v>
      </c>
      <c r="E85" s="5">
        <v>26.99</v>
      </c>
      <c r="F85" s="4" t="s">
        <v>4799</v>
      </c>
      <c r="G85" s="2" t="s">
        <v>134</v>
      </c>
      <c r="H85" s="7" t="s">
        <v>144</v>
      </c>
      <c r="I85" s="2" t="s">
        <v>380</v>
      </c>
      <c r="J85" s="2" t="s">
        <v>258</v>
      </c>
      <c r="K85" s="2" t="s">
        <v>304</v>
      </c>
      <c r="L85" s="2" t="s">
        <v>75</v>
      </c>
      <c r="M85" s="8" t="str">
        <f>HYPERLINK("http://slimages.macys.com/is/image/MCY/2903492 ")</f>
        <v xml:space="preserve">http://slimages.macys.com/is/image/MCY/2903492 </v>
      </c>
    </row>
    <row r="86" spans="1:13" ht="60" x14ac:dyDescent="0.25">
      <c r="A86" s="7" t="s">
        <v>4800</v>
      </c>
      <c r="B86" s="2" t="s">
        <v>766</v>
      </c>
      <c r="C86" s="4">
        <v>1</v>
      </c>
      <c r="D86" s="5">
        <v>13.25</v>
      </c>
      <c r="E86" s="5">
        <v>26.99</v>
      </c>
      <c r="F86" s="4" t="s">
        <v>767</v>
      </c>
      <c r="G86" s="2" t="s">
        <v>238</v>
      </c>
      <c r="H86" s="7" t="s">
        <v>317</v>
      </c>
      <c r="I86" s="2" t="s">
        <v>380</v>
      </c>
      <c r="J86" s="2" t="s">
        <v>258</v>
      </c>
      <c r="K86" s="2" t="s">
        <v>304</v>
      </c>
      <c r="L86" s="2" t="s">
        <v>75</v>
      </c>
      <c r="M86" s="8" t="str">
        <f>HYPERLINK("http://slimages.macys.com/is/image/MCY/10037558 ")</f>
        <v xml:space="preserve">http://slimages.macys.com/is/image/MCY/10037558 </v>
      </c>
    </row>
    <row r="87" spans="1:13" ht="60" x14ac:dyDescent="0.25">
      <c r="A87" s="7" t="s">
        <v>4801</v>
      </c>
      <c r="B87" s="2" t="s">
        <v>4802</v>
      </c>
      <c r="C87" s="4">
        <v>1</v>
      </c>
      <c r="D87" s="5">
        <v>13</v>
      </c>
      <c r="E87" s="5">
        <v>40</v>
      </c>
      <c r="F87" s="4" t="s">
        <v>4803</v>
      </c>
      <c r="G87" s="2" t="s">
        <v>200</v>
      </c>
      <c r="H87" s="7" t="s">
        <v>4804</v>
      </c>
      <c r="I87" s="2" t="s">
        <v>50</v>
      </c>
      <c r="J87" s="2" t="s">
        <v>901</v>
      </c>
      <c r="K87" s="2" t="s">
        <v>304</v>
      </c>
      <c r="L87" s="2" t="s">
        <v>328</v>
      </c>
      <c r="M87" s="8" t="str">
        <f>HYPERLINK("http://slimages.macys.com/is/image/MCY/12699145 ")</f>
        <v xml:space="preserve">http://slimages.macys.com/is/image/MCY/12699145 </v>
      </c>
    </row>
    <row r="88" spans="1:13" ht="60" x14ac:dyDescent="0.25">
      <c r="A88" s="7" t="s">
        <v>4805</v>
      </c>
      <c r="B88" s="2" t="s">
        <v>4806</v>
      </c>
      <c r="C88" s="4">
        <v>1</v>
      </c>
      <c r="D88" s="5">
        <v>12.5</v>
      </c>
      <c r="E88" s="5">
        <v>38</v>
      </c>
      <c r="F88" s="4" t="s">
        <v>4807</v>
      </c>
      <c r="G88" s="2" t="s">
        <v>262</v>
      </c>
      <c r="H88" s="7" t="s">
        <v>217</v>
      </c>
      <c r="I88" s="2" t="s">
        <v>700</v>
      </c>
      <c r="J88" s="2" t="s">
        <v>3247</v>
      </c>
      <c r="K88" s="2" t="s">
        <v>4808</v>
      </c>
      <c r="L88" s="2" t="s">
        <v>4809</v>
      </c>
      <c r="M88" s="8" t="str">
        <f>HYPERLINK("http://images.bloomingdales.com/is/image/BLM/10292419 ")</f>
        <v xml:space="preserve">http://images.bloomingdales.com/is/image/BLM/10292419 </v>
      </c>
    </row>
    <row r="89" spans="1:13" ht="168" x14ac:dyDescent="0.25">
      <c r="A89" s="7" t="s">
        <v>3061</v>
      </c>
      <c r="B89" s="2" t="s">
        <v>189</v>
      </c>
      <c r="C89" s="4">
        <v>1</v>
      </c>
      <c r="D89" s="5">
        <v>12.5</v>
      </c>
      <c r="E89" s="5">
        <v>34.99</v>
      </c>
      <c r="F89" s="4" t="s">
        <v>190</v>
      </c>
      <c r="G89" s="2" t="s">
        <v>129</v>
      </c>
      <c r="H89" s="7" t="s">
        <v>590</v>
      </c>
      <c r="I89" s="2" t="s">
        <v>92</v>
      </c>
      <c r="J89" s="2" t="s">
        <v>65</v>
      </c>
      <c r="K89" s="2" t="s">
        <v>304</v>
      </c>
      <c r="L89" s="2" t="s">
        <v>191</v>
      </c>
      <c r="M89" s="8" t="str">
        <f>HYPERLINK("http://slimages.macys.com/is/image/MCY/14815686 ")</f>
        <v xml:space="preserve">http://slimages.macys.com/is/image/MCY/14815686 </v>
      </c>
    </row>
    <row r="90" spans="1:13" ht="120" x14ac:dyDescent="0.25">
      <c r="A90" s="7" t="s">
        <v>3063</v>
      </c>
      <c r="B90" s="2" t="s">
        <v>3053</v>
      </c>
      <c r="C90" s="4">
        <v>1</v>
      </c>
      <c r="D90" s="5">
        <v>12.5</v>
      </c>
      <c r="E90" s="5">
        <v>34.99</v>
      </c>
      <c r="F90" s="4" t="s">
        <v>3054</v>
      </c>
      <c r="G90" s="2" t="s">
        <v>62</v>
      </c>
      <c r="H90" s="7" t="s">
        <v>42</v>
      </c>
      <c r="I90" s="2" t="s">
        <v>92</v>
      </c>
      <c r="J90" s="2" t="s">
        <v>65</v>
      </c>
      <c r="K90" s="2" t="s">
        <v>304</v>
      </c>
      <c r="L90" s="2" t="s">
        <v>3055</v>
      </c>
      <c r="M90" s="8" t="str">
        <f>HYPERLINK("http://slimages.macys.com/is/image/MCY/14815658 ")</f>
        <v xml:space="preserve">http://slimages.macys.com/is/image/MCY/14815658 </v>
      </c>
    </row>
    <row r="91" spans="1:13" ht="168" x14ac:dyDescent="0.25">
      <c r="A91" s="7" t="s">
        <v>188</v>
      </c>
      <c r="B91" s="2" t="s">
        <v>189</v>
      </c>
      <c r="C91" s="4">
        <v>1</v>
      </c>
      <c r="D91" s="5">
        <v>12.5</v>
      </c>
      <c r="E91" s="5">
        <v>34.99</v>
      </c>
      <c r="F91" s="4" t="s">
        <v>190</v>
      </c>
      <c r="G91" s="2" t="s">
        <v>129</v>
      </c>
      <c r="H91" s="7" t="s">
        <v>149</v>
      </c>
      <c r="I91" s="2" t="s">
        <v>92</v>
      </c>
      <c r="J91" s="2" t="s">
        <v>65</v>
      </c>
      <c r="K91" s="2" t="s">
        <v>304</v>
      </c>
      <c r="L91" s="2" t="s">
        <v>191</v>
      </c>
      <c r="M91" s="8" t="str">
        <f>HYPERLINK("http://slimages.macys.com/is/image/MCY/14815686 ")</f>
        <v xml:space="preserve">http://slimages.macys.com/is/image/MCY/14815686 </v>
      </c>
    </row>
    <row r="92" spans="1:13" ht="180" x14ac:dyDescent="0.25">
      <c r="A92" s="7" t="s">
        <v>3056</v>
      </c>
      <c r="B92" s="2" t="s">
        <v>3057</v>
      </c>
      <c r="C92" s="4">
        <v>1</v>
      </c>
      <c r="D92" s="5">
        <v>12.5</v>
      </c>
      <c r="E92" s="5">
        <v>34.99</v>
      </c>
      <c r="F92" s="4" t="s">
        <v>3058</v>
      </c>
      <c r="G92" s="2" t="s">
        <v>41</v>
      </c>
      <c r="H92" s="7" t="s">
        <v>590</v>
      </c>
      <c r="I92" s="2" t="s">
        <v>92</v>
      </c>
      <c r="J92" s="2" t="s">
        <v>65</v>
      </c>
      <c r="K92" s="2" t="s">
        <v>304</v>
      </c>
      <c r="L92" s="2" t="s">
        <v>3059</v>
      </c>
      <c r="M92" s="8" t="str">
        <f>HYPERLINK("http://slimages.macys.com/is/image/MCY/14815481 ")</f>
        <v xml:space="preserve">http://slimages.macys.com/is/image/MCY/14815481 </v>
      </c>
    </row>
    <row r="93" spans="1:13" ht="120" x14ac:dyDescent="0.25">
      <c r="A93" s="7" t="s">
        <v>4810</v>
      </c>
      <c r="B93" s="2" t="s">
        <v>3053</v>
      </c>
      <c r="C93" s="4">
        <v>1</v>
      </c>
      <c r="D93" s="5">
        <v>12.5</v>
      </c>
      <c r="E93" s="5">
        <v>34.99</v>
      </c>
      <c r="F93" s="4" t="s">
        <v>3054</v>
      </c>
      <c r="G93" s="2" t="s">
        <v>62</v>
      </c>
      <c r="H93" s="7" t="s">
        <v>442</v>
      </c>
      <c r="I93" s="2" t="s">
        <v>92</v>
      </c>
      <c r="J93" s="2" t="s">
        <v>65</v>
      </c>
      <c r="K93" s="2" t="s">
        <v>304</v>
      </c>
      <c r="L93" s="2" t="s">
        <v>3055</v>
      </c>
      <c r="M93" s="8" t="str">
        <f>HYPERLINK("http://slimages.macys.com/is/image/MCY/14815658 ")</f>
        <v xml:space="preserve">http://slimages.macys.com/is/image/MCY/14815658 </v>
      </c>
    </row>
    <row r="94" spans="1:13" ht="180" x14ac:dyDescent="0.25">
      <c r="A94" s="7" t="s">
        <v>3769</v>
      </c>
      <c r="B94" s="2" t="s">
        <v>3057</v>
      </c>
      <c r="C94" s="4">
        <v>1</v>
      </c>
      <c r="D94" s="5">
        <v>12.5</v>
      </c>
      <c r="E94" s="5">
        <v>34.99</v>
      </c>
      <c r="F94" s="4" t="s">
        <v>3058</v>
      </c>
      <c r="G94" s="2" t="s">
        <v>41</v>
      </c>
      <c r="H94" s="7" t="s">
        <v>42</v>
      </c>
      <c r="I94" s="2" t="s">
        <v>92</v>
      </c>
      <c r="J94" s="2" t="s">
        <v>65</v>
      </c>
      <c r="K94" s="2" t="s">
        <v>304</v>
      </c>
      <c r="L94" s="2" t="s">
        <v>3059</v>
      </c>
      <c r="M94" s="8" t="str">
        <f>HYPERLINK("http://slimages.macys.com/is/image/MCY/14815481 ")</f>
        <v xml:space="preserve">http://slimages.macys.com/is/image/MCY/14815481 </v>
      </c>
    </row>
    <row r="95" spans="1:13" ht="60" x14ac:dyDescent="0.25">
      <c r="A95" s="7" t="s">
        <v>4811</v>
      </c>
      <c r="B95" s="2" t="s">
        <v>4812</v>
      </c>
      <c r="C95" s="4">
        <v>1</v>
      </c>
      <c r="D95" s="5">
        <v>12.45</v>
      </c>
      <c r="E95" s="5">
        <v>31.99</v>
      </c>
      <c r="F95" s="4" t="s">
        <v>4813</v>
      </c>
      <c r="G95" s="2" t="s">
        <v>310</v>
      </c>
      <c r="H95" s="7" t="s">
        <v>179</v>
      </c>
      <c r="I95" s="2" t="s">
        <v>312</v>
      </c>
      <c r="J95" s="2" t="s">
        <v>1618</v>
      </c>
      <c r="K95" s="2" t="s">
        <v>304</v>
      </c>
      <c r="L95" s="2" t="s">
        <v>38</v>
      </c>
      <c r="M95" s="8" t="str">
        <f>HYPERLINK("http://slimages.macys.com/is/image/MCY/14540227 ")</f>
        <v xml:space="preserve">http://slimages.macys.com/is/image/MCY/14540227 </v>
      </c>
    </row>
    <row r="96" spans="1:13" ht="60" x14ac:dyDescent="0.25">
      <c r="A96" s="7" t="s">
        <v>4814</v>
      </c>
      <c r="B96" s="2" t="s">
        <v>203</v>
      </c>
      <c r="C96" s="4">
        <v>1</v>
      </c>
      <c r="D96" s="5">
        <v>12.38</v>
      </c>
      <c r="E96" s="5">
        <v>27.5</v>
      </c>
      <c r="F96" s="4">
        <v>321750963003</v>
      </c>
      <c r="G96" s="2" t="s">
        <v>129</v>
      </c>
      <c r="H96" s="7" t="s">
        <v>144</v>
      </c>
      <c r="I96" s="2" t="s">
        <v>204</v>
      </c>
      <c r="J96" s="2" t="s">
        <v>205</v>
      </c>
      <c r="K96" s="2" t="s">
        <v>304</v>
      </c>
      <c r="L96" s="2" t="s">
        <v>206</v>
      </c>
      <c r="M96" s="8" t="str">
        <f>HYPERLINK("http://slimages.macys.com/is/image/MCY/14633997 ")</f>
        <v xml:space="preserve">http://slimages.macys.com/is/image/MCY/14633997 </v>
      </c>
    </row>
    <row r="97" spans="1:13" ht="60" x14ac:dyDescent="0.25">
      <c r="A97" s="7" t="s">
        <v>4815</v>
      </c>
      <c r="B97" s="2" t="s">
        <v>3125</v>
      </c>
      <c r="C97" s="4">
        <v>1</v>
      </c>
      <c r="D97" s="5">
        <v>12.38</v>
      </c>
      <c r="E97" s="5">
        <v>27.5</v>
      </c>
      <c r="F97" s="4">
        <v>323750972001</v>
      </c>
      <c r="G97" s="2" t="s">
        <v>28</v>
      </c>
      <c r="H97" s="7" t="s">
        <v>228</v>
      </c>
      <c r="I97" s="2" t="s">
        <v>700</v>
      </c>
      <c r="J97" s="2" t="s">
        <v>205</v>
      </c>
      <c r="K97" s="2" t="s">
        <v>3157</v>
      </c>
      <c r="L97" s="2" t="s">
        <v>87</v>
      </c>
      <c r="M97" s="8" t="str">
        <f>HYPERLINK("http://images.bloomingdales.com/is/image/BLM/10508394 ")</f>
        <v xml:space="preserve">http://images.bloomingdales.com/is/image/BLM/10508394 </v>
      </c>
    </row>
    <row r="98" spans="1:13" ht="60" x14ac:dyDescent="0.25">
      <c r="A98" s="7" t="s">
        <v>4816</v>
      </c>
      <c r="B98" s="2" t="s">
        <v>203</v>
      </c>
      <c r="C98" s="4">
        <v>1</v>
      </c>
      <c r="D98" s="5">
        <v>12.38</v>
      </c>
      <c r="E98" s="5">
        <v>27.5</v>
      </c>
      <c r="F98" s="4">
        <v>322750963001</v>
      </c>
      <c r="G98" s="2" t="s">
        <v>28</v>
      </c>
      <c r="H98" s="7" t="s">
        <v>311</v>
      </c>
      <c r="I98" s="2" t="s">
        <v>204</v>
      </c>
      <c r="J98" s="2" t="s">
        <v>205</v>
      </c>
      <c r="K98" s="2" t="s">
        <v>304</v>
      </c>
      <c r="L98" s="2" t="s">
        <v>206</v>
      </c>
      <c r="M98" s="8" t="str">
        <f>HYPERLINK("http://slimages.macys.com/is/image/MCY/13743640 ")</f>
        <v xml:space="preserve">http://slimages.macys.com/is/image/MCY/13743640 </v>
      </c>
    </row>
    <row r="99" spans="1:13" ht="60" x14ac:dyDescent="0.25">
      <c r="A99" s="7" t="s">
        <v>4817</v>
      </c>
      <c r="B99" s="2" t="s">
        <v>4818</v>
      </c>
      <c r="C99" s="4">
        <v>1</v>
      </c>
      <c r="D99" s="5">
        <v>12.25</v>
      </c>
      <c r="E99" s="5">
        <v>26.99</v>
      </c>
      <c r="F99" s="4" t="s">
        <v>4819</v>
      </c>
      <c r="G99" s="2" t="s">
        <v>165</v>
      </c>
      <c r="H99" s="7" t="s">
        <v>159</v>
      </c>
      <c r="I99" s="2" t="s">
        <v>80</v>
      </c>
      <c r="J99" s="2" t="s">
        <v>2967</v>
      </c>
      <c r="K99" s="2" t="s">
        <v>304</v>
      </c>
      <c r="L99" s="2" t="s">
        <v>125</v>
      </c>
      <c r="M99" s="8" t="str">
        <f>HYPERLINK("http://slimages.macys.com/is/image/MCY/13318382 ")</f>
        <v xml:space="preserve">http://slimages.macys.com/is/image/MCY/13318382 </v>
      </c>
    </row>
    <row r="100" spans="1:13" ht="60" x14ac:dyDescent="0.25">
      <c r="A100" s="7" t="s">
        <v>4820</v>
      </c>
      <c r="B100" s="2" t="s">
        <v>4821</v>
      </c>
      <c r="C100" s="4">
        <v>1</v>
      </c>
      <c r="D100" s="5">
        <v>12</v>
      </c>
      <c r="E100" s="5">
        <v>21.99</v>
      </c>
      <c r="F100" s="4" t="s">
        <v>4822</v>
      </c>
      <c r="G100" s="2" t="s">
        <v>28</v>
      </c>
      <c r="H100" s="7" t="s">
        <v>144</v>
      </c>
      <c r="I100" s="2" t="s">
        <v>380</v>
      </c>
      <c r="J100" s="2" t="s">
        <v>258</v>
      </c>
      <c r="K100" s="2" t="s">
        <v>304</v>
      </c>
      <c r="L100" s="2" t="s">
        <v>87</v>
      </c>
      <c r="M100" s="8" t="str">
        <f>HYPERLINK("http://slimages.macys.com/is/image/MCY/1699745 ")</f>
        <v xml:space="preserve">http://slimages.macys.com/is/image/MCY/1699745 </v>
      </c>
    </row>
    <row r="101" spans="1:13" ht="60" x14ac:dyDescent="0.25">
      <c r="A101" s="7" t="s">
        <v>4823</v>
      </c>
      <c r="B101" s="2" t="s">
        <v>4824</v>
      </c>
      <c r="C101" s="4">
        <v>1</v>
      </c>
      <c r="D101" s="5">
        <v>11.75</v>
      </c>
      <c r="E101" s="5">
        <v>28.99</v>
      </c>
      <c r="F101" s="4" t="s">
        <v>4825</v>
      </c>
      <c r="G101" s="2" t="s">
        <v>129</v>
      </c>
      <c r="H101" s="7" t="s">
        <v>159</v>
      </c>
      <c r="I101" s="2" t="s">
        <v>321</v>
      </c>
      <c r="J101" s="2" t="s">
        <v>3099</v>
      </c>
      <c r="K101" s="2" t="s">
        <v>304</v>
      </c>
      <c r="L101" s="2" t="s">
        <v>125</v>
      </c>
      <c r="M101" s="8" t="str">
        <f>HYPERLINK("http://slimages.macys.com/is/image/MCY/11641256 ")</f>
        <v xml:space="preserve">http://slimages.macys.com/is/image/MCY/11641256 </v>
      </c>
    </row>
    <row r="102" spans="1:13" ht="60" x14ac:dyDescent="0.25">
      <c r="A102" s="7" t="s">
        <v>4826</v>
      </c>
      <c r="B102" s="2" t="s">
        <v>4827</v>
      </c>
      <c r="C102" s="4">
        <v>1</v>
      </c>
      <c r="D102" s="5">
        <v>11.5</v>
      </c>
      <c r="E102" s="5">
        <v>27.99</v>
      </c>
      <c r="F102" s="4" t="s">
        <v>4828</v>
      </c>
      <c r="G102" s="2" t="s">
        <v>1147</v>
      </c>
      <c r="H102" s="7" t="s">
        <v>284</v>
      </c>
      <c r="I102" s="2" t="s">
        <v>321</v>
      </c>
      <c r="J102" s="2" t="s">
        <v>4829</v>
      </c>
      <c r="K102" s="2" t="s">
        <v>304</v>
      </c>
      <c r="L102" s="2" t="s">
        <v>125</v>
      </c>
      <c r="M102" s="8" t="str">
        <f>HYPERLINK("http://slimages.macys.com/is/image/MCY/12339182 ")</f>
        <v xml:space="preserve">http://slimages.macys.com/is/image/MCY/12339182 </v>
      </c>
    </row>
    <row r="103" spans="1:13" ht="60" x14ac:dyDescent="0.25">
      <c r="A103" s="7" t="s">
        <v>4830</v>
      </c>
      <c r="B103" s="2" t="s">
        <v>4831</v>
      </c>
      <c r="C103" s="4">
        <v>1</v>
      </c>
      <c r="D103" s="5">
        <v>11.4</v>
      </c>
      <c r="E103" s="5">
        <v>27.99</v>
      </c>
      <c r="F103" s="4" t="s">
        <v>4832</v>
      </c>
      <c r="G103" s="2" t="s">
        <v>79</v>
      </c>
      <c r="H103" s="7" t="s">
        <v>217</v>
      </c>
      <c r="I103" s="2" t="s">
        <v>321</v>
      </c>
      <c r="J103" s="2" t="s">
        <v>4833</v>
      </c>
      <c r="K103" s="2" t="s">
        <v>304</v>
      </c>
      <c r="L103" s="2" t="s">
        <v>3634</v>
      </c>
      <c r="M103" s="8" t="str">
        <f>HYPERLINK("http://slimages.macys.com/is/image/MCY/10944802 ")</f>
        <v xml:space="preserve">http://slimages.macys.com/is/image/MCY/10944802 </v>
      </c>
    </row>
    <row r="104" spans="1:13" ht="60" x14ac:dyDescent="0.25">
      <c r="A104" s="7" t="s">
        <v>4834</v>
      </c>
      <c r="B104" s="2" t="s">
        <v>4835</v>
      </c>
      <c r="C104" s="4">
        <v>1</v>
      </c>
      <c r="D104" s="5">
        <v>11.25</v>
      </c>
      <c r="E104" s="5">
        <v>25</v>
      </c>
      <c r="F104" s="4">
        <v>322738118001</v>
      </c>
      <c r="G104" s="2" t="s">
        <v>28</v>
      </c>
      <c r="H104" s="7" t="s">
        <v>123</v>
      </c>
      <c r="I104" s="2" t="s">
        <v>700</v>
      </c>
      <c r="J104" s="2" t="s">
        <v>205</v>
      </c>
      <c r="K104" s="2" t="s">
        <v>3157</v>
      </c>
      <c r="L104" s="2" t="s">
        <v>87</v>
      </c>
      <c r="M104" s="8" t="str">
        <f>HYPERLINK("http://images.bloomingdales.com/is/image/BLM/10292559 ")</f>
        <v xml:space="preserve">http://images.bloomingdales.com/is/image/BLM/10292559 </v>
      </c>
    </row>
    <row r="105" spans="1:13" ht="60" x14ac:dyDescent="0.25">
      <c r="A105" s="7" t="s">
        <v>4836</v>
      </c>
      <c r="B105" s="2" t="s">
        <v>3120</v>
      </c>
      <c r="C105" s="4">
        <v>1</v>
      </c>
      <c r="D105" s="5">
        <v>11.25</v>
      </c>
      <c r="E105" s="5">
        <v>25</v>
      </c>
      <c r="F105" s="4">
        <v>1305697</v>
      </c>
      <c r="G105" s="2" t="s">
        <v>62</v>
      </c>
      <c r="H105" s="7" t="s">
        <v>196</v>
      </c>
      <c r="I105" s="2" t="s">
        <v>73</v>
      </c>
      <c r="J105" s="2" t="s">
        <v>280</v>
      </c>
      <c r="K105" s="2" t="s">
        <v>304</v>
      </c>
      <c r="L105" s="2" t="s">
        <v>125</v>
      </c>
      <c r="M105" s="8" t="str">
        <f>HYPERLINK("http://slimages.macys.com/is/image/MCY/9665586 ")</f>
        <v xml:space="preserve">http://slimages.macys.com/is/image/MCY/9665586 </v>
      </c>
    </row>
    <row r="106" spans="1:13" ht="60" x14ac:dyDescent="0.25">
      <c r="A106" s="7" t="s">
        <v>4837</v>
      </c>
      <c r="B106" s="2" t="s">
        <v>3763</v>
      </c>
      <c r="C106" s="4">
        <v>1</v>
      </c>
      <c r="D106" s="5">
        <v>10.92</v>
      </c>
      <c r="E106" s="5">
        <v>29.5</v>
      </c>
      <c r="F106" s="4" t="s">
        <v>4838</v>
      </c>
      <c r="G106" s="2" t="s">
        <v>41</v>
      </c>
      <c r="H106" s="7" t="s">
        <v>166</v>
      </c>
      <c r="I106" s="2" t="s">
        <v>690</v>
      </c>
      <c r="J106" s="2" t="s">
        <v>58</v>
      </c>
      <c r="K106" s="2" t="s">
        <v>304</v>
      </c>
      <c r="L106" s="2" t="s">
        <v>100</v>
      </c>
      <c r="M106" s="8" t="str">
        <f>HYPERLINK("http://slimages.macys.com/is/image/MCY/11692542 ")</f>
        <v xml:space="preserve">http://slimages.macys.com/is/image/MCY/11692542 </v>
      </c>
    </row>
    <row r="107" spans="1:13" ht="60" x14ac:dyDescent="0.25">
      <c r="A107" s="7" t="s">
        <v>4839</v>
      </c>
      <c r="B107" s="2" t="s">
        <v>4840</v>
      </c>
      <c r="C107" s="4">
        <v>1</v>
      </c>
      <c r="D107" s="5">
        <v>10.8</v>
      </c>
      <c r="E107" s="5">
        <v>36</v>
      </c>
      <c r="F107" s="4" t="s">
        <v>4841</v>
      </c>
      <c r="G107" s="2" t="s">
        <v>262</v>
      </c>
      <c r="H107" s="7" t="s">
        <v>311</v>
      </c>
      <c r="I107" s="2" t="s">
        <v>173</v>
      </c>
      <c r="J107" s="2" t="s">
        <v>3242</v>
      </c>
      <c r="K107" s="2" t="s">
        <v>2752</v>
      </c>
      <c r="L107" s="2" t="s">
        <v>38</v>
      </c>
      <c r="M107" s="8" t="str">
        <f>HYPERLINK("http://images.bloomingdales.com/is/image/BLM/10336594 ")</f>
        <v xml:space="preserve">http://images.bloomingdales.com/is/image/BLM/10336594 </v>
      </c>
    </row>
    <row r="108" spans="1:13" ht="60" x14ac:dyDescent="0.25">
      <c r="A108" s="7" t="s">
        <v>4842</v>
      </c>
      <c r="B108" s="2" t="s">
        <v>1594</v>
      </c>
      <c r="C108" s="4">
        <v>1</v>
      </c>
      <c r="D108" s="5">
        <v>10.75</v>
      </c>
      <c r="E108" s="5">
        <v>24.99</v>
      </c>
      <c r="F108" s="4" t="s">
        <v>1595</v>
      </c>
      <c r="G108" s="2" t="s">
        <v>28</v>
      </c>
      <c r="H108" s="7" t="s">
        <v>228</v>
      </c>
      <c r="I108" s="2" t="s">
        <v>73</v>
      </c>
      <c r="J108" s="2" t="s">
        <v>223</v>
      </c>
      <c r="K108" s="2" t="s">
        <v>304</v>
      </c>
      <c r="L108" s="2" t="s">
        <v>87</v>
      </c>
      <c r="M108" s="8" t="str">
        <f>HYPERLINK("http://slimages.macys.com/is/image/MCY/14433360 ")</f>
        <v xml:space="preserve">http://slimages.macys.com/is/image/MCY/14433360 </v>
      </c>
    </row>
    <row r="109" spans="1:13" ht="60" x14ac:dyDescent="0.25">
      <c r="A109" s="7" t="s">
        <v>4843</v>
      </c>
      <c r="B109" s="2" t="s">
        <v>4844</v>
      </c>
      <c r="C109" s="4">
        <v>1</v>
      </c>
      <c r="D109" s="5">
        <v>10.45</v>
      </c>
      <c r="E109" s="5">
        <v>25.99</v>
      </c>
      <c r="F109" s="4" t="s">
        <v>4845</v>
      </c>
      <c r="G109" s="2" t="s">
        <v>62</v>
      </c>
      <c r="H109" s="7" t="s">
        <v>1411</v>
      </c>
      <c r="I109" s="2" t="s">
        <v>292</v>
      </c>
      <c r="J109" s="2" t="s">
        <v>293</v>
      </c>
      <c r="K109" s="2" t="s">
        <v>304</v>
      </c>
      <c r="L109" s="2" t="s">
        <v>596</v>
      </c>
      <c r="M109" s="8" t="str">
        <f>HYPERLINK("http://slimages.macys.com/is/image/MCY/15197668 ")</f>
        <v xml:space="preserve">http://slimages.macys.com/is/image/MCY/15197668 </v>
      </c>
    </row>
    <row r="110" spans="1:13" ht="60" x14ac:dyDescent="0.25">
      <c r="A110" s="7" t="s">
        <v>4846</v>
      </c>
      <c r="B110" s="2" t="s">
        <v>4847</v>
      </c>
      <c r="C110" s="4">
        <v>1</v>
      </c>
      <c r="D110" s="5">
        <v>10.09</v>
      </c>
      <c r="E110" s="5">
        <v>24.99</v>
      </c>
      <c r="F110" s="4" t="s">
        <v>4848</v>
      </c>
      <c r="G110" s="2" t="s">
        <v>62</v>
      </c>
      <c r="H110" s="7" t="s">
        <v>228</v>
      </c>
      <c r="I110" s="2" t="s">
        <v>218</v>
      </c>
      <c r="J110" s="2" t="s">
        <v>219</v>
      </c>
      <c r="K110" s="2" t="s">
        <v>304</v>
      </c>
      <c r="L110" s="2" t="s">
        <v>119</v>
      </c>
      <c r="M110" s="8" t="str">
        <f>HYPERLINK("http://slimages.macys.com/is/image/MCY/9275149 ")</f>
        <v xml:space="preserve">http://slimages.macys.com/is/image/MCY/9275149 </v>
      </c>
    </row>
    <row r="111" spans="1:13" ht="60" x14ac:dyDescent="0.25">
      <c r="A111" s="7" t="s">
        <v>4849</v>
      </c>
      <c r="B111" s="2" t="s">
        <v>4850</v>
      </c>
      <c r="C111" s="4">
        <v>1</v>
      </c>
      <c r="D111" s="5">
        <v>10.08</v>
      </c>
      <c r="E111" s="5">
        <v>42</v>
      </c>
      <c r="F111" s="4">
        <v>329384</v>
      </c>
      <c r="G111" s="2" t="s">
        <v>107</v>
      </c>
      <c r="H111" s="7" t="s">
        <v>786</v>
      </c>
      <c r="I111" s="2" t="s">
        <v>50</v>
      </c>
      <c r="J111" s="2" t="s">
        <v>787</v>
      </c>
      <c r="K111" s="2" t="s">
        <v>304</v>
      </c>
      <c r="L111" s="2" t="s">
        <v>328</v>
      </c>
      <c r="M111" s="8" t="str">
        <f>HYPERLINK("http://slimages.macys.com/is/image/MCY/10279729 ")</f>
        <v xml:space="preserve">http://slimages.macys.com/is/image/MCY/10279729 </v>
      </c>
    </row>
    <row r="112" spans="1:13" ht="132" x14ac:dyDescent="0.25">
      <c r="A112" s="7" t="s">
        <v>4851</v>
      </c>
      <c r="B112" s="2" t="s">
        <v>830</v>
      </c>
      <c r="C112" s="4">
        <v>1</v>
      </c>
      <c r="D112" s="5">
        <v>9.9</v>
      </c>
      <c r="E112" s="5">
        <v>22.52</v>
      </c>
      <c r="F112" s="4">
        <v>18505910</v>
      </c>
      <c r="G112" s="2" t="s">
        <v>36</v>
      </c>
      <c r="H112" s="7" t="s">
        <v>42</v>
      </c>
      <c r="I112" s="2" t="s">
        <v>153</v>
      </c>
      <c r="J112" s="2" t="s">
        <v>154</v>
      </c>
      <c r="K112" s="2" t="s">
        <v>304</v>
      </c>
      <c r="L112" s="2" t="s">
        <v>831</v>
      </c>
      <c r="M112" s="8" t="str">
        <f>HYPERLINK("http://slimages.macys.com/is/image/MCY/13382390 ")</f>
        <v xml:space="preserve">http://slimages.macys.com/is/image/MCY/13382390 </v>
      </c>
    </row>
    <row r="113" spans="1:13" ht="60" x14ac:dyDescent="0.25">
      <c r="A113" s="7" t="s">
        <v>4852</v>
      </c>
      <c r="B113" s="2" t="s">
        <v>4853</v>
      </c>
      <c r="C113" s="4">
        <v>2</v>
      </c>
      <c r="D113" s="5">
        <v>9.8000000000000007</v>
      </c>
      <c r="E113" s="5">
        <v>24.5</v>
      </c>
      <c r="F113" s="4" t="s">
        <v>4854</v>
      </c>
      <c r="G113" s="2" t="s">
        <v>86</v>
      </c>
      <c r="H113" s="7"/>
      <c r="I113" s="2" t="s">
        <v>57</v>
      </c>
      <c r="J113" s="2" t="s">
        <v>58</v>
      </c>
      <c r="K113" s="2" t="s">
        <v>304</v>
      </c>
      <c r="L113" s="2" t="s">
        <v>38</v>
      </c>
      <c r="M113" s="8" t="str">
        <f>HYPERLINK("http://slimages.macys.com/is/image/MCY/13049176 ")</f>
        <v xml:space="preserve">http://slimages.macys.com/is/image/MCY/13049176 </v>
      </c>
    </row>
    <row r="114" spans="1:13" ht="60" x14ac:dyDescent="0.25">
      <c r="A114" s="7" t="s">
        <v>4855</v>
      </c>
      <c r="B114" s="2" t="s">
        <v>4853</v>
      </c>
      <c r="C114" s="4">
        <v>1</v>
      </c>
      <c r="D114" s="5">
        <v>9.8000000000000007</v>
      </c>
      <c r="E114" s="5">
        <v>24.5</v>
      </c>
      <c r="F114" s="4" t="s">
        <v>4854</v>
      </c>
      <c r="G114" s="2" t="s">
        <v>86</v>
      </c>
      <c r="H114" s="7"/>
      <c r="I114" s="2" t="s">
        <v>57</v>
      </c>
      <c r="J114" s="2" t="s">
        <v>58</v>
      </c>
      <c r="K114" s="2" t="s">
        <v>304</v>
      </c>
      <c r="L114" s="2" t="s">
        <v>38</v>
      </c>
      <c r="M114" s="8" t="str">
        <f>HYPERLINK("http://slimages.macys.com/is/image/MCY/13049176 ")</f>
        <v xml:space="preserve">http://slimages.macys.com/is/image/MCY/13049176 </v>
      </c>
    </row>
    <row r="115" spans="1:13" ht="60" x14ac:dyDescent="0.25">
      <c r="A115" s="7" t="s">
        <v>4856</v>
      </c>
      <c r="B115" s="2" t="s">
        <v>4857</v>
      </c>
      <c r="C115" s="4">
        <v>1</v>
      </c>
      <c r="D115" s="5">
        <v>9.8000000000000007</v>
      </c>
      <c r="E115" s="5">
        <v>19.989999999999998</v>
      </c>
      <c r="F115" s="4">
        <v>100011189</v>
      </c>
      <c r="G115" s="2" t="s">
        <v>86</v>
      </c>
      <c r="H115" s="7" t="s">
        <v>317</v>
      </c>
      <c r="I115" s="2" t="s">
        <v>483</v>
      </c>
      <c r="J115" s="2" t="s">
        <v>4858</v>
      </c>
      <c r="K115" s="2" t="s">
        <v>304</v>
      </c>
      <c r="L115" s="2" t="s">
        <v>328</v>
      </c>
      <c r="M115" s="8" t="str">
        <f>HYPERLINK("http://slimages.macys.com/is/image/MCY/9158408 ")</f>
        <v xml:space="preserve">http://slimages.macys.com/is/image/MCY/9158408 </v>
      </c>
    </row>
    <row r="116" spans="1:13" ht="60" x14ac:dyDescent="0.25">
      <c r="A116" s="7" t="s">
        <v>4859</v>
      </c>
      <c r="B116" s="2" t="s">
        <v>4860</v>
      </c>
      <c r="C116" s="4">
        <v>1</v>
      </c>
      <c r="D116" s="5">
        <v>9.8000000000000007</v>
      </c>
      <c r="E116" s="5">
        <v>24.5</v>
      </c>
      <c r="F116" s="4" t="s">
        <v>4861</v>
      </c>
      <c r="G116" s="2" t="s">
        <v>62</v>
      </c>
      <c r="H116" s="7"/>
      <c r="I116" s="2" t="s">
        <v>57</v>
      </c>
      <c r="J116" s="2" t="s">
        <v>58</v>
      </c>
      <c r="K116" s="2" t="s">
        <v>304</v>
      </c>
      <c r="L116" s="2" t="s">
        <v>119</v>
      </c>
      <c r="M116" s="8" t="str">
        <f>HYPERLINK("http://slimages.macys.com/is/image/MCY/12899348 ")</f>
        <v xml:space="preserve">http://slimages.macys.com/is/image/MCY/12899348 </v>
      </c>
    </row>
    <row r="117" spans="1:13" ht="60" x14ac:dyDescent="0.25">
      <c r="A117" s="7" t="s">
        <v>4862</v>
      </c>
      <c r="B117" s="2" t="s">
        <v>4863</v>
      </c>
      <c r="C117" s="4">
        <v>1</v>
      </c>
      <c r="D117" s="5">
        <v>9.8000000000000007</v>
      </c>
      <c r="E117" s="5">
        <v>24.5</v>
      </c>
      <c r="F117" s="4" t="s">
        <v>4864</v>
      </c>
      <c r="G117" s="2" t="s">
        <v>698</v>
      </c>
      <c r="H117" s="7"/>
      <c r="I117" s="2" t="s">
        <v>57</v>
      </c>
      <c r="J117" s="2" t="s">
        <v>58</v>
      </c>
      <c r="K117" s="2" t="s">
        <v>304</v>
      </c>
      <c r="L117" s="2" t="s">
        <v>119</v>
      </c>
      <c r="M117" s="8" t="str">
        <f>HYPERLINK("http://slimages.macys.com/is/image/MCY/13815565 ")</f>
        <v xml:space="preserve">http://slimages.macys.com/is/image/MCY/13815565 </v>
      </c>
    </row>
    <row r="118" spans="1:13" ht="60" x14ac:dyDescent="0.25">
      <c r="A118" s="7" t="s">
        <v>4865</v>
      </c>
      <c r="B118" s="2" t="s">
        <v>4866</v>
      </c>
      <c r="C118" s="4">
        <v>1</v>
      </c>
      <c r="D118" s="5">
        <v>9.6</v>
      </c>
      <c r="E118" s="5">
        <v>23.99</v>
      </c>
      <c r="F118" s="4" t="s">
        <v>4867</v>
      </c>
      <c r="G118" s="2" t="s">
        <v>171</v>
      </c>
      <c r="H118" s="7" t="s">
        <v>177</v>
      </c>
      <c r="I118" s="2" t="s">
        <v>173</v>
      </c>
      <c r="J118" s="2" t="s">
        <v>174</v>
      </c>
      <c r="K118" s="2" t="s">
        <v>304</v>
      </c>
      <c r="L118" s="2" t="s">
        <v>75</v>
      </c>
      <c r="M118" s="8" t="str">
        <f>HYPERLINK("http://slimages.macys.com/is/image/MCY/13314630 ")</f>
        <v xml:space="preserve">http://slimages.macys.com/is/image/MCY/13314630 </v>
      </c>
    </row>
    <row r="119" spans="1:13" ht="60" x14ac:dyDescent="0.25">
      <c r="A119" s="7" t="s">
        <v>4868</v>
      </c>
      <c r="B119" s="2" t="s">
        <v>4869</v>
      </c>
      <c r="C119" s="4">
        <v>1</v>
      </c>
      <c r="D119" s="5">
        <v>9.6</v>
      </c>
      <c r="E119" s="5">
        <v>21.99</v>
      </c>
      <c r="F119" s="4" t="s">
        <v>4870</v>
      </c>
      <c r="G119" s="2" t="s">
        <v>62</v>
      </c>
      <c r="H119" s="7" t="s">
        <v>159</v>
      </c>
      <c r="I119" s="2" t="s">
        <v>321</v>
      </c>
      <c r="J119" s="2" t="s">
        <v>4833</v>
      </c>
      <c r="K119" s="2" t="s">
        <v>304</v>
      </c>
      <c r="L119" s="2" t="s">
        <v>125</v>
      </c>
      <c r="M119" s="8" t="str">
        <f>HYPERLINK("http://slimages.macys.com/is/image/MCY/11390888 ")</f>
        <v xml:space="preserve">http://slimages.macys.com/is/image/MCY/11390888 </v>
      </c>
    </row>
    <row r="120" spans="1:13" ht="72" x14ac:dyDescent="0.25">
      <c r="A120" s="7" t="s">
        <v>4871</v>
      </c>
      <c r="B120" s="2" t="s">
        <v>4872</v>
      </c>
      <c r="C120" s="4">
        <v>1</v>
      </c>
      <c r="D120" s="5">
        <v>9.6</v>
      </c>
      <c r="E120" s="5">
        <v>23.99</v>
      </c>
      <c r="F120" s="4" t="s">
        <v>4873</v>
      </c>
      <c r="G120" s="2" t="s">
        <v>86</v>
      </c>
      <c r="H120" s="7" t="s">
        <v>97</v>
      </c>
      <c r="I120" s="2" t="s">
        <v>173</v>
      </c>
      <c r="J120" s="2" t="s">
        <v>174</v>
      </c>
      <c r="K120" s="2" t="s">
        <v>304</v>
      </c>
      <c r="L120" s="2" t="s">
        <v>2540</v>
      </c>
      <c r="M120" s="8" t="str">
        <f>HYPERLINK("http://slimages.macys.com/is/image/MCY/12726105 ")</f>
        <v xml:space="preserve">http://slimages.macys.com/is/image/MCY/12726105 </v>
      </c>
    </row>
    <row r="121" spans="1:13" ht="120" x14ac:dyDescent="0.25">
      <c r="A121" s="7" t="s">
        <v>4874</v>
      </c>
      <c r="B121" s="2" t="s">
        <v>4875</v>
      </c>
      <c r="C121" s="4">
        <v>1</v>
      </c>
      <c r="D121" s="5">
        <v>9.5</v>
      </c>
      <c r="E121" s="5">
        <v>27.99</v>
      </c>
      <c r="F121" s="4" t="s">
        <v>4876</v>
      </c>
      <c r="G121" s="2" t="s">
        <v>793</v>
      </c>
      <c r="H121" s="7" t="s">
        <v>618</v>
      </c>
      <c r="I121" s="2" t="s">
        <v>380</v>
      </c>
      <c r="J121" s="2" t="s">
        <v>381</v>
      </c>
      <c r="K121" s="2" t="s">
        <v>304</v>
      </c>
      <c r="L121" s="2" t="s">
        <v>4877</v>
      </c>
      <c r="M121" s="8" t="str">
        <f>HYPERLINK("http://slimages.macys.com/is/image/MCY/11644380 ")</f>
        <v xml:space="preserve">http://slimages.macys.com/is/image/MCY/11644380 </v>
      </c>
    </row>
    <row r="122" spans="1:13" ht="60" x14ac:dyDescent="0.25">
      <c r="A122" s="7" t="s">
        <v>4878</v>
      </c>
      <c r="B122" s="2" t="s">
        <v>4879</v>
      </c>
      <c r="C122" s="4">
        <v>1</v>
      </c>
      <c r="D122" s="5">
        <v>9.25</v>
      </c>
      <c r="E122" s="5">
        <v>28</v>
      </c>
      <c r="F122" s="4" t="s">
        <v>4880</v>
      </c>
      <c r="G122" s="2" t="s">
        <v>28</v>
      </c>
      <c r="H122" s="7" t="s">
        <v>675</v>
      </c>
      <c r="I122" s="2" t="s">
        <v>676</v>
      </c>
      <c r="J122" s="2" t="s">
        <v>497</v>
      </c>
      <c r="K122" s="2" t="s">
        <v>304</v>
      </c>
      <c r="L122" s="2" t="s">
        <v>38</v>
      </c>
      <c r="M122" s="8" t="str">
        <f>HYPERLINK("http://slimages.macys.com/is/image/MCY/12875183 ")</f>
        <v xml:space="preserve">http://slimages.macys.com/is/image/MCY/12875183 </v>
      </c>
    </row>
    <row r="123" spans="1:13" ht="60" x14ac:dyDescent="0.25">
      <c r="A123" s="7" t="s">
        <v>4881</v>
      </c>
      <c r="B123" s="2" t="s">
        <v>4882</v>
      </c>
      <c r="C123" s="4">
        <v>1</v>
      </c>
      <c r="D123" s="5">
        <v>9.0299999999999994</v>
      </c>
      <c r="E123" s="5">
        <v>22.99</v>
      </c>
      <c r="F123" s="4" t="s">
        <v>4883</v>
      </c>
      <c r="G123" s="2" t="s">
        <v>36</v>
      </c>
      <c r="H123" s="7" t="s">
        <v>63</v>
      </c>
      <c r="I123" s="2" t="s">
        <v>1689</v>
      </c>
      <c r="J123" s="2" t="s">
        <v>354</v>
      </c>
      <c r="K123" s="2" t="s">
        <v>304</v>
      </c>
      <c r="L123" s="2" t="s">
        <v>38</v>
      </c>
      <c r="M123" s="8" t="str">
        <f>HYPERLINK("http://slimages.macys.com/is/image/MCY/12101730 ")</f>
        <v xml:space="preserve">http://slimages.macys.com/is/image/MCY/12101730 </v>
      </c>
    </row>
    <row r="124" spans="1:13" ht="72" x14ac:dyDescent="0.25">
      <c r="A124" s="7" t="s">
        <v>4884</v>
      </c>
      <c r="B124" s="2" t="s">
        <v>4885</v>
      </c>
      <c r="C124" s="4">
        <v>1</v>
      </c>
      <c r="D124" s="5">
        <v>9</v>
      </c>
      <c r="E124" s="5">
        <v>21.99</v>
      </c>
      <c r="F124" s="4" t="s">
        <v>4886</v>
      </c>
      <c r="G124" s="2" t="s">
        <v>310</v>
      </c>
      <c r="H124" s="7" t="s">
        <v>63</v>
      </c>
      <c r="I124" s="2" t="s">
        <v>342</v>
      </c>
      <c r="J124" s="2" t="s">
        <v>1613</v>
      </c>
      <c r="K124" s="2" t="s">
        <v>304</v>
      </c>
      <c r="L124" s="2" t="s">
        <v>1922</v>
      </c>
      <c r="M124" s="8" t="str">
        <f>HYPERLINK("http://slimages.macys.com/is/image/MCY/12237710 ")</f>
        <v xml:space="preserve">http://slimages.macys.com/is/image/MCY/12237710 </v>
      </c>
    </row>
    <row r="125" spans="1:13" ht="60" x14ac:dyDescent="0.25">
      <c r="A125" s="7" t="s">
        <v>866</v>
      </c>
      <c r="B125" s="2" t="s">
        <v>867</v>
      </c>
      <c r="C125" s="4">
        <v>1</v>
      </c>
      <c r="D125" s="5">
        <v>8.75</v>
      </c>
      <c r="E125" s="5">
        <v>19.989999999999998</v>
      </c>
      <c r="F125" s="4" t="s">
        <v>868</v>
      </c>
      <c r="G125" s="2" t="s">
        <v>858</v>
      </c>
      <c r="H125" s="7"/>
      <c r="I125" s="2" t="s">
        <v>815</v>
      </c>
      <c r="J125" s="2" t="s">
        <v>778</v>
      </c>
      <c r="K125" s="2" t="s">
        <v>304</v>
      </c>
      <c r="L125" s="2" t="s">
        <v>125</v>
      </c>
      <c r="M125" s="8" t="str">
        <f>HYPERLINK("http://slimages.macys.com/is/image/MCY/9953202 ")</f>
        <v xml:space="preserve">http://slimages.macys.com/is/image/MCY/9953202 </v>
      </c>
    </row>
    <row r="126" spans="1:13" ht="60" x14ac:dyDescent="0.25">
      <c r="A126" s="7" t="s">
        <v>862</v>
      </c>
      <c r="B126" s="2" t="s">
        <v>863</v>
      </c>
      <c r="C126" s="4">
        <v>2</v>
      </c>
      <c r="D126" s="5">
        <v>8.75</v>
      </c>
      <c r="E126" s="5">
        <v>19.989999999999998</v>
      </c>
      <c r="F126" s="4" t="s">
        <v>864</v>
      </c>
      <c r="G126" s="2" t="s">
        <v>858</v>
      </c>
      <c r="H126" s="7"/>
      <c r="I126" s="2" t="s">
        <v>815</v>
      </c>
      <c r="J126" s="2" t="s">
        <v>778</v>
      </c>
      <c r="K126" s="2" t="s">
        <v>304</v>
      </c>
      <c r="L126" s="2" t="s">
        <v>125</v>
      </c>
      <c r="M126" s="8" t="str">
        <f>HYPERLINK("http://slimages.macys.com/is/image/MCY/11954929 ")</f>
        <v xml:space="preserve">http://slimages.macys.com/is/image/MCY/11954929 </v>
      </c>
    </row>
    <row r="127" spans="1:13" ht="60" x14ac:dyDescent="0.25">
      <c r="A127" s="7" t="s">
        <v>870</v>
      </c>
      <c r="B127" s="2" t="s">
        <v>853</v>
      </c>
      <c r="C127" s="4">
        <v>2</v>
      </c>
      <c r="D127" s="5">
        <v>8.75</v>
      </c>
      <c r="E127" s="5">
        <v>19.989999999999998</v>
      </c>
      <c r="F127" s="4" t="s">
        <v>854</v>
      </c>
      <c r="G127" s="2" t="s">
        <v>858</v>
      </c>
      <c r="H127" s="7"/>
      <c r="I127" s="2" t="s">
        <v>815</v>
      </c>
      <c r="J127" s="2" t="s">
        <v>778</v>
      </c>
      <c r="K127" s="2" t="s">
        <v>304</v>
      </c>
      <c r="L127" s="2" t="s">
        <v>125</v>
      </c>
      <c r="M127" s="8" t="str">
        <f>HYPERLINK("http://slimages.macys.com/is/image/MCY/11724609 ")</f>
        <v xml:space="preserve">http://slimages.macys.com/is/image/MCY/11724609 </v>
      </c>
    </row>
    <row r="128" spans="1:13" ht="60" x14ac:dyDescent="0.25">
      <c r="A128" s="7" t="s">
        <v>869</v>
      </c>
      <c r="B128" s="2" t="s">
        <v>867</v>
      </c>
      <c r="C128" s="4">
        <v>4</v>
      </c>
      <c r="D128" s="5">
        <v>8.75</v>
      </c>
      <c r="E128" s="5">
        <v>19.989999999999998</v>
      </c>
      <c r="F128" s="4" t="s">
        <v>868</v>
      </c>
      <c r="G128" s="2" t="s">
        <v>165</v>
      </c>
      <c r="H128" s="7"/>
      <c r="I128" s="2" t="s">
        <v>815</v>
      </c>
      <c r="J128" s="2" t="s">
        <v>778</v>
      </c>
      <c r="K128" s="2" t="s">
        <v>304</v>
      </c>
      <c r="L128" s="2" t="s">
        <v>125</v>
      </c>
      <c r="M128" s="8" t="str">
        <f>HYPERLINK("http://slimages.macys.com/is/image/MCY/9953202 ")</f>
        <v xml:space="preserve">http://slimages.macys.com/is/image/MCY/9953202 </v>
      </c>
    </row>
    <row r="129" spans="1:13" ht="60" x14ac:dyDescent="0.25">
      <c r="A129" s="7" t="s">
        <v>4887</v>
      </c>
      <c r="B129" s="2" t="s">
        <v>3249</v>
      </c>
      <c r="C129" s="4">
        <v>1</v>
      </c>
      <c r="D129" s="5">
        <v>8.65</v>
      </c>
      <c r="E129" s="5">
        <v>17.3</v>
      </c>
      <c r="F129" s="4">
        <v>27878810</v>
      </c>
      <c r="G129" s="2"/>
      <c r="H129" s="7"/>
      <c r="I129" s="2" t="s">
        <v>487</v>
      </c>
      <c r="J129" s="2" t="s">
        <v>488</v>
      </c>
      <c r="K129" s="2" t="s">
        <v>304</v>
      </c>
      <c r="L129" s="2" t="s">
        <v>38</v>
      </c>
      <c r="M129" s="8" t="str">
        <f>HYPERLINK("http://slimages.macys.com/is/image/MCY/13852827 ")</f>
        <v xml:space="preserve">http://slimages.macys.com/is/image/MCY/13852827 </v>
      </c>
    </row>
    <row r="130" spans="1:13" ht="60" x14ac:dyDescent="0.25">
      <c r="A130" s="7" t="s">
        <v>4888</v>
      </c>
      <c r="B130" s="2" t="s">
        <v>4889</v>
      </c>
      <c r="C130" s="4">
        <v>1</v>
      </c>
      <c r="D130" s="5">
        <v>8.27</v>
      </c>
      <c r="E130" s="5">
        <v>19.989999999999998</v>
      </c>
      <c r="F130" s="4" t="s">
        <v>4890</v>
      </c>
      <c r="G130" s="2" t="s">
        <v>62</v>
      </c>
      <c r="H130" s="7" t="s">
        <v>217</v>
      </c>
      <c r="I130" s="2" t="s">
        <v>292</v>
      </c>
      <c r="J130" s="2" t="s">
        <v>293</v>
      </c>
      <c r="K130" s="2" t="s">
        <v>304</v>
      </c>
      <c r="L130" s="2" t="s">
        <v>119</v>
      </c>
      <c r="M130" s="8" t="str">
        <f>HYPERLINK("http://slimages.macys.com/is/image/MCY/11776344 ")</f>
        <v xml:space="preserve">http://slimages.macys.com/is/image/MCY/11776344 </v>
      </c>
    </row>
    <row r="131" spans="1:13" ht="60" x14ac:dyDescent="0.25">
      <c r="A131" s="7" t="s">
        <v>2563</v>
      </c>
      <c r="B131" s="2" t="s">
        <v>2564</v>
      </c>
      <c r="C131" s="4">
        <v>1</v>
      </c>
      <c r="D131" s="5">
        <v>8.25</v>
      </c>
      <c r="E131" s="5">
        <v>22.99</v>
      </c>
      <c r="F131" s="4" t="s">
        <v>2565</v>
      </c>
      <c r="G131" s="2" t="s">
        <v>62</v>
      </c>
      <c r="H131" s="7" t="s">
        <v>159</v>
      </c>
      <c r="I131" s="2" t="s">
        <v>468</v>
      </c>
      <c r="J131" s="2" t="s">
        <v>544</v>
      </c>
      <c r="K131" s="2" t="s">
        <v>304</v>
      </c>
      <c r="L131" s="2" t="s">
        <v>119</v>
      </c>
      <c r="M131" s="8" t="str">
        <f>HYPERLINK("http://slimages.macys.com/is/image/MCY/15447987 ")</f>
        <v xml:space="preserve">http://slimages.macys.com/is/image/MCY/15447987 </v>
      </c>
    </row>
    <row r="132" spans="1:13" ht="60" x14ac:dyDescent="0.25">
      <c r="A132" s="7" t="s">
        <v>4891</v>
      </c>
      <c r="B132" s="2" t="s">
        <v>4892</v>
      </c>
      <c r="C132" s="4">
        <v>1</v>
      </c>
      <c r="D132" s="5">
        <v>8.01</v>
      </c>
      <c r="E132" s="5">
        <v>17.989999999999998</v>
      </c>
      <c r="F132" s="4" t="s">
        <v>4893</v>
      </c>
      <c r="G132" s="2" t="s">
        <v>41</v>
      </c>
      <c r="H132" s="7" t="s">
        <v>159</v>
      </c>
      <c r="I132" s="2" t="s">
        <v>80</v>
      </c>
      <c r="J132" s="2" t="s">
        <v>160</v>
      </c>
      <c r="K132" s="2" t="s">
        <v>304</v>
      </c>
      <c r="L132" s="2" t="s">
        <v>38</v>
      </c>
      <c r="M132" s="8" t="str">
        <f>HYPERLINK("http://slimages.macys.com/is/image/MCY/12462830 ")</f>
        <v xml:space="preserve">http://slimages.macys.com/is/image/MCY/12462830 </v>
      </c>
    </row>
    <row r="133" spans="1:13" ht="60" x14ac:dyDescent="0.25">
      <c r="A133" s="7" t="s">
        <v>4894</v>
      </c>
      <c r="B133" s="2" t="s">
        <v>4895</v>
      </c>
      <c r="C133" s="4">
        <v>1</v>
      </c>
      <c r="D133" s="5">
        <v>8</v>
      </c>
      <c r="E133" s="5">
        <v>20</v>
      </c>
      <c r="F133" s="4" t="s">
        <v>4896</v>
      </c>
      <c r="G133" s="2" t="s">
        <v>310</v>
      </c>
      <c r="H133" s="7" t="s">
        <v>166</v>
      </c>
      <c r="I133" s="2" t="s">
        <v>380</v>
      </c>
      <c r="J133" s="2" t="s">
        <v>896</v>
      </c>
      <c r="K133" s="2" t="s">
        <v>304</v>
      </c>
      <c r="L133" s="2" t="s">
        <v>4897</v>
      </c>
      <c r="M133" s="8" t="str">
        <f>HYPERLINK("http://slimages.macys.com/is/image/MCY/11860767 ")</f>
        <v xml:space="preserve">http://slimages.macys.com/is/image/MCY/11860767 </v>
      </c>
    </row>
    <row r="134" spans="1:13" ht="60" x14ac:dyDescent="0.25">
      <c r="A134" s="7" t="s">
        <v>4898</v>
      </c>
      <c r="B134" s="2" t="s">
        <v>4899</v>
      </c>
      <c r="C134" s="4">
        <v>1</v>
      </c>
      <c r="D134" s="5">
        <v>8</v>
      </c>
      <c r="E134" s="5">
        <v>20</v>
      </c>
      <c r="F134" s="4">
        <v>1331677</v>
      </c>
      <c r="G134" s="2"/>
      <c r="H134" s="7" t="s">
        <v>159</v>
      </c>
      <c r="I134" s="2" t="s">
        <v>73</v>
      </c>
      <c r="J134" s="2" t="s">
        <v>280</v>
      </c>
      <c r="K134" s="2" t="s">
        <v>304</v>
      </c>
      <c r="L134" s="2" t="s">
        <v>125</v>
      </c>
      <c r="M134" s="8" t="str">
        <f>HYPERLINK("http://slimages.macys.com/is/image/MCY/10126834 ")</f>
        <v xml:space="preserve">http://slimages.macys.com/is/image/MCY/10126834 </v>
      </c>
    </row>
    <row r="135" spans="1:13" ht="60" x14ac:dyDescent="0.25">
      <c r="A135" s="7" t="s">
        <v>4900</v>
      </c>
      <c r="B135" s="2" t="s">
        <v>4901</v>
      </c>
      <c r="C135" s="4">
        <v>1</v>
      </c>
      <c r="D135" s="5">
        <v>7.8</v>
      </c>
      <c r="E135" s="5">
        <v>19.5</v>
      </c>
      <c r="F135" s="4" t="s">
        <v>4902</v>
      </c>
      <c r="G135" s="2" t="s">
        <v>36</v>
      </c>
      <c r="H135" s="7"/>
      <c r="I135" s="2" t="s">
        <v>98</v>
      </c>
      <c r="J135" s="2" t="s">
        <v>99</v>
      </c>
      <c r="K135" s="2" t="s">
        <v>304</v>
      </c>
      <c r="L135" s="2" t="s">
        <v>119</v>
      </c>
      <c r="M135" s="8" t="str">
        <f>HYPERLINK("http://slimages.macys.com/is/image/MCY/11502894 ")</f>
        <v xml:space="preserve">http://slimages.macys.com/is/image/MCY/11502894 </v>
      </c>
    </row>
    <row r="136" spans="1:13" ht="60" x14ac:dyDescent="0.25">
      <c r="A136" s="7" t="s">
        <v>4903</v>
      </c>
      <c r="B136" s="2" t="s">
        <v>4904</v>
      </c>
      <c r="C136" s="4">
        <v>1</v>
      </c>
      <c r="D136" s="5">
        <v>7.8</v>
      </c>
      <c r="E136" s="5">
        <v>19.5</v>
      </c>
      <c r="F136" s="4" t="s">
        <v>4905</v>
      </c>
      <c r="G136" s="2" t="s">
        <v>41</v>
      </c>
      <c r="H136" s="7"/>
      <c r="I136" s="2" t="s">
        <v>57</v>
      </c>
      <c r="J136" s="2" t="s">
        <v>58</v>
      </c>
      <c r="K136" s="2" t="s">
        <v>304</v>
      </c>
      <c r="L136" s="2" t="s">
        <v>38</v>
      </c>
      <c r="M136" s="8" t="str">
        <f>HYPERLINK("http://slimages.macys.com/is/image/MCY/12899346 ")</f>
        <v xml:space="preserve">http://slimages.macys.com/is/image/MCY/12899346 </v>
      </c>
    </row>
    <row r="137" spans="1:13" ht="60" x14ac:dyDescent="0.25">
      <c r="A137" s="7" t="s">
        <v>4906</v>
      </c>
      <c r="B137" s="2" t="s">
        <v>4012</v>
      </c>
      <c r="C137" s="4">
        <v>1</v>
      </c>
      <c r="D137" s="5">
        <v>7.8</v>
      </c>
      <c r="E137" s="5">
        <v>19.5</v>
      </c>
      <c r="F137" s="4" t="s">
        <v>4907</v>
      </c>
      <c r="G137" s="2"/>
      <c r="H137" s="7"/>
      <c r="I137" s="2" t="s">
        <v>57</v>
      </c>
      <c r="J137" s="2" t="s">
        <v>58</v>
      </c>
      <c r="K137" s="2" t="s">
        <v>304</v>
      </c>
      <c r="L137" s="2" t="s">
        <v>119</v>
      </c>
      <c r="M137" s="8" t="str">
        <f>HYPERLINK("http://slimages.macys.com/is/image/MCY/13049158 ")</f>
        <v xml:space="preserve">http://slimages.macys.com/is/image/MCY/13049158 </v>
      </c>
    </row>
    <row r="138" spans="1:13" ht="60" x14ac:dyDescent="0.25">
      <c r="A138" s="7" t="s">
        <v>4908</v>
      </c>
      <c r="B138" s="2" t="s">
        <v>4909</v>
      </c>
      <c r="C138" s="4">
        <v>1</v>
      </c>
      <c r="D138" s="5">
        <v>7.8</v>
      </c>
      <c r="E138" s="5">
        <v>26</v>
      </c>
      <c r="F138" s="4" t="s">
        <v>4910</v>
      </c>
      <c r="G138" s="2" t="s">
        <v>1360</v>
      </c>
      <c r="H138" s="7" t="s">
        <v>68</v>
      </c>
      <c r="I138" s="2" t="s">
        <v>173</v>
      </c>
      <c r="J138" s="2" t="s">
        <v>4911</v>
      </c>
      <c r="K138" s="2" t="s">
        <v>2811</v>
      </c>
      <c r="L138" s="2" t="s">
        <v>4912</v>
      </c>
      <c r="M138" s="8" t="str">
        <f>HYPERLINK("http://images.bloomingdales.com/is/image/BLM/10348108 ")</f>
        <v xml:space="preserve">http://images.bloomingdales.com/is/image/BLM/10348108 </v>
      </c>
    </row>
    <row r="139" spans="1:13" ht="72" x14ac:dyDescent="0.25">
      <c r="A139" s="7" t="s">
        <v>4913</v>
      </c>
      <c r="B139" s="2" t="s">
        <v>4914</v>
      </c>
      <c r="C139" s="4">
        <v>1</v>
      </c>
      <c r="D139" s="5">
        <v>7.77</v>
      </c>
      <c r="E139" s="5">
        <v>19.989999999999998</v>
      </c>
      <c r="F139" s="4" t="s">
        <v>4915</v>
      </c>
      <c r="G139" s="2" t="s">
        <v>86</v>
      </c>
      <c r="H139" s="7" t="s">
        <v>179</v>
      </c>
      <c r="I139" s="2" t="s">
        <v>389</v>
      </c>
      <c r="J139" s="2" t="s">
        <v>354</v>
      </c>
      <c r="K139" s="2" t="s">
        <v>304</v>
      </c>
      <c r="L139" s="2" t="s">
        <v>3142</v>
      </c>
      <c r="M139" s="8" t="str">
        <f>HYPERLINK("http://slimages.macys.com/is/image/MCY/12650595 ")</f>
        <v xml:space="preserve">http://slimages.macys.com/is/image/MCY/12650595 </v>
      </c>
    </row>
    <row r="140" spans="1:13" ht="60" x14ac:dyDescent="0.25">
      <c r="A140" s="7" t="s">
        <v>4916</v>
      </c>
      <c r="B140" s="2" t="s">
        <v>3986</v>
      </c>
      <c r="C140" s="4">
        <v>1</v>
      </c>
      <c r="D140" s="5">
        <v>7.6</v>
      </c>
      <c r="E140" s="5">
        <v>17.28</v>
      </c>
      <c r="F140" s="4">
        <v>18389710</v>
      </c>
      <c r="G140" s="2" t="s">
        <v>48</v>
      </c>
      <c r="H140" s="7" t="s">
        <v>442</v>
      </c>
      <c r="I140" s="2" t="s">
        <v>153</v>
      </c>
      <c r="J140" s="2" t="s">
        <v>154</v>
      </c>
      <c r="K140" s="2" t="s">
        <v>304</v>
      </c>
      <c r="L140" s="2" t="s">
        <v>38</v>
      </c>
      <c r="M140" s="8" t="str">
        <f>HYPERLINK("http://slimages.macys.com/is/image/MCY/14608342 ")</f>
        <v xml:space="preserve">http://slimages.macys.com/is/image/MCY/14608342 </v>
      </c>
    </row>
    <row r="141" spans="1:13" ht="72" x14ac:dyDescent="0.25">
      <c r="A141" s="7" t="s">
        <v>4016</v>
      </c>
      <c r="B141" s="2" t="s">
        <v>4017</v>
      </c>
      <c r="C141" s="4">
        <v>5</v>
      </c>
      <c r="D141" s="5">
        <v>7.29</v>
      </c>
      <c r="E141" s="5">
        <v>18</v>
      </c>
      <c r="F141" s="4" t="s">
        <v>4018</v>
      </c>
      <c r="G141" s="2" t="s">
        <v>4019</v>
      </c>
      <c r="H141" s="7" t="s">
        <v>789</v>
      </c>
      <c r="I141" s="2" t="s">
        <v>523</v>
      </c>
      <c r="J141" s="2" t="s">
        <v>1042</v>
      </c>
      <c r="K141" s="2" t="s">
        <v>304</v>
      </c>
      <c r="L141" s="2" t="s">
        <v>4020</v>
      </c>
      <c r="M141" s="8" t="str">
        <f>HYPERLINK("http://slimages.macys.com/is/image/MCY/10428877 ")</f>
        <v xml:space="preserve">http://slimages.macys.com/is/image/MCY/10428877 </v>
      </c>
    </row>
    <row r="142" spans="1:13" ht="60" x14ac:dyDescent="0.25">
      <c r="A142" s="7" t="s">
        <v>4917</v>
      </c>
      <c r="B142" s="2" t="s">
        <v>4918</v>
      </c>
      <c r="C142" s="4">
        <v>1</v>
      </c>
      <c r="D142" s="5">
        <v>7.2</v>
      </c>
      <c r="E142" s="5">
        <v>13.99</v>
      </c>
      <c r="F142" s="4" t="s">
        <v>4919</v>
      </c>
      <c r="G142" s="2" t="s">
        <v>582</v>
      </c>
      <c r="H142" s="7" t="s">
        <v>196</v>
      </c>
      <c r="I142" s="2" t="s">
        <v>523</v>
      </c>
      <c r="J142" s="2" t="s">
        <v>969</v>
      </c>
      <c r="K142" s="2" t="s">
        <v>304</v>
      </c>
      <c r="L142" s="2" t="s">
        <v>970</v>
      </c>
      <c r="M142" s="8" t="str">
        <f>HYPERLINK("http://slimages.macys.com/is/image/MCY/11646790 ")</f>
        <v xml:space="preserve">http://slimages.macys.com/is/image/MCY/11646790 </v>
      </c>
    </row>
    <row r="143" spans="1:13" ht="60" x14ac:dyDescent="0.25">
      <c r="A143" s="7" t="s">
        <v>4920</v>
      </c>
      <c r="B143" s="2" t="s">
        <v>4921</v>
      </c>
      <c r="C143" s="4">
        <v>1</v>
      </c>
      <c r="D143" s="5">
        <v>7.2</v>
      </c>
      <c r="E143" s="5">
        <v>16</v>
      </c>
      <c r="F143" s="4" t="s">
        <v>4922</v>
      </c>
      <c r="G143" s="2" t="s">
        <v>41</v>
      </c>
      <c r="H143" s="7" t="s">
        <v>217</v>
      </c>
      <c r="I143" s="2" t="s">
        <v>468</v>
      </c>
      <c r="J143" s="2" t="s">
        <v>2468</v>
      </c>
      <c r="K143" s="2" t="s">
        <v>304</v>
      </c>
      <c r="L143" s="2" t="s">
        <v>206</v>
      </c>
      <c r="M143" s="8" t="str">
        <f>HYPERLINK("http://slimages.macys.com/is/image/MCY/12672417 ")</f>
        <v xml:space="preserve">http://slimages.macys.com/is/image/MCY/12672417 </v>
      </c>
    </row>
    <row r="144" spans="1:13" ht="60" x14ac:dyDescent="0.25">
      <c r="A144" s="7" t="s">
        <v>2580</v>
      </c>
      <c r="B144" s="2" t="s">
        <v>2571</v>
      </c>
      <c r="C144" s="4">
        <v>1</v>
      </c>
      <c r="D144" s="5">
        <v>7.05</v>
      </c>
      <c r="E144" s="5">
        <v>16.04</v>
      </c>
      <c r="F144" s="4">
        <v>17879610</v>
      </c>
      <c r="G144" s="2"/>
      <c r="H144" s="7" t="s">
        <v>675</v>
      </c>
      <c r="I144" s="2" t="s">
        <v>153</v>
      </c>
      <c r="J144" s="2" t="s">
        <v>154</v>
      </c>
      <c r="K144" s="2" t="s">
        <v>304</v>
      </c>
      <c r="L144" s="2" t="s">
        <v>38</v>
      </c>
      <c r="M144" s="8" t="str">
        <f>HYPERLINK("http://slimages.macys.com/is/image/MCY/13853132 ")</f>
        <v xml:space="preserve">http://slimages.macys.com/is/image/MCY/13853132 </v>
      </c>
    </row>
    <row r="145" spans="1:13" ht="60" x14ac:dyDescent="0.25">
      <c r="A145" s="7" t="s">
        <v>4923</v>
      </c>
      <c r="B145" s="2" t="s">
        <v>4924</v>
      </c>
      <c r="C145" s="4">
        <v>1</v>
      </c>
      <c r="D145" s="5">
        <v>7.01</v>
      </c>
      <c r="E145" s="5">
        <v>17.989999999999998</v>
      </c>
      <c r="F145" s="4" t="s">
        <v>4925</v>
      </c>
      <c r="G145" s="2" t="s">
        <v>171</v>
      </c>
      <c r="H145" s="7" t="s">
        <v>149</v>
      </c>
      <c r="I145" s="2" t="s">
        <v>483</v>
      </c>
      <c r="J145" s="2" t="s">
        <v>536</v>
      </c>
      <c r="K145" s="2" t="s">
        <v>304</v>
      </c>
      <c r="L145" s="2" t="s">
        <v>596</v>
      </c>
      <c r="M145" s="8" t="str">
        <f>HYPERLINK("http://slimages.macys.com/is/image/MCY/12641388 ")</f>
        <v xml:space="preserve">http://slimages.macys.com/is/image/MCY/12641388 </v>
      </c>
    </row>
    <row r="146" spans="1:13" ht="60" x14ac:dyDescent="0.25">
      <c r="A146" s="7" t="s">
        <v>967</v>
      </c>
      <c r="B146" s="2" t="s">
        <v>968</v>
      </c>
      <c r="C146" s="4">
        <v>2</v>
      </c>
      <c r="D146" s="5">
        <v>7</v>
      </c>
      <c r="E146" s="5">
        <v>14.99</v>
      </c>
      <c r="F146" s="4">
        <v>7135</v>
      </c>
      <c r="G146" s="2" t="s">
        <v>657</v>
      </c>
      <c r="H146" s="7" t="s">
        <v>159</v>
      </c>
      <c r="I146" s="2" t="s">
        <v>523</v>
      </c>
      <c r="J146" s="2" t="s">
        <v>969</v>
      </c>
      <c r="K146" s="2" t="s">
        <v>304</v>
      </c>
      <c r="L146" s="2" t="s">
        <v>970</v>
      </c>
      <c r="M146" s="8" t="str">
        <f>HYPERLINK("http://slimages.macys.com/is/image/MCY/13040252 ")</f>
        <v xml:space="preserve">http://slimages.macys.com/is/image/MCY/13040252 </v>
      </c>
    </row>
    <row r="147" spans="1:13" ht="60" x14ac:dyDescent="0.25">
      <c r="A147" s="7" t="s">
        <v>4926</v>
      </c>
      <c r="B147" s="2" t="s">
        <v>973</v>
      </c>
      <c r="C147" s="4">
        <v>1</v>
      </c>
      <c r="D147" s="5">
        <v>7</v>
      </c>
      <c r="E147" s="5">
        <v>14.99</v>
      </c>
      <c r="F147" s="4">
        <v>6137</v>
      </c>
      <c r="G147" s="2" t="s">
        <v>657</v>
      </c>
      <c r="H147" s="7" t="s">
        <v>196</v>
      </c>
      <c r="I147" s="2" t="s">
        <v>523</v>
      </c>
      <c r="J147" s="2" t="s">
        <v>969</v>
      </c>
      <c r="K147" s="2" t="s">
        <v>304</v>
      </c>
      <c r="L147" s="2" t="s">
        <v>100</v>
      </c>
      <c r="M147" s="8" t="str">
        <f>HYPERLINK("http://slimages.macys.com/is/image/MCY/13040214 ")</f>
        <v xml:space="preserve">http://slimages.macys.com/is/image/MCY/13040214 </v>
      </c>
    </row>
    <row r="148" spans="1:13" ht="60" x14ac:dyDescent="0.25">
      <c r="A148" s="7" t="s">
        <v>4927</v>
      </c>
      <c r="B148" s="2" t="s">
        <v>968</v>
      </c>
      <c r="C148" s="4">
        <v>1</v>
      </c>
      <c r="D148" s="5">
        <v>7</v>
      </c>
      <c r="E148" s="5">
        <v>14.99</v>
      </c>
      <c r="F148" s="4">
        <v>7135</v>
      </c>
      <c r="G148" s="2" t="s">
        <v>657</v>
      </c>
      <c r="H148" s="7" t="s">
        <v>228</v>
      </c>
      <c r="I148" s="2" t="s">
        <v>523</v>
      </c>
      <c r="J148" s="2" t="s">
        <v>969</v>
      </c>
      <c r="K148" s="2" t="s">
        <v>304</v>
      </c>
      <c r="L148" s="2" t="s">
        <v>970</v>
      </c>
      <c r="M148" s="8" t="str">
        <f>HYPERLINK("http://slimages.macys.com/is/image/MCY/13040252 ")</f>
        <v xml:space="preserve">http://slimages.macys.com/is/image/MCY/13040252 </v>
      </c>
    </row>
    <row r="149" spans="1:13" ht="60" x14ac:dyDescent="0.25">
      <c r="A149" s="7" t="s">
        <v>971</v>
      </c>
      <c r="B149" s="2" t="s">
        <v>968</v>
      </c>
      <c r="C149" s="4">
        <v>2</v>
      </c>
      <c r="D149" s="5">
        <v>7</v>
      </c>
      <c r="E149" s="5">
        <v>14.99</v>
      </c>
      <c r="F149" s="4">
        <v>7135</v>
      </c>
      <c r="G149" s="2" t="s">
        <v>657</v>
      </c>
      <c r="H149" s="7" t="s">
        <v>284</v>
      </c>
      <c r="I149" s="2" t="s">
        <v>523</v>
      </c>
      <c r="J149" s="2" t="s">
        <v>969</v>
      </c>
      <c r="K149" s="2" t="s">
        <v>304</v>
      </c>
      <c r="L149" s="2" t="s">
        <v>970</v>
      </c>
      <c r="M149" s="8" t="str">
        <f>HYPERLINK("http://slimages.macys.com/is/image/MCY/13040252 ")</f>
        <v xml:space="preserve">http://slimages.macys.com/is/image/MCY/13040252 </v>
      </c>
    </row>
    <row r="150" spans="1:13" ht="96" x14ac:dyDescent="0.25">
      <c r="A150" s="7" t="s">
        <v>974</v>
      </c>
      <c r="B150" s="2" t="s">
        <v>975</v>
      </c>
      <c r="C150" s="4">
        <v>1</v>
      </c>
      <c r="D150" s="5">
        <v>7</v>
      </c>
      <c r="E150" s="5">
        <v>15.99</v>
      </c>
      <c r="F150" s="4" t="s">
        <v>976</v>
      </c>
      <c r="G150" s="2" t="s">
        <v>62</v>
      </c>
      <c r="H150" s="7"/>
      <c r="I150" s="2" t="s">
        <v>815</v>
      </c>
      <c r="J150" s="2" t="s">
        <v>778</v>
      </c>
      <c r="K150" s="2" t="s">
        <v>304</v>
      </c>
      <c r="L150" s="2" t="s">
        <v>816</v>
      </c>
      <c r="M150" s="8" t="str">
        <f>HYPERLINK("http://slimages.macys.com/is/image/MCY/11234292 ")</f>
        <v xml:space="preserve">http://slimages.macys.com/is/image/MCY/11234292 </v>
      </c>
    </row>
    <row r="151" spans="1:13" ht="96" x14ac:dyDescent="0.25">
      <c r="A151" s="7" t="s">
        <v>977</v>
      </c>
      <c r="B151" s="2" t="s">
        <v>975</v>
      </c>
      <c r="C151" s="4">
        <v>2</v>
      </c>
      <c r="D151" s="5">
        <v>7</v>
      </c>
      <c r="E151" s="5">
        <v>15.99</v>
      </c>
      <c r="F151" s="4" t="s">
        <v>976</v>
      </c>
      <c r="G151" s="2" t="s">
        <v>62</v>
      </c>
      <c r="H151" s="7"/>
      <c r="I151" s="2" t="s">
        <v>815</v>
      </c>
      <c r="J151" s="2" t="s">
        <v>778</v>
      </c>
      <c r="K151" s="2" t="s">
        <v>304</v>
      </c>
      <c r="L151" s="2" t="s">
        <v>816</v>
      </c>
      <c r="M151" s="8" t="str">
        <f>HYPERLINK("http://slimages.macys.com/is/image/MCY/11234292 ")</f>
        <v xml:space="preserve">http://slimages.macys.com/is/image/MCY/11234292 </v>
      </c>
    </row>
    <row r="152" spans="1:13" ht="60" x14ac:dyDescent="0.25">
      <c r="A152" s="7" t="s">
        <v>4928</v>
      </c>
      <c r="B152" s="2" t="s">
        <v>968</v>
      </c>
      <c r="C152" s="4">
        <v>1</v>
      </c>
      <c r="D152" s="5">
        <v>7</v>
      </c>
      <c r="E152" s="5">
        <v>14.99</v>
      </c>
      <c r="F152" s="4">
        <v>7135</v>
      </c>
      <c r="G152" s="2" t="s">
        <v>36</v>
      </c>
      <c r="H152" s="7" t="s">
        <v>159</v>
      </c>
      <c r="I152" s="2" t="s">
        <v>523</v>
      </c>
      <c r="J152" s="2" t="s">
        <v>969</v>
      </c>
      <c r="K152" s="2" t="s">
        <v>304</v>
      </c>
      <c r="L152" s="2" t="s">
        <v>970</v>
      </c>
      <c r="M152" s="8" t="str">
        <f>HYPERLINK("http://slimages.macys.com/is/image/MCY/13040275 ")</f>
        <v xml:space="preserve">http://slimages.macys.com/is/image/MCY/13040275 </v>
      </c>
    </row>
    <row r="153" spans="1:13" ht="60" x14ac:dyDescent="0.25">
      <c r="A153" s="7" t="s">
        <v>978</v>
      </c>
      <c r="B153" s="2" t="s">
        <v>968</v>
      </c>
      <c r="C153" s="4">
        <v>3</v>
      </c>
      <c r="D153" s="5">
        <v>7</v>
      </c>
      <c r="E153" s="5">
        <v>14.99</v>
      </c>
      <c r="F153" s="4">
        <v>7135</v>
      </c>
      <c r="G153" s="2" t="s">
        <v>36</v>
      </c>
      <c r="H153" s="7" t="s">
        <v>228</v>
      </c>
      <c r="I153" s="2" t="s">
        <v>523</v>
      </c>
      <c r="J153" s="2" t="s">
        <v>969</v>
      </c>
      <c r="K153" s="2" t="s">
        <v>304</v>
      </c>
      <c r="L153" s="2" t="s">
        <v>970</v>
      </c>
      <c r="M153" s="8" t="str">
        <f>HYPERLINK("http://slimages.macys.com/is/image/MCY/13040275 ")</f>
        <v xml:space="preserve">http://slimages.macys.com/is/image/MCY/13040275 </v>
      </c>
    </row>
    <row r="154" spans="1:13" ht="60" x14ac:dyDescent="0.25">
      <c r="A154" s="7" t="s">
        <v>4929</v>
      </c>
      <c r="B154" s="2" t="s">
        <v>4930</v>
      </c>
      <c r="C154" s="4">
        <v>2</v>
      </c>
      <c r="D154" s="5">
        <v>7</v>
      </c>
      <c r="E154" s="5">
        <v>14.99</v>
      </c>
      <c r="F154" s="4" t="s">
        <v>4931</v>
      </c>
      <c r="G154" s="2" t="s">
        <v>297</v>
      </c>
      <c r="H154" s="7" t="s">
        <v>311</v>
      </c>
      <c r="I154" s="2" t="s">
        <v>73</v>
      </c>
      <c r="J154" s="2" t="s">
        <v>1963</v>
      </c>
      <c r="K154" s="2" t="s">
        <v>304</v>
      </c>
      <c r="L154" s="2" t="s">
        <v>125</v>
      </c>
      <c r="M154" s="8" t="str">
        <f>HYPERLINK("http://slimages.macys.com/is/image/MCY/9935987 ")</f>
        <v xml:space="preserve">http://slimages.macys.com/is/image/MCY/9935987 </v>
      </c>
    </row>
    <row r="155" spans="1:13" ht="60" x14ac:dyDescent="0.25">
      <c r="A155" s="7" t="s">
        <v>3320</v>
      </c>
      <c r="B155" s="2" t="s">
        <v>968</v>
      </c>
      <c r="C155" s="4">
        <v>1</v>
      </c>
      <c r="D155" s="5">
        <v>7</v>
      </c>
      <c r="E155" s="5">
        <v>14.99</v>
      </c>
      <c r="F155" s="4">
        <v>7135</v>
      </c>
      <c r="G155" s="2" t="s">
        <v>36</v>
      </c>
      <c r="H155" s="7" t="s">
        <v>196</v>
      </c>
      <c r="I155" s="2" t="s">
        <v>523</v>
      </c>
      <c r="J155" s="2" t="s">
        <v>969</v>
      </c>
      <c r="K155" s="2" t="s">
        <v>304</v>
      </c>
      <c r="L155" s="2" t="s">
        <v>970</v>
      </c>
      <c r="M155" s="8" t="str">
        <f>HYPERLINK("http://slimages.macys.com/is/image/MCY/13040275 ")</f>
        <v xml:space="preserve">http://slimages.macys.com/is/image/MCY/13040275 </v>
      </c>
    </row>
    <row r="156" spans="1:13" ht="60" x14ac:dyDescent="0.25">
      <c r="A156" s="7" t="s">
        <v>983</v>
      </c>
      <c r="B156" s="2" t="s">
        <v>984</v>
      </c>
      <c r="C156" s="4">
        <v>2</v>
      </c>
      <c r="D156" s="5">
        <v>6.9</v>
      </c>
      <c r="E156" s="5">
        <v>14.99</v>
      </c>
      <c r="F156" s="4" t="s">
        <v>985</v>
      </c>
      <c r="G156" s="2" t="s">
        <v>28</v>
      </c>
      <c r="H156" s="7" t="s">
        <v>196</v>
      </c>
      <c r="I156" s="2" t="s">
        <v>523</v>
      </c>
      <c r="J156" s="2" t="s">
        <v>921</v>
      </c>
      <c r="K156" s="2" t="s">
        <v>304</v>
      </c>
      <c r="L156" s="2" t="s">
        <v>323</v>
      </c>
      <c r="M156" s="8" t="str">
        <f>HYPERLINK("http://slimages.macys.com/is/image/MCY/11247936 ")</f>
        <v xml:space="preserve">http://slimages.macys.com/is/image/MCY/11247936 </v>
      </c>
    </row>
    <row r="157" spans="1:13" ht="60" x14ac:dyDescent="0.25">
      <c r="A157" s="7" t="s">
        <v>4932</v>
      </c>
      <c r="B157" s="2" t="s">
        <v>4933</v>
      </c>
      <c r="C157" s="4">
        <v>1</v>
      </c>
      <c r="D157" s="5">
        <v>6.9</v>
      </c>
      <c r="E157" s="5">
        <v>16.989999999999998</v>
      </c>
      <c r="F157" s="4" t="s">
        <v>4934</v>
      </c>
      <c r="G157" s="2" t="s">
        <v>103</v>
      </c>
      <c r="H157" s="7" t="s">
        <v>514</v>
      </c>
      <c r="I157" s="2" t="s">
        <v>1689</v>
      </c>
      <c r="J157" s="2" t="s">
        <v>354</v>
      </c>
      <c r="K157" s="2" t="s">
        <v>304</v>
      </c>
      <c r="L157" s="2" t="s">
        <v>390</v>
      </c>
      <c r="M157" s="8" t="str">
        <f>HYPERLINK("http://slimages.macys.com/is/image/MCY/12495539 ")</f>
        <v xml:space="preserve">http://slimages.macys.com/is/image/MCY/12495539 </v>
      </c>
    </row>
    <row r="158" spans="1:13" ht="60" x14ac:dyDescent="0.25">
      <c r="A158" s="7" t="s">
        <v>4935</v>
      </c>
      <c r="B158" s="2" t="s">
        <v>987</v>
      </c>
      <c r="C158" s="4">
        <v>1</v>
      </c>
      <c r="D158" s="5">
        <v>6.85</v>
      </c>
      <c r="E158" s="5">
        <v>13.99</v>
      </c>
      <c r="F158" s="4" t="s">
        <v>988</v>
      </c>
      <c r="G158" s="2" t="s">
        <v>303</v>
      </c>
      <c r="H158" s="7" t="s">
        <v>284</v>
      </c>
      <c r="I158" s="2" t="s">
        <v>523</v>
      </c>
      <c r="J158" s="2" t="s">
        <v>969</v>
      </c>
      <c r="K158" s="2" t="s">
        <v>304</v>
      </c>
      <c r="L158" s="2" t="s">
        <v>970</v>
      </c>
      <c r="M158" s="8" t="str">
        <f>HYPERLINK("http://slimages.macys.com/is/image/MCY/11646814 ")</f>
        <v xml:space="preserve">http://slimages.macys.com/is/image/MCY/11646814 </v>
      </c>
    </row>
    <row r="159" spans="1:13" ht="60" x14ac:dyDescent="0.25">
      <c r="A159" s="7" t="s">
        <v>1764</v>
      </c>
      <c r="B159" s="2" t="s">
        <v>1765</v>
      </c>
      <c r="C159" s="4">
        <v>1</v>
      </c>
      <c r="D159" s="5">
        <v>6.85</v>
      </c>
      <c r="E159" s="5">
        <v>18</v>
      </c>
      <c r="F159" s="4" t="s">
        <v>1766</v>
      </c>
      <c r="G159" s="2" t="s">
        <v>62</v>
      </c>
      <c r="H159" s="7" t="s">
        <v>284</v>
      </c>
      <c r="I159" s="2" t="s">
        <v>468</v>
      </c>
      <c r="J159" s="2" t="s">
        <v>469</v>
      </c>
      <c r="K159" s="2" t="s">
        <v>304</v>
      </c>
      <c r="L159" s="2" t="s">
        <v>119</v>
      </c>
      <c r="M159" s="8" t="str">
        <f>HYPERLINK("http://slimages.macys.com/is/image/MCY/11958538 ")</f>
        <v xml:space="preserve">http://slimages.macys.com/is/image/MCY/11958538 </v>
      </c>
    </row>
    <row r="160" spans="1:13" ht="60" x14ac:dyDescent="0.25">
      <c r="A160" s="7" t="s">
        <v>4936</v>
      </c>
      <c r="B160" s="2" t="s">
        <v>1025</v>
      </c>
      <c r="C160" s="4">
        <v>1</v>
      </c>
      <c r="D160" s="5">
        <v>6.67</v>
      </c>
      <c r="E160" s="5">
        <v>16.989999999999998</v>
      </c>
      <c r="F160" s="4" t="s">
        <v>1804</v>
      </c>
      <c r="G160" s="2" t="s">
        <v>62</v>
      </c>
      <c r="H160" s="7" t="s">
        <v>159</v>
      </c>
      <c r="I160" s="2" t="s">
        <v>515</v>
      </c>
      <c r="J160" s="2" t="s">
        <v>827</v>
      </c>
      <c r="K160" s="2" t="s">
        <v>304</v>
      </c>
      <c r="L160" s="2" t="s">
        <v>358</v>
      </c>
      <c r="M160" s="8" t="str">
        <f>HYPERLINK("http://slimages.macys.com/is/image/MCY/12687279 ")</f>
        <v xml:space="preserve">http://slimages.macys.com/is/image/MCY/12687279 </v>
      </c>
    </row>
    <row r="161" spans="1:13" ht="60" x14ac:dyDescent="0.25">
      <c r="A161" s="7" t="s">
        <v>4937</v>
      </c>
      <c r="B161" s="2" t="s">
        <v>4938</v>
      </c>
      <c r="C161" s="4">
        <v>1</v>
      </c>
      <c r="D161" s="5">
        <v>6.65</v>
      </c>
      <c r="E161" s="5">
        <v>13.3</v>
      </c>
      <c r="F161" s="4" t="s">
        <v>4939</v>
      </c>
      <c r="G161" s="2" t="s">
        <v>79</v>
      </c>
      <c r="H161" s="7"/>
      <c r="I161" s="2" t="s">
        <v>487</v>
      </c>
      <c r="J161" s="2" t="s">
        <v>488</v>
      </c>
      <c r="K161" s="2" t="s">
        <v>304</v>
      </c>
      <c r="L161" s="2" t="s">
        <v>38</v>
      </c>
      <c r="M161" s="8" t="str">
        <f>HYPERLINK("http://slimages.macys.com/is/image/MCY/11867536 ")</f>
        <v xml:space="preserve">http://slimages.macys.com/is/image/MCY/11867536 </v>
      </c>
    </row>
    <row r="162" spans="1:13" ht="60" x14ac:dyDescent="0.25">
      <c r="A162" s="7" t="s">
        <v>4940</v>
      </c>
      <c r="B162" s="2" t="s">
        <v>4109</v>
      </c>
      <c r="C162" s="4">
        <v>1</v>
      </c>
      <c r="D162" s="5">
        <v>6.5</v>
      </c>
      <c r="E162" s="5">
        <v>15.99</v>
      </c>
      <c r="F162" s="4" t="s">
        <v>4110</v>
      </c>
      <c r="G162" s="2" t="s">
        <v>28</v>
      </c>
      <c r="H162" s="7"/>
      <c r="I162" s="2" t="s">
        <v>312</v>
      </c>
      <c r="J162" s="2" t="s">
        <v>4111</v>
      </c>
      <c r="K162" s="2" t="s">
        <v>304</v>
      </c>
      <c r="L162" s="2" t="s">
        <v>125</v>
      </c>
      <c r="M162" s="8" t="str">
        <f>HYPERLINK("http://slimages.macys.com/is/image/MCY/12080775 ")</f>
        <v xml:space="preserve">http://slimages.macys.com/is/image/MCY/12080775 </v>
      </c>
    </row>
    <row r="163" spans="1:13" ht="120" x14ac:dyDescent="0.25">
      <c r="A163" s="7" t="s">
        <v>4941</v>
      </c>
      <c r="B163" s="2" t="s">
        <v>4624</v>
      </c>
      <c r="C163" s="4">
        <v>1</v>
      </c>
      <c r="D163" s="5">
        <v>6.4</v>
      </c>
      <c r="E163" s="5">
        <v>14.55</v>
      </c>
      <c r="F163" s="4">
        <v>17960310</v>
      </c>
      <c r="G163" s="2" t="s">
        <v>653</v>
      </c>
      <c r="H163" s="7" t="s">
        <v>482</v>
      </c>
      <c r="I163" s="2" t="s">
        <v>153</v>
      </c>
      <c r="J163" s="2" t="s">
        <v>154</v>
      </c>
      <c r="K163" s="2" t="s">
        <v>304</v>
      </c>
      <c r="L163" s="2" t="s">
        <v>4942</v>
      </c>
      <c r="M163" s="8" t="str">
        <f>HYPERLINK("http://slimages.macys.com/is/image/MCY/13341506 ")</f>
        <v xml:space="preserve">http://slimages.macys.com/is/image/MCY/13341506 </v>
      </c>
    </row>
    <row r="164" spans="1:13" ht="60" x14ac:dyDescent="0.25">
      <c r="A164" s="7" t="s">
        <v>4943</v>
      </c>
      <c r="B164" s="2" t="s">
        <v>2614</v>
      </c>
      <c r="C164" s="4">
        <v>1</v>
      </c>
      <c r="D164" s="5">
        <v>6.4</v>
      </c>
      <c r="E164" s="5">
        <v>16</v>
      </c>
      <c r="F164" s="4" t="s">
        <v>4944</v>
      </c>
      <c r="G164" s="2" t="s">
        <v>62</v>
      </c>
      <c r="H164" s="7"/>
      <c r="I164" s="2" t="s">
        <v>523</v>
      </c>
      <c r="J164" s="2" t="s">
        <v>2616</v>
      </c>
      <c r="K164" s="2" t="s">
        <v>304</v>
      </c>
      <c r="L164" s="2" t="s">
        <v>358</v>
      </c>
      <c r="M164" s="8" t="str">
        <f>HYPERLINK("http://slimages.macys.com/is/image/MCY/9422607 ")</f>
        <v xml:space="preserve">http://slimages.macys.com/is/image/MCY/9422607 </v>
      </c>
    </row>
    <row r="165" spans="1:13" ht="72" x14ac:dyDescent="0.25">
      <c r="A165" s="7" t="s">
        <v>4945</v>
      </c>
      <c r="B165" s="2" t="s">
        <v>4946</v>
      </c>
      <c r="C165" s="4">
        <v>1</v>
      </c>
      <c r="D165" s="5">
        <v>6.4</v>
      </c>
      <c r="E165" s="5">
        <v>16</v>
      </c>
      <c r="F165" s="4" t="s">
        <v>4947</v>
      </c>
      <c r="G165" s="2" t="s">
        <v>62</v>
      </c>
      <c r="H165" s="7"/>
      <c r="I165" s="2" t="s">
        <v>523</v>
      </c>
      <c r="J165" s="2" t="s">
        <v>937</v>
      </c>
      <c r="K165" s="2" t="s">
        <v>304</v>
      </c>
      <c r="L165" s="2" t="s">
        <v>938</v>
      </c>
      <c r="M165" s="8" t="str">
        <f>HYPERLINK("http://slimages.macys.com/is/image/MCY/9628116 ")</f>
        <v xml:space="preserve">http://slimages.macys.com/is/image/MCY/9628116 </v>
      </c>
    </row>
    <row r="166" spans="1:13" ht="72" x14ac:dyDescent="0.25">
      <c r="A166" s="7" t="s">
        <v>4948</v>
      </c>
      <c r="B166" s="2" t="s">
        <v>4949</v>
      </c>
      <c r="C166" s="4">
        <v>1</v>
      </c>
      <c r="D166" s="5">
        <v>6.35</v>
      </c>
      <c r="E166" s="5">
        <v>14.44</v>
      </c>
      <c r="F166" s="4">
        <v>18637010</v>
      </c>
      <c r="G166" s="2" t="s">
        <v>48</v>
      </c>
      <c r="H166" s="7" t="s">
        <v>91</v>
      </c>
      <c r="I166" s="2" t="s">
        <v>153</v>
      </c>
      <c r="J166" s="2" t="s">
        <v>154</v>
      </c>
      <c r="K166" s="2" t="s">
        <v>304</v>
      </c>
      <c r="L166" s="2" t="s">
        <v>4950</v>
      </c>
      <c r="M166" s="8" t="str">
        <f>HYPERLINK("http://slimages.macys.com/is/image/MCY/14661952 ")</f>
        <v xml:space="preserve">http://slimages.macys.com/is/image/MCY/14661952 </v>
      </c>
    </row>
    <row r="167" spans="1:13" ht="60" x14ac:dyDescent="0.25">
      <c r="A167" s="7" t="s">
        <v>4951</v>
      </c>
      <c r="B167" s="2" t="s">
        <v>4952</v>
      </c>
      <c r="C167" s="4">
        <v>1</v>
      </c>
      <c r="D167" s="5">
        <v>6.35</v>
      </c>
      <c r="E167" s="5">
        <v>14.44</v>
      </c>
      <c r="F167" s="4">
        <v>18638410</v>
      </c>
      <c r="G167" s="2" t="s">
        <v>41</v>
      </c>
      <c r="H167" s="7" t="s">
        <v>438</v>
      </c>
      <c r="I167" s="2" t="s">
        <v>153</v>
      </c>
      <c r="J167" s="2" t="s">
        <v>154</v>
      </c>
      <c r="K167" s="2" t="s">
        <v>304</v>
      </c>
      <c r="L167" s="2" t="s">
        <v>125</v>
      </c>
      <c r="M167" s="8" t="str">
        <f>HYPERLINK("http://slimages.macys.com/is/image/MCY/14608365 ")</f>
        <v xml:space="preserve">http://slimages.macys.com/is/image/MCY/14608365 </v>
      </c>
    </row>
    <row r="168" spans="1:13" ht="60" x14ac:dyDescent="0.25">
      <c r="A168" s="7" t="s">
        <v>4953</v>
      </c>
      <c r="B168" s="2" t="s">
        <v>4954</v>
      </c>
      <c r="C168" s="4">
        <v>1</v>
      </c>
      <c r="D168" s="5">
        <v>6.25</v>
      </c>
      <c r="E168" s="5">
        <v>17.989999999999998</v>
      </c>
      <c r="F168" s="4" t="s">
        <v>4955</v>
      </c>
      <c r="G168" s="2" t="s">
        <v>28</v>
      </c>
      <c r="H168" s="7" t="s">
        <v>228</v>
      </c>
      <c r="I168" s="2" t="s">
        <v>342</v>
      </c>
      <c r="J168" s="2" t="s">
        <v>1834</v>
      </c>
      <c r="K168" s="2" t="s">
        <v>304</v>
      </c>
      <c r="L168" s="2" t="s">
        <v>335</v>
      </c>
      <c r="M168" s="8" t="str">
        <f>HYPERLINK("http://slimages.macys.com/is/image/MCY/12236897 ")</f>
        <v xml:space="preserve">http://slimages.macys.com/is/image/MCY/12236897 </v>
      </c>
    </row>
    <row r="169" spans="1:13" ht="60" x14ac:dyDescent="0.25">
      <c r="A169" s="7" t="s">
        <v>4956</v>
      </c>
      <c r="B169" s="2" t="s">
        <v>4957</v>
      </c>
      <c r="C169" s="4">
        <v>1</v>
      </c>
      <c r="D169" s="5">
        <v>6.25</v>
      </c>
      <c r="E169" s="5">
        <v>16.989999999999998</v>
      </c>
      <c r="F169" s="4">
        <v>26507811</v>
      </c>
      <c r="G169" s="2"/>
      <c r="H169" s="7" t="s">
        <v>209</v>
      </c>
      <c r="I169" s="2" t="s">
        <v>321</v>
      </c>
      <c r="J169" s="2" t="s">
        <v>4958</v>
      </c>
      <c r="K169" s="2" t="s">
        <v>304</v>
      </c>
      <c r="L169" s="2" t="s">
        <v>1418</v>
      </c>
      <c r="M169" s="8" t="str">
        <f>HYPERLINK("http://slimages.macys.com/is/image/MCY/11954402 ")</f>
        <v xml:space="preserve">http://slimages.macys.com/is/image/MCY/11954402 </v>
      </c>
    </row>
    <row r="170" spans="1:13" ht="60" x14ac:dyDescent="0.25">
      <c r="A170" s="7" t="s">
        <v>4959</v>
      </c>
      <c r="B170" s="2" t="s">
        <v>3374</v>
      </c>
      <c r="C170" s="4">
        <v>1</v>
      </c>
      <c r="D170" s="5">
        <v>6.25</v>
      </c>
      <c r="E170" s="5">
        <v>12.99</v>
      </c>
      <c r="F170" s="4" t="s">
        <v>3375</v>
      </c>
      <c r="G170" s="2" t="s">
        <v>36</v>
      </c>
      <c r="H170" s="7" t="s">
        <v>284</v>
      </c>
      <c r="I170" s="2" t="s">
        <v>523</v>
      </c>
      <c r="J170" s="2" t="s">
        <v>969</v>
      </c>
      <c r="K170" s="2" t="s">
        <v>304</v>
      </c>
      <c r="L170" s="2" t="s">
        <v>1036</v>
      </c>
      <c r="M170" s="8" t="str">
        <f>HYPERLINK("http://slimages.macys.com/is/image/MCY/11646735 ")</f>
        <v xml:space="preserve">http://slimages.macys.com/is/image/MCY/11646735 </v>
      </c>
    </row>
    <row r="171" spans="1:13" ht="60" x14ac:dyDescent="0.25">
      <c r="A171" s="7" t="s">
        <v>4960</v>
      </c>
      <c r="B171" s="2" t="s">
        <v>4961</v>
      </c>
      <c r="C171" s="4">
        <v>1</v>
      </c>
      <c r="D171" s="5">
        <v>6.19</v>
      </c>
      <c r="E171" s="5">
        <v>14.99</v>
      </c>
      <c r="F171" s="4" t="s">
        <v>4962</v>
      </c>
      <c r="G171" s="2" t="s">
        <v>62</v>
      </c>
      <c r="H171" s="7" t="s">
        <v>159</v>
      </c>
      <c r="I171" s="2" t="s">
        <v>218</v>
      </c>
      <c r="J171" s="2" t="s">
        <v>219</v>
      </c>
      <c r="K171" s="2" t="s">
        <v>304</v>
      </c>
      <c r="L171" s="2" t="s">
        <v>358</v>
      </c>
      <c r="M171" s="8" t="str">
        <f>HYPERLINK("http://slimages.macys.com/is/image/MCY/12340598 ")</f>
        <v xml:space="preserve">http://slimages.macys.com/is/image/MCY/12340598 </v>
      </c>
    </row>
    <row r="172" spans="1:13" ht="60" x14ac:dyDescent="0.25">
      <c r="A172" s="7" t="s">
        <v>4963</v>
      </c>
      <c r="B172" s="2" t="s">
        <v>4964</v>
      </c>
      <c r="C172" s="4">
        <v>2</v>
      </c>
      <c r="D172" s="5">
        <v>6.13</v>
      </c>
      <c r="E172" s="5">
        <v>16.989999999999998</v>
      </c>
      <c r="F172" s="4" t="s">
        <v>4965</v>
      </c>
      <c r="G172" s="2" t="s">
        <v>86</v>
      </c>
      <c r="H172" s="7" t="s">
        <v>196</v>
      </c>
      <c r="I172" s="2" t="s">
        <v>389</v>
      </c>
      <c r="J172" s="2" t="s">
        <v>354</v>
      </c>
      <c r="K172" s="2" t="s">
        <v>304</v>
      </c>
      <c r="L172" s="2" t="s">
        <v>596</v>
      </c>
      <c r="M172" s="8" t="str">
        <f>HYPERLINK("http://slimages.macys.com/is/image/MCY/12645407 ")</f>
        <v xml:space="preserve">http://slimages.macys.com/is/image/MCY/12645407 </v>
      </c>
    </row>
    <row r="173" spans="1:13" ht="60" x14ac:dyDescent="0.25">
      <c r="A173" s="7" t="s">
        <v>4966</v>
      </c>
      <c r="B173" s="2" t="s">
        <v>1034</v>
      </c>
      <c r="C173" s="4">
        <v>1</v>
      </c>
      <c r="D173" s="5">
        <v>6</v>
      </c>
      <c r="E173" s="5">
        <v>11.99</v>
      </c>
      <c r="F173" s="4" t="s">
        <v>1035</v>
      </c>
      <c r="G173" s="2" t="s">
        <v>36</v>
      </c>
      <c r="H173" s="7" t="s">
        <v>284</v>
      </c>
      <c r="I173" s="2" t="s">
        <v>523</v>
      </c>
      <c r="J173" s="2" t="s">
        <v>969</v>
      </c>
      <c r="K173" s="2" t="s">
        <v>304</v>
      </c>
      <c r="L173" s="2" t="s">
        <v>1036</v>
      </c>
      <c r="M173" s="8" t="str">
        <f>HYPERLINK("http://slimages.macys.com/is/image/MCY/11647000 ")</f>
        <v xml:space="preserve">http://slimages.macys.com/is/image/MCY/11647000 </v>
      </c>
    </row>
    <row r="174" spans="1:13" ht="60" x14ac:dyDescent="0.25">
      <c r="A174" s="7" t="s">
        <v>4967</v>
      </c>
      <c r="B174" s="2" t="s">
        <v>1034</v>
      </c>
      <c r="C174" s="4">
        <v>1</v>
      </c>
      <c r="D174" s="5">
        <v>6</v>
      </c>
      <c r="E174" s="5">
        <v>11.99</v>
      </c>
      <c r="F174" s="4" t="s">
        <v>1035</v>
      </c>
      <c r="G174" s="2" t="s">
        <v>36</v>
      </c>
      <c r="H174" s="7" t="s">
        <v>196</v>
      </c>
      <c r="I174" s="2" t="s">
        <v>523</v>
      </c>
      <c r="J174" s="2" t="s">
        <v>969</v>
      </c>
      <c r="K174" s="2" t="s">
        <v>304</v>
      </c>
      <c r="L174" s="2" t="s">
        <v>1036</v>
      </c>
      <c r="M174" s="8" t="str">
        <f>HYPERLINK("http://slimages.macys.com/is/image/MCY/11647000 ")</f>
        <v xml:space="preserve">http://slimages.macys.com/is/image/MCY/11647000 </v>
      </c>
    </row>
    <row r="175" spans="1:13" ht="60" x14ac:dyDescent="0.25">
      <c r="A175" s="7" t="s">
        <v>4968</v>
      </c>
      <c r="B175" s="2" t="s">
        <v>4969</v>
      </c>
      <c r="C175" s="4">
        <v>1</v>
      </c>
      <c r="D175" s="5">
        <v>6</v>
      </c>
      <c r="E175" s="5">
        <v>10.99</v>
      </c>
      <c r="F175" s="4" t="s">
        <v>4970</v>
      </c>
      <c r="G175" s="2" t="s">
        <v>48</v>
      </c>
      <c r="H175" s="7" t="s">
        <v>166</v>
      </c>
      <c r="I175" s="2" t="s">
        <v>80</v>
      </c>
      <c r="J175" s="2" t="s">
        <v>1857</v>
      </c>
      <c r="K175" s="2" t="s">
        <v>304</v>
      </c>
      <c r="L175" s="2" t="s">
        <v>119</v>
      </c>
      <c r="M175" s="8" t="str">
        <f>HYPERLINK("http://slimages.macys.com/is/image/MCY/11207821 ")</f>
        <v xml:space="preserve">http://slimages.macys.com/is/image/MCY/11207821 </v>
      </c>
    </row>
    <row r="176" spans="1:13" ht="60" x14ac:dyDescent="0.25">
      <c r="A176" s="7" t="s">
        <v>4971</v>
      </c>
      <c r="B176" s="2" t="s">
        <v>1034</v>
      </c>
      <c r="C176" s="4">
        <v>1</v>
      </c>
      <c r="D176" s="5">
        <v>6</v>
      </c>
      <c r="E176" s="5">
        <v>11.99</v>
      </c>
      <c r="F176" s="4" t="s">
        <v>1035</v>
      </c>
      <c r="G176" s="2" t="s">
        <v>36</v>
      </c>
      <c r="H176" s="7" t="s">
        <v>159</v>
      </c>
      <c r="I176" s="2" t="s">
        <v>523</v>
      </c>
      <c r="J176" s="2" t="s">
        <v>969</v>
      </c>
      <c r="K176" s="2" t="s">
        <v>304</v>
      </c>
      <c r="L176" s="2" t="s">
        <v>1036</v>
      </c>
      <c r="M176" s="8" t="str">
        <f>HYPERLINK("http://slimages.macys.com/is/image/MCY/11647000 ")</f>
        <v xml:space="preserve">http://slimages.macys.com/is/image/MCY/11647000 </v>
      </c>
    </row>
    <row r="177" spans="1:13" ht="60" x14ac:dyDescent="0.25">
      <c r="A177" s="7" t="s">
        <v>4972</v>
      </c>
      <c r="B177" s="2" t="s">
        <v>499</v>
      </c>
      <c r="C177" s="4">
        <v>1</v>
      </c>
      <c r="D177" s="5">
        <v>6</v>
      </c>
      <c r="E177" s="5">
        <v>15.99</v>
      </c>
      <c r="F177" s="4" t="s">
        <v>500</v>
      </c>
      <c r="G177" s="2" t="s">
        <v>79</v>
      </c>
      <c r="H177" s="7"/>
      <c r="I177" s="2" t="s">
        <v>321</v>
      </c>
      <c r="J177" s="2" t="s">
        <v>492</v>
      </c>
      <c r="K177" s="2" t="s">
        <v>304</v>
      </c>
      <c r="L177" s="2" t="s">
        <v>125</v>
      </c>
      <c r="M177" s="8" t="str">
        <f>HYPERLINK("http://slimages.macys.com/is/image/MCY/10924193 ")</f>
        <v xml:space="preserve">http://slimages.macys.com/is/image/MCY/10924193 </v>
      </c>
    </row>
    <row r="178" spans="1:13" ht="60" x14ac:dyDescent="0.25">
      <c r="A178" s="7" t="s">
        <v>4973</v>
      </c>
      <c r="B178" s="2" t="s">
        <v>4974</v>
      </c>
      <c r="C178" s="4">
        <v>1</v>
      </c>
      <c r="D178" s="5">
        <v>6</v>
      </c>
      <c r="E178" s="5">
        <v>11.98</v>
      </c>
      <c r="F178" s="4" t="s">
        <v>4975</v>
      </c>
      <c r="G178" s="2" t="s">
        <v>41</v>
      </c>
      <c r="H178" s="7" t="s">
        <v>233</v>
      </c>
      <c r="I178" s="2" t="s">
        <v>43</v>
      </c>
      <c r="J178" s="2" t="s">
        <v>497</v>
      </c>
      <c r="K178" s="2" t="s">
        <v>304</v>
      </c>
      <c r="L178" s="2" t="s">
        <v>87</v>
      </c>
      <c r="M178" s="8" t="str">
        <f>HYPERLINK("http://slimages.macys.com/is/image/MCY/1431253 ")</f>
        <v xml:space="preserve">http://slimages.macys.com/is/image/MCY/1431253 </v>
      </c>
    </row>
    <row r="179" spans="1:13" ht="60" x14ac:dyDescent="0.25">
      <c r="A179" s="7" t="s">
        <v>4976</v>
      </c>
      <c r="B179" s="2" t="s">
        <v>4977</v>
      </c>
      <c r="C179" s="4">
        <v>1</v>
      </c>
      <c r="D179" s="5">
        <v>6</v>
      </c>
      <c r="E179" s="5">
        <v>11.98</v>
      </c>
      <c r="F179" s="4" t="s">
        <v>4978</v>
      </c>
      <c r="G179" s="2" t="s">
        <v>41</v>
      </c>
      <c r="H179" s="7" t="s">
        <v>482</v>
      </c>
      <c r="I179" s="2" t="s">
        <v>43</v>
      </c>
      <c r="J179" s="2" t="s">
        <v>497</v>
      </c>
      <c r="K179" s="2" t="s">
        <v>304</v>
      </c>
      <c r="L179" s="2" t="s">
        <v>87</v>
      </c>
      <c r="M179" s="8" t="str">
        <f>HYPERLINK("http://slimages.macys.com/is/image/MCY/3328033 ")</f>
        <v xml:space="preserve">http://slimages.macys.com/is/image/MCY/3328033 </v>
      </c>
    </row>
    <row r="180" spans="1:13" ht="60" x14ac:dyDescent="0.25">
      <c r="A180" s="7" t="s">
        <v>4979</v>
      </c>
      <c r="B180" s="2" t="s">
        <v>1031</v>
      </c>
      <c r="C180" s="4">
        <v>1</v>
      </c>
      <c r="D180" s="5">
        <v>6</v>
      </c>
      <c r="E180" s="5">
        <v>11.98</v>
      </c>
      <c r="F180" s="4" t="s">
        <v>1032</v>
      </c>
      <c r="G180" s="2" t="s">
        <v>171</v>
      </c>
      <c r="H180" s="7" t="s">
        <v>482</v>
      </c>
      <c r="I180" s="2" t="s">
        <v>43</v>
      </c>
      <c r="J180" s="2" t="s">
        <v>497</v>
      </c>
      <c r="K180" s="2" t="s">
        <v>304</v>
      </c>
      <c r="L180" s="2" t="s">
        <v>87</v>
      </c>
      <c r="M180" s="8" t="str">
        <f>HYPERLINK("http://slimages.macys.com/is/image/MCY/3134527 ")</f>
        <v xml:space="preserve">http://slimages.macys.com/is/image/MCY/3134527 </v>
      </c>
    </row>
    <row r="181" spans="1:13" ht="60" x14ac:dyDescent="0.25">
      <c r="A181" s="7" t="s">
        <v>4980</v>
      </c>
      <c r="B181" s="2" t="s">
        <v>4981</v>
      </c>
      <c r="C181" s="4">
        <v>1</v>
      </c>
      <c r="D181" s="5">
        <v>6</v>
      </c>
      <c r="E181" s="5">
        <v>14.99</v>
      </c>
      <c r="F181" s="4" t="s">
        <v>4982</v>
      </c>
      <c r="G181" s="2" t="s">
        <v>800</v>
      </c>
      <c r="H181" s="7" t="s">
        <v>209</v>
      </c>
      <c r="I181" s="2" t="s">
        <v>64</v>
      </c>
      <c r="J181" s="2" t="s">
        <v>801</v>
      </c>
      <c r="K181" s="2" t="s">
        <v>304</v>
      </c>
      <c r="L181" s="2" t="s">
        <v>125</v>
      </c>
      <c r="M181" s="8" t="str">
        <f>HYPERLINK("http://slimages.macys.com/is/image/MCY/14367989 ")</f>
        <v xml:space="preserve">http://slimages.macys.com/is/image/MCY/14367989 </v>
      </c>
    </row>
    <row r="182" spans="1:13" ht="60" x14ac:dyDescent="0.25">
      <c r="A182" s="7" t="s">
        <v>4983</v>
      </c>
      <c r="B182" s="2" t="s">
        <v>4984</v>
      </c>
      <c r="C182" s="4">
        <v>1</v>
      </c>
      <c r="D182" s="5">
        <v>6</v>
      </c>
      <c r="E182" s="5">
        <v>11.98</v>
      </c>
      <c r="F182" s="4" t="s">
        <v>4985</v>
      </c>
      <c r="G182" s="2" t="s">
        <v>41</v>
      </c>
      <c r="H182" s="7" t="s">
        <v>233</v>
      </c>
      <c r="I182" s="2" t="s">
        <v>43</v>
      </c>
      <c r="J182" s="2" t="s">
        <v>497</v>
      </c>
      <c r="K182" s="2" t="s">
        <v>304</v>
      </c>
      <c r="L182" s="2" t="s">
        <v>87</v>
      </c>
      <c r="M182" s="8" t="str">
        <f>HYPERLINK("http://slimages.macys.com/is/image/MCY/2079603 ")</f>
        <v xml:space="preserve">http://slimages.macys.com/is/image/MCY/2079603 </v>
      </c>
    </row>
    <row r="183" spans="1:13" ht="60" x14ac:dyDescent="0.25">
      <c r="A183" s="7" t="s">
        <v>4986</v>
      </c>
      <c r="B183" s="2" t="s">
        <v>4987</v>
      </c>
      <c r="C183" s="4">
        <v>1</v>
      </c>
      <c r="D183" s="5">
        <v>6</v>
      </c>
      <c r="E183" s="5">
        <v>11.98</v>
      </c>
      <c r="F183" s="4" t="s">
        <v>4988</v>
      </c>
      <c r="G183" s="2" t="s">
        <v>79</v>
      </c>
      <c r="H183" s="7" t="s">
        <v>675</v>
      </c>
      <c r="I183" s="2" t="s">
        <v>43</v>
      </c>
      <c r="J183" s="2" t="s">
        <v>497</v>
      </c>
      <c r="K183" s="2" t="s">
        <v>304</v>
      </c>
      <c r="L183" s="2" t="s">
        <v>87</v>
      </c>
      <c r="M183" s="8" t="str">
        <f>HYPERLINK("http://slimages.macys.com/is/image/MCY/2666351 ")</f>
        <v xml:space="preserve">http://slimages.macys.com/is/image/MCY/2666351 </v>
      </c>
    </row>
    <row r="184" spans="1:13" ht="60" x14ac:dyDescent="0.25">
      <c r="A184" s="7" t="s">
        <v>4989</v>
      </c>
      <c r="B184" s="2" t="s">
        <v>4990</v>
      </c>
      <c r="C184" s="4">
        <v>1</v>
      </c>
      <c r="D184" s="5">
        <v>6</v>
      </c>
      <c r="E184" s="5">
        <v>14.99</v>
      </c>
      <c r="F184" s="4" t="s">
        <v>4991</v>
      </c>
      <c r="G184" s="2" t="s">
        <v>165</v>
      </c>
      <c r="H184" s="7" t="s">
        <v>68</v>
      </c>
      <c r="I184" s="2" t="s">
        <v>73</v>
      </c>
      <c r="J184" s="2" t="s">
        <v>778</v>
      </c>
      <c r="K184" s="2" t="s">
        <v>304</v>
      </c>
      <c r="L184" s="2" t="s">
        <v>125</v>
      </c>
      <c r="M184" s="8" t="str">
        <f>HYPERLINK("http://slimages.macys.com/is/image/MCY/12280156 ")</f>
        <v xml:space="preserve">http://slimages.macys.com/is/image/MCY/12280156 </v>
      </c>
    </row>
    <row r="185" spans="1:13" ht="60" x14ac:dyDescent="0.25">
      <c r="A185" s="7" t="s">
        <v>4992</v>
      </c>
      <c r="B185" s="2" t="s">
        <v>4993</v>
      </c>
      <c r="C185" s="4">
        <v>1</v>
      </c>
      <c r="D185" s="5">
        <v>5.95</v>
      </c>
      <c r="E185" s="5">
        <v>14.99</v>
      </c>
      <c r="F185" s="4" t="s">
        <v>4994</v>
      </c>
      <c r="G185" s="2" t="s">
        <v>582</v>
      </c>
      <c r="H185" s="7"/>
      <c r="I185" s="2" t="s">
        <v>321</v>
      </c>
      <c r="J185" s="2" t="s">
        <v>492</v>
      </c>
      <c r="K185" s="2" t="s">
        <v>304</v>
      </c>
      <c r="L185" s="2" t="s">
        <v>125</v>
      </c>
      <c r="M185" s="8" t="str">
        <f>HYPERLINK("http://slimages.macys.com/is/image/MCY/10924171 ")</f>
        <v xml:space="preserve">http://slimages.macys.com/is/image/MCY/10924171 </v>
      </c>
    </row>
    <row r="186" spans="1:13" ht="60" x14ac:dyDescent="0.25">
      <c r="A186" s="7" t="s">
        <v>4995</v>
      </c>
      <c r="B186" s="2" t="s">
        <v>4993</v>
      </c>
      <c r="C186" s="4">
        <v>3</v>
      </c>
      <c r="D186" s="5">
        <v>5.95</v>
      </c>
      <c r="E186" s="5">
        <v>14.99</v>
      </c>
      <c r="F186" s="4" t="s">
        <v>4994</v>
      </c>
      <c r="G186" s="2" t="s">
        <v>353</v>
      </c>
      <c r="H186" s="7"/>
      <c r="I186" s="2" t="s">
        <v>321</v>
      </c>
      <c r="J186" s="2" t="s">
        <v>492</v>
      </c>
      <c r="K186" s="2" t="s">
        <v>304</v>
      </c>
      <c r="L186" s="2" t="s">
        <v>125</v>
      </c>
      <c r="M186" s="8" t="str">
        <f>HYPERLINK("http://slimages.macys.com/is/image/MCY/10924171 ")</f>
        <v xml:space="preserve">http://slimages.macys.com/is/image/MCY/10924171 </v>
      </c>
    </row>
    <row r="187" spans="1:13" ht="60" x14ac:dyDescent="0.25">
      <c r="A187" s="7" t="s">
        <v>4996</v>
      </c>
      <c r="B187" s="2" t="s">
        <v>4997</v>
      </c>
      <c r="C187" s="4">
        <v>1</v>
      </c>
      <c r="D187" s="5">
        <v>5.94</v>
      </c>
      <c r="E187" s="5">
        <v>22</v>
      </c>
      <c r="F187" s="4" t="s">
        <v>4998</v>
      </c>
      <c r="G187" s="2" t="s">
        <v>28</v>
      </c>
      <c r="H187" s="7" t="s">
        <v>123</v>
      </c>
      <c r="I187" s="2" t="s">
        <v>173</v>
      </c>
      <c r="J187" s="2" t="s">
        <v>3242</v>
      </c>
      <c r="K187" s="2" t="s">
        <v>2752</v>
      </c>
      <c r="L187" s="2"/>
      <c r="M187" s="8" t="str">
        <f>HYPERLINK("http://images.bloomingdales.com/is/image/BLM/10248462 ")</f>
        <v xml:space="preserve">http://images.bloomingdales.com/is/image/BLM/10248462 </v>
      </c>
    </row>
    <row r="188" spans="1:13" ht="60" x14ac:dyDescent="0.25">
      <c r="A188" s="7" t="s">
        <v>4999</v>
      </c>
      <c r="B188" s="2" t="s">
        <v>5000</v>
      </c>
      <c r="C188" s="4">
        <v>1</v>
      </c>
      <c r="D188" s="5">
        <v>5.94</v>
      </c>
      <c r="E188" s="5">
        <v>22</v>
      </c>
      <c r="F188" s="4" t="s">
        <v>5001</v>
      </c>
      <c r="G188" s="2" t="s">
        <v>28</v>
      </c>
      <c r="H188" s="7" t="s">
        <v>209</v>
      </c>
      <c r="I188" s="2" t="s">
        <v>173</v>
      </c>
      <c r="J188" s="2" t="s">
        <v>3242</v>
      </c>
      <c r="K188" s="2" t="s">
        <v>2752</v>
      </c>
      <c r="L188" s="2"/>
      <c r="M188" s="8" t="str">
        <f>HYPERLINK("http://images.bloomingdales.com/is/image/BLM/10248475 ")</f>
        <v xml:space="preserve">http://images.bloomingdales.com/is/image/BLM/10248475 </v>
      </c>
    </row>
    <row r="189" spans="1:13" ht="60" x14ac:dyDescent="0.25">
      <c r="A189" s="7" t="s">
        <v>1048</v>
      </c>
      <c r="B189" s="2" t="s">
        <v>1039</v>
      </c>
      <c r="C189" s="4">
        <v>10</v>
      </c>
      <c r="D189" s="5">
        <v>5.87</v>
      </c>
      <c r="E189" s="5">
        <v>16</v>
      </c>
      <c r="F189" s="4" t="s">
        <v>1040</v>
      </c>
      <c r="G189" s="2" t="s">
        <v>1041</v>
      </c>
      <c r="H189" s="7" t="s">
        <v>789</v>
      </c>
      <c r="I189" s="2" t="s">
        <v>523</v>
      </c>
      <c r="J189" s="2" t="s">
        <v>1042</v>
      </c>
      <c r="K189" s="2" t="s">
        <v>304</v>
      </c>
      <c r="L189" s="2" t="s">
        <v>1043</v>
      </c>
      <c r="M189" s="8" t="str">
        <f>HYPERLINK("http://slimages.macys.com/is/image/MCY/11647558 ")</f>
        <v xml:space="preserve">http://slimages.macys.com/is/image/MCY/11647558 </v>
      </c>
    </row>
    <row r="190" spans="1:13" ht="60" x14ac:dyDescent="0.25">
      <c r="A190" s="7" t="s">
        <v>1038</v>
      </c>
      <c r="B190" s="2" t="s">
        <v>1039</v>
      </c>
      <c r="C190" s="4">
        <v>1</v>
      </c>
      <c r="D190" s="5">
        <v>5.87</v>
      </c>
      <c r="E190" s="5">
        <v>16</v>
      </c>
      <c r="F190" s="4" t="s">
        <v>1040</v>
      </c>
      <c r="G190" s="2" t="s">
        <v>1041</v>
      </c>
      <c r="H190" s="7" t="s">
        <v>72</v>
      </c>
      <c r="I190" s="2" t="s">
        <v>523</v>
      </c>
      <c r="J190" s="2" t="s">
        <v>1042</v>
      </c>
      <c r="K190" s="2" t="s">
        <v>304</v>
      </c>
      <c r="L190" s="2" t="s">
        <v>1043</v>
      </c>
      <c r="M190" s="8" t="str">
        <f>HYPERLINK("http://slimages.macys.com/is/image/MCY/11647558 ")</f>
        <v xml:space="preserve">http://slimages.macys.com/is/image/MCY/11647558 </v>
      </c>
    </row>
    <row r="191" spans="1:13" ht="60" x14ac:dyDescent="0.25">
      <c r="A191" s="7" t="s">
        <v>5002</v>
      </c>
      <c r="B191" s="2" t="s">
        <v>5003</v>
      </c>
      <c r="C191" s="4">
        <v>1</v>
      </c>
      <c r="D191" s="5">
        <v>5.86</v>
      </c>
      <c r="E191" s="5">
        <v>12.99</v>
      </c>
      <c r="F191" s="4" t="s">
        <v>5004</v>
      </c>
      <c r="G191" s="2" t="s">
        <v>28</v>
      </c>
      <c r="H191" s="7" t="s">
        <v>159</v>
      </c>
      <c r="I191" s="2" t="s">
        <v>218</v>
      </c>
      <c r="J191" s="2" t="s">
        <v>1740</v>
      </c>
      <c r="K191" s="2" t="s">
        <v>304</v>
      </c>
      <c r="L191" s="2" t="s">
        <v>358</v>
      </c>
      <c r="M191" s="8" t="str">
        <f>HYPERLINK("http://slimages.macys.com/is/image/MCY/12751326 ")</f>
        <v xml:space="preserve">http://slimages.macys.com/is/image/MCY/12751326 </v>
      </c>
    </row>
    <row r="192" spans="1:13" ht="60" x14ac:dyDescent="0.25">
      <c r="A192" s="7" t="s">
        <v>3392</v>
      </c>
      <c r="B192" s="2" t="s">
        <v>3393</v>
      </c>
      <c r="C192" s="4">
        <v>1</v>
      </c>
      <c r="D192" s="5">
        <v>5.8</v>
      </c>
      <c r="E192" s="5">
        <v>13.19</v>
      </c>
      <c r="F192" s="4">
        <v>17892010</v>
      </c>
      <c r="G192" s="2"/>
      <c r="H192" s="7" t="s">
        <v>233</v>
      </c>
      <c r="I192" s="2" t="s">
        <v>153</v>
      </c>
      <c r="J192" s="2" t="s">
        <v>154</v>
      </c>
      <c r="K192" s="2" t="s">
        <v>304</v>
      </c>
      <c r="L192" s="2" t="s">
        <v>38</v>
      </c>
      <c r="M192" s="8" t="str">
        <f>HYPERLINK("http://slimages.macys.com/is/image/MCY/13341121 ")</f>
        <v xml:space="preserve">http://slimages.macys.com/is/image/MCY/13341121 </v>
      </c>
    </row>
    <row r="193" spans="1:13" ht="60" x14ac:dyDescent="0.25">
      <c r="A193" s="7" t="s">
        <v>1049</v>
      </c>
      <c r="B193" s="2" t="s">
        <v>1050</v>
      </c>
      <c r="C193" s="4">
        <v>1</v>
      </c>
      <c r="D193" s="5">
        <v>5.75</v>
      </c>
      <c r="E193" s="5">
        <v>11.99</v>
      </c>
      <c r="F193" s="4">
        <v>2581</v>
      </c>
      <c r="G193" s="2" t="s">
        <v>36</v>
      </c>
      <c r="H193" s="7" t="s">
        <v>284</v>
      </c>
      <c r="I193" s="2" t="s">
        <v>523</v>
      </c>
      <c r="J193" s="2" t="s">
        <v>921</v>
      </c>
      <c r="K193" s="2" t="s">
        <v>304</v>
      </c>
      <c r="L193" s="2" t="s">
        <v>323</v>
      </c>
      <c r="M193" s="8" t="str">
        <f>HYPERLINK("http://slimages.macys.com/is/image/MCY/13050177 ")</f>
        <v xml:space="preserve">http://slimages.macys.com/is/image/MCY/13050177 </v>
      </c>
    </row>
    <row r="194" spans="1:13" ht="60" x14ac:dyDescent="0.25">
      <c r="A194" s="7" t="s">
        <v>5005</v>
      </c>
      <c r="B194" s="2" t="s">
        <v>5006</v>
      </c>
      <c r="C194" s="4">
        <v>1</v>
      </c>
      <c r="D194" s="5">
        <v>5.53</v>
      </c>
      <c r="E194" s="5">
        <v>12.99</v>
      </c>
      <c r="F194" s="4" t="s">
        <v>5007</v>
      </c>
      <c r="G194" s="2" t="s">
        <v>134</v>
      </c>
      <c r="H194" s="7" t="s">
        <v>317</v>
      </c>
      <c r="I194" s="2" t="s">
        <v>218</v>
      </c>
      <c r="J194" s="2" t="s">
        <v>2008</v>
      </c>
      <c r="K194" s="2" t="s">
        <v>304</v>
      </c>
      <c r="L194" s="2" t="s">
        <v>358</v>
      </c>
      <c r="M194" s="8" t="str">
        <f>HYPERLINK("http://slimages.macys.com/is/image/MCY/11952301 ")</f>
        <v xml:space="preserve">http://slimages.macys.com/is/image/MCY/11952301 </v>
      </c>
    </row>
    <row r="195" spans="1:13" ht="60" x14ac:dyDescent="0.25">
      <c r="A195" s="7" t="s">
        <v>3409</v>
      </c>
      <c r="B195" s="2" t="s">
        <v>3410</v>
      </c>
      <c r="C195" s="4">
        <v>1</v>
      </c>
      <c r="D195" s="5">
        <v>5.52</v>
      </c>
      <c r="E195" s="5">
        <v>13.99</v>
      </c>
      <c r="F195" s="4" t="s">
        <v>3411</v>
      </c>
      <c r="G195" s="2" t="s">
        <v>62</v>
      </c>
      <c r="H195" s="7" t="s">
        <v>149</v>
      </c>
      <c r="I195" s="2" t="s">
        <v>483</v>
      </c>
      <c r="J195" s="2" t="s">
        <v>536</v>
      </c>
      <c r="K195" s="2" t="s">
        <v>304</v>
      </c>
      <c r="L195" s="2" t="s">
        <v>596</v>
      </c>
      <c r="M195" s="8" t="str">
        <f>HYPERLINK("http://slimages.macys.com/is/image/MCY/14630640 ")</f>
        <v xml:space="preserve">http://slimages.macys.com/is/image/MCY/14630640 </v>
      </c>
    </row>
    <row r="196" spans="1:13" ht="60" x14ac:dyDescent="0.25">
      <c r="A196" s="7" t="s">
        <v>5008</v>
      </c>
      <c r="B196" s="2" t="s">
        <v>5009</v>
      </c>
      <c r="C196" s="4">
        <v>1</v>
      </c>
      <c r="D196" s="5">
        <v>5.5</v>
      </c>
      <c r="E196" s="5">
        <v>12</v>
      </c>
      <c r="F196" s="4" t="s">
        <v>5010</v>
      </c>
      <c r="G196" s="2" t="s">
        <v>41</v>
      </c>
      <c r="H196" s="7" t="s">
        <v>586</v>
      </c>
      <c r="I196" s="2" t="s">
        <v>676</v>
      </c>
      <c r="J196" s="2" t="s">
        <v>5011</v>
      </c>
      <c r="K196" s="2" t="s">
        <v>304</v>
      </c>
      <c r="L196" s="2" t="s">
        <v>596</v>
      </c>
      <c r="M196" s="8" t="str">
        <f>HYPERLINK("http://slimages.macys.com/is/image/MCY/12337736 ")</f>
        <v xml:space="preserve">http://slimages.macys.com/is/image/MCY/12337736 </v>
      </c>
    </row>
    <row r="197" spans="1:13" ht="144" x14ac:dyDescent="0.25">
      <c r="A197" s="7" t="s">
        <v>5012</v>
      </c>
      <c r="B197" s="2" t="s">
        <v>5013</v>
      </c>
      <c r="C197" s="4">
        <v>1</v>
      </c>
      <c r="D197" s="5">
        <v>5.5</v>
      </c>
      <c r="E197" s="5">
        <v>12</v>
      </c>
      <c r="F197" s="4" t="s">
        <v>5014</v>
      </c>
      <c r="G197" s="2" t="s">
        <v>41</v>
      </c>
      <c r="H197" s="7" t="s">
        <v>586</v>
      </c>
      <c r="I197" s="2" t="s">
        <v>676</v>
      </c>
      <c r="J197" s="2" t="s">
        <v>5011</v>
      </c>
      <c r="K197" s="2" t="s">
        <v>304</v>
      </c>
      <c r="L197" s="2" t="s">
        <v>5015</v>
      </c>
      <c r="M197" s="8" t="str">
        <f>HYPERLINK("http://slimages.macys.com/is/image/MCY/12337425 ")</f>
        <v xml:space="preserve">http://slimages.macys.com/is/image/MCY/12337425 </v>
      </c>
    </row>
    <row r="198" spans="1:13" ht="168" x14ac:dyDescent="0.25">
      <c r="A198" s="7" t="s">
        <v>5016</v>
      </c>
      <c r="B198" s="2" t="s">
        <v>5017</v>
      </c>
      <c r="C198" s="4">
        <v>1</v>
      </c>
      <c r="D198" s="5">
        <v>5.5</v>
      </c>
      <c r="E198" s="5">
        <v>12.99</v>
      </c>
      <c r="F198" s="4" t="s">
        <v>5018</v>
      </c>
      <c r="G198" s="2" t="s">
        <v>129</v>
      </c>
      <c r="H198" s="7" t="s">
        <v>442</v>
      </c>
      <c r="I198" s="2" t="s">
        <v>92</v>
      </c>
      <c r="J198" s="2" t="s">
        <v>1076</v>
      </c>
      <c r="K198" s="2" t="s">
        <v>304</v>
      </c>
      <c r="L198" s="2" t="s">
        <v>5019</v>
      </c>
      <c r="M198" s="8" t="str">
        <f>HYPERLINK("http://slimages.macys.com/is/image/MCY/15654556 ")</f>
        <v xml:space="preserve">http://slimages.macys.com/is/image/MCY/15654556 </v>
      </c>
    </row>
    <row r="199" spans="1:13" ht="60" x14ac:dyDescent="0.25">
      <c r="A199" s="7" t="s">
        <v>5020</v>
      </c>
      <c r="B199" s="2" t="s">
        <v>5021</v>
      </c>
      <c r="C199" s="4">
        <v>1</v>
      </c>
      <c r="D199" s="5">
        <v>5.5</v>
      </c>
      <c r="E199" s="5">
        <v>11.98</v>
      </c>
      <c r="F199" s="4" t="s">
        <v>5022</v>
      </c>
      <c r="G199" s="2" t="s">
        <v>41</v>
      </c>
      <c r="H199" s="7" t="s">
        <v>531</v>
      </c>
      <c r="I199" s="2" t="s">
        <v>43</v>
      </c>
      <c r="J199" s="2" t="s">
        <v>497</v>
      </c>
      <c r="K199" s="2" t="s">
        <v>304</v>
      </c>
      <c r="L199" s="2" t="s">
        <v>87</v>
      </c>
      <c r="M199" s="8" t="str">
        <f>HYPERLINK("http://slimages.macys.com/is/image/MCY/3328031 ")</f>
        <v xml:space="preserve">http://slimages.macys.com/is/image/MCY/3328031 </v>
      </c>
    </row>
    <row r="200" spans="1:13" ht="72" x14ac:dyDescent="0.25">
      <c r="A200" s="7" t="s">
        <v>5023</v>
      </c>
      <c r="B200" s="2" t="s">
        <v>5024</v>
      </c>
      <c r="C200" s="4">
        <v>1</v>
      </c>
      <c r="D200" s="5">
        <v>5.5</v>
      </c>
      <c r="E200" s="5">
        <v>11.98</v>
      </c>
      <c r="F200" s="4" t="s">
        <v>5025</v>
      </c>
      <c r="G200" s="2" t="s">
        <v>171</v>
      </c>
      <c r="H200" s="7" t="s">
        <v>531</v>
      </c>
      <c r="I200" s="2" t="s">
        <v>43</v>
      </c>
      <c r="J200" s="2" t="s">
        <v>497</v>
      </c>
      <c r="K200" s="2" t="s">
        <v>304</v>
      </c>
      <c r="L200" s="2" t="s">
        <v>5026</v>
      </c>
      <c r="M200" s="8" t="str">
        <f>HYPERLINK("http://slimages.macys.com/is/image/MCY/2932434 ")</f>
        <v xml:space="preserve">http://slimages.macys.com/is/image/MCY/2932434 </v>
      </c>
    </row>
    <row r="201" spans="1:13" ht="60" x14ac:dyDescent="0.25">
      <c r="A201" s="7" t="s">
        <v>5027</v>
      </c>
      <c r="B201" s="2" t="s">
        <v>5028</v>
      </c>
      <c r="C201" s="4">
        <v>1</v>
      </c>
      <c r="D201" s="5">
        <v>5.5</v>
      </c>
      <c r="E201" s="5">
        <v>11.98</v>
      </c>
      <c r="F201" s="4" t="s">
        <v>5029</v>
      </c>
      <c r="G201" s="2" t="s">
        <v>171</v>
      </c>
      <c r="H201" s="7" t="s">
        <v>531</v>
      </c>
      <c r="I201" s="2" t="s">
        <v>43</v>
      </c>
      <c r="J201" s="2" t="s">
        <v>497</v>
      </c>
      <c r="K201" s="2" t="s">
        <v>304</v>
      </c>
      <c r="L201" s="2" t="s">
        <v>87</v>
      </c>
      <c r="M201" s="8" t="str">
        <f>HYPERLINK("http://slimages.macys.com/is/image/MCY/2908911 ")</f>
        <v xml:space="preserve">http://slimages.macys.com/is/image/MCY/2908911 </v>
      </c>
    </row>
    <row r="202" spans="1:13" ht="60" x14ac:dyDescent="0.25">
      <c r="A202" s="7" t="s">
        <v>5030</v>
      </c>
      <c r="B202" s="2" t="s">
        <v>5031</v>
      </c>
      <c r="C202" s="4">
        <v>1</v>
      </c>
      <c r="D202" s="5">
        <v>5.5</v>
      </c>
      <c r="E202" s="5">
        <v>11.98</v>
      </c>
      <c r="F202" s="4" t="s">
        <v>5032</v>
      </c>
      <c r="G202" s="2" t="s">
        <v>41</v>
      </c>
      <c r="H202" s="7" t="s">
        <v>531</v>
      </c>
      <c r="I202" s="2" t="s">
        <v>43</v>
      </c>
      <c r="J202" s="2" t="s">
        <v>497</v>
      </c>
      <c r="K202" s="2" t="s">
        <v>304</v>
      </c>
      <c r="L202" s="2" t="s">
        <v>87</v>
      </c>
      <c r="M202" s="8" t="str">
        <f>HYPERLINK("http://slimages.macys.com/is/image/MCY/8862712 ")</f>
        <v xml:space="preserve">http://slimages.macys.com/is/image/MCY/8862712 </v>
      </c>
    </row>
    <row r="203" spans="1:13" ht="60" x14ac:dyDescent="0.25">
      <c r="A203" s="7" t="s">
        <v>5033</v>
      </c>
      <c r="B203" s="2" t="s">
        <v>521</v>
      </c>
      <c r="C203" s="4">
        <v>1</v>
      </c>
      <c r="D203" s="5">
        <v>5.5</v>
      </c>
      <c r="E203" s="5">
        <v>14</v>
      </c>
      <c r="F203" s="4" t="s">
        <v>522</v>
      </c>
      <c r="G203" s="2" t="s">
        <v>41</v>
      </c>
      <c r="H203" s="7"/>
      <c r="I203" s="2" t="s">
        <v>523</v>
      </c>
      <c r="J203" s="2" t="s">
        <v>524</v>
      </c>
      <c r="K203" s="2" t="s">
        <v>304</v>
      </c>
      <c r="L203" s="2" t="s">
        <v>224</v>
      </c>
      <c r="M203" s="8" t="str">
        <f>HYPERLINK("http://slimages.macys.com/is/image/MCY/11797079 ")</f>
        <v xml:space="preserve">http://slimages.macys.com/is/image/MCY/11797079 </v>
      </c>
    </row>
    <row r="204" spans="1:13" ht="60" x14ac:dyDescent="0.25">
      <c r="A204" s="7" t="s">
        <v>5034</v>
      </c>
      <c r="B204" s="2" t="s">
        <v>5035</v>
      </c>
      <c r="C204" s="4">
        <v>1</v>
      </c>
      <c r="D204" s="5">
        <v>5.5</v>
      </c>
      <c r="E204" s="5">
        <v>12.99</v>
      </c>
      <c r="F204" s="4" t="s">
        <v>5036</v>
      </c>
      <c r="G204" s="2" t="s">
        <v>28</v>
      </c>
      <c r="H204" s="7" t="s">
        <v>228</v>
      </c>
      <c r="I204" s="2" t="s">
        <v>257</v>
      </c>
      <c r="J204" s="2" t="s">
        <v>258</v>
      </c>
      <c r="K204" s="2" t="s">
        <v>304</v>
      </c>
      <c r="L204" s="2" t="s">
        <v>119</v>
      </c>
      <c r="M204" s="8" t="str">
        <f>HYPERLINK("http://slimages.macys.com/is/image/MCY/12736554 ")</f>
        <v xml:space="preserve">http://slimages.macys.com/is/image/MCY/12736554 </v>
      </c>
    </row>
    <row r="205" spans="1:13" ht="60" x14ac:dyDescent="0.25">
      <c r="A205" s="7" t="s">
        <v>5037</v>
      </c>
      <c r="B205" s="2" t="s">
        <v>5038</v>
      </c>
      <c r="C205" s="4">
        <v>1</v>
      </c>
      <c r="D205" s="5">
        <v>5.19</v>
      </c>
      <c r="E205" s="5">
        <v>14.99</v>
      </c>
      <c r="F205" s="4" t="s">
        <v>5039</v>
      </c>
      <c r="G205" s="2" t="s">
        <v>785</v>
      </c>
      <c r="H205" s="7" t="s">
        <v>578</v>
      </c>
      <c r="I205" s="2" t="s">
        <v>1689</v>
      </c>
      <c r="J205" s="2" t="s">
        <v>354</v>
      </c>
      <c r="K205" s="2" t="s">
        <v>304</v>
      </c>
      <c r="L205" s="2" t="s">
        <v>119</v>
      </c>
      <c r="M205" s="8" t="str">
        <f>HYPERLINK("http://slimages.macys.com/is/image/MCY/12938570 ")</f>
        <v xml:space="preserve">http://slimages.macys.com/is/image/MCY/12938570 </v>
      </c>
    </row>
    <row r="206" spans="1:13" ht="60" x14ac:dyDescent="0.25">
      <c r="A206" s="7" t="s">
        <v>1087</v>
      </c>
      <c r="B206" s="2" t="s">
        <v>1086</v>
      </c>
      <c r="C206" s="4">
        <v>1</v>
      </c>
      <c r="D206" s="5">
        <v>5.15</v>
      </c>
      <c r="E206" s="5">
        <v>11.99</v>
      </c>
      <c r="F206" s="4">
        <v>4217</v>
      </c>
      <c r="G206" s="2" t="s">
        <v>653</v>
      </c>
      <c r="H206" s="7" t="s">
        <v>228</v>
      </c>
      <c r="I206" s="2" t="s">
        <v>523</v>
      </c>
      <c r="J206" s="2" t="s">
        <v>921</v>
      </c>
      <c r="K206" s="2" t="s">
        <v>304</v>
      </c>
      <c r="L206" s="2" t="s">
        <v>323</v>
      </c>
      <c r="M206" s="8" t="str">
        <f>HYPERLINK("http://slimages.macys.com/is/image/MCY/13050187 ")</f>
        <v xml:space="preserve">http://slimages.macys.com/is/image/MCY/13050187 </v>
      </c>
    </row>
    <row r="207" spans="1:13" ht="60" x14ac:dyDescent="0.25">
      <c r="A207" s="7" t="s">
        <v>1100</v>
      </c>
      <c r="B207" s="2" t="s">
        <v>1099</v>
      </c>
      <c r="C207" s="4">
        <v>2</v>
      </c>
      <c r="D207" s="5">
        <v>5</v>
      </c>
      <c r="E207" s="5">
        <v>11.99</v>
      </c>
      <c r="F207" s="4">
        <v>2581</v>
      </c>
      <c r="G207" s="2" t="s">
        <v>28</v>
      </c>
      <c r="H207" s="7" t="s">
        <v>228</v>
      </c>
      <c r="I207" s="2" t="s">
        <v>523</v>
      </c>
      <c r="J207" s="2" t="s">
        <v>921</v>
      </c>
      <c r="K207" s="2" t="s">
        <v>304</v>
      </c>
      <c r="L207" s="2" t="s">
        <v>323</v>
      </c>
      <c r="M207" s="8" t="str">
        <f>HYPERLINK("http://slimages.macys.com/is/image/MCY/13050178 ")</f>
        <v xml:space="preserve">http://slimages.macys.com/is/image/MCY/13050178 </v>
      </c>
    </row>
    <row r="208" spans="1:13" ht="60" x14ac:dyDescent="0.25">
      <c r="A208" s="7" t="s">
        <v>5040</v>
      </c>
      <c r="B208" s="2" t="s">
        <v>1915</v>
      </c>
      <c r="C208" s="4">
        <v>1</v>
      </c>
      <c r="D208" s="5">
        <v>5</v>
      </c>
      <c r="E208" s="5">
        <v>9.99</v>
      </c>
      <c r="F208" s="4" t="s">
        <v>1962</v>
      </c>
      <c r="G208" s="2" t="s">
        <v>41</v>
      </c>
      <c r="H208" s="7" t="s">
        <v>311</v>
      </c>
      <c r="I208" s="2" t="s">
        <v>73</v>
      </c>
      <c r="J208" s="2" t="s">
        <v>1963</v>
      </c>
      <c r="K208" s="2" t="s">
        <v>304</v>
      </c>
      <c r="L208" s="2" t="s">
        <v>125</v>
      </c>
      <c r="M208" s="8" t="str">
        <f>HYPERLINK("http://slimages.macys.com/is/image/MCY/12235600 ")</f>
        <v xml:space="preserve">http://slimages.macys.com/is/image/MCY/12235600 </v>
      </c>
    </row>
    <row r="209" spans="1:13" ht="60" x14ac:dyDescent="0.25">
      <c r="A209" s="7" t="s">
        <v>5041</v>
      </c>
      <c r="B209" s="2" t="s">
        <v>2661</v>
      </c>
      <c r="C209" s="4">
        <v>1</v>
      </c>
      <c r="D209" s="5">
        <v>4.88</v>
      </c>
      <c r="E209" s="5">
        <v>12.99</v>
      </c>
      <c r="F209" s="4" t="s">
        <v>2662</v>
      </c>
      <c r="G209" s="2" t="s">
        <v>134</v>
      </c>
      <c r="H209" s="7" t="s">
        <v>149</v>
      </c>
      <c r="I209" s="2" t="s">
        <v>483</v>
      </c>
      <c r="J209" s="2" t="s">
        <v>536</v>
      </c>
      <c r="K209" s="2" t="s">
        <v>304</v>
      </c>
      <c r="L209" s="2" t="s">
        <v>38</v>
      </c>
      <c r="M209" s="8" t="str">
        <f>HYPERLINK("http://slimages.macys.com/is/image/MCY/14517553 ")</f>
        <v xml:space="preserve">http://slimages.macys.com/is/image/MCY/14517553 </v>
      </c>
    </row>
    <row r="210" spans="1:13" ht="60" x14ac:dyDescent="0.25">
      <c r="A210" s="7" t="s">
        <v>3439</v>
      </c>
      <c r="B210" s="2" t="s">
        <v>2661</v>
      </c>
      <c r="C210" s="4">
        <v>1</v>
      </c>
      <c r="D210" s="5">
        <v>4.88</v>
      </c>
      <c r="E210" s="5">
        <v>12.99</v>
      </c>
      <c r="F210" s="4" t="s">
        <v>2662</v>
      </c>
      <c r="G210" s="2" t="s">
        <v>134</v>
      </c>
      <c r="H210" s="7" t="s">
        <v>42</v>
      </c>
      <c r="I210" s="2" t="s">
        <v>483</v>
      </c>
      <c r="J210" s="2" t="s">
        <v>536</v>
      </c>
      <c r="K210" s="2" t="s">
        <v>304</v>
      </c>
      <c r="L210" s="2" t="s">
        <v>38</v>
      </c>
      <c r="M210" s="8" t="str">
        <f>HYPERLINK("http://slimages.macys.com/is/image/MCY/14517553 ")</f>
        <v xml:space="preserve">http://slimages.macys.com/is/image/MCY/14517553 </v>
      </c>
    </row>
    <row r="211" spans="1:13" ht="60" x14ac:dyDescent="0.25">
      <c r="A211" s="7" t="s">
        <v>1104</v>
      </c>
      <c r="B211" s="2" t="s">
        <v>1105</v>
      </c>
      <c r="C211" s="4">
        <v>1</v>
      </c>
      <c r="D211" s="5">
        <v>4.8499999999999996</v>
      </c>
      <c r="E211" s="5">
        <v>11.99</v>
      </c>
      <c r="F211" s="4" t="s">
        <v>1106</v>
      </c>
      <c r="G211" s="2" t="s">
        <v>28</v>
      </c>
      <c r="H211" s="7" t="s">
        <v>228</v>
      </c>
      <c r="I211" s="2" t="s">
        <v>523</v>
      </c>
      <c r="J211" s="2" t="s">
        <v>921</v>
      </c>
      <c r="K211" s="2" t="s">
        <v>304</v>
      </c>
      <c r="L211" s="2" t="s">
        <v>323</v>
      </c>
      <c r="M211" s="8" t="str">
        <f>HYPERLINK("http://slimages.macys.com/is/image/MCY/11722256 ")</f>
        <v xml:space="preserve">http://slimages.macys.com/is/image/MCY/11722256 </v>
      </c>
    </row>
    <row r="212" spans="1:13" ht="60" x14ac:dyDescent="0.25">
      <c r="A212" s="7" t="s">
        <v>1994</v>
      </c>
      <c r="B212" s="2" t="s">
        <v>1991</v>
      </c>
      <c r="C212" s="4">
        <v>1</v>
      </c>
      <c r="D212" s="5">
        <v>4.75</v>
      </c>
      <c r="E212" s="5">
        <v>8.99</v>
      </c>
      <c r="F212" s="4" t="s">
        <v>1992</v>
      </c>
      <c r="G212" s="2" t="s">
        <v>653</v>
      </c>
      <c r="H212" s="7" t="s">
        <v>159</v>
      </c>
      <c r="I212" s="2" t="s">
        <v>73</v>
      </c>
      <c r="J212" s="2" t="s">
        <v>1917</v>
      </c>
      <c r="K212" s="2" t="s">
        <v>304</v>
      </c>
      <c r="L212" s="2" t="s">
        <v>125</v>
      </c>
      <c r="M212" s="8" t="str">
        <f>HYPERLINK("http://slimages.macys.com/is/image/MCY/13726811 ")</f>
        <v xml:space="preserve">http://slimages.macys.com/is/image/MCY/13726811 </v>
      </c>
    </row>
    <row r="213" spans="1:13" ht="60" x14ac:dyDescent="0.25">
      <c r="A213" s="7" t="s">
        <v>1110</v>
      </c>
      <c r="B213" s="2" t="s">
        <v>1086</v>
      </c>
      <c r="C213" s="4">
        <v>3</v>
      </c>
      <c r="D213" s="5">
        <v>4.75</v>
      </c>
      <c r="E213" s="5">
        <v>11.99</v>
      </c>
      <c r="F213" s="4">
        <v>4217</v>
      </c>
      <c r="G213" s="2" t="s">
        <v>41</v>
      </c>
      <c r="H213" s="7" t="s">
        <v>284</v>
      </c>
      <c r="I213" s="2" t="s">
        <v>523</v>
      </c>
      <c r="J213" s="2" t="s">
        <v>921</v>
      </c>
      <c r="K213" s="2" t="s">
        <v>304</v>
      </c>
      <c r="L213" s="2" t="s">
        <v>323</v>
      </c>
      <c r="M213" s="8" t="str">
        <f>HYPERLINK("http://slimages.macys.com/is/image/MCY/13050184 ")</f>
        <v xml:space="preserve">http://slimages.macys.com/is/image/MCY/13050184 </v>
      </c>
    </row>
    <row r="214" spans="1:13" ht="60" x14ac:dyDescent="0.25">
      <c r="A214" s="7" t="s">
        <v>5042</v>
      </c>
      <c r="B214" s="2" t="s">
        <v>5043</v>
      </c>
      <c r="C214" s="4">
        <v>1</v>
      </c>
      <c r="D214" s="5">
        <v>4.71</v>
      </c>
      <c r="E214" s="5">
        <v>12.99</v>
      </c>
      <c r="F214" s="4" t="s">
        <v>5044</v>
      </c>
      <c r="G214" s="2" t="s">
        <v>262</v>
      </c>
      <c r="H214" s="7" t="s">
        <v>123</v>
      </c>
      <c r="I214" s="2" t="s">
        <v>218</v>
      </c>
      <c r="J214" s="2" t="s">
        <v>2008</v>
      </c>
      <c r="K214" s="2" t="s">
        <v>304</v>
      </c>
      <c r="L214" s="2" t="s">
        <v>5045</v>
      </c>
      <c r="M214" s="8" t="str">
        <f>HYPERLINK("http://slimages.macys.com/is/image/MCY/12684319 ")</f>
        <v xml:space="preserve">http://slimages.macys.com/is/image/MCY/12684319 </v>
      </c>
    </row>
    <row r="215" spans="1:13" ht="84" x14ac:dyDescent="0.25">
      <c r="A215" s="7" t="s">
        <v>5046</v>
      </c>
      <c r="B215" s="2" t="s">
        <v>5047</v>
      </c>
      <c r="C215" s="4">
        <v>1</v>
      </c>
      <c r="D215" s="5">
        <v>4.59</v>
      </c>
      <c r="E215" s="5">
        <v>12.99</v>
      </c>
      <c r="F215" s="4" t="s">
        <v>5048</v>
      </c>
      <c r="G215" s="2" t="s">
        <v>28</v>
      </c>
      <c r="H215" s="7" t="s">
        <v>196</v>
      </c>
      <c r="I215" s="2" t="s">
        <v>515</v>
      </c>
      <c r="J215" s="2" t="s">
        <v>827</v>
      </c>
      <c r="K215" s="2" t="s">
        <v>304</v>
      </c>
      <c r="L215" s="2" t="s">
        <v>1117</v>
      </c>
      <c r="M215" s="8" t="str">
        <f>HYPERLINK("http://slimages.macys.com/is/image/MCY/11605924 ")</f>
        <v xml:space="preserve">http://slimages.macys.com/is/image/MCY/11605924 </v>
      </c>
    </row>
    <row r="216" spans="1:13" ht="60" x14ac:dyDescent="0.25">
      <c r="A216" s="7" t="s">
        <v>5049</v>
      </c>
      <c r="B216" s="2" t="s">
        <v>1122</v>
      </c>
      <c r="C216" s="4">
        <v>1</v>
      </c>
      <c r="D216" s="5">
        <v>4.55</v>
      </c>
      <c r="E216" s="5">
        <v>11.99</v>
      </c>
      <c r="F216" s="4" t="s">
        <v>1123</v>
      </c>
      <c r="G216" s="2" t="s">
        <v>36</v>
      </c>
      <c r="H216" s="7" t="s">
        <v>228</v>
      </c>
      <c r="I216" s="2" t="s">
        <v>523</v>
      </c>
      <c r="J216" s="2" t="s">
        <v>921</v>
      </c>
      <c r="K216" s="2" t="s">
        <v>304</v>
      </c>
      <c r="L216" s="2" t="s">
        <v>323</v>
      </c>
      <c r="M216" s="8" t="str">
        <f>HYPERLINK("http://slimages.macys.com/is/image/MCY/8345547 ")</f>
        <v xml:space="preserve">http://slimages.macys.com/is/image/MCY/8345547 </v>
      </c>
    </row>
    <row r="217" spans="1:13" ht="60" x14ac:dyDescent="0.25">
      <c r="A217" s="7" t="s">
        <v>5050</v>
      </c>
      <c r="B217" s="2" t="s">
        <v>5051</v>
      </c>
      <c r="C217" s="4">
        <v>1</v>
      </c>
      <c r="D217" s="5">
        <v>4.5</v>
      </c>
      <c r="E217" s="5">
        <v>10.99</v>
      </c>
      <c r="F217" s="4" t="s">
        <v>5052</v>
      </c>
      <c r="G217" s="2" t="s">
        <v>892</v>
      </c>
      <c r="H217" s="7"/>
      <c r="I217" s="2" t="s">
        <v>312</v>
      </c>
      <c r="J217" s="2" t="s">
        <v>2077</v>
      </c>
      <c r="K217" s="2" t="s">
        <v>304</v>
      </c>
      <c r="L217" s="2" t="s">
        <v>125</v>
      </c>
      <c r="M217" s="8" t="str">
        <f>HYPERLINK("http://slimages.macys.com/is/image/MCY/12045145 ")</f>
        <v xml:space="preserve">http://slimages.macys.com/is/image/MCY/12045145 </v>
      </c>
    </row>
    <row r="218" spans="1:13" ht="60" x14ac:dyDescent="0.25">
      <c r="A218" s="7" t="s">
        <v>1145</v>
      </c>
      <c r="B218" s="2" t="s">
        <v>1146</v>
      </c>
      <c r="C218" s="4">
        <v>2</v>
      </c>
      <c r="D218" s="5">
        <v>4.03</v>
      </c>
      <c r="E218" s="5">
        <v>11.98</v>
      </c>
      <c r="F218" s="4">
        <v>10006013300</v>
      </c>
      <c r="G218" s="2" t="s">
        <v>1147</v>
      </c>
      <c r="H218" s="7" t="s">
        <v>531</v>
      </c>
      <c r="I218" s="2" t="s">
        <v>483</v>
      </c>
      <c r="J218" s="2" t="s">
        <v>536</v>
      </c>
      <c r="K218" s="2" t="s">
        <v>304</v>
      </c>
      <c r="L218" s="2" t="s">
        <v>125</v>
      </c>
      <c r="M218" s="8" t="str">
        <f>HYPERLINK("http://slimages.macys.com/is/image/MCY/12465711 ")</f>
        <v xml:space="preserve">http://slimages.macys.com/is/image/MCY/12465711 </v>
      </c>
    </row>
    <row r="219" spans="1:13" ht="60" x14ac:dyDescent="0.25">
      <c r="A219" s="7" t="s">
        <v>5053</v>
      </c>
      <c r="B219" s="2" t="s">
        <v>5054</v>
      </c>
      <c r="C219" s="4">
        <v>1</v>
      </c>
      <c r="D219" s="5">
        <v>3.9</v>
      </c>
      <c r="E219" s="5">
        <v>7.99</v>
      </c>
      <c r="F219" s="4" t="s">
        <v>5055</v>
      </c>
      <c r="G219" s="2" t="s">
        <v>1047</v>
      </c>
      <c r="H219" s="7"/>
      <c r="I219" s="2" t="s">
        <v>523</v>
      </c>
      <c r="J219" s="2" t="s">
        <v>5056</v>
      </c>
      <c r="K219" s="2" t="s">
        <v>304</v>
      </c>
      <c r="L219" s="2" t="s">
        <v>358</v>
      </c>
      <c r="M219" s="8" t="str">
        <f>HYPERLINK("http://slimages.macys.com/is/image/MCY/3254673 ")</f>
        <v xml:space="preserve">http://slimages.macys.com/is/image/MCY/3254673 </v>
      </c>
    </row>
    <row r="220" spans="1:13" ht="132" x14ac:dyDescent="0.25">
      <c r="A220" s="7" t="s">
        <v>1101</v>
      </c>
      <c r="B220" s="2" t="s">
        <v>1102</v>
      </c>
      <c r="C220" s="4">
        <v>1</v>
      </c>
      <c r="D220" s="5">
        <v>3.89</v>
      </c>
      <c r="E220" s="5">
        <v>11.98</v>
      </c>
      <c r="F220" s="4">
        <v>100002521</v>
      </c>
      <c r="G220" s="2" t="s">
        <v>793</v>
      </c>
      <c r="H220" s="7" t="s">
        <v>531</v>
      </c>
      <c r="I220" s="2" t="s">
        <v>483</v>
      </c>
      <c r="J220" s="2" t="s">
        <v>536</v>
      </c>
      <c r="K220" s="2" t="s">
        <v>304</v>
      </c>
      <c r="L220" s="2" t="s">
        <v>1103</v>
      </c>
      <c r="M220" s="8" t="str">
        <f>HYPERLINK("http://slimages.macys.com/is/image/MCY/8691447 ")</f>
        <v xml:space="preserve">http://slimages.macys.com/is/image/MCY/8691447 </v>
      </c>
    </row>
    <row r="221" spans="1:13" ht="60" x14ac:dyDescent="0.25">
      <c r="A221" s="7" t="s">
        <v>2101</v>
      </c>
      <c r="B221" s="2" t="s">
        <v>2102</v>
      </c>
      <c r="C221" s="4">
        <v>1</v>
      </c>
      <c r="D221" s="5">
        <v>3.82</v>
      </c>
      <c r="E221" s="5">
        <v>16.8</v>
      </c>
      <c r="F221" s="4" t="s">
        <v>2103</v>
      </c>
      <c r="G221" s="2" t="s">
        <v>437</v>
      </c>
      <c r="H221" s="7" t="s">
        <v>531</v>
      </c>
      <c r="I221" s="2" t="s">
        <v>483</v>
      </c>
      <c r="J221" s="2" t="s">
        <v>536</v>
      </c>
      <c r="K221" s="2" t="s">
        <v>304</v>
      </c>
      <c r="L221" s="2"/>
      <c r="M221" s="8" t="str">
        <f>HYPERLINK("http://slimages.macys.com/is/image/MCY/12466269 ")</f>
        <v xml:space="preserve">http://slimages.macys.com/is/image/MCY/12466269 </v>
      </c>
    </row>
    <row r="222" spans="1:13" ht="60" x14ac:dyDescent="0.25">
      <c r="A222" s="7" t="s">
        <v>4309</v>
      </c>
      <c r="B222" s="2" t="s">
        <v>3446</v>
      </c>
      <c r="C222" s="4">
        <v>1</v>
      </c>
      <c r="D222" s="5">
        <v>3.49</v>
      </c>
      <c r="E222" s="5">
        <v>7.99</v>
      </c>
      <c r="F222" s="4" t="s">
        <v>4306</v>
      </c>
      <c r="G222" s="2" t="s">
        <v>129</v>
      </c>
      <c r="H222" s="7" t="s">
        <v>123</v>
      </c>
      <c r="I222" s="2" t="s">
        <v>292</v>
      </c>
      <c r="J222" s="2" t="s">
        <v>354</v>
      </c>
      <c r="K222" s="2" t="s">
        <v>304</v>
      </c>
      <c r="L222" s="2" t="s">
        <v>571</v>
      </c>
      <c r="M222" s="8" t="str">
        <f>HYPERLINK("http://slimages.macys.com/is/image/MCY/12951259 ")</f>
        <v xml:space="preserve">http://slimages.macys.com/is/image/MCY/12951259 </v>
      </c>
    </row>
    <row r="223" spans="1:13" ht="60" x14ac:dyDescent="0.25">
      <c r="A223" s="7" t="s">
        <v>5057</v>
      </c>
      <c r="B223" s="2" t="s">
        <v>5058</v>
      </c>
      <c r="C223" s="4">
        <v>1</v>
      </c>
      <c r="D223" s="5">
        <v>3.48</v>
      </c>
      <c r="E223" s="5">
        <v>5.99</v>
      </c>
      <c r="F223" s="4" t="s">
        <v>5059</v>
      </c>
      <c r="G223" s="2" t="s">
        <v>595</v>
      </c>
      <c r="H223" s="7" t="s">
        <v>63</v>
      </c>
      <c r="I223" s="2" t="s">
        <v>73</v>
      </c>
      <c r="J223" s="2" t="s">
        <v>1963</v>
      </c>
      <c r="K223" s="2" t="s">
        <v>304</v>
      </c>
      <c r="L223" s="2" t="s">
        <v>119</v>
      </c>
      <c r="M223" s="8" t="str">
        <f>HYPERLINK("http://slimages.macys.com/is/image/MCY/13360517 ")</f>
        <v xml:space="preserve">http://slimages.macys.com/is/image/MCY/13360517 </v>
      </c>
    </row>
    <row r="224" spans="1:13" ht="60" x14ac:dyDescent="0.25">
      <c r="A224" s="7" t="s">
        <v>2124</v>
      </c>
      <c r="B224" s="2" t="s">
        <v>2125</v>
      </c>
      <c r="C224" s="4">
        <v>1</v>
      </c>
      <c r="D224" s="5">
        <v>3.48</v>
      </c>
      <c r="E224" s="5">
        <v>5.99</v>
      </c>
      <c r="F224" s="4" t="s">
        <v>2126</v>
      </c>
      <c r="G224" s="2" t="s">
        <v>41</v>
      </c>
      <c r="H224" s="7" t="s">
        <v>166</v>
      </c>
      <c r="I224" s="2" t="s">
        <v>80</v>
      </c>
      <c r="J224" s="2" t="s">
        <v>1857</v>
      </c>
      <c r="K224" s="2" t="s">
        <v>304</v>
      </c>
      <c r="L224" s="2" t="s">
        <v>119</v>
      </c>
      <c r="M224" s="8" t="str">
        <f>HYPERLINK("http://slimages.macys.com/is/image/MCY/11209888 ")</f>
        <v xml:space="preserve">http://slimages.macys.com/is/image/MCY/11209888 </v>
      </c>
    </row>
    <row r="225" spans="1:13" ht="60" x14ac:dyDescent="0.25">
      <c r="A225" s="7" t="s">
        <v>5060</v>
      </c>
      <c r="B225" s="2" t="s">
        <v>2125</v>
      </c>
      <c r="C225" s="4">
        <v>1</v>
      </c>
      <c r="D225" s="5">
        <v>3.48</v>
      </c>
      <c r="E225" s="5">
        <v>5.99</v>
      </c>
      <c r="F225" s="4" t="s">
        <v>2126</v>
      </c>
      <c r="G225" s="2" t="s">
        <v>41</v>
      </c>
      <c r="H225" s="7" t="s">
        <v>68</v>
      </c>
      <c r="I225" s="2" t="s">
        <v>80</v>
      </c>
      <c r="J225" s="2" t="s">
        <v>1857</v>
      </c>
      <c r="K225" s="2" t="s">
        <v>304</v>
      </c>
      <c r="L225" s="2" t="s">
        <v>119</v>
      </c>
      <c r="M225" s="8" t="str">
        <f>HYPERLINK("http://slimages.macys.com/is/image/MCY/11209887 ")</f>
        <v xml:space="preserve">http://slimages.macys.com/is/image/MCY/11209887 </v>
      </c>
    </row>
    <row r="226" spans="1:13" ht="60" x14ac:dyDescent="0.25">
      <c r="A226" s="7" t="s">
        <v>5061</v>
      </c>
      <c r="B226" s="2" t="s">
        <v>5062</v>
      </c>
      <c r="C226" s="4">
        <v>1</v>
      </c>
      <c r="D226" s="5">
        <v>3.48</v>
      </c>
      <c r="E226" s="5">
        <v>5.99</v>
      </c>
      <c r="F226" s="4" t="s">
        <v>5063</v>
      </c>
      <c r="G226" s="2" t="s">
        <v>28</v>
      </c>
      <c r="H226" s="7" t="s">
        <v>166</v>
      </c>
      <c r="I226" s="2" t="s">
        <v>80</v>
      </c>
      <c r="J226" s="2" t="s">
        <v>1857</v>
      </c>
      <c r="K226" s="2" t="s">
        <v>304</v>
      </c>
      <c r="L226" s="2" t="s">
        <v>125</v>
      </c>
      <c r="M226" s="8" t="str">
        <f>HYPERLINK("http://slimages.macys.com/is/image/MCY/2581838 ")</f>
        <v xml:space="preserve">http://slimages.macys.com/is/image/MCY/2581838 </v>
      </c>
    </row>
    <row r="227" spans="1:13" ht="84" x14ac:dyDescent="0.25">
      <c r="A227" s="7" t="s">
        <v>1166</v>
      </c>
      <c r="B227" s="2" t="s">
        <v>1167</v>
      </c>
      <c r="C227" s="4">
        <v>1</v>
      </c>
      <c r="D227" s="5">
        <v>3.46</v>
      </c>
      <c r="E227" s="5">
        <v>8.99</v>
      </c>
      <c r="F227" s="4" t="s">
        <v>1168</v>
      </c>
      <c r="G227" s="2" t="s">
        <v>793</v>
      </c>
      <c r="H227" s="7" t="s">
        <v>531</v>
      </c>
      <c r="I227" s="2" t="s">
        <v>483</v>
      </c>
      <c r="J227" s="2" t="s">
        <v>484</v>
      </c>
      <c r="K227" s="2" t="s">
        <v>304</v>
      </c>
      <c r="L227" s="2" t="s">
        <v>532</v>
      </c>
      <c r="M227" s="8" t="str">
        <f>HYPERLINK("http://slimages.macys.com/is/image/MCY/8549849 ")</f>
        <v xml:space="preserve">http://slimages.macys.com/is/image/MCY/8549849 </v>
      </c>
    </row>
    <row r="228" spans="1:13" ht="60" x14ac:dyDescent="0.25">
      <c r="A228" s="7" t="s">
        <v>562</v>
      </c>
      <c r="B228" s="2" t="s">
        <v>563</v>
      </c>
      <c r="C228" s="4">
        <v>4</v>
      </c>
      <c r="D228" s="5">
        <v>3.46</v>
      </c>
      <c r="E228" s="5">
        <v>8.99</v>
      </c>
      <c r="F228" s="4">
        <v>100007426</v>
      </c>
      <c r="G228" s="2" t="s">
        <v>41</v>
      </c>
      <c r="H228" s="7" t="s">
        <v>531</v>
      </c>
      <c r="I228" s="2" t="s">
        <v>483</v>
      </c>
      <c r="J228" s="2" t="s">
        <v>484</v>
      </c>
      <c r="K228" s="2" t="s">
        <v>304</v>
      </c>
      <c r="L228" s="2" t="s">
        <v>119</v>
      </c>
      <c r="M228" s="8" t="str">
        <f>HYPERLINK("http://slimages.macys.com/is/image/MCY/9157888 ")</f>
        <v xml:space="preserve">http://slimages.macys.com/is/image/MCY/9157888 </v>
      </c>
    </row>
    <row r="229" spans="1:13" ht="60" x14ac:dyDescent="0.25">
      <c r="A229" s="7" t="s">
        <v>5064</v>
      </c>
      <c r="B229" s="2" t="s">
        <v>5065</v>
      </c>
      <c r="C229" s="4">
        <v>1</v>
      </c>
      <c r="D229" s="5">
        <v>3.38</v>
      </c>
      <c r="E229" s="5">
        <v>7.99</v>
      </c>
      <c r="F229" s="4" t="s">
        <v>5066</v>
      </c>
      <c r="G229" s="2" t="s">
        <v>103</v>
      </c>
      <c r="H229" s="7" t="s">
        <v>578</v>
      </c>
      <c r="I229" s="2" t="s">
        <v>1689</v>
      </c>
      <c r="J229" s="2" t="s">
        <v>354</v>
      </c>
      <c r="K229" s="2" t="s">
        <v>304</v>
      </c>
      <c r="L229" s="2" t="s">
        <v>596</v>
      </c>
      <c r="M229" s="8" t="str">
        <f>HYPERLINK("http://slimages.macys.com/is/image/MCY/11135865 ")</f>
        <v xml:space="preserve">http://slimages.macys.com/is/image/MCY/11135865 </v>
      </c>
    </row>
    <row r="230" spans="1:13" ht="60" x14ac:dyDescent="0.25">
      <c r="A230" s="7" t="s">
        <v>5067</v>
      </c>
      <c r="B230" s="2" t="s">
        <v>5068</v>
      </c>
      <c r="C230" s="4">
        <v>1</v>
      </c>
      <c r="D230" s="5">
        <v>3.29</v>
      </c>
      <c r="E230" s="5">
        <v>7.99</v>
      </c>
      <c r="F230" s="4" t="s">
        <v>5069</v>
      </c>
      <c r="G230" s="2" t="s">
        <v>103</v>
      </c>
      <c r="H230" s="7" t="s">
        <v>123</v>
      </c>
      <c r="I230" s="2" t="s">
        <v>1689</v>
      </c>
      <c r="J230" s="2" t="s">
        <v>354</v>
      </c>
      <c r="K230" s="2" t="s">
        <v>304</v>
      </c>
      <c r="L230" s="2" t="s">
        <v>119</v>
      </c>
      <c r="M230" s="8" t="str">
        <f>HYPERLINK("http://slimages.macys.com/is/image/MCY/11500700 ")</f>
        <v xml:space="preserve">http://slimages.macys.com/is/image/MCY/11500700 </v>
      </c>
    </row>
    <row r="231" spans="1:13" ht="60" x14ac:dyDescent="0.25">
      <c r="A231" s="7" t="s">
        <v>5070</v>
      </c>
      <c r="B231" s="2" t="s">
        <v>5071</v>
      </c>
      <c r="C231" s="4">
        <v>1</v>
      </c>
      <c r="D231" s="5">
        <v>3.29</v>
      </c>
      <c r="E231" s="5">
        <v>7.99</v>
      </c>
      <c r="F231" s="4" t="s">
        <v>5072</v>
      </c>
      <c r="G231" s="2" t="s">
        <v>103</v>
      </c>
      <c r="H231" s="7" t="s">
        <v>1151</v>
      </c>
      <c r="I231" s="2" t="s">
        <v>1689</v>
      </c>
      <c r="J231" s="2" t="s">
        <v>354</v>
      </c>
      <c r="K231" s="2" t="s">
        <v>304</v>
      </c>
      <c r="L231" s="2" t="s">
        <v>119</v>
      </c>
      <c r="M231" s="8" t="str">
        <f>HYPERLINK("http://slimages.macys.com/is/image/MCY/12465494 ")</f>
        <v xml:space="preserve">http://slimages.macys.com/is/image/MCY/12465494 </v>
      </c>
    </row>
    <row r="232" spans="1:13" ht="60" x14ac:dyDescent="0.25">
      <c r="A232" s="7" t="s">
        <v>5073</v>
      </c>
      <c r="B232" s="2" t="s">
        <v>5074</v>
      </c>
      <c r="C232" s="4">
        <v>1</v>
      </c>
      <c r="D232" s="5">
        <v>3.29</v>
      </c>
      <c r="E232" s="5">
        <v>7.99</v>
      </c>
      <c r="F232" s="4" t="s">
        <v>5075</v>
      </c>
      <c r="G232" s="2" t="s">
        <v>41</v>
      </c>
      <c r="H232" s="7" t="s">
        <v>63</v>
      </c>
      <c r="I232" s="2" t="s">
        <v>1689</v>
      </c>
      <c r="J232" s="2" t="s">
        <v>354</v>
      </c>
      <c r="K232" s="2" t="s">
        <v>304</v>
      </c>
      <c r="L232" s="2" t="s">
        <v>119</v>
      </c>
      <c r="M232" s="8" t="str">
        <f>HYPERLINK("http://slimages.macys.com/is/image/MCY/12101660 ")</f>
        <v xml:space="preserve">http://slimages.macys.com/is/image/MCY/12101660 </v>
      </c>
    </row>
    <row r="233" spans="1:13" ht="60" x14ac:dyDescent="0.25">
      <c r="A233" s="7" t="s">
        <v>3509</v>
      </c>
      <c r="B233" s="2" t="s">
        <v>588</v>
      </c>
      <c r="C233" s="4">
        <v>1</v>
      </c>
      <c r="D233" s="5">
        <v>2.96</v>
      </c>
      <c r="E233" s="5">
        <v>6.99</v>
      </c>
      <c r="F233" s="4" t="s">
        <v>589</v>
      </c>
      <c r="G233" s="2" t="s">
        <v>134</v>
      </c>
      <c r="H233" s="7" t="s">
        <v>91</v>
      </c>
      <c r="I233" s="2" t="s">
        <v>483</v>
      </c>
      <c r="J233" s="2" t="s">
        <v>536</v>
      </c>
      <c r="K233" s="2" t="s">
        <v>304</v>
      </c>
      <c r="L233" s="2" t="s">
        <v>119</v>
      </c>
      <c r="M233" s="8" t="str">
        <f>HYPERLINK("http://slimages.macys.com/is/image/MCY/14532191 ")</f>
        <v xml:space="preserve">http://slimages.macys.com/is/image/MCY/14532191 </v>
      </c>
    </row>
    <row r="234" spans="1:13" ht="60" x14ac:dyDescent="0.25">
      <c r="A234" s="7" t="s">
        <v>591</v>
      </c>
      <c r="B234" s="2" t="s">
        <v>588</v>
      </c>
      <c r="C234" s="4">
        <v>4</v>
      </c>
      <c r="D234" s="5">
        <v>2.96</v>
      </c>
      <c r="E234" s="5">
        <v>6.99</v>
      </c>
      <c r="F234" s="4" t="s">
        <v>589</v>
      </c>
      <c r="G234" s="2" t="s">
        <v>134</v>
      </c>
      <c r="H234" s="7" t="s">
        <v>42</v>
      </c>
      <c r="I234" s="2" t="s">
        <v>483</v>
      </c>
      <c r="J234" s="2" t="s">
        <v>536</v>
      </c>
      <c r="K234" s="2" t="s">
        <v>304</v>
      </c>
      <c r="L234" s="2" t="s">
        <v>119</v>
      </c>
      <c r="M234" s="8" t="str">
        <f>HYPERLINK("http://slimages.macys.com/is/image/MCY/14532191 ")</f>
        <v xml:space="preserve">http://slimages.macys.com/is/image/MCY/14532191 </v>
      </c>
    </row>
    <row r="235" spans="1:13" ht="60" x14ac:dyDescent="0.25">
      <c r="A235" s="7" t="s">
        <v>4402</v>
      </c>
      <c r="B235" s="2" t="s">
        <v>588</v>
      </c>
      <c r="C235" s="4">
        <v>1</v>
      </c>
      <c r="D235" s="5">
        <v>2.96</v>
      </c>
      <c r="E235" s="5">
        <v>6.99</v>
      </c>
      <c r="F235" s="4" t="s">
        <v>589</v>
      </c>
      <c r="G235" s="2" t="s">
        <v>134</v>
      </c>
      <c r="H235" s="7" t="s">
        <v>442</v>
      </c>
      <c r="I235" s="2" t="s">
        <v>483</v>
      </c>
      <c r="J235" s="2" t="s">
        <v>536</v>
      </c>
      <c r="K235" s="2" t="s">
        <v>304</v>
      </c>
      <c r="L235" s="2" t="s">
        <v>119</v>
      </c>
      <c r="M235" s="8" t="str">
        <f>HYPERLINK("http://slimages.macys.com/is/image/MCY/14532191 ")</f>
        <v xml:space="preserve">http://slimages.macys.com/is/image/MCY/14532191 </v>
      </c>
    </row>
    <row r="236" spans="1:13" ht="60" x14ac:dyDescent="0.25">
      <c r="A236" s="7" t="s">
        <v>5076</v>
      </c>
      <c r="B236" s="2" t="s">
        <v>5077</v>
      </c>
      <c r="C236" s="4">
        <v>1</v>
      </c>
      <c r="D236" s="5">
        <v>2.94</v>
      </c>
      <c r="E236" s="5">
        <v>6.99</v>
      </c>
      <c r="F236" s="4" t="s">
        <v>5078</v>
      </c>
      <c r="G236" s="2" t="s">
        <v>200</v>
      </c>
      <c r="H236" s="7" t="s">
        <v>91</v>
      </c>
      <c r="I236" s="2" t="s">
        <v>483</v>
      </c>
      <c r="J236" s="2" t="s">
        <v>536</v>
      </c>
      <c r="K236" s="2" t="s">
        <v>304</v>
      </c>
      <c r="L236" s="2" t="s">
        <v>119</v>
      </c>
      <c r="M236" s="8" t="str">
        <f>HYPERLINK("http://slimages.macys.com/is/image/MCY/10528643 ")</f>
        <v xml:space="preserve">http://slimages.macys.com/is/image/MCY/10528643 </v>
      </c>
    </row>
    <row r="237" spans="1:13" ht="60" x14ac:dyDescent="0.25">
      <c r="A237" s="7" t="s">
        <v>5079</v>
      </c>
      <c r="B237" s="2" t="s">
        <v>2709</v>
      </c>
      <c r="C237" s="4">
        <v>1</v>
      </c>
      <c r="D237" s="5">
        <v>2.79</v>
      </c>
      <c r="E237" s="5">
        <v>6.99</v>
      </c>
      <c r="F237" s="4">
        <v>10004643300</v>
      </c>
      <c r="G237" s="2" t="s">
        <v>297</v>
      </c>
      <c r="H237" s="7"/>
      <c r="I237" s="2" t="s">
        <v>483</v>
      </c>
      <c r="J237" s="2" t="s">
        <v>2710</v>
      </c>
      <c r="K237" s="2" t="s">
        <v>304</v>
      </c>
      <c r="L237" s="2" t="s">
        <v>2711</v>
      </c>
      <c r="M237" s="8" t="str">
        <f>HYPERLINK("http://slimages.macys.com/is/image/MCY/11547123 ")</f>
        <v xml:space="preserve">http://slimages.macys.com/is/image/MCY/11547123 </v>
      </c>
    </row>
    <row r="238" spans="1:13" ht="60" x14ac:dyDescent="0.25">
      <c r="A238" s="7" t="s">
        <v>2226</v>
      </c>
      <c r="B238" s="2" t="s">
        <v>2223</v>
      </c>
      <c r="C238" s="4">
        <v>1</v>
      </c>
      <c r="D238" s="5">
        <v>2.69</v>
      </c>
      <c r="E238" s="5">
        <v>5.99</v>
      </c>
      <c r="F238" s="4" t="s">
        <v>2224</v>
      </c>
      <c r="G238" s="2" t="s">
        <v>28</v>
      </c>
      <c r="H238" s="7" t="s">
        <v>42</v>
      </c>
      <c r="I238" s="2" t="s">
        <v>483</v>
      </c>
      <c r="J238" s="2" t="s">
        <v>536</v>
      </c>
      <c r="K238" s="2" t="s">
        <v>304</v>
      </c>
      <c r="L238" s="2" t="s">
        <v>206</v>
      </c>
      <c r="M238" s="8" t="str">
        <f>HYPERLINK("http://slimages.macys.com/is/image/MCY/11436881 ")</f>
        <v xml:space="preserve">http://slimages.macys.com/is/image/MCY/11436881 </v>
      </c>
    </row>
    <row r="239" spans="1:13" ht="84" x14ac:dyDescent="0.25">
      <c r="A239" s="7" t="s">
        <v>2238</v>
      </c>
      <c r="B239" s="2" t="s">
        <v>2228</v>
      </c>
      <c r="C239" s="4">
        <v>1</v>
      </c>
      <c r="D239" s="5">
        <v>2.67</v>
      </c>
      <c r="E239" s="5">
        <v>7.99</v>
      </c>
      <c r="F239" s="4" t="s">
        <v>2229</v>
      </c>
      <c r="G239" s="2" t="s">
        <v>527</v>
      </c>
      <c r="H239" s="7" t="s">
        <v>590</v>
      </c>
      <c r="I239" s="2" t="s">
        <v>483</v>
      </c>
      <c r="J239" s="2" t="s">
        <v>536</v>
      </c>
      <c r="K239" s="2" t="s">
        <v>304</v>
      </c>
      <c r="L239" s="2" t="s">
        <v>2230</v>
      </c>
      <c r="M239" s="8" t="str">
        <f>HYPERLINK("http://slimages.macys.com/is/image/MCY/14385110 ")</f>
        <v xml:space="preserve">http://slimages.macys.com/is/image/MCY/14385110 </v>
      </c>
    </row>
    <row r="240" spans="1:13" ht="60" x14ac:dyDescent="0.25">
      <c r="A240" s="7" t="s">
        <v>5080</v>
      </c>
      <c r="B240" s="2" t="s">
        <v>4495</v>
      </c>
      <c r="C240" s="4">
        <v>1</v>
      </c>
      <c r="D240" s="5">
        <v>2.63</v>
      </c>
      <c r="E240" s="5">
        <v>5.99</v>
      </c>
      <c r="F240" s="4" t="s">
        <v>4496</v>
      </c>
      <c r="G240" s="2" t="s">
        <v>858</v>
      </c>
      <c r="H240" s="7" t="s">
        <v>149</v>
      </c>
      <c r="I240" s="2" t="s">
        <v>483</v>
      </c>
      <c r="J240" s="2" t="s">
        <v>536</v>
      </c>
      <c r="K240" s="2" t="s">
        <v>304</v>
      </c>
      <c r="L240" s="2" t="s">
        <v>206</v>
      </c>
      <c r="M240" s="8" t="str">
        <f>HYPERLINK("http://slimages.macys.com/is/image/MCY/11709478 ")</f>
        <v xml:space="preserve">http://slimages.macys.com/is/image/MCY/11709478 </v>
      </c>
    </row>
    <row r="241" spans="1:13" ht="60" x14ac:dyDescent="0.25">
      <c r="A241" s="7" t="s">
        <v>5081</v>
      </c>
      <c r="B241" s="2" t="s">
        <v>1240</v>
      </c>
      <c r="C241" s="4">
        <v>1</v>
      </c>
      <c r="D241" s="5">
        <v>2.62</v>
      </c>
      <c r="E241" s="5">
        <v>6.99</v>
      </c>
      <c r="F241" s="4" t="s">
        <v>1241</v>
      </c>
      <c r="G241" s="2" t="s">
        <v>28</v>
      </c>
      <c r="H241" s="7" t="s">
        <v>91</v>
      </c>
      <c r="I241" s="2" t="s">
        <v>483</v>
      </c>
      <c r="J241" s="2" t="s">
        <v>536</v>
      </c>
      <c r="K241" s="2" t="s">
        <v>304</v>
      </c>
      <c r="L241" s="2" t="s">
        <v>100</v>
      </c>
      <c r="M241" s="8" t="str">
        <f>HYPERLINK("http://slimages.macys.com/is/image/MCY/13336558 ")</f>
        <v xml:space="preserve">http://slimages.macys.com/is/image/MCY/13336558 </v>
      </c>
    </row>
    <row r="242" spans="1:13" ht="60" x14ac:dyDescent="0.25">
      <c r="A242" s="7" t="s">
        <v>5082</v>
      </c>
      <c r="B242" s="2" t="s">
        <v>2276</v>
      </c>
      <c r="C242" s="4">
        <v>1</v>
      </c>
      <c r="D242" s="5">
        <v>2.61</v>
      </c>
      <c r="E242" s="5">
        <v>6.99</v>
      </c>
      <c r="F242" s="4" t="s">
        <v>2277</v>
      </c>
      <c r="G242" s="2" t="s">
        <v>527</v>
      </c>
      <c r="H242" s="7" t="s">
        <v>149</v>
      </c>
      <c r="I242" s="2" t="s">
        <v>483</v>
      </c>
      <c r="J242" s="2" t="s">
        <v>536</v>
      </c>
      <c r="K242" s="2" t="s">
        <v>304</v>
      </c>
      <c r="L242" s="2" t="s">
        <v>206</v>
      </c>
      <c r="M242" s="8" t="str">
        <f>HYPERLINK("http://slimages.macys.com/is/image/MCY/13336562 ")</f>
        <v xml:space="preserve">http://slimages.macys.com/is/image/MCY/13336562 </v>
      </c>
    </row>
    <row r="243" spans="1:13" ht="60" x14ac:dyDescent="0.25">
      <c r="A243" s="7" t="s">
        <v>5083</v>
      </c>
      <c r="B243" s="2" t="s">
        <v>3523</v>
      </c>
      <c r="C243" s="4">
        <v>1</v>
      </c>
      <c r="D243" s="5">
        <v>2.5099999999999998</v>
      </c>
      <c r="E243" s="5">
        <v>5.99</v>
      </c>
      <c r="F243" s="4" t="s">
        <v>3524</v>
      </c>
      <c r="G243" s="2" t="s">
        <v>657</v>
      </c>
      <c r="H243" s="7" t="s">
        <v>590</v>
      </c>
      <c r="I243" s="2" t="s">
        <v>483</v>
      </c>
      <c r="J243" s="2" t="s">
        <v>536</v>
      </c>
      <c r="K243" s="2" t="s">
        <v>304</v>
      </c>
      <c r="L243" s="2" t="s">
        <v>119</v>
      </c>
      <c r="M243" s="8" t="str">
        <f>HYPERLINK("http://slimages.macys.com/is/image/MCY/13987476 ")</f>
        <v xml:space="preserve">http://slimages.macys.com/is/image/MCY/13987476 </v>
      </c>
    </row>
    <row r="244" spans="1:13" ht="60" x14ac:dyDescent="0.25">
      <c r="A244" s="7" t="s">
        <v>1296</v>
      </c>
      <c r="B244" s="2" t="s">
        <v>1297</v>
      </c>
      <c r="C244" s="4">
        <v>1</v>
      </c>
      <c r="D244" s="5">
        <v>2.4900000000000002</v>
      </c>
      <c r="E244" s="5">
        <v>6.99</v>
      </c>
      <c r="F244" s="4" t="s">
        <v>1298</v>
      </c>
      <c r="G244" s="2" t="s">
        <v>171</v>
      </c>
      <c r="H244" s="7"/>
      <c r="I244" s="2" t="s">
        <v>483</v>
      </c>
      <c r="J244" s="2" t="s">
        <v>536</v>
      </c>
      <c r="K244" s="2" t="s">
        <v>304</v>
      </c>
      <c r="L244" s="2" t="s">
        <v>100</v>
      </c>
      <c r="M244" s="8" t="str">
        <f>HYPERLINK("http://slimages.macys.com/is/image/MCY/13987459 ")</f>
        <v xml:space="preserve">http://slimages.macys.com/is/image/MCY/13987459 </v>
      </c>
    </row>
    <row r="245" spans="1:13" ht="84" x14ac:dyDescent="0.25">
      <c r="A245" s="7" t="s">
        <v>5084</v>
      </c>
      <c r="B245" s="2" t="s">
        <v>1307</v>
      </c>
      <c r="C245" s="4">
        <v>1</v>
      </c>
      <c r="D245" s="5">
        <v>2.4900000000000002</v>
      </c>
      <c r="E245" s="5">
        <v>6.99</v>
      </c>
      <c r="F245" s="4">
        <v>10006315700</v>
      </c>
      <c r="G245" s="2" t="s">
        <v>41</v>
      </c>
      <c r="H245" s="7"/>
      <c r="I245" s="2" t="s">
        <v>483</v>
      </c>
      <c r="J245" s="2" t="s">
        <v>536</v>
      </c>
      <c r="K245" s="2" t="s">
        <v>304</v>
      </c>
      <c r="L245" s="2" t="s">
        <v>1308</v>
      </c>
      <c r="M245" s="8" t="str">
        <f>HYPERLINK("http://slimages.macys.com/is/image/MCY/13987457 ")</f>
        <v xml:space="preserve">http://slimages.macys.com/is/image/MCY/13987457 </v>
      </c>
    </row>
    <row r="246" spans="1:13" ht="60" x14ac:dyDescent="0.25">
      <c r="A246" s="7" t="s">
        <v>5085</v>
      </c>
      <c r="B246" s="2" t="s">
        <v>1339</v>
      </c>
      <c r="C246" s="4">
        <v>1</v>
      </c>
      <c r="D246" s="5">
        <v>2.4</v>
      </c>
      <c r="E246" s="5">
        <v>4.99</v>
      </c>
      <c r="F246" s="4" t="s">
        <v>1340</v>
      </c>
      <c r="G246" s="2" t="s">
        <v>41</v>
      </c>
      <c r="H246" s="7" t="s">
        <v>284</v>
      </c>
      <c r="I246" s="2" t="s">
        <v>523</v>
      </c>
      <c r="J246" s="2" t="s">
        <v>921</v>
      </c>
      <c r="K246" s="2" t="s">
        <v>304</v>
      </c>
      <c r="L246" s="2" t="s">
        <v>323</v>
      </c>
      <c r="M246" s="8" t="str">
        <f>HYPERLINK("http://slimages.macys.com/is/image/MCY/12083632 ")</f>
        <v xml:space="preserve">http://slimages.macys.com/is/image/MCY/12083632 </v>
      </c>
    </row>
    <row r="247" spans="1:13" ht="60" x14ac:dyDescent="0.25">
      <c r="A247" s="7" t="s">
        <v>2347</v>
      </c>
      <c r="B247" s="2" t="s">
        <v>2348</v>
      </c>
      <c r="C247" s="4">
        <v>1</v>
      </c>
      <c r="D247" s="5">
        <v>2.31</v>
      </c>
      <c r="E247" s="5">
        <v>7.99</v>
      </c>
      <c r="F247" s="4">
        <v>10005380100</v>
      </c>
      <c r="G247" s="2" t="s">
        <v>1360</v>
      </c>
      <c r="H247" s="7" t="s">
        <v>531</v>
      </c>
      <c r="I247" s="2" t="s">
        <v>483</v>
      </c>
      <c r="J247" s="2" t="s">
        <v>536</v>
      </c>
      <c r="K247" s="2" t="s">
        <v>304</v>
      </c>
      <c r="L247" s="2" t="s">
        <v>87</v>
      </c>
      <c r="M247" s="8" t="str">
        <f>HYPERLINK("http://slimages.macys.com/is/image/MCY/12466174 ")</f>
        <v xml:space="preserve">http://slimages.macys.com/is/image/MCY/12466174 </v>
      </c>
    </row>
    <row r="248" spans="1:13" ht="108" x14ac:dyDescent="0.25">
      <c r="A248" s="7" t="s">
        <v>5086</v>
      </c>
      <c r="B248" s="2" t="s">
        <v>5087</v>
      </c>
      <c r="C248" s="4">
        <v>1</v>
      </c>
      <c r="D248" s="5">
        <v>2.2999999999999998</v>
      </c>
      <c r="E248" s="5">
        <v>6.99</v>
      </c>
      <c r="F248" s="4">
        <v>10004350400</v>
      </c>
      <c r="G248" s="2" t="s">
        <v>134</v>
      </c>
      <c r="H248" s="7" t="s">
        <v>531</v>
      </c>
      <c r="I248" s="2" t="s">
        <v>483</v>
      </c>
      <c r="J248" s="2" t="s">
        <v>536</v>
      </c>
      <c r="K248" s="2" t="s">
        <v>304</v>
      </c>
      <c r="L248" s="2" t="s">
        <v>5088</v>
      </c>
      <c r="M248" s="8" t="str">
        <f>HYPERLINK("http://slimages.macys.com/is/image/MCY/11437055 ")</f>
        <v xml:space="preserve">http://slimages.macys.com/is/image/MCY/11437055 </v>
      </c>
    </row>
    <row r="249" spans="1:13" ht="60" x14ac:dyDescent="0.25">
      <c r="A249" s="7" t="s">
        <v>5089</v>
      </c>
      <c r="B249" s="2" t="s">
        <v>5090</v>
      </c>
      <c r="C249" s="4">
        <v>1</v>
      </c>
      <c r="D249" s="5">
        <v>2.29</v>
      </c>
      <c r="E249" s="5">
        <v>5.99</v>
      </c>
      <c r="F249" s="4" t="s">
        <v>5091</v>
      </c>
      <c r="G249" s="2" t="s">
        <v>41</v>
      </c>
      <c r="H249" s="7" t="s">
        <v>442</v>
      </c>
      <c r="I249" s="2" t="s">
        <v>483</v>
      </c>
      <c r="J249" s="2" t="s">
        <v>536</v>
      </c>
      <c r="K249" s="2" t="s">
        <v>304</v>
      </c>
      <c r="L249" s="2" t="s">
        <v>100</v>
      </c>
      <c r="M249" s="8" t="str">
        <f>HYPERLINK("http://slimages.macys.com/is/image/MCY/11855990 ")</f>
        <v xml:space="preserve">http://slimages.macys.com/is/image/MCY/11855990 </v>
      </c>
    </row>
    <row r="250" spans="1:13" ht="60" x14ac:dyDescent="0.25">
      <c r="A250" s="7" t="s">
        <v>5092</v>
      </c>
      <c r="B250" s="2" t="s">
        <v>5093</v>
      </c>
      <c r="C250" s="4">
        <v>1</v>
      </c>
      <c r="D250" s="5">
        <v>2.29</v>
      </c>
      <c r="E250" s="5">
        <v>5.99</v>
      </c>
      <c r="F250" s="4" t="s">
        <v>5094</v>
      </c>
      <c r="G250" s="2" t="s">
        <v>28</v>
      </c>
      <c r="H250" s="7" t="s">
        <v>91</v>
      </c>
      <c r="I250" s="2" t="s">
        <v>483</v>
      </c>
      <c r="J250" s="2" t="s">
        <v>536</v>
      </c>
      <c r="K250" s="2" t="s">
        <v>304</v>
      </c>
      <c r="L250" s="2" t="s">
        <v>87</v>
      </c>
      <c r="M250" s="8" t="str">
        <f>HYPERLINK("http://slimages.macys.com/is/image/MCY/12230833 ")</f>
        <v xml:space="preserve">http://slimages.macys.com/is/image/MCY/12230833 </v>
      </c>
    </row>
    <row r="251" spans="1:13" ht="60" x14ac:dyDescent="0.25">
      <c r="A251" s="7" t="s">
        <v>5095</v>
      </c>
      <c r="B251" s="2" t="s">
        <v>5093</v>
      </c>
      <c r="C251" s="4">
        <v>3</v>
      </c>
      <c r="D251" s="5">
        <v>2.29</v>
      </c>
      <c r="E251" s="5">
        <v>5.99</v>
      </c>
      <c r="F251" s="4" t="s">
        <v>5094</v>
      </c>
      <c r="G251" s="2" t="s">
        <v>28</v>
      </c>
      <c r="H251" s="7" t="s">
        <v>42</v>
      </c>
      <c r="I251" s="2" t="s">
        <v>483</v>
      </c>
      <c r="J251" s="2" t="s">
        <v>536</v>
      </c>
      <c r="K251" s="2" t="s">
        <v>304</v>
      </c>
      <c r="L251" s="2" t="s">
        <v>87</v>
      </c>
      <c r="M251" s="8" t="str">
        <f>HYPERLINK("http://slimages.macys.com/is/image/MCY/12230833 ")</f>
        <v xml:space="preserve">http://slimages.macys.com/is/image/MCY/12230833 </v>
      </c>
    </row>
    <row r="252" spans="1:13" ht="60" x14ac:dyDescent="0.25">
      <c r="A252" s="7" t="s">
        <v>5096</v>
      </c>
      <c r="B252" s="2" t="s">
        <v>5097</v>
      </c>
      <c r="C252" s="4">
        <v>1</v>
      </c>
      <c r="D252" s="5">
        <v>2.2400000000000002</v>
      </c>
      <c r="E252" s="5">
        <v>5.99</v>
      </c>
      <c r="F252" s="4" t="s">
        <v>5098</v>
      </c>
      <c r="G252" s="2" t="s">
        <v>1302</v>
      </c>
      <c r="H252" s="7" t="s">
        <v>42</v>
      </c>
      <c r="I252" s="2" t="s">
        <v>483</v>
      </c>
      <c r="J252" s="2" t="s">
        <v>536</v>
      </c>
      <c r="K252" s="2" t="s">
        <v>304</v>
      </c>
      <c r="L252" s="2" t="s">
        <v>119</v>
      </c>
      <c r="M252" s="8" t="str">
        <f>HYPERLINK("http://slimages.macys.com/is/image/MCY/11855964 ")</f>
        <v xml:space="preserve">http://slimages.macys.com/is/image/MCY/11855964 </v>
      </c>
    </row>
    <row r="253" spans="1:13" ht="60" x14ac:dyDescent="0.25">
      <c r="A253" s="7" t="s">
        <v>5099</v>
      </c>
      <c r="B253" s="2" t="s">
        <v>5100</v>
      </c>
      <c r="C253" s="4">
        <v>1</v>
      </c>
      <c r="D253" s="5">
        <v>2.2200000000000002</v>
      </c>
      <c r="E253" s="5">
        <v>5.99</v>
      </c>
      <c r="F253" s="4" t="s">
        <v>5101</v>
      </c>
      <c r="G253" s="2" t="s">
        <v>657</v>
      </c>
      <c r="H253" s="7" t="s">
        <v>590</v>
      </c>
      <c r="I253" s="2" t="s">
        <v>483</v>
      </c>
      <c r="J253" s="2" t="s">
        <v>536</v>
      </c>
      <c r="K253" s="2" t="s">
        <v>304</v>
      </c>
      <c r="L253" s="2" t="s">
        <v>119</v>
      </c>
      <c r="M253" s="8" t="str">
        <f>HYPERLINK("http://slimages.macys.com/is/image/MCY/13987611 ")</f>
        <v xml:space="preserve">http://slimages.macys.com/is/image/MCY/13987611 </v>
      </c>
    </row>
    <row r="254" spans="1:13" ht="72" x14ac:dyDescent="0.25">
      <c r="A254" s="7" t="s">
        <v>4610</v>
      </c>
      <c r="B254" s="2" t="s">
        <v>4607</v>
      </c>
      <c r="C254" s="4">
        <v>2</v>
      </c>
      <c r="D254" s="5">
        <v>2.21</v>
      </c>
      <c r="E254" s="5">
        <v>6.99</v>
      </c>
      <c r="F254" s="4" t="s">
        <v>4608</v>
      </c>
      <c r="G254" s="2" t="s">
        <v>41</v>
      </c>
      <c r="H254" s="7" t="s">
        <v>586</v>
      </c>
      <c r="I254" s="2" t="s">
        <v>483</v>
      </c>
      <c r="J254" s="2" t="s">
        <v>536</v>
      </c>
      <c r="K254" s="2" t="s">
        <v>304</v>
      </c>
      <c r="L254" s="2" t="s">
        <v>4609</v>
      </c>
      <c r="M254" s="8" t="str">
        <f>HYPERLINK("http://slimages.macys.com/is/image/MCY/13987511 ")</f>
        <v xml:space="preserve">http://slimages.macys.com/is/image/MCY/13987511 </v>
      </c>
    </row>
    <row r="255" spans="1:13" ht="60" x14ac:dyDescent="0.25">
      <c r="A255" s="7" t="s">
        <v>5102</v>
      </c>
      <c r="B255" s="2" t="s">
        <v>5103</v>
      </c>
      <c r="C255" s="4">
        <v>1</v>
      </c>
      <c r="D255" s="5">
        <v>2.16</v>
      </c>
      <c r="E255" s="5">
        <v>5.99</v>
      </c>
      <c r="F255" s="4" t="s">
        <v>5104</v>
      </c>
      <c r="G255" s="2" t="s">
        <v>262</v>
      </c>
      <c r="H255" s="7" t="s">
        <v>42</v>
      </c>
      <c r="I255" s="2" t="s">
        <v>483</v>
      </c>
      <c r="J255" s="2" t="s">
        <v>536</v>
      </c>
      <c r="K255" s="2" t="s">
        <v>304</v>
      </c>
      <c r="L255" s="2" t="s">
        <v>119</v>
      </c>
      <c r="M255" s="8" t="str">
        <f>HYPERLINK("http://slimages.macys.com/is/image/MCY/11525709 ")</f>
        <v xml:space="preserve">http://slimages.macys.com/is/image/MCY/11525709 </v>
      </c>
    </row>
    <row r="256" spans="1:13" ht="60" x14ac:dyDescent="0.25">
      <c r="A256" s="7" t="s">
        <v>5105</v>
      </c>
      <c r="B256" s="2" t="s">
        <v>5106</v>
      </c>
      <c r="C256" s="4">
        <v>1</v>
      </c>
      <c r="D256" s="5">
        <v>2.12</v>
      </c>
      <c r="E256" s="5">
        <v>5.99</v>
      </c>
      <c r="F256" s="4" t="s">
        <v>5107</v>
      </c>
      <c r="G256" s="2" t="s">
        <v>41</v>
      </c>
      <c r="H256" s="7" t="s">
        <v>149</v>
      </c>
      <c r="I256" s="2" t="s">
        <v>483</v>
      </c>
      <c r="J256" s="2" t="s">
        <v>536</v>
      </c>
      <c r="K256" s="2" t="s">
        <v>304</v>
      </c>
      <c r="L256" s="2" t="s">
        <v>206</v>
      </c>
      <c r="M256" s="8" t="str">
        <f>HYPERLINK("http://slimages.macys.com/is/image/MCY/11856981 ")</f>
        <v xml:space="preserve">http://slimages.macys.com/is/image/MCY/11856981 </v>
      </c>
    </row>
    <row r="257" spans="1:13" ht="60" x14ac:dyDescent="0.25">
      <c r="A257" s="7" t="s">
        <v>5108</v>
      </c>
      <c r="B257" s="2" t="s">
        <v>5109</v>
      </c>
      <c r="C257" s="4">
        <v>1</v>
      </c>
      <c r="D257" s="5">
        <v>2.11</v>
      </c>
      <c r="E257" s="5">
        <v>5.99</v>
      </c>
      <c r="F257" s="4" t="s">
        <v>5110</v>
      </c>
      <c r="G257" s="2" t="s">
        <v>793</v>
      </c>
      <c r="H257" s="7" t="s">
        <v>91</v>
      </c>
      <c r="I257" s="2" t="s">
        <v>483</v>
      </c>
      <c r="J257" s="2" t="s">
        <v>536</v>
      </c>
      <c r="K257" s="2" t="s">
        <v>304</v>
      </c>
      <c r="L257" s="2" t="s">
        <v>119</v>
      </c>
      <c r="M257" s="8" t="str">
        <f>HYPERLINK("http://slimages.macys.com/is/image/MCY/13987430 ")</f>
        <v xml:space="preserve">http://slimages.macys.com/is/image/MCY/13987430 </v>
      </c>
    </row>
    <row r="258" spans="1:13" ht="60" x14ac:dyDescent="0.25">
      <c r="A258" s="7" t="s">
        <v>5111</v>
      </c>
      <c r="B258" s="2" t="s">
        <v>2410</v>
      </c>
      <c r="C258" s="4">
        <v>1</v>
      </c>
      <c r="D258" s="5">
        <v>1.97</v>
      </c>
      <c r="E258" s="5">
        <v>5.99</v>
      </c>
      <c r="F258" s="4" t="s">
        <v>2411</v>
      </c>
      <c r="G258" s="2" t="s">
        <v>41</v>
      </c>
      <c r="H258" s="7" t="s">
        <v>590</v>
      </c>
      <c r="I258" s="2" t="s">
        <v>483</v>
      </c>
      <c r="J258" s="2" t="s">
        <v>536</v>
      </c>
      <c r="K258" s="2" t="s">
        <v>304</v>
      </c>
      <c r="L258" s="2" t="s">
        <v>206</v>
      </c>
      <c r="M258" s="8" t="str">
        <f>HYPERLINK("http://slimages.macys.com/is/image/MCY/12644612 ")</f>
        <v xml:space="preserve">http://slimages.macys.com/is/image/MCY/12644612 </v>
      </c>
    </row>
    <row r="259" spans="1:13" ht="36" x14ac:dyDescent="0.25">
      <c r="A259" s="7" t="s">
        <v>5112</v>
      </c>
      <c r="B259" s="2" t="s">
        <v>649</v>
      </c>
      <c r="C259" s="4">
        <v>1</v>
      </c>
      <c r="D259" s="5">
        <v>10.75</v>
      </c>
      <c r="E259" s="5">
        <v>38</v>
      </c>
      <c r="F259" s="4" t="s">
        <v>649</v>
      </c>
      <c r="G259" s="2" t="s">
        <v>303</v>
      </c>
      <c r="H259" s="7" t="s">
        <v>177</v>
      </c>
      <c r="I259" s="2" t="s">
        <v>50</v>
      </c>
      <c r="J259" s="2" t="s">
        <v>650</v>
      </c>
      <c r="K259" s="2"/>
      <c r="L259" s="2"/>
      <c r="M259" s="8"/>
    </row>
    <row r="260" spans="1:13" ht="60" x14ac:dyDescent="0.25">
      <c r="A260" s="7" t="s">
        <v>5113</v>
      </c>
      <c r="B260" s="2" t="s">
        <v>4617</v>
      </c>
      <c r="C260" s="4">
        <v>1</v>
      </c>
      <c r="D260" s="5">
        <v>10.3</v>
      </c>
      <c r="E260" s="5">
        <v>20.6</v>
      </c>
      <c r="F260" s="4">
        <v>27872211</v>
      </c>
      <c r="G260" s="2"/>
      <c r="H260" s="7"/>
      <c r="I260" s="2" t="s">
        <v>487</v>
      </c>
      <c r="J260" s="2" t="s">
        <v>2424</v>
      </c>
      <c r="K260" s="2"/>
      <c r="L260" s="2"/>
      <c r="M260" s="8"/>
    </row>
    <row r="261" spans="1:13" ht="36" x14ac:dyDescent="0.25">
      <c r="A261" s="7" t="s">
        <v>5114</v>
      </c>
      <c r="B261" s="2" t="s">
        <v>5115</v>
      </c>
      <c r="C261" s="4">
        <v>1</v>
      </c>
      <c r="D261" s="5">
        <v>9.25</v>
      </c>
      <c r="E261" s="5">
        <v>34</v>
      </c>
      <c r="F261" s="4" t="s">
        <v>5116</v>
      </c>
      <c r="G261" s="2" t="s">
        <v>437</v>
      </c>
      <c r="H261" s="7" t="s">
        <v>2740</v>
      </c>
      <c r="I261" s="2" t="s">
        <v>50</v>
      </c>
      <c r="J261" s="2" t="s">
        <v>650</v>
      </c>
      <c r="K261" s="2"/>
      <c r="L261" s="2"/>
      <c r="M261" s="8"/>
    </row>
    <row r="262" spans="1:13" ht="36" x14ac:dyDescent="0.25">
      <c r="A262" s="7" t="s">
        <v>5117</v>
      </c>
      <c r="B262" s="2" t="s">
        <v>5118</v>
      </c>
      <c r="C262" s="4">
        <v>1</v>
      </c>
      <c r="D262" s="5">
        <v>6.4</v>
      </c>
      <c r="E262" s="5">
        <v>14.55</v>
      </c>
      <c r="F262" s="4">
        <v>17891410</v>
      </c>
      <c r="G262" s="2" t="s">
        <v>48</v>
      </c>
      <c r="H262" s="7" t="s">
        <v>442</v>
      </c>
      <c r="I262" s="2" t="s">
        <v>153</v>
      </c>
      <c r="J262" s="2" t="s">
        <v>154</v>
      </c>
      <c r="K262" s="2"/>
      <c r="L262" s="2"/>
      <c r="M262" s="8"/>
    </row>
  </sheetData>
  <pageMargins left="0.5" right="0.5" top="0.25" bottom="0.25" header="0.3" footer="0.3"/>
  <pageSetup scale="65" orientation="landscape" horizontalDpi="0" verticalDpi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19"/>
  <sheetViews>
    <sheetView workbookViewId="0">
      <selection activeCell="N9" sqref="N9"/>
    </sheetView>
  </sheetViews>
  <sheetFormatPr defaultRowHeight="15" x14ac:dyDescent="0.25"/>
  <cols>
    <col min="1" max="1" width="14.28515625" customWidth="1"/>
    <col min="2" max="2" width="43.42578125" customWidth="1"/>
    <col min="3" max="3" width="15" customWidth="1"/>
    <col min="4" max="4" width="10.85546875" customWidth="1"/>
    <col min="5" max="5" width="13.28515625" customWidth="1"/>
    <col min="6" max="6" width="13" customWidth="1"/>
    <col min="7" max="7" width="10.28515625" customWidth="1"/>
    <col min="8" max="8" width="13.7109375" customWidth="1"/>
    <col min="9" max="11" width="11.42578125" customWidth="1"/>
    <col min="12" max="12" width="8" customWidth="1"/>
    <col min="13" max="13" width="10.85546875" customWidth="1"/>
    <col min="14" max="14" width="12.140625" customWidth="1"/>
    <col min="15" max="15" width="36.5703125" bestFit="1" customWidth="1"/>
    <col min="16" max="17" width="20.7109375" customWidth="1"/>
    <col min="18" max="18" width="64.28515625" customWidth="1"/>
  </cols>
  <sheetData>
    <row r="1" spans="1:13" ht="36" x14ac:dyDescent="0.25">
      <c r="A1" s="14" t="s">
        <v>0</v>
      </c>
      <c r="B1" s="14" t="s">
        <v>1</v>
      </c>
      <c r="C1" s="14" t="s">
        <v>2</v>
      </c>
      <c r="D1" s="14" t="s">
        <v>3</v>
      </c>
      <c r="E1" s="14" t="s">
        <v>4</v>
      </c>
      <c r="F1" s="14" t="s">
        <v>5</v>
      </c>
      <c r="G1" s="14" t="s">
        <v>6</v>
      </c>
      <c r="H1" s="14" t="s">
        <v>7</v>
      </c>
      <c r="I1" s="14" t="s">
        <v>8</v>
      </c>
      <c r="J1" s="14" t="s">
        <v>9</v>
      </c>
    </row>
    <row r="2" spans="1:13" ht="36" x14ac:dyDescent="0.25">
      <c r="A2" s="2" t="s">
        <v>654</v>
      </c>
      <c r="B2" s="3">
        <v>12488851</v>
      </c>
      <c r="C2" s="2" t="s">
        <v>11</v>
      </c>
      <c r="D2" s="2" t="s">
        <v>12</v>
      </c>
      <c r="E2" s="4">
        <v>1</v>
      </c>
      <c r="F2" s="4">
        <v>22</v>
      </c>
      <c r="G2" s="2">
        <v>327</v>
      </c>
      <c r="H2" s="5">
        <v>8159.59</v>
      </c>
      <c r="I2" s="5">
        <v>20137.14</v>
      </c>
      <c r="J2" s="2">
        <v>1201</v>
      </c>
    </row>
    <row r="4" spans="1:13" s="6" customFormat="1" x14ac:dyDescent="0.25"/>
    <row r="7" spans="1:13" s="6" customFormat="1" x14ac:dyDescent="0.25"/>
    <row r="8" spans="1:13" ht="36" x14ac:dyDescent="0.25">
      <c r="A8" s="14" t="s">
        <v>13</v>
      </c>
      <c r="B8" s="14" t="s">
        <v>14</v>
      </c>
      <c r="C8" s="14" t="s">
        <v>15</v>
      </c>
      <c r="D8" s="14" t="s">
        <v>16</v>
      </c>
      <c r="E8" s="14" t="s">
        <v>17</v>
      </c>
      <c r="F8" s="14" t="s">
        <v>18</v>
      </c>
      <c r="G8" s="14" t="s">
        <v>19</v>
      </c>
      <c r="H8" s="14" t="s">
        <v>20</v>
      </c>
      <c r="I8" s="14" t="s">
        <v>21</v>
      </c>
      <c r="J8" s="14" t="s">
        <v>22</v>
      </c>
      <c r="K8" s="14" t="s">
        <v>2737</v>
      </c>
      <c r="L8" s="14" t="s">
        <v>23</v>
      </c>
      <c r="M8" s="14" t="s">
        <v>24</v>
      </c>
    </row>
    <row r="9" spans="1:13" ht="72" x14ac:dyDescent="0.25">
      <c r="A9" s="7" t="s">
        <v>3598</v>
      </c>
      <c r="B9" s="2" t="s">
        <v>3599</v>
      </c>
      <c r="C9" s="4">
        <v>1</v>
      </c>
      <c r="D9" s="5">
        <v>67.05</v>
      </c>
      <c r="E9" s="5">
        <v>149</v>
      </c>
      <c r="F9" s="4" t="s">
        <v>3600</v>
      </c>
      <c r="G9" s="2" t="s">
        <v>62</v>
      </c>
      <c r="H9" s="7"/>
      <c r="I9" s="2" t="s">
        <v>3129</v>
      </c>
      <c r="J9" s="2" t="s">
        <v>3601</v>
      </c>
      <c r="K9" s="2" t="s">
        <v>304</v>
      </c>
      <c r="L9" s="2" t="s">
        <v>3602</v>
      </c>
      <c r="M9" s="8" t="str">
        <f>HYPERLINK("http://slimages.macys.com/is/image/MCY/10222244 ")</f>
        <v xml:space="preserve">http://slimages.macys.com/is/image/MCY/10222244 </v>
      </c>
    </row>
    <row r="10" spans="1:13" ht="96" x14ac:dyDescent="0.25">
      <c r="A10" s="7" t="s">
        <v>3603</v>
      </c>
      <c r="B10" s="2" t="s">
        <v>3604</v>
      </c>
      <c r="C10" s="4">
        <v>1</v>
      </c>
      <c r="D10" s="5">
        <v>44.55</v>
      </c>
      <c r="E10" s="5">
        <v>99</v>
      </c>
      <c r="F10" s="4" t="s">
        <v>3605</v>
      </c>
      <c r="G10" s="2" t="s">
        <v>86</v>
      </c>
      <c r="H10" s="7" t="s">
        <v>604</v>
      </c>
      <c r="I10" s="2" t="s">
        <v>43</v>
      </c>
      <c r="J10" s="2" t="s">
        <v>3606</v>
      </c>
      <c r="K10" s="2" t="s">
        <v>304</v>
      </c>
      <c r="L10" s="2" t="s">
        <v>3607</v>
      </c>
      <c r="M10" s="8" t="str">
        <f>HYPERLINK("http://slimages.macys.com/is/image/MCY/10534375 ")</f>
        <v xml:space="preserve">http://slimages.macys.com/is/image/MCY/10534375 </v>
      </c>
    </row>
    <row r="11" spans="1:13" ht="60" x14ac:dyDescent="0.25">
      <c r="A11" s="7" t="s">
        <v>2798</v>
      </c>
      <c r="B11" s="2" t="s">
        <v>2799</v>
      </c>
      <c r="C11" s="4">
        <v>1</v>
      </c>
      <c r="D11" s="5">
        <v>27.8</v>
      </c>
      <c r="E11" s="5">
        <v>69.5</v>
      </c>
      <c r="F11" s="4" t="s">
        <v>2800</v>
      </c>
      <c r="G11" s="2"/>
      <c r="H11" s="7"/>
      <c r="I11" s="2" t="s">
        <v>98</v>
      </c>
      <c r="J11" s="2" t="s">
        <v>99</v>
      </c>
      <c r="K11" s="2" t="s">
        <v>304</v>
      </c>
      <c r="L11" s="2" t="s">
        <v>596</v>
      </c>
      <c r="M11" s="8" t="str">
        <f>HYPERLINK("http://slimages.macys.com/is/image/MCY/11502889 ")</f>
        <v xml:space="preserve">http://slimages.macys.com/is/image/MCY/11502889 </v>
      </c>
    </row>
    <row r="12" spans="1:13" ht="60" x14ac:dyDescent="0.25">
      <c r="A12" s="7" t="s">
        <v>3608</v>
      </c>
      <c r="B12" s="2" t="s">
        <v>3609</v>
      </c>
      <c r="C12" s="4">
        <v>1</v>
      </c>
      <c r="D12" s="5">
        <v>24.75</v>
      </c>
      <c r="E12" s="5">
        <v>55</v>
      </c>
      <c r="F12" s="4">
        <v>313734877001</v>
      </c>
      <c r="G12" s="2" t="s">
        <v>36</v>
      </c>
      <c r="H12" s="7" t="s">
        <v>196</v>
      </c>
      <c r="I12" s="2" t="s">
        <v>3028</v>
      </c>
      <c r="J12" s="2" t="s">
        <v>205</v>
      </c>
      <c r="K12" s="2" t="s">
        <v>304</v>
      </c>
      <c r="L12" s="2" t="s">
        <v>119</v>
      </c>
      <c r="M12" s="8" t="str">
        <f>HYPERLINK("http://slimages.macys.com/is/image/MCY/12438080 ")</f>
        <v xml:space="preserve">http://slimages.macys.com/is/image/MCY/12438080 </v>
      </c>
    </row>
    <row r="13" spans="1:13" ht="60" x14ac:dyDescent="0.25">
      <c r="A13" s="7" t="s">
        <v>3610</v>
      </c>
      <c r="B13" s="2" t="s">
        <v>3611</v>
      </c>
      <c r="C13" s="4">
        <v>1</v>
      </c>
      <c r="D13" s="5">
        <v>24.75</v>
      </c>
      <c r="E13" s="5">
        <v>65</v>
      </c>
      <c r="F13" s="4">
        <v>1437</v>
      </c>
      <c r="G13" s="2" t="s">
        <v>41</v>
      </c>
      <c r="H13" s="7"/>
      <c r="I13" s="2" t="s">
        <v>43</v>
      </c>
      <c r="J13" s="2" t="s">
        <v>44</v>
      </c>
      <c r="K13" s="2" t="s">
        <v>304</v>
      </c>
      <c r="L13" s="2" t="s">
        <v>87</v>
      </c>
      <c r="M13" s="8" t="str">
        <f>HYPERLINK("http://slimages.macys.com/is/image/MCY/796474 ")</f>
        <v xml:space="preserve">http://slimages.macys.com/is/image/MCY/796474 </v>
      </c>
    </row>
    <row r="14" spans="1:13" ht="60" x14ac:dyDescent="0.25">
      <c r="A14" s="7" t="s">
        <v>3612</v>
      </c>
      <c r="B14" s="2" t="s">
        <v>1413</v>
      </c>
      <c r="C14" s="4">
        <v>1</v>
      </c>
      <c r="D14" s="5">
        <v>24.75</v>
      </c>
      <c r="E14" s="5">
        <v>55</v>
      </c>
      <c r="F14" s="4">
        <v>310752315001</v>
      </c>
      <c r="G14" s="2" t="s">
        <v>41</v>
      </c>
      <c r="H14" s="7" t="s">
        <v>438</v>
      </c>
      <c r="I14" s="2" t="s">
        <v>676</v>
      </c>
      <c r="J14" s="2" t="s">
        <v>677</v>
      </c>
      <c r="K14" s="2" t="s">
        <v>304</v>
      </c>
      <c r="L14" s="2" t="s">
        <v>38</v>
      </c>
      <c r="M14" s="8" t="str">
        <f>HYPERLINK("http://slimages.macys.com/is/image/MCY/14361795 ")</f>
        <v xml:space="preserve">http://slimages.macys.com/is/image/MCY/14361795 </v>
      </c>
    </row>
    <row r="15" spans="1:13" ht="60" x14ac:dyDescent="0.25">
      <c r="A15" s="7" t="s">
        <v>3613</v>
      </c>
      <c r="B15" s="2" t="s">
        <v>3614</v>
      </c>
      <c r="C15" s="4">
        <v>1</v>
      </c>
      <c r="D15" s="5">
        <v>24.75</v>
      </c>
      <c r="E15" s="5">
        <v>55</v>
      </c>
      <c r="F15" s="4">
        <v>310735842001</v>
      </c>
      <c r="G15" s="2" t="s">
        <v>28</v>
      </c>
      <c r="H15" s="7" t="s">
        <v>42</v>
      </c>
      <c r="I15" s="2" t="s">
        <v>676</v>
      </c>
      <c r="J15" s="2" t="s">
        <v>677</v>
      </c>
      <c r="K15" s="2" t="s">
        <v>304</v>
      </c>
      <c r="L15" s="2" t="s">
        <v>263</v>
      </c>
      <c r="M15" s="8" t="str">
        <f>HYPERLINK("http://slimages.macys.com/is/image/MCY/11965491 ")</f>
        <v xml:space="preserve">http://slimages.macys.com/is/image/MCY/11965491 </v>
      </c>
    </row>
    <row r="16" spans="1:13" ht="60" x14ac:dyDescent="0.25">
      <c r="A16" s="7" t="s">
        <v>3615</v>
      </c>
      <c r="B16" s="2" t="s">
        <v>3616</v>
      </c>
      <c r="C16" s="4">
        <v>1</v>
      </c>
      <c r="D16" s="5">
        <v>20.02</v>
      </c>
      <c r="E16" s="5">
        <v>40.99</v>
      </c>
      <c r="F16" s="4" t="s">
        <v>3617</v>
      </c>
      <c r="G16" s="2" t="s">
        <v>892</v>
      </c>
      <c r="H16" s="7" t="s">
        <v>196</v>
      </c>
      <c r="I16" s="2" t="s">
        <v>73</v>
      </c>
      <c r="J16" s="2" t="s">
        <v>160</v>
      </c>
      <c r="K16" s="2" t="s">
        <v>304</v>
      </c>
      <c r="L16" s="2" t="s">
        <v>119</v>
      </c>
      <c r="M16" s="8" t="str">
        <f>HYPERLINK("http://slimages.macys.com/is/image/MCY/12875354 ")</f>
        <v xml:space="preserve">http://slimages.macys.com/is/image/MCY/12875354 </v>
      </c>
    </row>
    <row r="17" spans="1:13" ht="60" x14ac:dyDescent="0.25">
      <c r="A17" s="7" t="s">
        <v>3618</v>
      </c>
      <c r="B17" s="2" t="s">
        <v>3619</v>
      </c>
      <c r="C17" s="4">
        <v>3</v>
      </c>
      <c r="D17" s="5">
        <v>19.8</v>
      </c>
      <c r="E17" s="5">
        <v>45</v>
      </c>
      <c r="F17" s="4">
        <v>1342652</v>
      </c>
      <c r="G17" s="2" t="s">
        <v>1265</v>
      </c>
      <c r="H17" s="7" t="s">
        <v>1720</v>
      </c>
      <c r="I17" s="2" t="s">
        <v>815</v>
      </c>
      <c r="J17" s="2" t="s">
        <v>280</v>
      </c>
      <c r="K17" s="2" t="s">
        <v>304</v>
      </c>
      <c r="L17" s="2" t="s">
        <v>3212</v>
      </c>
      <c r="M17" s="8" t="str">
        <f>HYPERLINK("http://slimages.macys.com/is/image/MCY/13341024 ")</f>
        <v xml:space="preserve">http://slimages.macys.com/is/image/MCY/13341024 </v>
      </c>
    </row>
    <row r="18" spans="1:13" ht="60" x14ac:dyDescent="0.25">
      <c r="A18" s="7" t="s">
        <v>3620</v>
      </c>
      <c r="B18" s="2" t="s">
        <v>3619</v>
      </c>
      <c r="C18" s="4">
        <v>2</v>
      </c>
      <c r="D18" s="5">
        <v>19.8</v>
      </c>
      <c r="E18" s="5">
        <v>45</v>
      </c>
      <c r="F18" s="4">
        <v>1342652</v>
      </c>
      <c r="G18" s="2" t="s">
        <v>667</v>
      </c>
      <c r="H18" s="7" t="s">
        <v>1720</v>
      </c>
      <c r="I18" s="2" t="s">
        <v>815</v>
      </c>
      <c r="J18" s="2" t="s">
        <v>280</v>
      </c>
      <c r="K18" s="2" t="s">
        <v>304</v>
      </c>
      <c r="L18" s="2" t="s">
        <v>125</v>
      </c>
      <c r="M18" s="8" t="str">
        <f>HYPERLINK("http://slimages.macys.com/is/image/MCY/12953320 ")</f>
        <v xml:space="preserve">http://slimages.macys.com/is/image/MCY/12953320 </v>
      </c>
    </row>
    <row r="19" spans="1:13" ht="132" x14ac:dyDescent="0.25">
      <c r="A19" s="7" t="s">
        <v>3621</v>
      </c>
      <c r="B19" s="2" t="s">
        <v>60</v>
      </c>
      <c r="C19" s="4">
        <v>1</v>
      </c>
      <c r="D19" s="5">
        <v>19.5</v>
      </c>
      <c r="E19" s="5">
        <v>54.99</v>
      </c>
      <c r="F19" s="4" t="s">
        <v>61</v>
      </c>
      <c r="G19" s="2" t="s">
        <v>62</v>
      </c>
      <c r="H19" s="7" t="s">
        <v>311</v>
      </c>
      <c r="I19" s="2" t="s">
        <v>64</v>
      </c>
      <c r="J19" s="2" t="s">
        <v>65</v>
      </c>
      <c r="K19" s="2" t="s">
        <v>304</v>
      </c>
      <c r="L19" s="2" t="s">
        <v>66</v>
      </c>
      <c r="M19" s="8" t="str">
        <f>HYPERLINK("http://slimages.macys.com/is/image/MCY/14703249 ")</f>
        <v xml:space="preserve">http://slimages.macys.com/is/image/MCY/14703249 </v>
      </c>
    </row>
    <row r="20" spans="1:13" ht="132" x14ac:dyDescent="0.25">
      <c r="A20" s="7" t="s">
        <v>3622</v>
      </c>
      <c r="B20" s="2" t="s">
        <v>60</v>
      </c>
      <c r="C20" s="4">
        <v>2</v>
      </c>
      <c r="D20" s="5">
        <v>19.5</v>
      </c>
      <c r="E20" s="5">
        <v>54.99</v>
      </c>
      <c r="F20" s="4" t="s">
        <v>61</v>
      </c>
      <c r="G20" s="2" t="s">
        <v>62</v>
      </c>
      <c r="H20" s="7" t="s">
        <v>209</v>
      </c>
      <c r="I20" s="2" t="s">
        <v>64</v>
      </c>
      <c r="J20" s="2" t="s">
        <v>65</v>
      </c>
      <c r="K20" s="2" t="s">
        <v>304</v>
      </c>
      <c r="L20" s="2" t="s">
        <v>66</v>
      </c>
      <c r="M20" s="8" t="str">
        <f>HYPERLINK("http://slimages.macys.com/is/image/MCY/14703249 ")</f>
        <v xml:space="preserve">http://slimages.macys.com/is/image/MCY/14703249 </v>
      </c>
    </row>
    <row r="21" spans="1:13" ht="60" x14ac:dyDescent="0.25">
      <c r="A21" s="7" t="s">
        <v>3623</v>
      </c>
      <c r="B21" s="2" t="s">
        <v>3624</v>
      </c>
      <c r="C21" s="4">
        <v>1</v>
      </c>
      <c r="D21" s="5">
        <v>19.25</v>
      </c>
      <c r="E21" s="5">
        <v>42.99</v>
      </c>
      <c r="F21" s="4" t="s">
        <v>3625</v>
      </c>
      <c r="G21" s="2" t="s">
        <v>165</v>
      </c>
      <c r="H21" s="7" t="s">
        <v>144</v>
      </c>
      <c r="I21" s="2" t="s">
        <v>80</v>
      </c>
      <c r="J21" s="2" t="s">
        <v>145</v>
      </c>
      <c r="K21" s="2" t="s">
        <v>304</v>
      </c>
      <c r="L21" s="2" t="s">
        <v>119</v>
      </c>
      <c r="M21" s="8" t="str">
        <f>HYPERLINK("http://slimages.macys.com/is/image/MCY/12829018 ")</f>
        <v xml:space="preserve">http://slimages.macys.com/is/image/MCY/12829018 </v>
      </c>
    </row>
    <row r="22" spans="1:13" ht="60" x14ac:dyDescent="0.25">
      <c r="A22" s="7" t="s">
        <v>3626</v>
      </c>
      <c r="B22" s="2" t="s">
        <v>3627</v>
      </c>
      <c r="C22" s="4">
        <v>1</v>
      </c>
      <c r="D22" s="5">
        <v>19.25</v>
      </c>
      <c r="E22" s="5">
        <v>42.99</v>
      </c>
      <c r="F22" s="4" t="s">
        <v>3628</v>
      </c>
      <c r="G22" s="2" t="s">
        <v>165</v>
      </c>
      <c r="H22" s="7" t="s">
        <v>166</v>
      </c>
      <c r="I22" s="2" t="s">
        <v>73</v>
      </c>
      <c r="J22" s="2" t="s">
        <v>249</v>
      </c>
      <c r="K22" s="2" t="s">
        <v>304</v>
      </c>
      <c r="L22" s="2" t="s">
        <v>3629</v>
      </c>
      <c r="M22" s="8" t="str">
        <f>HYPERLINK("http://slimages.macys.com/is/image/MCY/14803983 ")</f>
        <v xml:space="preserve">http://slimages.macys.com/is/image/MCY/14803983 </v>
      </c>
    </row>
    <row r="23" spans="1:13" ht="60" x14ac:dyDescent="0.25">
      <c r="A23" s="7" t="s">
        <v>3630</v>
      </c>
      <c r="B23" s="2" t="s">
        <v>3631</v>
      </c>
      <c r="C23" s="4">
        <v>1</v>
      </c>
      <c r="D23" s="5">
        <v>19</v>
      </c>
      <c r="E23" s="5">
        <v>44.99</v>
      </c>
      <c r="F23" s="4" t="s">
        <v>3632</v>
      </c>
      <c r="G23" s="2" t="s">
        <v>437</v>
      </c>
      <c r="H23" s="7" t="s">
        <v>42</v>
      </c>
      <c r="I23" s="2" t="s">
        <v>92</v>
      </c>
      <c r="J23" s="2" t="s">
        <v>3633</v>
      </c>
      <c r="K23" s="2" t="s">
        <v>304</v>
      </c>
      <c r="L23" s="2" t="s">
        <v>3634</v>
      </c>
      <c r="M23" s="8" t="str">
        <f>HYPERLINK("http://slimages.macys.com/is/image/MCY/14839135 ")</f>
        <v xml:space="preserve">http://slimages.macys.com/is/image/MCY/14839135 </v>
      </c>
    </row>
    <row r="24" spans="1:13" ht="60" x14ac:dyDescent="0.25">
      <c r="A24" s="7" t="s">
        <v>3635</v>
      </c>
      <c r="B24" s="2" t="s">
        <v>77</v>
      </c>
      <c r="C24" s="4">
        <v>1</v>
      </c>
      <c r="D24" s="5">
        <v>18.899999999999999</v>
      </c>
      <c r="E24" s="5">
        <v>45</v>
      </c>
      <c r="F24" s="4" t="s">
        <v>78</v>
      </c>
      <c r="G24" s="2" t="s">
        <v>79</v>
      </c>
      <c r="H24" s="7"/>
      <c r="I24" s="2" t="s">
        <v>80</v>
      </c>
      <c r="J24" s="2" t="s">
        <v>74</v>
      </c>
      <c r="K24" s="2" t="s">
        <v>304</v>
      </c>
      <c r="L24" s="2" t="s">
        <v>81</v>
      </c>
      <c r="M24" s="8" t="str">
        <f>HYPERLINK("http://slimages.macys.com/is/image/MCY/11281574 ")</f>
        <v xml:space="preserve">http://slimages.macys.com/is/image/MCY/11281574 </v>
      </c>
    </row>
    <row r="25" spans="1:13" ht="60" x14ac:dyDescent="0.25">
      <c r="A25" s="7" t="s">
        <v>3636</v>
      </c>
      <c r="B25" s="2" t="s">
        <v>70</v>
      </c>
      <c r="C25" s="4">
        <v>1</v>
      </c>
      <c r="D25" s="5">
        <v>18.899999999999999</v>
      </c>
      <c r="E25" s="5">
        <v>45</v>
      </c>
      <c r="F25" s="4" t="s">
        <v>71</v>
      </c>
      <c r="G25" s="2" t="s">
        <v>62</v>
      </c>
      <c r="H25" s="7" t="s">
        <v>789</v>
      </c>
      <c r="I25" s="2" t="s">
        <v>73</v>
      </c>
      <c r="J25" s="2" t="s">
        <v>74</v>
      </c>
      <c r="K25" s="2" t="s">
        <v>304</v>
      </c>
      <c r="L25" s="2" t="s">
        <v>75</v>
      </c>
      <c r="M25" s="8" t="str">
        <f>HYPERLINK("http://slimages.macys.com/is/image/MCY/11714378 ")</f>
        <v xml:space="preserve">http://slimages.macys.com/is/image/MCY/11714378 </v>
      </c>
    </row>
    <row r="26" spans="1:13" ht="60" x14ac:dyDescent="0.25">
      <c r="A26" s="7" t="s">
        <v>3637</v>
      </c>
      <c r="B26" s="2" t="s">
        <v>3638</v>
      </c>
      <c r="C26" s="4">
        <v>1</v>
      </c>
      <c r="D26" s="5">
        <v>18</v>
      </c>
      <c r="E26" s="5">
        <v>39.99</v>
      </c>
      <c r="F26" s="4" t="s">
        <v>3639</v>
      </c>
      <c r="G26" s="2" t="s">
        <v>62</v>
      </c>
      <c r="H26" s="7" t="s">
        <v>63</v>
      </c>
      <c r="I26" s="2" t="s">
        <v>73</v>
      </c>
      <c r="J26" s="2" t="s">
        <v>464</v>
      </c>
      <c r="K26" s="2" t="s">
        <v>304</v>
      </c>
      <c r="L26" s="2" t="s">
        <v>125</v>
      </c>
      <c r="M26" s="8" t="str">
        <f>HYPERLINK("http://slimages.macys.com/is/image/MCY/11647304 ")</f>
        <v xml:space="preserve">http://slimages.macys.com/is/image/MCY/11647304 </v>
      </c>
    </row>
    <row r="27" spans="1:13" ht="60" x14ac:dyDescent="0.25">
      <c r="A27" s="7" t="s">
        <v>3640</v>
      </c>
      <c r="B27" s="2" t="s">
        <v>3641</v>
      </c>
      <c r="C27" s="4">
        <v>1</v>
      </c>
      <c r="D27" s="5">
        <v>18</v>
      </c>
      <c r="E27" s="5">
        <v>40</v>
      </c>
      <c r="F27" s="4">
        <v>1317842</v>
      </c>
      <c r="G27" s="2" t="s">
        <v>62</v>
      </c>
      <c r="H27" s="7" t="s">
        <v>228</v>
      </c>
      <c r="I27" s="2" t="s">
        <v>73</v>
      </c>
      <c r="J27" s="2" t="s">
        <v>280</v>
      </c>
      <c r="K27" s="2" t="s">
        <v>304</v>
      </c>
      <c r="L27" s="2" t="s">
        <v>119</v>
      </c>
      <c r="M27" s="8" t="str">
        <f>HYPERLINK("http://slimages.macys.com/is/image/MCY/9989066 ")</f>
        <v xml:space="preserve">http://slimages.macys.com/is/image/MCY/9989066 </v>
      </c>
    </row>
    <row r="28" spans="1:13" ht="60" x14ac:dyDescent="0.25">
      <c r="A28" s="7" t="s">
        <v>3642</v>
      </c>
      <c r="B28" s="2" t="s">
        <v>3641</v>
      </c>
      <c r="C28" s="4">
        <v>1</v>
      </c>
      <c r="D28" s="5">
        <v>18</v>
      </c>
      <c r="E28" s="5">
        <v>40</v>
      </c>
      <c r="F28" s="4">
        <v>1317842</v>
      </c>
      <c r="G28" s="2" t="s">
        <v>62</v>
      </c>
      <c r="H28" s="7" t="s">
        <v>159</v>
      </c>
      <c r="I28" s="2" t="s">
        <v>73</v>
      </c>
      <c r="J28" s="2" t="s">
        <v>280</v>
      </c>
      <c r="K28" s="2" t="s">
        <v>304</v>
      </c>
      <c r="L28" s="2" t="s">
        <v>119</v>
      </c>
      <c r="M28" s="8" t="str">
        <f>HYPERLINK("http://slimages.macys.com/is/image/MCY/9989066 ")</f>
        <v xml:space="preserve">http://slimages.macys.com/is/image/MCY/9989066 </v>
      </c>
    </row>
    <row r="29" spans="1:13" ht="84" x14ac:dyDescent="0.25">
      <c r="A29" s="7" t="s">
        <v>3643</v>
      </c>
      <c r="B29" s="2" t="s">
        <v>60</v>
      </c>
      <c r="C29" s="4">
        <v>4</v>
      </c>
      <c r="D29" s="5">
        <v>18</v>
      </c>
      <c r="E29" s="5">
        <v>49.99</v>
      </c>
      <c r="F29" s="4" t="s">
        <v>2453</v>
      </c>
      <c r="G29" s="2" t="s">
        <v>62</v>
      </c>
      <c r="H29" s="7" t="s">
        <v>177</v>
      </c>
      <c r="I29" s="2" t="s">
        <v>668</v>
      </c>
      <c r="J29" s="2" t="s">
        <v>1500</v>
      </c>
      <c r="K29" s="2" t="s">
        <v>304</v>
      </c>
      <c r="L29" s="2" t="s">
        <v>2454</v>
      </c>
      <c r="M29" s="8" t="str">
        <f>HYPERLINK("http://slimages.macys.com/is/image/MCY/13327949 ")</f>
        <v xml:space="preserve">http://slimages.macys.com/is/image/MCY/13327949 </v>
      </c>
    </row>
    <row r="30" spans="1:13" ht="84" x14ac:dyDescent="0.25">
      <c r="A30" s="7" t="s">
        <v>3644</v>
      </c>
      <c r="B30" s="2" t="s">
        <v>60</v>
      </c>
      <c r="C30" s="4">
        <v>1</v>
      </c>
      <c r="D30" s="5">
        <v>18</v>
      </c>
      <c r="E30" s="5">
        <v>49.99</v>
      </c>
      <c r="F30" s="4" t="s">
        <v>2453</v>
      </c>
      <c r="G30" s="2" t="s">
        <v>62</v>
      </c>
      <c r="H30" s="7" t="s">
        <v>97</v>
      </c>
      <c r="I30" s="2" t="s">
        <v>668</v>
      </c>
      <c r="J30" s="2" t="s">
        <v>1500</v>
      </c>
      <c r="K30" s="2" t="s">
        <v>304</v>
      </c>
      <c r="L30" s="2" t="s">
        <v>2454</v>
      </c>
      <c r="M30" s="8" t="str">
        <f>HYPERLINK("http://slimages.macys.com/is/image/MCY/13327949 ")</f>
        <v xml:space="preserve">http://slimages.macys.com/is/image/MCY/13327949 </v>
      </c>
    </row>
    <row r="31" spans="1:13" ht="84" x14ac:dyDescent="0.25">
      <c r="A31" s="7" t="s">
        <v>3645</v>
      </c>
      <c r="B31" s="2" t="s">
        <v>60</v>
      </c>
      <c r="C31" s="4">
        <v>1</v>
      </c>
      <c r="D31" s="5">
        <v>18</v>
      </c>
      <c r="E31" s="5">
        <v>49.99</v>
      </c>
      <c r="F31" s="4" t="s">
        <v>2453</v>
      </c>
      <c r="G31" s="2" t="s">
        <v>62</v>
      </c>
      <c r="H31" s="7" t="s">
        <v>172</v>
      </c>
      <c r="I31" s="2" t="s">
        <v>668</v>
      </c>
      <c r="J31" s="2" t="s">
        <v>1500</v>
      </c>
      <c r="K31" s="2" t="s">
        <v>304</v>
      </c>
      <c r="L31" s="2" t="s">
        <v>2454</v>
      </c>
      <c r="M31" s="8" t="str">
        <f>HYPERLINK("http://slimages.macys.com/is/image/MCY/13327949 ")</f>
        <v xml:space="preserve">http://slimages.macys.com/is/image/MCY/13327949 </v>
      </c>
    </row>
    <row r="32" spans="1:13" ht="84" x14ac:dyDescent="0.25">
      <c r="A32" s="7" t="s">
        <v>2452</v>
      </c>
      <c r="B32" s="2" t="s">
        <v>60</v>
      </c>
      <c r="C32" s="4">
        <v>4</v>
      </c>
      <c r="D32" s="5">
        <v>18</v>
      </c>
      <c r="E32" s="5">
        <v>49.99</v>
      </c>
      <c r="F32" s="4" t="s">
        <v>2453</v>
      </c>
      <c r="G32" s="2" t="s">
        <v>62</v>
      </c>
      <c r="H32" s="7"/>
      <c r="I32" s="2" t="s">
        <v>668</v>
      </c>
      <c r="J32" s="2" t="s">
        <v>1500</v>
      </c>
      <c r="K32" s="2" t="s">
        <v>304</v>
      </c>
      <c r="L32" s="2" t="s">
        <v>2454</v>
      </c>
      <c r="M32" s="8" t="str">
        <f>HYPERLINK("http://slimages.macys.com/is/image/MCY/13327949 ")</f>
        <v xml:space="preserve">http://slimages.macys.com/is/image/MCY/13327949 </v>
      </c>
    </row>
    <row r="33" spans="1:13" ht="84" x14ac:dyDescent="0.25">
      <c r="A33" s="7" t="s">
        <v>2910</v>
      </c>
      <c r="B33" s="2" t="s">
        <v>60</v>
      </c>
      <c r="C33" s="4">
        <v>1</v>
      </c>
      <c r="D33" s="5">
        <v>18</v>
      </c>
      <c r="E33" s="5">
        <v>49.99</v>
      </c>
      <c r="F33" s="4" t="s">
        <v>2453</v>
      </c>
      <c r="G33" s="2" t="s">
        <v>62</v>
      </c>
      <c r="H33" s="7" t="s">
        <v>179</v>
      </c>
      <c r="I33" s="2" t="s">
        <v>668</v>
      </c>
      <c r="J33" s="2" t="s">
        <v>1500</v>
      </c>
      <c r="K33" s="2" t="s">
        <v>304</v>
      </c>
      <c r="L33" s="2" t="s">
        <v>2454</v>
      </c>
      <c r="M33" s="8" t="str">
        <f>HYPERLINK("http://slimages.macys.com/is/image/MCY/13327949 ")</f>
        <v xml:space="preserve">http://slimages.macys.com/is/image/MCY/13327949 </v>
      </c>
    </row>
    <row r="34" spans="1:13" ht="60" x14ac:dyDescent="0.25">
      <c r="A34" s="7" t="s">
        <v>3646</v>
      </c>
      <c r="B34" s="2" t="s">
        <v>3647</v>
      </c>
      <c r="C34" s="4">
        <v>1</v>
      </c>
      <c r="D34" s="5">
        <v>17.8</v>
      </c>
      <c r="E34" s="5">
        <v>35.99</v>
      </c>
      <c r="F34" s="4" t="s">
        <v>3648</v>
      </c>
      <c r="G34" s="2" t="s">
        <v>195</v>
      </c>
      <c r="H34" s="7" t="s">
        <v>196</v>
      </c>
      <c r="I34" s="2" t="s">
        <v>73</v>
      </c>
      <c r="J34" s="2" t="s">
        <v>160</v>
      </c>
      <c r="K34" s="2" t="s">
        <v>304</v>
      </c>
      <c r="L34" s="2" t="s">
        <v>206</v>
      </c>
      <c r="M34" s="8" t="str">
        <f>HYPERLINK("http://slimages.macys.com/is/image/MCY/11231082 ")</f>
        <v xml:space="preserve">http://slimages.macys.com/is/image/MCY/11231082 </v>
      </c>
    </row>
    <row r="35" spans="1:13" ht="60" x14ac:dyDescent="0.25">
      <c r="A35" s="7" t="s">
        <v>3649</v>
      </c>
      <c r="B35" s="2" t="s">
        <v>3650</v>
      </c>
      <c r="C35" s="4">
        <v>1</v>
      </c>
      <c r="D35" s="5">
        <v>17.579999999999998</v>
      </c>
      <c r="E35" s="5">
        <v>47.5</v>
      </c>
      <c r="F35" s="4" t="s">
        <v>3651</v>
      </c>
      <c r="G35" s="2" t="s">
        <v>41</v>
      </c>
      <c r="H35" s="7" t="s">
        <v>209</v>
      </c>
      <c r="I35" s="2" t="s">
        <v>880</v>
      </c>
      <c r="J35" s="2" t="s">
        <v>881</v>
      </c>
      <c r="K35" s="2" t="s">
        <v>304</v>
      </c>
      <c r="L35" s="2" t="s">
        <v>38</v>
      </c>
      <c r="M35" s="8" t="str">
        <f>HYPERLINK("http://slimages.macys.com/is/image/MCY/12387807 ")</f>
        <v xml:space="preserve">http://slimages.macys.com/is/image/MCY/12387807 </v>
      </c>
    </row>
    <row r="36" spans="1:13" ht="204" x14ac:dyDescent="0.25">
      <c r="A36" s="7" t="s">
        <v>88</v>
      </c>
      <c r="B36" s="2" t="s">
        <v>89</v>
      </c>
      <c r="C36" s="4">
        <v>1</v>
      </c>
      <c r="D36" s="5">
        <v>17.5</v>
      </c>
      <c r="E36" s="5">
        <v>39.99</v>
      </c>
      <c r="F36" s="4" t="s">
        <v>90</v>
      </c>
      <c r="G36" s="2" t="s">
        <v>41</v>
      </c>
      <c r="H36" s="7" t="s">
        <v>91</v>
      </c>
      <c r="I36" s="2" t="s">
        <v>92</v>
      </c>
      <c r="J36" s="2" t="s">
        <v>65</v>
      </c>
      <c r="K36" s="2" t="s">
        <v>304</v>
      </c>
      <c r="L36" s="2" t="s">
        <v>93</v>
      </c>
      <c r="M36" s="8" t="str">
        <f>HYPERLINK("http://slimages.macys.com/is/image/MCY/14885680 ")</f>
        <v xml:space="preserve">http://slimages.macys.com/is/image/MCY/14885680 </v>
      </c>
    </row>
    <row r="37" spans="1:13" ht="156" x14ac:dyDescent="0.25">
      <c r="A37" s="7" t="s">
        <v>3652</v>
      </c>
      <c r="B37" s="2" t="s">
        <v>1450</v>
      </c>
      <c r="C37" s="4">
        <v>1</v>
      </c>
      <c r="D37" s="5">
        <v>16.5</v>
      </c>
      <c r="E37" s="5">
        <v>39.99</v>
      </c>
      <c r="F37" s="4" t="s">
        <v>1451</v>
      </c>
      <c r="G37" s="2" t="s">
        <v>103</v>
      </c>
      <c r="H37" s="7" t="s">
        <v>590</v>
      </c>
      <c r="I37" s="2" t="s">
        <v>92</v>
      </c>
      <c r="J37" s="2" t="s">
        <v>239</v>
      </c>
      <c r="K37" s="2" t="s">
        <v>304</v>
      </c>
      <c r="L37" s="2" t="s">
        <v>1452</v>
      </c>
      <c r="M37" s="8" t="str">
        <f>HYPERLINK("http://slimages.macys.com/is/image/MCY/14989365 ")</f>
        <v xml:space="preserve">http://slimages.macys.com/is/image/MCY/14989365 </v>
      </c>
    </row>
    <row r="38" spans="1:13" ht="60" x14ac:dyDescent="0.25">
      <c r="A38" s="7" t="s">
        <v>3653</v>
      </c>
      <c r="B38" s="2" t="s">
        <v>2466</v>
      </c>
      <c r="C38" s="4">
        <v>2</v>
      </c>
      <c r="D38" s="5">
        <v>16.5</v>
      </c>
      <c r="E38" s="5">
        <v>36.67</v>
      </c>
      <c r="F38" s="4" t="s">
        <v>2467</v>
      </c>
      <c r="G38" s="2" t="s">
        <v>62</v>
      </c>
      <c r="H38" s="7" t="s">
        <v>228</v>
      </c>
      <c r="I38" s="2" t="s">
        <v>468</v>
      </c>
      <c r="J38" s="2" t="s">
        <v>2468</v>
      </c>
      <c r="K38" s="2" t="s">
        <v>304</v>
      </c>
      <c r="L38" s="2" t="s">
        <v>2469</v>
      </c>
      <c r="M38" s="8" t="str">
        <f>HYPERLINK("http://slimages.macys.com/is/image/MCY/14590589 ")</f>
        <v xml:space="preserve">http://slimages.macys.com/is/image/MCY/14590589 </v>
      </c>
    </row>
    <row r="39" spans="1:13" ht="168" x14ac:dyDescent="0.25">
      <c r="A39" s="7" t="s">
        <v>3654</v>
      </c>
      <c r="B39" s="2" t="s">
        <v>3655</v>
      </c>
      <c r="C39" s="4">
        <v>1</v>
      </c>
      <c r="D39" s="5">
        <v>16.5</v>
      </c>
      <c r="E39" s="5">
        <v>39.99</v>
      </c>
      <c r="F39" s="4" t="s">
        <v>3656</v>
      </c>
      <c r="G39" s="2" t="s">
        <v>129</v>
      </c>
      <c r="H39" s="7" t="s">
        <v>42</v>
      </c>
      <c r="I39" s="2" t="s">
        <v>92</v>
      </c>
      <c r="J39" s="2" t="s">
        <v>239</v>
      </c>
      <c r="K39" s="2" t="s">
        <v>304</v>
      </c>
      <c r="L39" s="2" t="s">
        <v>3657</v>
      </c>
      <c r="M39" s="8" t="str">
        <f>HYPERLINK("http://slimages.macys.com/is/image/MCY/14990170 ")</f>
        <v xml:space="preserve">http://slimages.macys.com/is/image/MCY/14990170 </v>
      </c>
    </row>
    <row r="40" spans="1:13" ht="60" x14ac:dyDescent="0.25">
      <c r="A40" s="7" t="s">
        <v>3658</v>
      </c>
      <c r="B40" s="2" t="s">
        <v>2466</v>
      </c>
      <c r="C40" s="4">
        <v>1</v>
      </c>
      <c r="D40" s="5">
        <v>16.5</v>
      </c>
      <c r="E40" s="5">
        <v>36.67</v>
      </c>
      <c r="F40" s="4" t="s">
        <v>2467</v>
      </c>
      <c r="G40" s="2" t="s">
        <v>62</v>
      </c>
      <c r="H40" s="7" t="s">
        <v>284</v>
      </c>
      <c r="I40" s="2" t="s">
        <v>468</v>
      </c>
      <c r="J40" s="2" t="s">
        <v>2468</v>
      </c>
      <c r="K40" s="2" t="s">
        <v>304</v>
      </c>
      <c r="L40" s="2" t="s">
        <v>2469</v>
      </c>
      <c r="M40" s="8" t="str">
        <f>HYPERLINK("http://slimages.macys.com/is/image/MCY/14590589 ")</f>
        <v xml:space="preserve">http://slimages.macys.com/is/image/MCY/14590589 </v>
      </c>
    </row>
    <row r="41" spans="1:13" ht="60" x14ac:dyDescent="0.25">
      <c r="A41" s="7" t="s">
        <v>2465</v>
      </c>
      <c r="B41" s="2" t="s">
        <v>2466</v>
      </c>
      <c r="C41" s="4">
        <v>1</v>
      </c>
      <c r="D41" s="5">
        <v>16.5</v>
      </c>
      <c r="E41" s="5">
        <v>36.67</v>
      </c>
      <c r="F41" s="4" t="s">
        <v>2467</v>
      </c>
      <c r="G41" s="2" t="s">
        <v>62</v>
      </c>
      <c r="H41" s="7" t="s">
        <v>217</v>
      </c>
      <c r="I41" s="2" t="s">
        <v>468</v>
      </c>
      <c r="J41" s="2" t="s">
        <v>2468</v>
      </c>
      <c r="K41" s="2" t="s">
        <v>304</v>
      </c>
      <c r="L41" s="2" t="s">
        <v>2469</v>
      </c>
      <c r="M41" s="8" t="str">
        <f>HYPERLINK("http://slimages.macys.com/is/image/MCY/14590589 ")</f>
        <v xml:space="preserve">http://slimages.macys.com/is/image/MCY/14590589 </v>
      </c>
    </row>
    <row r="42" spans="1:13" ht="60" x14ac:dyDescent="0.25">
      <c r="A42" s="7" t="s">
        <v>3659</v>
      </c>
      <c r="B42" s="2" t="s">
        <v>2466</v>
      </c>
      <c r="C42" s="4">
        <v>5</v>
      </c>
      <c r="D42" s="5">
        <v>16.5</v>
      </c>
      <c r="E42" s="5">
        <v>36.67</v>
      </c>
      <c r="F42" s="4" t="s">
        <v>2467</v>
      </c>
      <c r="G42" s="2" t="s">
        <v>62</v>
      </c>
      <c r="H42" s="7" t="s">
        <v>159</v>
      </c>
      <c r="I42" s="2" t="s">
        <v>468</v>
      </c>
      <c r="J42" s="2" t="s">
        <v>2468</v>
      </c>
      <c r="K42" s="2" t="s">
        <v>304</v>
      </c>
      <c r="L42" s="2" t="s">
        <v>2469</v>
      </c>
      <c r="M42" s="8" t="str">
        <f>HYPERLINK("http://slimages.macys.com/is/image/MCY/14590589 ")</f>
        <v xml:space="preserve">http://slimages.macys.com/is/image/MCY/14590589 </v>
      </c>
    </row>
    <row r="43" spans="1:13" ht="108" x14ac:dyDescent="0.25">
      <c r="A43" s="7" t="s">
        <v>3660</v>
      </c>
      <c r="B43" s="2" t="s">
        <v>1454</v>
      </c>
      <c r="C43" s="4">
        <v>2</v>
      </c>
      <c r="D43" s="5">
        <v>16.5</v>
      </c>
      <c r="E43" s="5">
        <v>39.99</v>
      </c>
      <c r="F43" s="4" t="s">
        <v>1455</v>
      </c>
      <c r="G43" s="2" t="s">
        <v>103</v>
      </c>
      <c r="H43" s="7" t="s">
        <v>590</v>
      </c>
      <c r="I43" s="2" t="s">
        <v>92</v>
      </c>
      <c r="J43" s="2" t="s">
        <v>65</v>
      </c>
      <c r="K43" s="2" t="s">
        <v>304</v>
      </c>
      <c r="L43" s="2" t="s">
        <v>1456</v>
      </c>
      <c r="M43" s="8" t="str">
        <f>HYPERLINK("http://slimages.macys.com/is/image/MCY/13965178 ")</f>
        <v xml:space="preserve">http://slimages.macys.com/is/image/MCY/13965178 </v>
      </c>
    </row>
    <row r="44" spans="1:13" ht="168" x14ac:dyDescent="0.25">
      <c r="A44" s="7" t="s">
        <v>3661</v>
      </c>
      <c r="B44" s="2" t="s">
        <v>3655</v>
      </c>
      <c r="C44" s="4">
        <v>1</v>
      </c>
      <c r="D44" s="5">
        <v>16.5</v>
      </c>
      <c r="E44" s="5">
        <v>39.99</v>
      </c>
      <c r="F44" s="4" t="s">
        <v>3656</v>
      </c>
      <c r="G44" s="2" t="s">
        <v>129</v>
      </c>
      <c r="H44" s="7" t="s">
        <v>442</v>
      </c>
      <c r="I44" s="2" t="s">
        <v>92</v>
      </c>
      <c r="J44" s="2" t="s">
        <v>239</v>
      </c>
      <c r="K44" s="2" t="s">
        <v>304</v>
      </c>
      <c r="L44" s="2" t="s">
        <v>3657</v>
      </c>
      <c r="M44" s="8" t="str">
        <f>HYPERLINK("http://slimages.macys.com/is/image/MCY/14990170 ")</f>
        <v xml:space="preserve">http://slimages.macys.com/is/image/MCY/14990170 </v>
      </c>
    </row>
    <row r="45" spans="1:13" ht="108" x14ac:dyDescent="0.25">
      <c r="A45" s="7" t="s">
        <v>1453</v>
      </c>
      <c r="B45" s="2" t="s">
        <v>1454</v>
      </c>
      <c r="C45" s="4">
        <v>1</v>
      </c>
      <c r="D45" s="5">
        <v>16.5</v>
      </c>
      <c r="E45" s="5">
        <v>39.99</v>
      </c>
      <c r="F45" s="4" t="s">
        <v>1455</v>
      </c>
      <c r="G45" s="2" t="s">
        <v>103</v>
      </c>
      <c r="H45" s="7" t="s">
        <v>442</v>
      </c>
      <c r="I45" s="2" t="s">
        <v>92</v>
      </c>
      <c r="J45" s="2" t="s">
        <v>65</v>
      </c>
      <c r="K45" s="2" t="s">
        <v>304</v>
      </c>
      <c r="L45" s="2" t="s">
        <v>1456</v>
      </c>
      <c r="M45" s="8" t="str">
        <f>HYPERLINK("http://slimages.macys.com/is/image/MCY/13965178 ")</f>
        <v xml:space="preserve">http://slimages.macys.com/is/image/MCY/13965178 </v>
      </c>
    </row>
    <row r="46" spans="1:13" ht="108" x14ac:dyDescent="0.25">
      <c r="A46" s="7" t="s">
        <v>2951</v>
      </c>
      <c r="B46" s="2" t="s">
        <v>1454</v>
      </c>
      <c r="C46" s="4">
        <v>1</v>
      </c>
      <c r="D46" s="5">
        <v>16.5</v>
      </c>
      <c r="E46" s="5">
        <v>39.99</v>
      </c>
      <c r="F46" s="4" t="s">
        <v>1455</v>
      </c>
      <c r="G46" s="2" t="s">
        <v>103</v>
      </c>
      <c r="H46" s="7" t="s">
        <v>91</v>
      </c>
      <c r="I46" s="2" t="s">
        <v>92</v>
      </c>
      <c r="J46" s="2" t="s">
        <v>65</v>
      </c>
      <c r="K46" s="2" t="s">
        <v>304</v>
      </c>
      <c r="L46" s="2" t="s">
        <v>1456</v>
      </c>
      <c r="M46" s="8" t="str">
        <f>HYPERLINK("http://slimages.macys.com/is/image/MCY/13965178 ")</f>
        <v xml:space="preserve">http://slimages.macys.com/is/image/MCY/13965178 </v>
      </c>
    </row>
    <row r="47" spans="1:13" ht="168" x14ac:dyDescent="0.25">
      <c r="A47" s="7" t="s">
        <v>3662</v>
      </c>
      <c r="B47" s="2" t="s">
        <v>3655</v>
      </c>
      <c r="C47" s="4">
        <v>1</v>
      </c>
      <c r="D47" s="5">
        <v>16.5</v>
      </c>
      <c r="E47" s="5">
        <v>39.99</v>
      </c>
      <c r="F47" s="4" t="s">
        <v>3656</v>
      </c>
      <c r="G47" s="2" t="s">
        <v>129</v>
      </c>
      <c r="H47" s="7" t="s">
        <v>91</v>
      </c>
      <c r="I47" s="2" t="s">
        <v>92</v>
      </c>
      <c r="J47" s="2" t="s">
        <v>239</v>
      </c>
      <c r="K47" s="2" t="s">
        <v>304</v>
      </c>
      <c r="L47" s="2" t="s">
        <v>3657</v>
      </c>
      <c r="M47" s="8" t="str">
        <f>HYPERLINK("http://slimages.macys.com/is/image/MCY/14990170 ")</f>
        <v xml:space="preserve">http://slimages.macys.com/is/image/MCY/14990170 </v>
      </c>
    </row>
    <row r="48" spans="1:13" ht="156" x14ac:dyDescent="0.25">
      <c r="A48" s="7" t="s">
        <v>2950</v>
      </c>
      <c r="B48" s="2" t="s">
        <v>1450</v>
      </c>
      <c r="C48" s="4">
        <v>1</v>
      </c>
      <c r="D48" s="5">
        <v>16.5</v>
      </c>
      <c r="E48" s="5">
        <v>39.99</v>
      </c>
      <c r="F48" s="4" t="s">
        <v>1451</v>
      </c>
      <c r="G48" s="2" t="s">
        <v>103</v>
      </c>
      <c r="H48" s="7" t="s">
        <v>42</v>
      </c>
      <c r="I48" s="2" t="s">
        <v>92</v>
      </c>
      <c r="J48" s="2" t="s">
        <v>239</v>
      </c>
      <c r="K48" s="2" t="s">
        <v>304</v>
      </c>
      <c r="L48" s="2" t="s">
        <v>1452</v>
      </c>
      <c r="M48" s="8" t="str">
        <f>HYPERLINK("http://slimages.macys.com/is/image/MCY/14989365 ")</f>
        <v xml:space="preserve">http://slimages.macys.com/is/image/MCY/14989365 </v>
      </c>
    </row>
    <row r="49" spans="1:13" ht="156" x14ac:dyDescent="0.25">
      <c r="A49" s="7" t="s">
        <v>1449</v>
      </c>
      <c r="B49" s="2" t="s">
        <v>1450</v>
      </c>
      <c r="C49" s="4">
        <v>2</v>
      </c>
      <c r="D49" s="5">
        <v>16.5</v>
      </c>
      <c r="E49" s="5">
        <v>39.99</v>
      </c>
      <c r="F49" s="4" t="s">
        <v>1451</v>
      </c>
      <c r="G49" s="2" t="s">
        <v>103</v>
      </c>
      <c r="H49" s="7" t="s">
        <v>91</v>
      </c>
      <c r="I49" s="2" t="s">
        <v>92</v>
      </c>
      <c r="J49" s="2" t="s">
        <v>239</v>
      </c>
      <c r="K49" s="2" t="s">
        <v>304</v>
      </c>
      <c r="L49" s="2" t="s">
        <v>1452</v>
      </c>
      <c r="M49" s="8" t="str">
        <f>HYPERLINK("http://slimages.macys.com/is/image/MCY/14989365 ")</f>
        <v xml:space="preserve">http://slimages.macys.com/is/image/MCY/14989365 </v>
      </c>
    </row>
    <row r="50" spans="1:13" ht="168" x14ac:dyDescent="0.25">
      <c r="A50" s="7" t="s">
        <v>3663</v>
      </c>
      <c r="B50" s="2" t="s">
        <v>3655</v>
      </c>
      <c r="C50" s="4">
        <v>1</v>
      </c>
      <c r="D50" s="5">
        <v>16.5</v>
      </c>
      <c r="E50" s="5">
        <v>39.99</v>
      </c>
      <c r="F50" s="4" t="s">
        <v>3656</v>
      </c>
      <c r="G50" s="2" t="s">
        <v>129</v>
      </c>
      <c r="H50" s="7" t="s">
        <v>590</v>
      </c>
      <c r="I50" s="2" t="s">
        <v>92</v>
      </c>
      <c r="J50" s="2" t="s">
        <v>239</v>
      </c>
      <c r="K50" s="2" t="s">
        <v>304</v>
      </c>
      <c r="L50" s="2" t="s">
        <v>3657</v>
      </c>
      <c r="M50" s="8" t="str">
        <f>HYPERLINK("http://slimages.macys.com/is/image/MCY/14990170 ")</f>
        <v xml:space="preserve">http://slimages.macys.com/is/image/MCY/14990170 </v>
      </c>
    </row>
    <row r="51" spans="1:13" ht="84" x14ac:dyDescent="0.25">
      <c r="A51" s="7" t="s">
        <v>3664</v>
      </c>
      <c r="B51" s="2" t="s">
        <v>1458</v>
      </c>
      <c r="C51" s="4">
        <v>1</v>
      </c>
      <c r="D51" s="5">
        <v>16</v>
      </c>
      <c r="E51" s="5">
        <v>39.99</v>
      </c>
      <c r="F51" s="4" t="s">
        <v>1459</v>
      </c>
      <c r="G51" s="2" t="s">
        <v>129</v>
      </c>
      <c r="H51" s="7" t="s">
        <v>42</v>
      </c>
      <c r="I51" s="2" t="s">
        <v>92</v>
      </c>
      <c r="J51" s="2" t="s">
        <v>239</v>
      </c>
      <c r="K51" s="2" t="s">
        <v>304</v>
      </c>
      <c r="L51" s="2" t="s">
        <v>1460</v>
      </c>
      <c r="M51" s="8" t="str">
        <f>HYPERLINK("http://slimages.macys.com/is/image/MCY/14989246 ")</f>
        <v xml:space="preserve">http://slimages.macys.com/is/image/MCY/14989246 </v>
      </c>
    </row>
    <row r="52" spans="1:13" ht="108" x14ac:dyDescent="0.25">
      <c r="A52" s="7" t="s">
        <v>3665</v>
      </c>
      <c r="B52" s="2" t="s">
        <v>3666</v>
      </c>
      <c r="C52" s="4">
        <v>1</v>
      </c>
      <c r="D52" s="5">
        <v>16</v>
      </c>
      <c r="E52" s="5">
        <v>39.99</v>
      </c>
      <c r="F52" s="4" t="s">
        <v>3667</v>
      </c>
      <c r="G52" s="2" t="s">
        <v>1265</v>
      </c>
      <c r="H52" s="7" t="s">
        <v>144</v>
      </c>
      <c r="I52" s="2" t="s">
        <v>64</v>
      </c>
      <c r="J52" s="2" t="s">
        <v>2923</v>
      </c>
      <c r="K52" s="2" t="s">
        <v>304</v>
      </c>
      <c r="L52" s="2" t="s">
        <v>3668</v>
      </c>
      <c r="M52" s="8" t="str">
        <f>HYPERLINK("http://slimages.macys.com/is/image/MCY/10746382 ")</f>
        <v xml:space="preserve">http://slimages.macys.com/is/image/MCY/10746382 </v>
      </c>
    </row>
    <row r="53" spans="1:13" ht="60" x14ac:dyDescent="0.25">
      <c r="A53" s="7" t="s">
        <v>3669</v>
      </c>
      <c r="B53" s="2" t="s">
        <v>3670</v>
      </c>
      <c r="C53" s="4">
        <v>1</v>
      </c>
      <c r="D53" s="5">
        <v>15.8</v>
      </c>
      <c r="E53" s="5">
        <v>39.5</v>
      </c>
      <c r="F53" s="4" t="s">
        <v>3671</v>
      </c>
      <c r="G53" s="2" t="s">
        <v>62</v>
      </c>
      <c r="H53" s="7"/>
      <c r="I53" s="2" t="s">
        <v>57</v>
      </c>
      <c r="J53" s="2" t="s">
        <v>58</v>
      </c>
      <c r="K53" s="2" t="s">
        <v>304</v>
      </c>
      <c r="L53" s="2" t="s">
        <v>596</v>
      </c>
      <c r="M53" s="8" t="str">
        <f>HYPERLINK("http://slimages.macys.com/is/image/MCY/13743434 ")</f>
        <v xml:space="preserve">http://slimages.macys.com/is/image/MCY/13743434 </v>
      </c>
    </row>
    <row r="54" spans="1:13" ht="60" x14ac:dyDescent="0.25">
      <c r="A54" s="7" t="s">
        <v>3672</v>
      </c>
      <c r="B54" s="2" t="s">
        <v>2965</v>
      </c>
      <c r="C54" s="4">
        <v>1</v>
      </c>
      <c r="D54" s="5">
        <v>15.75</v>
      </c>
      <c r="E54" s="5">
        <v>36.99</v>
      </c>
      <c r="F54" s="4" t="s">
        <v>2966</v>
      </c>
      <c r="G54" s="2" t="s">
        <v>165</v>
      </c>
      <c r="H54" s="7" t="s">
        <v>228</v>
      </c>
      <c r="I54" s="2" t="s">
        <v>80</v>
      </c>
      <c r="J54" s="2" t="s">
        <v>2967</v>
      </c>
      <c r="K54" s="2" t="s">
        <v>304</v>
      </c>
      <c r="L54" s="2" t="s">
        <v>125</v>
      </c>
      <c r="M54" s="8" t="str">
        <f>HYPERLINK("http://slimages.macys.com/is/image/MCY/13759711 ")</f>
        <v xml:space="preserve">http://slimages.macys.com/is/image/MCY/13759711 </v>
      </c>
    </row>
    <row r="55" spans="1:13" ht="60" x14ac:dyDescent="0.25">
      <c r="A55" s="7" t="s">
        <v>3673</v>
      </c>
      <c r="B55" s="2" t="s">
        <v>3674</v>
      </c>
      <c r="C55" s="4">
        <v>1</v>
      </c>
      <c r="D55" s="5">
        <v>15.57</v>
      </c>
      <c r="E55" s="5">
        <v>31.99</v>
      </c>
      <c r="F55" s="4" t="s">
        <v>3675</v>
      </c>
      <c r="G55" s="2" t="s">
        <v>814</v>
      </c>
      <c r="H55" s="7" t="s">
        <v>284</v>
      </c>
      <c r="I55" s="2" t="s">
        <v>80</v>
      </c>
      <c r="J55" s="2" t="s">
        <v>160</v>
      </c>
      <c r="K55" s="2" t="s">
        <v>304</v>
      </c>
      <c r="L55" s="2" t="s">
        <v>125</v>
      </c>
      <c r="M55" s="8" t="str">
        <f>HYPERLINK("http://slimages.macys.com/is/image/MCY/11485889 ")</f>
        <v xml:space="preserve">http://slimages.macys.com/is/image/MCY/11485889 </v>
      </c>
    </row>
    <row r="56" spans="1:13" ht="60" x14ac:dyDescent="0.25">
      <c r="A56" s="7" t="s">
        <v>3676</v>
      </c>
      <c r="B56" s="2" t="s">
        <v>1484</v>
      </c>
      <c r="C56" s="4">
        <v>2</v>
      </c>
      <c r="D56" s="5">
        <v>15</v>
      </c>
      <c r="E56" s="5">
        <v>39.99</v>
      </c>
      <c r="F56" s="4" t="s">
        <v>1485</v>
      </c>
      <c r="G56" s="2" t="s">
        <v>752</v>
      </c>
      <c r="H56" s="7" t="s">
        <v>42</v>
      </c>
      <c r="I56" s="2" t="s">
        <v>92</v>
      </c>
      <c r="J56" s="2" t="s">
        <v>239</v>
      </c>
      <c r="K56" s="2" t="s">
        <v>304</v>
      </c>
      <c r="L56" s="2" t="s">
        <v>125</v>
      </c>
      <c r="M56" s="8" t="str">
        <f>HYPERLINK("http://slimages.macys.com/is/image/MCY/14886756 ")</f>
        <v xml:space="preserve">http://slimages.macys.com/is/image/MCY/14886756 </v>
      </c>
    </row>
    <row r="57" spans="1:13" ht="60" x14ac:dyDescent="0.25">
      <c r="A57" s="7" t="s">
        <v>1483</v>
      </c>
      <c r="B57" s="2" t="s">
        <v>1484</v>
      </c>
      <c r="C57" s="4">
        <v>1</v>
      </c>
      <c r="D57" s="5">
        <v>15</v>
      </c>
      <c r="E57" s="5">
        <v>39.99</v>
      </c>
      <c r="F57" s="4" t="s">
        <v>1485</v>
      </c>
      <c r="G57" s="2" t="s">
        <v>752</v>
      </c>
      <c r="H57" s="7" t="s">
        <v>590</v>
      </c>
      <c r="I57" s="2" t="s">
        <v>92</v>
      </c>
      <c r="J57" s="2" t="s">
        <v>239</v>
      </c>
      <c r="K57" s="2" t="s">
        <v>304</v>
      </c>
      <c r="L57" s="2" t="s">
        <v>125</v>
      </c>
      <c r="M57" s="8" t="str">
        <f>HYPERLINK("http://slimages.macys.com/is/image/MCY/14886756 ")</f>
        <v xml:space="preserve">http://slimages.macys.com/is/image/MCY/14886756 </v>
      </c>
    </row>
    <row r="58" spans="1:13" ht="60" x14ac:dyDescent="0.25">
      <c r="A58" s="7" t="s">
        <v>1480</v>
      </c>
      <c r="B58" s="2" t="s">
        <v>1481</v>
      </c>
      <c r="C58" s="4">
        <v>1</v>
      </c>
      <c r="D58" s="5">
        <v>15</v>
      </c>
      <c r="E58" s="5">
        <v>39.99</v>
      </c>
      <c r="F58" s="4" t="s">
        <v>1482</v>
      </c>
      <c r="G58" s="2" t="s">
        <v>103</v>
      </c>
      <c r="H58" s="7" t="s">
        <v>149</v>
      </c>
      <c r="I58" s="2" t="s">
        <v>92</v>
      </c>
      <c r="J58" s="2" t="s">
        <v>239</v>
      </c>
      <c r="K58" s="2" t="s">
        <v>304</v>
      </c>
      <c r="L58" s="2" t="s">
        <v>125</v>
      </c>
      <c r="M58" s="8" t="str">
        <f>HYPERLINK("http://slimages.macys.com/is/image/MCY/15071393 ")</f>
        <v xml:space="preserve">http://slimages.macys.com/is/image/MCY/15071393 </v>
      </c>
    </row>
    <row r="59" spans="1:13" ht="60" x14ac:dyDescent="0.25">
      <c r="A59" s="7" t="s">
        <v>3677</v>
      </c>
      <c r="B59" s="2" t="s">
        <v>1481</v>
      </c>
      <c r="C59" s="4">
        <v>2</v>
      </c>
      <c r="D59" s="5">
        <v>15</v>
      </c>
      <c r="E59" s="5">
        <v>39.99</v>
      </c>
      <c r="F59" s="4" t="s">
        <v>1482</v>
      </c>
      <c r="G59" s="2" t="s">
        <v>103</v>
      </c>
      <c r="H59" s="7" t="s">
        <v>91</v>
      </c>
      <c r="I59" s="2" t="s">
        <v>92</v>
      </c>
      <c r="J59" s="2" t="s">
        <v>239</v>
      </c>
      <c r="K59" s="2" t="s">
        <v>304</v>
      </c>
      <c r="L59" s="2" t="s">
        <v>125</v>
      </c>
      <c r="M59" s="8" t="str">
        <f>HYPERLINK("http://slimages.macys.com/is/image/MCY/15071393 ")</f>
        <v xml:space="preserve">http://slimages.macys.com/is/image/MCY/15071393 </v>
      </c>
    </row>
    <row r="60" spans="1:13" ht="60" x14ac:dyDescent="0.25">
      <c r="A60" s="7" t="s">
        <v>2978</v>
      </c>
      <c r="B60" s="2" t="s">
        <v>1477</v>
      </c>
      <c r="C60" s="4">
        <v>1</v>
      </c>
      <c r="D60" s="5">
        <v>15</v>
      </c>
      <c r="E60" s="5">
        <v>39.99</v>
      </c>
      <c r="F60" s="4" t="s">
        <v>1478</v>
      </c>
      <c r="G60" s="2" t="s">
        <v>36</v>
      </c>
      <c r="H60" s="7" t="s">
        <v>590</v>
      </c>
      <c r="I60" s="2" t="s">
        <v>92</v>
      </c>
      <c r="J60" s="2" t="s">
        <v>187</v>
      </c>
      <c r="K60" s="2" t="s">
        <v>304</v>
      </c>
      <c r="L60" s="2" t="s">
        <v>1479</v>
      </c>
      <c r="M60" s="8" t="str">
        <f>HYPERLINK("http://slimages.macys.com/is/image/MCY/13310887 ")</f>
        <v xml:space="preserve">http://slimages.macys.com/is/image/MCY/13310887 </v>
      </c>
    </row>
    <row r="61" spans="1:13" ht="60" x14ac:dyDescent="0.25">
      <c r="A61" s="7" t="s">
        <v>1476</v>
      </c>
      <c r="B61" s="2" t="s">
        <v>1477</v>
      </c>
      <c r="C61" s="4">
        <v>4</v>
      </c>
      <c r="D61" s="5">
        <v>15</v>
      </c>
      <c r="E61" s="5">
        <v>39.99</v>
      </c>
      <c r="F61" s="4" t="s">
        <v>1478</v>
      </c>
      <c r="G61" s="2" t="s">
        <v>36</v>
      </c>
      <c r="H61" s="7" t="s">
        <v>149</v>
      </c>
      <c r="I61" s="2" t="s">
        <v>92</v>
      </c>
      <c r="J61" s="2" t="s">
        <v>187</v>
      </c>
      <c r="K61" s="2" t="s">
        <v>304</v>
      </c>
      <c r="L61" s="2" t="s">
        <v>1479</v>
      </c>
      <c r="M61" s="8" t="str">
        <f>HYPERLINK("http://slimages.macys.com/is/image/MCY/13310887 ")</f>
        <v xml:space="preserve">http://slimages.macys.com/is/image/MCY/13310887 </v>
      </c>
    </row>
    <row r="62" spans="1:13" ht="72" x14ac:dyDescent="0.25">
      <c r="A62" s="7" t="s">
        <v>734</v>
      </c>
      <c r="B62" s="2" t="s">
        <v>735</v>
      </c>
      <c r="C62" s="4">
        <v>1</v>
      </c>
      <c r="D62" s="5">
        <v>15</v>
      </c>
      <c r="E62" s="5">
        <v>39.99</v>
      </c>
      <c r="F62" s="4" t="s">
        <v>736</v>
      </c>
      <c r="G62" s="2" t="s">
        <v>595</v>
      </c>
      <c r="H62" s="7" t="s">
        <v>91</v>
      </c>
      <c r="I62" s="2" t="s">
        <v>92</v>
      </c>
      <c r="J62" s="2" t="s">
        <v>239</v>
      </c>
      <c r="K62" s="2" t="s">
        <v>304</v>
      </c>
      <c r="L62" s="2" t="s">
        <v>737</v>
      </c>
      <c r="M62" s="8" t="str">
        <f>HYPERLINK("http://slimages.macys.com/is/image/MCY/14989275 ")</f>
        <v xml:space="preserve">http://slimages.macys.com/is/image/MCY/14989275 </v>
      </c>
    </row>
    <row r="63" spans="1:13" ht="60" x14ac:dyDescent="0.25">
      <c r="A63" s="7" t="s">
        <v>3678</v>
      </c>
      <c r="B63" s="2" t="s">
        <v>3679</v>
      </c>
      <c r="C63" s="4">
        <v>1</v>
      </c>
      <c r="D63" s="5">
        <v>15</v>
      </c>
      <c r="E63" s="5">
        <v>34.99</v>
      </c>
      <c r="F63" s="4" t="s">
        <v>3680</v>
      </c>
      <c r="G63" s="2" t="s">
        <v>262</v>
      </c>
      <c r="H63" s="7" t="s">
        <v>144</v>
      </c>
      <c r="I63" s="2" t="s">
        <v>173</v>
      </c>
      <c r="J63" s="2" t="s">
        <v>1967</v>
      </c>
      <c r="K63" s="2" t="s">
        <v>304</v>
      </c>
      <c r="L63" s="2" t="s">
        <v>75</v>
      </c>
      <c r="M63" s="8" t="str">
        <f>HYPERLINK("http://slimages.macys.com/is/image/MCY/8706842 ")</f>
        <v xml:space="preserve">http://slimages.macys.com/is/image/MCY/8706842 </v>
      </c>
    </row>
    <row r="64" spans="1:13" ht="60" x14ac:dyDescent="0.25">
      <c r="A64" s="7" t="s">
        <v>3681</v>
      </c>
      <c r="B64" s="2" t="s">
        <v>1484</v>
      </c>
      <c r="C64" s="4">
        <v>1</v>
      </c>
      <c r="D64" s="5">
        <v>15</v>
      </c>
      <c r="E64" s="5">
        <v>39.99</v>
      </c>
      <c r="F64" s="4" t="s">
        <v>1485</v>
      </c>
      <c r="G64" s="2" t="s">
        <v>752</v>
      </c>
      <c r="H64" s="7" t="s">
        <v>91</v>
      </c>
      <c r="I64" s="2" t="s">
        <v>92</v>
      </c>
      <c r="J64" s="2" t="s">
        <v>239</v>
      </c>
      <c r="K64" s="2" t="s">
        <v>304</v>
      </c>
      <c r="L64" s="2" t="s">
        <v>125</v>
      </c>
      <c r="M64" s="8" t="str">
        <f>HYPERLINK("http://slimages.macys.com/is/image/MCY/14886756 ")</f>
        <v xml:space="preserve">http://slimages.macys.com/is/image/MCY/14886756 </v>
      </c>
    </row>
    <row r="65" spans="1:13" ht="60" x14ac:dyDescent="0.25">
      <c r="A65" s="7" t="s">
        <v>3682</v>
      </c>
      <c r="B65" s="2" t="s">
        <v>3683</v>
      </c>
      <c r="C65" s="4">
        <v>1</v>
      </c>
      <c r="D65" s="5">
        <v>14.7</v>
      </c>
      <c r="E65" s="5">
        <v>49</v>
      </c>
      <c r="F65" s="4" t="s">
        <v>3684</v>
      </c>
      <c r="G65" s="2" t="s">
        <v>1047</v>
      </c>
      <c r="H65" s="7" t="s">
        <v>97</v>
      </c>
      <c r="I65" s="2" t="s">
        <v>3685</v>
      </c>
      <c r="J65" s="2" t="s">
        <v>3686</v>
      </c>
      <c r="K65" s="2" t="s">
        <v>304</v>
      </c>
      <c r="L65" s="2" t="s">
        <v>3687</v>
      </c>
      <c r="M65" s="8" t="str">
        <f>HYPERLINK("http://slimages.macys.com/is/image/MCY/13685444 ")</f>
        <v xml:space="preserve">http://slimages.macys.com/is/image/MCY/13685444 </v>
      </c>
    </row>
    <row r="66" spans="1:13" ht="60" x14ac:dyDescent="0.25">
      <c r="A66" s="7" t="s">
        <v>3688</v>
      </c>
      <c r="B66" s="2" t="s">
        <v>3689</v>
      </c>
      <c r="C66" s="4">
        <v>1</v>
      </c>
      <c r="D66" s="5">
        <v>14.62</v>
      </c>
      <c r="E66" s="5">
        <v>39.5</v>
      </c>
      <c r="F66" s="4" t="s">
        <v>3690</v>
      </c>
      <c r="G66" s="2" t="s">
        <v>262</v>
      </c>
      <c r="H66" s="7" t="s">
        <v>248</v>
      </c>
      <c r="I66" s="2" t="s">
        <v>880</v>
      </c>
      <c r="J66" s="2" t="s">
        <v>881</v>
      </c>
      <c r="K66" s="2" t="s">
        <v>304</v>
      </c>
      <c r="L66" s="2" t="s">
        <v>87</v>
      </c>
      <c r="M66" s="8" t="str">
        <f>HYPERLINK("http://slimages.macys.com/is/image/MCY/12239558 ")</f>
        <v xml:space="preserve">http://slimages.macys.com/is/image/MCY/12239558 </v>
      </c>
    </row>
    <row r="67" spans="1:13" ht="60" x14ac:dyDescent="0.25">
      <c r="A67" s="7" t="s">
        <v>3691</v>
      </c>
      <c r="B67" s="2" t="s">
        <v>3692</v>
      </c>
      <c r="C67" s="4">
        <v>1</v>
      </c>
      <c r="D67" s="5">
        <v>14.62</v>
      </c>
      <c r="E67" s="5">
        <v>39.5</v>
      </c>
      <c r="F67" s="4" t="s">
        <v>3693</v>
      </c>
      <c r="G67" s="2" t="s">
        <v>297</v>
      </c>
      <c r="H67" s="7" t="s">
        <v>172</v>
      </c>
      <c r="I67" s="2" t="s">
        <v>880</v>
      </c>
      <c r="J67" s="2" t="s">
        <v>881</v>
      </c>
      <c r="K67" s="2" t="s">
        <v>304</v>
      </c>
      <c r="L67" s="2" t="s">
        <v>206</v>
      </c>
      <c r="M67" s="8" t="str">
        <f>HYPERLINK("http://slimages.macys.com/is/image/MCY/2665984 ")</f>
        <v xml:space="preserve">http://slimages.macys.com/is/image/MCY/2665984 </v>
      </c>
    </row>
    <row r="68" spans="1:13" ht="60" x14ac:dyDescent="0.25">
      <c r="A68" s="7" t="s">
        <v>3694</v>
      </c>
      <c r="B68" s="2" t="s">
        <v>3695</v>
      </c>
      <c r="C68" s="4">
        <v>1</v>
      </c>
      <c r="D68" s="5">
        <v>14.5</v>
      </c>
      <c r="E68" s="5">
        <v>29.99</v>
      </c>
      <c r="F68" s="4" t="s">
        <v>3696</v>
      </c>
      <c r="G68" s="2" t="s">
        <v>793</v>
      </c>
      <c r="H68" s="7" t="s">
        <v>1411</v>
      </c>
      <c r="I68" s="2" t="s">
        <v>257</v>
      </c>
      <c r="J68" s="2" t="s">
        <v>258</v>
      </c>
      <c r="K68" s="2" t="s">
        <v>304</v>
      </c>
      <c r="L68" s="2" t="s">
        <v>75</v>
      </c>
      <c r="M68" s="8" t="str">
        <f>HYPERLINK("http://slimages.macys.com/is/image/MCY/10321041 ")</f>
        <v xml:space="preserve">http://slimages.macys.com/is/image/MCY/10321041 </v>
      </c>
    </row>
    <row r="69" spans="1:13" ht="156" x14ac:dyDescent="0.25">
      <c r="A69" s="7" t="s">
        <v>3697</v>
      </c>
      <c r="B69" s="2" t="s">
        <v>3698</v>
      </c>
      <c r="C69" s="4">
        <v>2</v>
      </c>
      <c r="D69" s="5">
        <v>14.5</v>
      </c>
      <c r="E69" s="5">
        <v>39.99</v>
      </c>
      <c r="F69" s="4" t="s">
        <v>3699</v>
      </c>
      <c r="G69" s="2" t="s">
        <v>62</v>
      </c>
      <c r="H69" s="7" t="s">
        <v>442</v>
      </c>
      <c r="I69" s="2" t="s">
        <v>92</v>
      </c>
      <c r="J69" s="2" t="s">
        <v>239</v>
      </c>
      <c r="K69" s="2" t="s">
        <v>304</v>
      </c>
      <c r="L69" s="2" t="s">
        <v>1452</v>
      </c>
      <c r="M69" s="8" t="str">
        <f>HYPERLINK("http://slimages.macys.com/is/image/MCY/14989303 ")</f>
        <v xml:space="preserve">http://slimages.macys.com/is/image/MCY/14989303 </v>
      </c>
    </row>
    <row r="70" spans="1:13" ht="192" x14ac:dyDescent="0.25">
      <c r="A70" s="7" t="s">
        <v>3700</v>
      </c>
      <c r="B70" s="2" t="s">
        <v>3701</v>
      </c>
      <c r="C70" s="4">
        <v>1</v>
      </c>
      <c r="D70" s="5">
        <v>14.5</v>
      </c>
      <c r="E70" s="5">
        <v>34.99</v>
      </c>
      <c r="F70" s="4" t="s">
        <v>3702</v>
      </c>
      <c r="G70" s="2" t="s">
        <v>752</v>
      </c>
      <c r="H70" s="7" t="s">
        <v>91</v>
      </c>
      <c r="I70" s="2" t="s">
        <v>92</v>
      </c>
      <c r="J70" s="2" t="s">
        <v>65</v>
      </c>
      <c r="K70" s="2" t="s">
        <v>304</v>
      </c>
      <c r="L70" s="2" t="s">
        <v>3703</v>
      </c>
      <c r="M70" s="8" t="str">
        <f>HYPERLINK("http://slimages.macys.com/is/image/MCY/16148944 ")</f>
        <v xml:space="preserve">http://slimages.macys.com/is/image/MCY/16148944 </v>
      </c>
    </row>
    <row r="71" spans="1:13" ht="60" x14ac:dyDescent="0.25">
      <c r="A71" s="7" t="s">
        <v>3704</v>
      </c>
      <c r="B71" s="2" t="s">
        <v>747</v>
      </c>
      <c r="C71" s="4">
        <v>1</v>
      </c>
      <c r="D71" s="5">
        <v>14.18</v>
      </c>
      <c r="E71" s="5">
        <v>34.99</v>
      </c>
      <c r="F71" s="4" t="s">
        <v>748</v>
      </c>
      <c r="G71" s="2" t="s">
        <v>353</v>
      </c>
      <c r="H71" s="7" t="s">
        <v>159</v>
      </c>
      <c r="I71" s="2" t="s">
        <v>292</v>
      </c>
      <c r="J71" s="2" t="s">
        <v>293</v>
      </c>
      <c r="K71" s="2" t="s">
        <v>304</v>
      </c>
      <c r="L71" s="2" t="s">
        <v>125</v>
      </c>
      <c r="M71" s="8" t="str">
        <f>HYPERLINK("http://slimages.macys.com/is/image/MCY/11527670 ")</f>
        <v xml:space="preserve">http://slimages.macys.com/is/image/MCY/11527670 </v>
      </c>
    </row>
    <row r="72" spans="1:13" ht="156" x14ac:dyDescent="0.25">
      <c r="A72" s="7" t="s">
        <v>3705</v>
      </c>
      <c r="B72" s="2" t="s">
        <v>127</v>
      </c>
      <c r="C72" s="4">
        <v>1</v>
      </c>
      <c r="D72" s="5">
        <v>14</v>
      </c>
      <c r="E72" s="5">
        <v>34.99</v>
      </c>
      <c r="F72" s="4" t="s">
        <v>128</v>
      </c>
      <c r="G72" s="2" t="s">
        <v>129</v>
      </c>
      <c r="H72" s="7" t="s">
        <v>149</v>
      </c>
      <c r="I72" s="2" t="s">
        <v>92</v>
      </c>
      <c r="J72" s="2" t="s">
        <v>65</v>
      </c>
      <c r="K72" s="2" t="s">
        <v>304</v>
      </c>
      <c r="L72" s="2" t="s">
        <v>130</v>
      </c>
      <c r="M72" s="8" t="str">
        <f>HYPERLINK("http://slimages.macys.com/is/image/MCY/14885750 ")</f>
        <v xml:space="preserve">http://slimages.macys.com/is/image/MCY/14885750 </v>
      </c>
    </row>
    <row r="73" spans="1:13" ht="96" x14ac:dyDescent="0.25">
      <c r="A73" s="7" t="s">
        <v>3706</v>
      </c>
      <c r="B73" s="2" t="s">
        <v>3707</v>
      </c>
      <c r="C73" s="4">
        <v>1</v>
      </c>
      <c r="D73" s="5">
        <v>14</v>
      </c>
      <c r="E73" s="5">
        <v>34.99</v>
      </c>
      <c r="F73" s="4" t="s">
        <v>3708</v>
      </c>
      <c r="G73" s="2" t="s">
        <v>62</v>
      </c>
      <c r="H73" s="7" t="s">
        <v>42</v>
      </c>
      <c r="I73" s="2" t="s">
        <v>135</v>
      </c>
      <c r="J73" s="2" t="s">
        <v>136</v>
      </c>
      <c r="K73" s="2" t="s">
        <v>304</v>
      </c>
      <c r="L73" s="2" t="s">
        <v>3709</v>
      </c>
      <c r="M73" s="8" t="str">
        <f>HYPERLINK("http://slimages.macys.com/is/image/MCY/15363769 ")</f>
        <v xml:space="preserve">http://slimages.macys.com/is/image/MCY/15363769 </v>
      </c>
    </row>
    <row r="74" spans="1:13" ht="60" x14ac:dyDescent="0.25">
      <c r="A74" s="7" t="s">
        <v>3710</v>
      </c>
      <c r="B74" s="2" t="s">
        <v>3711</v>
      </c>
      <c r="C74" s="4">
        <v>1</v>
      </c>
      <c r="D74" s="5">
        <v>14</v>
      </c>
      <c r="E74" s="5">
        <v>34.99</v>
      </c>
      <c r="F74" s="4" t="s">
        <v>3712</v>
      </c>
      <c r="G74" s="2" t="s">
        <v>262</v>
      </c>
      <c r="H74" s="7" t="s">
        <v>144</v>
      </c>
      <c r="I74" s="2" t="s">
        <v>80</v>
      </c>
      <c r="J74" s="2" t="s">
        <v>647</v>
      </c>
      <c r="K74" s="2" t="s">
        <v>304</v>
      </c>
      <c r="L74" s="2" t="s">
        <v>358</v>
      </c>
      <c r="M74" s="8" t="str">
        <f>HYPERLINK("http://slimages.macys.com/is/image/MCY/14349453 ")</f>
        <v xml:space="preserve">http://slimages.macys.com/is/image/MCY/14349453 </v>
      </c>
    </row>
    <row r="75" spans="1:13" ht="84" x14ac:dyDescent="0.25">
      <c r="A75" s="7" t="s">
        <v>3713</v>
      </c>
      <c r="B75" s="2" t="s">
        <v>3714</v>
      </c>
      <c r="C75" s="4">
        <v>2</v>
      </c>
      <c r="D75" s="5">
        <v>14</v>
      </c>
      <c r="E75" s="5">
        <v>34.99</v>
      </c>
      <c r="F75" s="4" t="s">
        <v>3715</v>
      </c>
      <c r="G75" s="2" t="s">
        <v>455</v>
      </c>
      <c r="H75" s="7" t="s">
        <v>68</v>
      </c>
      <c r="I75" s="2" t="s">
        <v>64</v>
      </c>
      <c r="J75" s="2" t="s">
        <v>239</v>
      </c>
      <c r="K75" s="2" t="s">
        <v>304</v>
      </c>
      <c r="L75" s="2" t="s">
        <v>3716</v>
      </c>
      <c r="M75" s="8" t="str">
        <f>HYPERLINK("http://slimages.macys.com/is/image/MCY/14459152 ")</f>
        <v xml:space="preserve">http://slimages.macys.com/is/image/MCY/14459152 </v>
      </c>
    </row>
    <row r="76" spans="1:13" ht="60" x14ac:dyDescent="0.25">
      <c r="A76" s="7" t="s">
        <v>3717</v>
      </c>
      <c r="B76" s="2" t="s">
        <v>3718</v>
      </c>
      <c r="C76" s="4">
        <v>1</v>
      </c>
      <c r="D76" s="5">
        <v>14</v>
      </c>
      <c r="E76" s="5">
        <v>34.99</v>
      </c>
      <c r="F76" s="4" t="s">
        <v>3719</v>
      </c>
      <c r="G76" s="2" t="s">
        <v>62</v>
      </c>
      <c r="H76" s="7" t="s">
        <v>63</v>
      </c>
      <c r="I76" s="2" t="s">
        <v>64</v>
      </c>
      <c r="J76" s="2" t="s">
        <v>239</v>
      </c>
      <c r="K76" s="2" t="s">
        <v>304</v>
      </c>
      <c r="L76" s="2" t="s">
        <v>3720</v>
      </c>
      <c r="M76" s="8" t="str">
        <f>HYPERLINK("http://slimages.macys.com/is/image/MCY/14459151 ")</f>
        <v xml:space="preserve">http://slimages.macys.com/is/image/MCY/14459151 </v>
      </c>
    </row>
    <row r="77" spans="1:13" ht="108" x14ac:dyDescent="0.25">
      <c r="A77" s="7" t="s">
        <v>3721</v>
      </c>
      <c r="B77" s="2" t="s">
        <v>3711</v>
      </c>
      <c r="C77" s="4">
        <v>1</v>
      </c>
      <c r="D77" s="5">
        <v>14</v>
      </c>
      <c r="E77" s="5">
        <v>34.99</v>
      </c>
      <c r="F77" s="4" t="s">
        <v>3712</v>
      </c>
      <c r="G77" s="2" t="s">
        <v>262</v>
      </c>
      <c r="H77" s="7" t="s">
        <v>311</v>
      </c>
      <c r="I77" s="2" t="s">
        <v>80</v>
      </c>
      <c r="J77" s="2" t="s">
        <v>647</v>
      </c>
      <c r="K77" s="2" t="s">
        <v>304</v>
      </c>
      <c r="L77" s="2" t="s">
        <v>3722</v>
      </c>
      <c r="M77" s="8" t="str">
        <f>HYPERLINK("http://slimages.macys.com/is/image/MCY/14349453 ")</f>
        <v xml:space="preserve">http://slimages.macys.com/is/image/MCY/14349453 </v>
      </c>
    </row>
    <row r="78" spans="1:13" ht="60" x14ac:dyDescent="0.25">
      <c r="A78" s="7" t="s">
        <v>3723</v>
      </c>
      <c r="B78" s="2" t="s">
        <v>3724</v>
      </c>
      <c r="C78" s="4">
        <v>1</v>
      </c>
      <c r="D78" s="5">
        <v>14</v>
      </c>
      <c r="E78" s="5">
        <v>34.99</v>
      </c>
      <c r="F78" s="4" t="s">
        <v>3725</v>
      </c>
      <c r="G78" s="2" t="s">
        <v>1091</v>
      </c>
      <c r="H78" s="7" t="s">
        <v>144</v>
      </c>
      <c r="I78" s="2" t="s">
        <v>64</v>
      </c>
      <c r="J78" s="2" t="s">
        <v>239</v>
      </c>
      <c r="K78" s="2" t="s">
        <v>304</v>
      </c>
      <c r="L78" s="2" t="s">
        <v>3720</v>
      </c>
      <c r="M78" s="8" t="str">
        <f>HYPERLINK("http://slimages.macys.com/is/image/MCY/14459099 ")</f>
        <v xml:space="preserve">http://slimages.macys.com/is/image/MCY/14459099 </v>
      </c>
    </row>
    <row r="79" spans="1:13" ht="84" x14ac:dyDescent="0.25">
      <c r="A79" s="7" t="s">
        <v>3726</v>
      </c>
      <c r="B79" s="2" t="s">
        <v>3727</v>
      </c>
      <c r="C79" s="4">
        <v>1</v>
      </c>
      <c r="D79" s="5">
        <v>13.75</v>
      </c>
      <c r="E79" s="5">
        <v>39.99</v>
      </c>
      <c r="F79" s="4" t="s">
        <v>3728</v>
      </c>
      <c r="G79" s="2" t="s">
        <v>62</v>
      </c>
      <c r="H79" s="7" t="s">
        <v>91</v>
      </c>
      <c r="I79" s="2" t="s">
        <v>92</v>
      </c>
      <c r="J79" s="2" t="s">
        <v>239</v>
      </c>
      <c r="K79" s="2" t="s">
        <v>304</v>
      </c>
      <c r="L79" s="2" t="s">
        <v>1516</v>
      </c>
      <c r="M79" s="8" t="str">
        <f>HYPERLINK("http://slimages.macys.com/is/image/MCY/14989330 ")</f>
        <v xml:space="preserve">http://slimages.macys.com/is/image/MCY/14989330 </v>
      </c>
    </row>
    <row r="80" spans="1:13" ht="156" x14ac:dyDescent="0.25">
      <c r="A80" s="7" t="s">
        <v>3729</v>
      </c>
      <c r="B80" s="2" t="s">
        <v>2497</v>
      </c>
      <c r="C80" s="4">
        <v>1</v>
      </c>
      <c r="D80" s="5">
        <v>13.75</v>
      </c>
      <c r="E80" s="5">
        <v>39.99</v>
      </c>
      <c r="F80" s="4" t="s">
        <v>2498</v>
      </c>
      <c r="G80" s="2" t="s">
        <v>28</v>
      </c>
      <c r="H80" s="7" t="s">
        <v>42</v>
      </c>
      <c r="I80" s="2" t="s">
        <v>92</v>
      </c>
      <c r="J80" s="2" t="s">
        <v>239</v>
      </c>
      <c r="K80" s="2" t="s">
        <v>304</v>
      </c>
      <c r="L80" s="2" t="s">
        <v>1452</v>
      </c>
      <c r="M80" s="8" t="str">
        <f>HYPERLINK("http://slimages.macys.com/is/image/MCY/14886762 ")</f>
        <v xml:space="preserve">http://slimages.macys.com/is/image/MCY/14886762 </v>
      </c>
    </row>
    <row r="81" spans="1:13" ht="192" x14ac:dyDescent="0.25">
      <c r="A81" s="7" t="s">
        <v>3730</v>
      </c>
      <c r="B81" s="2" t="s">
        <v>3731</v>
      </c>
      <c r="C81" s="4">
        <v>2</v>
      </c>
      <c r="D81" s="5">
        <v>13.75</v>
      </c>
      <c r="E81" s="5">
        <v>39.99</v>
      </c>
      <c r="F81" s="4" t="s">
        <v>3732</v>
      </c>
      <c r="G81" s="2" t="s">
        <v>353</v>
      </c>
      <c r="H81" s="7" t="s">
        <v>442</v>
      </c>
      <c r="I81" s="2" t="s">
        <v>92</v>
      </c>
      <c r="J81" s="2" t="s">
        <v>239</v>
      </c>
      <c r="K81" s="2" t="s">
        <v>304</v>
      </c>
      <c r="L81" s="2" t="s">
        <v>3733</v>
      </c>
      <c r="M81" s="8" t="str">
        <f>HYPERLINK("http://slimages.macys.com/is/image/MCY/15213361 ")</f>
        <v xml:space="preserve">http://slimages.macys.com/is/image/MCY/15213361 </v>
      </c>
    </row>
    <row r="82" spans="1:13" ht="192" x14ac:dyDescent="0.25">
      <c r="A82" s="7" t="s">
        <v>3734</v>
      </c>
      <c r="B82" s="2" t="s">
        <v>3731</v>
      </c>
      <c r="C82" s="4">
        <v>3</v>
      </c>
      <c r="D82" s="5">
        <v>13.75</v>
      </c>
      <c r="E82" s="5">
        <v>39.99</v>
      </c>
      <c r="F82" s="4" t="s">
        <v>3732</v>
      </c>
      <c r="G82" s="2" t="s">
        <v>353</v>
      </c>
      <c r="H82" s="7" t="s">
        <v>91</v>
      </c>
      <c r="I82" s="2" t="s">
        <v>92</v>
      </c>
      <c r="J82" s="2" t="s">
        <v>239</v>
      </c>
      <c r="K82" s="2" t="s">
        <v>304</v>
      </c>
      <c r="L82" s="2" t="s">
        <v>3733</v>
      </c>
      <c r="M82" s="8" t="str">
        <f>HYPERLINK("http://slimages.macys.com/is/image/MCY/15213361 ")</f>
        <v xml:space="preserve">http://slimages.macys.com/is/image/MCY/15213361 </v>
      </c>
    </row>
    <row r="83" spans="1:13" ht="84" x14ac:dyDescent="0.25">
      <c r="A83" s="7" t="s">
        <v>3735</v>
      </c>
      <c r="B83" s="2" t="s">
        <v>3727</v>
      </c>
      <c r="C83" s="4">
        <v>1</v>
      </c>
      <c r="D83" s="5">
        <v>13.75</v>
      </c>
      <c r="E83" s="5">
        <v>39.99</v>
      </c>
      <c r="F83" s="4" t="s">
        <v>3728</v>
      </c>
      <c r="G83" s="2" t="s">
        <v>62</v>
      </c>
      <c r="H83" s="7" t="s">
        <v>442</v>
      </c>
      <c r="I83" s="2" t="s">
        <v>92</v>
      </c>
      <c r="J83" s="2" t="s">
        <v>239</v>
      </c>
      <c r="K83" s="2" t="s">
        <v>304</v>
      </c>
      <c r="L83" s="2" t="s">
        <v>1516</v>
      </c>
      <c r="M83" s="8" t="str">
        <f>HYPERLINK("http://slimages.macys.com/is/image/MCY/14989330 ")</f>
        <v xml:space="preserve">http://slimages.macys.com/is/image/MCY/14989330 </v>
      </c>
    </row>
    <row r="84" spans="1:13" ht="288" x14ac:dyDescent="0.25">
      <c r="A84" s="7" t="s">
        <v>3736</v>
      </c>
      <c r="B84" s="2" t="s">
        <v>3737</v>
      </c>
      <c r="C84" s="4">
        <v>1</v>
      </c>
      <c r="D84" s="5">
        <v>13.75</v>
      </c>
      <c r="E84" s="5">
        <v>39.99</v>
      </c>
      <c r="F84" s="4" t="s">
        <v>3738</v>
      </c>
      <c r="G84" s="2" t="s">
        <v>129</v>
      </c>
      <c r="H84" s="7" t="s">
        <v>91</v>
      </c>
      <c r="I84" s="2" t="s">
        <v>92</v>
      </c>
      <c r="J84" s="2" t="s">
        <v>239</v>
      </c>
      <c r="K84" s="2" t="s">
        <v>304</v>
      </c>
      <c r="L84" s="2" t="s">
        <v>3739</v>
      </c>
      <c r="M84" s="8" t="str">
        <f>HYPERLINK("http://slimages.macys.com/is/image/MCY/14886904 ")</f>
        <v xml:space="preserve">http://slimages.macys.com/is/image/MCY/14886904 </v>
      </c>
    </row>
    <row r="85" spans="1:13" ht="192" x14ac:dyDescent="0.25">
      <c r="A85" s="7" t="s">
        <v>3740</v>
      </c>
      <c r="B85" s="2" t="s">
        <v>3731</v>
      </c>
      <c r="C85" s="4">
        <v>1</v>
      </c>
      <c r="D85" s="5">
        <v>13.75</v>
      </c>
      <c r="E85" s="5">
        <v>39.99</v>
      </c>
      <c r="F85" s="4" t="s">
        <v>3732</v>
      </c>
      <c r="G85" s="2" t="s">
        <v>353</v>
      </c>
      <c r="H85" s="7" t="s">
        <v>590</v>
      </c>
      <c r="I85" s="2" t="s">
        <v>92</v>
      </c>
      <c r="J85" s="2" t="s">
        <v>239</v>
      </c>
      <c r="K85" s="2" t="s">
        <v>304</v>
      </c>
      <c r="L85" s="2" t="s">
        <v>3733</v>
      </c>
      <c r="M85" s="8" t="str">
        <f>HYPERLINK("http://slimages.macys.com/is/image/MCY/15213361 ")</f>
        <v xml:space="preserve">http://slimages.macys.com/is/image/MCY/15213361 </v>
      </c>
    </row>
    <row r="86" spans="1:13" ht="156" x14ac:dyDescent="0.25">
      <c r="A86" s="7" t="s">
        <v>3741</v>
      </c>
      <c r="B86" s="2" t="s">
        <v>2497</v>
      </c>
      <c r="C86" s="4">
        <v>1</v>
      </c>
      <c r="D86" s="5">
        <v>13.75</v>
      </c>
      <c r="E86" s="5">
        <v>39.99</v>
      </c>
      <c r="F86" s="4" t="s">
        <v>2498</v>
      </c>
      <c r="G86" s="2" t="s">
        <v>28</v>
      </c>
      <c r="H86" s="7" t="s">
        <v>590</v>
      </c>
      <c r="I86" s="2" t="s">
        <v>92</v>
      </c>
      <c r="J86" s="2" t="s">
        <v>239</v>
      </c>
      <c r="K86" s="2" t="s">
        <v>304</v>
      </c>
      <c r="L86" s="2" t="s">
        <v>1452</v>
      </c>
      <c r="M86" s="8" t="str">
        <f>HYPERLINK("http://slimages.macys.com/is/image/MCY/14886762 ")</f>
        <v xml:space="preserve">http://slimages.macys.com/is/image/MCY/14886762 </v>
      </c>
    </row>
    <row r="87" spans="1:13" ht="84" x14ac:dyDescent="0.25">
      <c r="A87" s="7" t="s">
        <v>3742</v>
      </c>
      <c r="B87" s="2" t="s">
        <v>3727</v>
      </c>
      <c r="C87" s="4">
        <v>2</v>
      </c>
      <c r="D87" s="5">
        <v>13.75</v>
      </c>
      <c r="E87" s="5">
        <v>39.99</v>
      </c>
      <c r="F87" s="4" t="s">
        <v>3728</v>
      </c>
      <c r="G87" s="2" t="s">
        <v>62</v>
      </c>
      <c r="H87" s="7" t="s">
        <v>42</v>
      </c>
      <c r="I87" s="2" t="s">
        <v>92</v>
      </c>
      <c r="J87" s="2" t="s">
        <v>239</v>
      </c>
      <c r="K87" s="2" t="s">
        <v>304</v>
      </c>
      <c r="L87" s="2" t="s">
        <v>1516</v>
      </c>
      <c r="M87" s="8" t="str">
        <f>HYPERLINK("http://slimages.macys.com/is/image/MCY/14989330 ")</f>
        <v xml:space="preserve">http://slimages.macys.com/is/image/MCY/14989330 </v>
      </c>
    </row>
    <row r="88" spans="1:13" ht="156" x14ac:dyDescent="0.25">
      <c r="A88" s="7" t="s">
        <v>2496</v>
      </c>
      <c r="B88" s="2" t="s">
        <v>2497</v>
      </c>
      <c r="C88" s="4">
        <v>1</v>
      </c>
      <c r="D88" s="5">
        <v>13.75</v>
      </c>
      <c r="E88" s="5">
        <v>39.99</v>
      </c>
      <c r="F88" s="4" t="s">
        <v>2498</v>
      </c>
      <c r="G88" s="2" t="s">
        <v>28</v>
      </c>
      <c r="H88" s="7" t="s">
        <v>149</v>
      </c>
      <c r="I88" s="2" t="s">
        <v>92</v>
      </c>
      <c r="J88" s="2" t="s">
        <v>239</v>
      </c>
      <c r="K88" s="2" t="s">
        <v>304</v>
      </c>
      <c r="L88" s="2" t="s">
        <v>1452</v>
      </c>
      <c r="M88" s="8" t="str">
        <f>HYPERLINK("http://slimages.macys.com/is/image/MCY/14886762 ")</f>
        <v xml:space="preserve">http://slimages.macys.com/is/image/MCY/14886762 </v>
      </c>
    </row>
    <row r="89" spans="1:13" ht="180" x14ac:dyDescent="0.25">
      <c r="A89" s="7" t="s">
        <v>757</v>
      </c>
      <c r="B89" s="2" t="s">
        <v>758</v>
      </c>
      <c r="C89" s="4">
        <v>1</v>
      </c>
      <c r="D89" s="5">
        <v>13.5</v>
      </c>
      <c r="E89" s="5">
        <v>34.99</v>
      </c>
      <c r="F89" s="4" t="s">
        <v>759</v>
      </c>
      <c r="G89" s="2" t="s">
        <v>752</v>
      </c>
      <c r="H89" s="7" t="s">
        <v>442</v>
      </c>
      <c r="I89" s="2" t="s">
        <v>92</v>
      </c>
      <c r="J89" s="2" t="s">
        <v>65</v>
      </c>
      <c r="K89" s="2" t="s">
        <v>304</v>
      </c>
      <c r="L89" s="2" t="s">
        <v>760</v>
      </c>
      <c r="M89" s="8" t="str">
        <f>HYPERLINK("http://slimages.macys.com/is/image/MCY/14815593 ")</f>
        <v xml:space="preserve">http://slimages.macys.com/is/image/MCY/14815593 </v>
      </c>
    </row>
    <row r="90" spans="1:13" ht="84" x14ac:dyDescent="0.25">
      <c r="A90" s="7" t="s">
        <v>3743</v>
      </c>
      <c r="B90" s="2" t="s">
        <v>3744</v>
      </c>
      <c r="C90" s="4">
        <v>1</v>
      </c>
      <c r="D90" s="5">
        <v>13.5</v>
      </c>
      <c r="E90" s="5">
        <v>42.99</v>
      </c>
      <c r="F90" s="4" t="s">
        <v>3745</v>
      </c>
      <c r="G90" s="2" t="s">
        <v>41</v>
      </c>
      <c r="H90" s="7" t="s">
        <v>228</v>
      </c>
      <c r="I90" s="2" t="s">
        <v>342</v>
      </c>
      <c r="J90" s="2" t="s">
        <v>1589</v>
      </c>
      <c r="K90" s="2" t="s">
        <v>304</v>
      </c>
      <c r="L90" s="2" t="s">
        <v>3746</v>
      </c>
      <c r="M90" s="8" t="str">
        <f>HYPERLINK("http://slimages.macys.com/is/image/MCY/11636558 ")</f>
        <v xml:space="preserve">http://slimages.macys.com/is/image/MCY/11636558 </v>
      </c>
    </row>
    <row r="91" spans="1:13" ht="156" x14ac:dyDescent="0.25">
      <c r="A91" s="7" t="s">
        <v>3747</v>
      </c>
      <c r="B91" s="2" t="s">
        <v>3748</v>
      </c>
      <c r="C91" s="4">
        <v>1</v>
      </c>
      <c r="D91" s="5">
        <v>13.5</v>
      </c>
      <c r="E91" s="5">
        <v>31.4</v>
      </c>
      <c r="F91" s="4">
        <v>16546410</v>
      </c>
      <c r="G91" s="2"/>
      <c r="H91" s="7" t="s">
        <v>438</v>
      </c>
      <c r="I91" s="2" t="s">
        <v>153</v>
      </c>
      <c r="J91" s="2" t="s">
        <v>154</v>
      </c>
      <c r="K91" s="2" t="s">
        <v>304</v>
      </c>
      <c r="L91" s="2" t="s">
        <v>3749</v>
      </c>
      <c r="M91" s="8" t="str">
        <f>HYPERLINK("http://slimages.macys.com/is/image/MCY/11068866 ")</f>
        <v xml:space="preserve">http://slimages.macys.com/is/image/MCY/11068866 </v>
      </c>
    </row>
    <row r="92" spans="1:13" ht="180" x14ac:dyDescent="0.25">
      <c r="A92" s="7" t="s">
        <v>151</v>
      </c>
      <c r="B92" s="2" t="s">
        <v>152</v>
      </c>
      <c r="C92" s="4">
        <v>1</v>
      </c>
      <c r="D92" s="5">
        <v>13.5</v>
      </c>
      <c r="E92" s="5">
        <v>30.7</v>
      </c>
      <c r="F92" s="4">
        <v>19320310</v>
      </c>
      <c r="G92" s="2"/>
      <c r="H92" s="7" t="s">
        <v>42</v>
      </c>
      <c r="I92" s="2" t="s">
        <v>153</v>
      </c>
      <c r="J92" s="2" t="s">
        <v>154</v>
      </c>
      <c r="K92" s="2" t="s">
        <v>304</v>
      </c>
      <c r="L92" s="2" t="s">
        <v>155</v>
      </c>
      <c r="M92" s="8" t="str">
        <f>HYPERLINK("http://slimages.macys.com/is/image/MCY/14608313 ")</f>
        <v xml:space="preserve">http://slimages.macys.com/is/image/MCY/14608313 </v>
      </c>
    </row>
    <row r="93" spans="1:13" ht="180" x14ac:dyDescent="0.25">
      <c r="A93" s="7" t="s">
        <v>3750</v>
      </c>
      <c r="B93" s="2" t="s">
        <v>758</v>
      </c>
      <c r="C93" s="4">
        <v>1</v>
      </c>
      <c r="D93" s="5">
        <v>13.5</v>
      </c>
      <c r="E93" s="5">
        <v>34.99</v>
      </c>
      <c r="F93" s="4" t="s">
        <v>759</v>
      </c>
      <c r="G93" s="2" t="s">
        <v>752</v>
      </c>
      <c r="H93" s="7" t="s">
        <v>91</v>
      </c>
      <c r="I93" s="2" t="s">
        <v>92</v>
      </c>
      <c r="J93" s="2" t="s">
        <v>65</v>
      </c>
      <c r="K93" s="2" t="s">
        <v>304</v>
      </c>
      <c r="L93" s="2" t="s">
        <v>760</v>
      </c>
      <c r="M93" s="8" t="str">
        <f>HYPERLINK("http://slimages.macys.com/is/image/MCY/14815593 ")</f>
        <v xml:space="preserve">http://slimages.macys.com/is/image/MCY/14815593 </v>
      </c>
    </row>
    <row r="94" spans="1:13" ht="60" x14ac:dyDescent="0.25">
      <c r="A94" s="7" t="s">
        <v>3751</v>
      </c>
      <c r="B94" s="2" t="s">
        <v>3752</v>
      </c>
      <c r="C94" s="4">
        <v>1</v>
      </c>
      <c r="D94" s="5">
        <v>13.35</v>
      </c>
      <c r="E94" s="5">
        <v>26.99</v>
      </c>
      <c r="F94" s="4" t="s">
        <v>3753</v>
      </c>
      <c r="G94" s="2" t="s">
        <v>165</v>
      </c>
      <c r="H94" s="7" t="s">
        <v>228</v>
      </c>
      <c r="I94" s="2" t="s">
        <v>73</v>
      </c>
      <c r="J94" s="2" t="s">
        <v>160</v>
      </c>
      <c r="K94" s="2" t="s">
        <v>304</v>
      </c>
      <c r="L94" s="2" t="s">
        <v>3754</v>
      </c>
      <c r="M94" s="8" t="str">
        <f>HYPERLINK("http://slimages.macys.com/is/image/MCY/12337166 ")</f>
        <v xml:space="preserve">http://slimages.macys.com/is/image/MCY/12337166 </v>
      </c>
    </row>
    <row r="95" spans="1:13" ht="60" x14ac:dyDescent="0.25">
      <c r="A95" s="7" t="s">
        <v>3755</v>
      </c>
      <c r="B95" s="2" t="s">
        <v>3756</v>
      </c>
      <c r="C95" s="4">
        <v>1</v>
      </c>
      <c r="D95" s="5">
        <v>13.28</v>
      </c>
      <c r="E95" s="5">
        <v>29.5</v>
      </c>
      <c r="F95" s="4">
        <v>311750800003</v>
      </c>
      <c r="G95" s="2" t="s">
        <v>41</v>
      </c>
      <c r="H95" s="7" t="s">
        <v>144</v>
      </c>
      <c r="I95" s="2" t="s">
        <v>3028</v>
      </c>
      <c r="J95" s="2" t="s">
        <v>205</v>
      </c>
      <c r="K95" s="2" t="s">
        <v>304</v>
      </c>
      <c r="L95" s="2" t="s">
        <v>206</v>
      </c>
      <c r="M95" s="8" t="str">
        <f>HYPERLINK("http://slimages.macys.com/is/image/MCY/13441875 ")</f>
        <v xml:space="preserve">http://slimages.macys.com/is/image/MCY/13441875 </v>
      </c>
    </row>
    <row r="96" spans="1:13" ht="144" x14ac:dyDescent="0.25">
      <c r="A96" s="7" t="s">
        <v>3037</v>
      </c>
      <c r="B96" s="2" t="s">
        <v>3038</v>
      </c>
      <c r="C96" s="4">
        <v>1</v>
      </c>
      <c r="D96" s="5">
        <v>13</v>
      </c>
      <c r="E96" s="5">
        <v>29.57</v>
      </c>
      <c r="F96" s="4">
        <v>19319910</v>
      </c>
      <c r="G96" s="2"/>
      <c r="H96" s="7" t="s">
        <v>442</v>
      </c>
      <c r="I96" s="2" t="s">
        <v>153</v>
      </c>
      <c r="J96" s="2" t="s">
        <v>154</v>
      </c>
      <c r="K96" s="2" t="s">
        <v>304</v>
      </c>
      <c r="L96" s="2" t="s">
        <v>3039</v>
      </c>
      <c r="M96" s="8" t="str">
        <f>HYPERLINK("http://slimages.macys.com/is/image/MCY/14608320 ")</f>
        <v xml:space="preserve">http://slimages.macys.com/is/image/MCY/14608320 </v>
      </c>
    </row>
    <row r="97" spans="1:13" ht="72" x14ac:dyDescent="0.25">
      <c r="A97" s="7" t="s">
        <v>3757</v>
      </c>
      <c r="B97" s="2" t="s">
        <v>169</v>
      </c>
      <c r="C97" s="4">
        <v>1</v>
      </c>
      <c r="D97" s="5">
        <v>13</v>
      </c>
      <c r="E97" s="5">
        <v>26.99</v>
      </c>
      <c r="F97" s="4" t="s">
        <v>170</v>
      </c>
      <c r="G97" s="2" t="s">
        <v>171</v>
      </c>
      <c r="H97" s="7"/>
      <c r="I97" s="2" t="s">
        <v>173</v>
      </c>
      <c r="J97" s="2" t="s">
        <v>174</v>
      </c>
      <c r="K97" s="2" t="s">
        <v>304</v>
      </c>
      <c r="L97" s="2" t="s">
        <v>175</v>
      </c>
      <c r="M97" s="8" t="str">
        <f>HYPERLINK("http://slimages.macys.com/is/image/MCY/11869210 ")</f>
        <v xml:space="preserve">http://slimages.macys.com/is/image/MCY/11869210 </v>
      </c>
    </row>
    <row r="98" spans="1:13" ht="72" x14ac:dyDescent="0.25">
      <c r="A98" s="7" t="s">
        <v>3758</v>
      </c>
      <c r="B98" s="2" t="s">
        <v>169</v>
      </c>
      <c r="C98" s="4">
        <v>1</v>
      </c>
      <c r="D98" s="5">
        <v>13</v>
      </c>
      <c r="E98" s="5">
        <v>26.99</v>
      </c>
      <c r="F98" s="4" t="s">
        <v>170</v>
      </c>
      <c r="G98" s="2" t="s">
        <v>171</v>
      </c>
      <c r="H98" s="7" t="s">
        <v>166</v>
      </c>
      <c r="I98" s="2" t="s">
        <v>173</v>
      </c>
      <c r="J98" s="2" t="s">
        <v>174</v>
      </c>
      <c r="K98" s="2" t="s">
        <v>304</v>
      </c>
      <c r="L98" s="2" t="s">
        <v>175</v>
      </c>
      <c r="M98" s="8" t="str">
        <f>HYPERLINK("http://slimages.macys.com/is/image/MCY/11869210 ")</f>
        <v xml:space="preserve">http://slimages.macys.com/is/image/MCY/11869210 </v>
      </c>
    </row>
    <row r="99" spans="1:13" ht="72" x14ac:dyDescent="0.25">
      <c r="A99" s="7" t="s">
        <v>178</v>
      </c>
      <c r="B99" s="2" t="s">
        <v>169</v>
      </c>
      <c r="C99" s="4">
        <v>1</v>
      </c>
      <c r="D99" s="5">
        <v>13</v>
      </c>
      <c r="E99" s="5">
        <v>26.99</v>
      </c>
      <c r="F99" s="4" t="s">
        <v>170</v>
      </c>
      <c r="G99" s="2" t="s">
        <v>171</v>
      </c>
      <c r="H99" s="7" t="s">
        <v>179</v>
      </c>
      <c r="I99" s="2" t="s">
        <v>173</v>
      </c>
      <c r="J99" s="2" t="s">
        <v>174</v>
      </c>
      <c r="K99" s="2" t="s">
        <v>304</v>
      </c>
      <c r="L99" s="2" t="s">
        <v>175</v>
      </c>
      <c r="M99" s="8" t="str">
        <f>HYPERLINK("http://slimages.macys.com/is/image/MCY/11869210 ")</f>
        <v xml:space="preserve">http://slimages.macys.com/is/image/MCY/11869210 </v>
      </c>
    </row>
    <row r="100" spans="1:13" ht="60" x14ac:dyDescent="0.25">
      <c r="A100" s="7" t="s">
        <v>3759</v>
      </c>
      <c r="B100" s="2" t="s">
        <v>3760</v>
      </c>
      <c r="C100" s="4">
        <v>2</v>
      </c>
      <c r="D100" s="5">
        <v>12.92</v>
      </c>
      <c r="E100" s="5">
        <v>34.99</v>
      </c>
      <c r="F100" s="4" t="s">
        <v>3761</v>
      </c>
      <c r="G100" s="2" t="s">
        <v>62</v>
      </c>
      <c r="H100" s="7" t="s">
        <v>228</v>
      </c>
      <c r="I100" s="2" t="s">
        <v>218</v>
      </c>
      <c r="J100" s="2" t="s">
        <v>1740</v>
      </c>
      <c r="K100" s="2" t="s">
        <v>304</v>
      </c>
      <c r="L100" s="2" t="s">
        <v>3452</v>
      </c>
      <c r="M100" s="8" t="str">
        <f>HYPERLINK("http://slimages.macys.com/is/image/MCY/11946901 ")</f>
        <v xml:space="preserve">http://slimages.macys.com/is/image/MCY/11946901 </v>
      </c>
    </row>
    <row r="101" spans="1:13" ht="60" x14ac:dyDescent="0.25">
      <c r="A101" s="7" t="s">
        <v>3762</v>
      </c>
      <c r="B101" s="2" t="s">
        <v>3763</v>
      </c>
      <c r="C101" s="4">
        <v>2</v>
      </c>
      <c r="D101" s="5">
        <v>12.77</v>
      </c>
      <c r="E101" s="5">
        <v>34.5</v>
      </c>
      <c r="F101" s="4" t="s">
        <v>3764</v>
      </c>
      <c r="G101" s="2" t="s">
        <v>41</v>
      </c>
      <c r="H101" s="7"/>
      <c r="I101" s="2" t="s">
        <v>57</v>
      </c>
      <c r="J101" s="2" t="s">
        <v>58</v>
      </c>
      <c r="K101" s="2" t="s">
        <v>304</v>
      </c>
      <c r="L101" s="2" t="s">
        <v>100</v>
      </c>
      <c r="M101" s="8" t="str">
        <f>HYPERLINK("http://slimages.macys.com/is/image/MCY/11692542 ")</f>
        <v xml:space="preserve">http://slimages.macys.com/is/image/MCY/11692542 </v>
      </c>
    </row>
    <row r="102" spans="1:13" ht="60" x14ac:dyDescent="0.25">
      <c r="A102" s="7" t="s">
        <v>3765</v>
      </c>
      <c r="B102" s="2" t="s">
        <v>3766</v>
      </c>
      <c r="C102" s="4">
        <v>1</v>
      </c>
      <c r="D102" s="5">
        <v>12.76</v>
      </c>
      <c r="E102" s="5">
        <v>34.99</v>
      </c>
      <c r="F102" s="4" t="s">
        <v>3767</v>
      </c>
      <c r="G102" s="2" t="s">
        <v>62</v>
      </c>
      <c r="H102" s="7" t="s">
        <v>159</v>
      </c>
      <c r="I102" s="2" t="s">
        <v>218</v>
      </c>
      <c r="J102" s="2" t="s">
        <v>1740</v>
      </c>
      <c r="K102" s="2" t="s">
        <v>304</v>
      </c>
      <c r="L102" s="2" t="s">
        <v>125</v>
      </c>
      <c r="M102" s="8" t="str">
        <f>HYPERLINK("http://slimages.macys.com/is/image/MCY/11946585 ")</f>
        <v xml:space="preserve">http://slimages.macys.com/is/image/MCY/11946585 </v>
      </c>
    </row>
    <row r="103" spans="1:13" ht="60" x14ac:dyDescent="0.25">
      <c r="A103" s="7" t="s">
        <v>3768</v>
      </c>
      <c r="B103" s="2" t="s">
        <v>185</v>
      </c>
      <c r="C103" s="4">
        <v>1</v>
      </c>
      <c r="D103" s="5">
        <v>12.75</v>
      </c>
      <c r="E103" s="5">
        <v>30</v>
      </c>
      <c r="F103" s="4" t="s">
        <v>186</v>
      </c>
      <c r="G103" s="2" t="s">
        <v>28</v>
      </c>
      <c r="H103" s="7" t="s">
        <v>42</v>
      </c>
      <c r="I103" s="2" t="s">
        <v>92</v>
      </c>
      <c r="J103" s="2" t="s">
        <v>187</v>
      </c>
      <c r="K103" s="2" t="s">
        <v>304</v>
      </c>
      <c r="L103" s="2" t="s">
        <v>38</v>
      </c>
      <c r="M103" s="8" t="str">
        <f>HYPERLINK("http://slimages.macys.com/is/image/MCY/15240490 ")</f>
        <v xml:space="preserve">http://slimages.macys.com/is/image/MCY/15240490 </v>
      </c>
    </row>
    <row r="104" spans="1:13" ht="156" x14ac:dyDescent="0.25">
      <c r="A104" s="7" t="s">
        <v>3769</v>
      </c>
      <c r="B104" s="2" t="s">
        <v>3057</v>
      </c>
      <c r="C104" s="4">
        <v>2</v>
      </c>
      <c r="D104" s="5">
        <v>12.5</v>
      </c>
      <c r="E104" s="5">
        <v>34.99</v>
      </c>
      <c r="F104" s="4" t="s">
        <v>3058</v>
      </c>
      <c r="G104" s="2" t="s">
        <v>41</v>
      </c>
      <c r="H104" s="7" t="s">
        <v>42</v>
      </c>
      <c r="I104" s="2" t="s">
        <v>92</v>
      </c>
      <c r="J104" s="2" t="s">
        <v>65</v>
      </c>
      <c r="K104" s="2" t="s">
        <v>304</v>
      </c>
      <c r="L104" s="2" t="s">
        <v>3059</v>
      </c>
      <c r="M104" s="8" t="str">
        <f>HYPERLINK("http://slimages.macys.com/is/image/MCY/14815481 ")</f>
        <v xml:space="preserve">http://slimages.macys.com/is/image/MCY/14815481 </v>
      </c>
    </row>
    <row r="105" spans="1:13" ht="144" x14ac:dyDescent="0.25">
      <c r="A105" s="7" t="s">
        <v>3770</v>
      </c>
      <c r="B105" s="2" t="s">
        <v>3771</v>
      </c>
      <c r="C105" s="4">
        <v>1</v>
      </c>
      <c r="D105" s="5">
        <v>12.5</v>
      </c>
      <c r="E105" s="5">
        <v>34.99</v>
      </c>
      <c r="F105" s="4" t="s">
        <v>3772</v>
      </c>
      <c r="G105" s="2" t="s">
        <v>129</v>
      </c>
      <c r="H105" s="7" t="s">
        <v>42</v>
      </c>
      <c r="I105" s="2" t="s">
        <v>92</v>
      </c>
      <c r="J105" s="2" t="s">
        <v>65</v>
      </c>
      <c r="K105" s="2" t="s">
        <v>304</v>
      </c>
      <c r="L105" s="2" t="s">
        <v>3773</v>
      </c>
      <c r="M105" s="8" t="str">
        <f>HYPERLINK("http://slimages.macys.com/is/image/MCY/14815615 ")</f>
        <v xml:space="preserve">http://slimages.macys.com/is/image/MCY/14815615 </v>
      </c>
    </row>
    <row r="106" spans="1:13" ht="132" x14ac:dyDescent="0.25">
      <c r="A106" s="7" t="s">
        <v>3774</v>
      </c>
      <c r="B106" s="2" t="s">
        <v>3775</v>
      </c>
      <c r="C106" s="4">
        <v>1</v>
      </c>
      <c r="D106" s="5">
        <v>12.5</v>
      </c>
      <c r="E106" s="5">
        <v>34.99</v>
      </c>
      <c r="F106" s="4" t="s">
        <v>3776</v>
      </c>
      <c r="G106" s="2" t="s">
        <v>752</v>
      </c>
      <c r="H106" s="7" t="s">
        <v>42</v>
      </c>
      <c r="I106" s="2" t="s">
        <v>92</v>
      </c>
      <c r="J106" s="2" t="s">
        <v>65</v>
      </c>
      <c r="K106" s="2" t="s">
        <v>304</v>
      </c>
      <c r="L106" s="2" t="s">
        <v>3777</v>
      </c>
      <c r="M106" s="8" t="str">
        <f>HYPERLINK("http://slimages.macys.com/is/image/MCY/15240491 ")</f>
        <v xml:space="preserve">http://slimages.macys.com/is/image/MCY/15240491 </v>
      </c>
    </row>
    <row r="107" spans="1:13" ht="60" x14ac:dyDescent="0.25">
      <c r="A107" s="7" t="s">
        <v>3778</v>
      </c>
      <c r="B107" s="2" t="s">
        <v>3779</v>
      </c>
      <c r="C107" s="4">
        <v>1</v>
      </c>
      <c r="D107" s="5">
        <v>12.5</v>
      </c>
      <c r="E107" s="5">
        <v>36</v>
      </c>
      <c r="F107" s="4" t="s">
        <v>3780</v>
      </c>
      <c r="G107" s="2" t="s">
        <v>800</v>
      </c>
      <c r="H107" s="7" t="s">
        <v>166</v>
      </c>
      <c r="I107" s="2" t="s">
        <v>80</v>
      </c>
      <c r="J107" s="2" t="s">
        <v>647</v>
      </c>
      <c r="K107" s="2" t="s">
        <v>304</v>
      </c>
      <c r="L107" s="2" t="s">
        <v>119</v>
      </c>
      <c r="M107" s="8" t="str">
        <f>HYPERLINK("http://slimages.macys.com/is/image/MCY/12283251 ")</f>
        <v xml:space="preserve">http://slimages.macys.com/is/image/MCY/12283251 </v>
      </c>
    </row>
    <row r="108" spans="1:13" ht="156" x14ac:dyDescent="0.25">
      <c r="A108" s="7" t="s">
        <v>3781</v>
      </c>
      <c r="B108" s="2" t="s">
        <v>3057</v>
      </c>
      <c r="C108" s="4">
        <v>1</v>
      </c>
      <c r="D108" s="5">
        <v>12.5</v>
      </c>
      <c r="E108" s="5">
        <v>34.99</v>
      </c>
      <c r="F108" s="4" t="s">
        <v>3058</v>
      </c>
      <c r="G108" s="2" t="s">
        <v>41</v>
      </c>
      <c r="H108" s="7" t="s">
        <v>442</v>
      </c>
      <c r="I108" s="2" t="s">
        <v>92</v>
      </c>
      <c r="J108" s="2" t="s">
        <v>65</v>
      </c>
      <c r="K108" s="2" t="s">
        <v>304</v>
      </c>
      <c r="L108" s="2" t="s">
        <v>3059</v>
      </c>
      <c r="M108" s="8" t="str">
        <f>HYPERLINK("http://slimages.macys.com/is/image/MCY/14815481 ")</f>
        <v xml:space="preserve">http://slimages.macys.com/is/image/MCY/14815481 </v>
      </c>
    </row>
    <row r="109" spans="1:13" ht="108" x14ac:dyDescent="0.25">
      <c r="A109" s="7" t="s">
        <v>3062</v>
      </c>
      <c r="B109" s="2" t="s">
        <v>3053</v>
      </c>
      <c r="C109" s="4">
        <v>1</v>
      </c>
      <c r="D109" s="5">
        <v>12.5</v>
      </c>
      <c r="E109" s="5">
        <v>34.99</v>
      </c>
      <c r="F109" s="4" t="s">
        <v>3054</v>
      </c>
      <c r="G109" s="2" t="s">
        <v>62</v>
      </c>
      <c r="H109" s="7" t="s">
        <v>91</v>
      </c>
      <c r="I109" s="2" t="s">
        <v>92</v>
      </c>
      <c r="J109" s="2" t="s">
        <v>65</v>
      </c>
      <c r="K109" s="2" t="s">
        <v>304</v>
      </c>
      <c r="L109" s="2" t="s">
        <v>3055</v>
      </c>
      <c r="M109" s="8" t="str">
        <f>HYPERLINK("http://slimages.macys.com/is/image/MCY/14815658 ")</f>
        <v xml:space="preserve">http://slimages.macys.com/is/image/MCY/14815658 </v>
      </c>
    </row>
    <row r="110" spans="1:13" ht="60" x14ac:dyDescent="0.25">
      <c r="A110" s="7" t="s">
        <v>3782</v>
      </c>
      <c r="B110" s="2" t="s">
        <v>3779</v>
      </c>
      <c r="C110" s="4">
        <v>1</v>
      </c>
      <c r="D110" s="5">
        <v>12.5</v>
      </c>
      <c r="E110" s="5">
        <v>36</v>
      </c>
      <c r="F110" s="4" t="s">
        <v>3780</v>
      </c>
      <c r="G110" s="2" t="s">
        <v>800</v>
      </c>
      <c r="H110" s="7" t="s">
        <v>311</v>
      </c>
      <c r="I110" s="2" t="s">
        <v>80</v>
      </c>
      <c r="J110" s="2" t="s">
        <v>647</v>
      </c>
      <c r="K110" s="2" t="s">
        <v>304</v>
      </c>
      <c r="L110" s="2" t="s">
        <v>119</v>
      </c>
      <c r="M110" s="8" t="str">
        <f>HYPERLINK("http://slimages.macys.com/is/image/MCY/12283251 ")</f>
        <v xml:space="preserve">http://slimages.macys.com/is/image/MCY/12283251 </v>
      </c>
    </row>
    <row r="111" spans="1:13" ht="180" x14ac:dyDescent="0.25">
      <c r="A111" s="7" t="s">
        <v>3060</v>
      </c>
      <c r="B111" s="2" t="s">
        <v>1558</v>
      </c>
      <c r="C111" s="4">
        <v>1</v>
      </c>
      <c r="D111" s="5">
        <v>12.5</v>
      </c>
      <c r="E111" s="5">
        <v>34.99</v>
      </c>
      <c r="F111" s="4" t="s">
        <v>1559</v>
      </c>
      <c r="G111" s="2" t="s">
        <v>129</v>
      </c>
      <c r="H111" s="7" t="s">
        <v>149</v>
      </c>
      <c r="I111" s="2" t="s">
        <v>92</v>
      </c>
      <c r="J111" s="2" t="s">
        <v>65</v>
      </c>
      <c r="K111" s="2" t="s">
        <v>304</v>
      </c>
      <c r="L111" s="2" t="s">
        <v>1560</v>
      </c>
      <c r="M111" s="8" t="str">
        <f>HYPERLINK("http://slimages.macys.com/is/image/MCY/14815688 ")</f>
        <v xml:space="preserve">http://slimages.macys.com/is/image/MCY/14815688 </v>
      </c>
    </row>
    <row r="112" spans="1:13" ht="60" x14ac:dyDescent="0.25">
      <c r="A112" s="7" t="s">
        <v>779</v>
      </c>
      <c r="B112" s="2" t="s">
        <v>198</v>
      </c>
      <c r="C112" s="4">
        <v>35</v>
      </c>
      <c r="D112" s="5">
        <v>12.39</v>
      </c>
      <c r="E112" s="5">
        <v>29.5</v>
      </c>
      <c r="F112" s="4" t="s">
        <v>199</v>
      </c>
      <c r="G112" s="2" t="s">
        <v>200</v>
      </c>
      <c r="H112" s="7" t="s">
        <v>442</v>
      </c>
      <c r="I112" s="2" t="s">
        <v>135</v>
      </c>
      <c r="J112" s="2" t="s">
        <v>201</v>
      </c>
      <c r="K112" s="2" t="s">
        <v>304</v>
      </c>
      <c r="L112" s="2" t="s">
        <v>87</v>
      </c>
      <c r="M112" s="8" t="str">
        <f>HYPERLINK("http://slimages.macys.com/is/image/MCY/1477012 ")</f>
        <v xml:space="preserve">http://slimages.macys.com/is/image/MCY/1477012 </v>
      </c>
    </row>
    <row r="113" spans="1:13" ht="60" x14ac:dyDescent="0.25">
      <c r="A113" s="7" t="s">
        <v>2511</v>
      </c>
      <c r="B113" s="2" t="s">
        <v>198</v>
      </c>
      <c r="C113" s="4">
        <v>66</v>
      </c>
      <c r="D113" s="5">
        <v>12.39</v>
      </c>
      <c r="E113" s="5">
        <v>29.5</v>
      </c>
      <c r="F113" s="4" t="s">
        <v>199</v>
      </c>
      <c r="G113" s="2" t="s">
        <v>200</v>
      </c>
      <c r="H113" s="7" t="s">
        <v>42</v>
      </c>
      <c r="I113" s="2" t="s">
        <v>135</v>
      </c>
      <c r="J113" s="2" t="s">
        <v>201</v>
      </c>
      <c r="K113" s="2" t="s">
        <v>304</v>
      </c>
      <c r="L113" s="2" t="s">
        <v>87</v>
      </c>
      <c r="M113" s="8" t="str">
        <f>HYPERLINK("http://slimages.macys.com/is/image/MCY/1477012 ")</f>
        <v xml:space="preserve">http://slimages.macys.com/is/image/MCY/1477012 </v>
      </c>
    </row>
    <row r="114" spans="1:13" ht="60" x14ac:dyDescent="0.25">
      <c r="A114" s="7" t="s">
        <v>197</v>
      </c>
      <c r="B114" s="2" t="s">
        <v>198</v>
      </c>
      <c r="C114" s="4">
        <v>18</v>
      </c>
      <c r="D114" s="5">
        <v>12.39</v>
      </c>
      <c r="E114" s="5">
        <v>29.5</v>
      </c>
      <c r="F114" s="4" t="s">
        <v>199</v>
      </c>
      <c r="G114" s="2" t="s">
        <v>200</v>
      </c>
      <c r="H114" s="7" t="s">
        <v>91</v>
      </c>
      <c r="I114" s="2" t="s">
        <v>135</v>
      </c>
      <c r="J114" s="2" t="s">
        <v>201</v>
      </c>
      <c r="K114" s="2" t="s">
        <v>304</v>
      </c>
      <c r="L114" s="2" t="s">
        <v>87</v>
      </c>
      <c r="M114" s="8" t="str">
        <f>HYPERLINK("http://slimages.macys.com/is/image/MCY/1477012 ")</f>
        <v xml:space="preserve">http://slimages.macys.com/is/image/MCY/1477012 </v>
      </c>
    </row>
    <row r="115" spans="1:13" ht="60" x14ac:dyDescent="0.25">
      <c r="A115" s="7" t="s">
        <v>3783</v>
      </c>
      <c r="B115" s="2" t="s">
        <v>3784</v>
      </c>
      <c r="C115" s="4">
        <v>1</v>
      </c>
      <c r="D115" s="5">
        <v>12.25</v>
      </c>
      <c r="E115" s="5">
        <v>27.22</v>
      </c>
      <c r="F115" s="4" t="s">
        <v>3785</v>
      </c>
      <c r="G115" s="2" t="s">
        <v>62</v>
      </c>
      <c r="H115" s="7" t="s">
        <v>284</v>
      </c>
      <c r="I115" s="2" t="s">
        <v>700</v>
      </c>
      <c r="J115" s="2" t="s">
        <v>2123</v>
      </c>
      <c r="K115" s="2" t="s">
        <v>304</v>
      </c>
      <c r="L115" s="2" t="s">
        <v>75</v>
      </c>
      <c r="M115" s="8" t="str">
        <f>HYPERLINK("http://slimages.macys.com/is/image/MCY/12465343 ")</f>
        <v xml:space="preserve">http://slimages.macys.com/is/image/MCY/12465343 </v>
      </c>
    </row>
    <row r="116" spans="1:13" ht="60" x14ac:dyDescent="0.25">
      <c r="A116" s="7" t="s">
        <v>3786</v>
      </c>
      <c r="B116" s="2" t="s">
        <v>3787</v>
      </c>
      <c r="C116" s="4">
        <v>1</v>
      </c>
      <c r="D116" s="5">
        <v>12.15</v>
      </c>
      <c r="E116" s="5">
        <v>28.99</v>
      </c>
      <c r="F116" s="4" t="s">
        <v>3788</v>
      </c>
      <c r="G116" s="2" t="s">
        <v>28</v>
      </c>
      <c r="H116" s="7"/>
      <c r="I116" s="2" t="s">
        <v>312</v>
      </c>
      <c r="J116" s="2" t="s">
        <v>1545</v>
      </c>
      <c r="K116" s="2" t="s">
        <v>304</v>
      </c>
      <c r="L116" s="2" t="s">
        <v>125</v>
      </c>
      <c r="M116" s="8" t="str">
        <f>HYPERLINK("http://slimages.macys.com/is/image/MCY/11647063 ")</f>
        <v xml:space="preserve">http://slimages.macys.com/is/image/MCY/11647063 </v>
      </c>
    </row>
    <row r="117" spans="1:13" ht="60" x14ac:dyDescent="0.25">
      <c r="A117" s="7" t="s">
        <v>3789</v>
      </c>
      <c r="B117" s="2" t="s">
        <v>3790</v>
      </c>
      <c r="C117" s="4">
        <v>1</v>
      </c>
      <c r="D117" s="5">
        <v>12.05</v>
      </c>
      <c r="E117" s="5">
        <v>24.1</v>
      </c>
      <c r="F117" s="4">
        <v>36488510</v>
      </c>
      <c r="G117" s="2"/>
      <c r="H117" s="7" t="s">
        <v>123</v>
      </c>
      <c r="I117" s="2" t="s">
        <v>487</v>
      </c>
      <c r="J117" s="2" t="s">
        <v>2424</v>
      </c>
      <c r="K117" s="2" t="s">
        <v>304</v>
      </c>
      <c r="L117" s="2" t="s">
        <v>206</v>
      </c>
      <c r="M117" s="8" t="str">
        <f>HYPERLINK("http://slimages.macys.com/is/image/MCY/12457422 ")</f>
        <v xml:space="preserve">http://slimages.macys.com/is/image/MCY/12457422 </v>
      </c>
    </row>
    <row r="118" spans="1:13" ht="60" x14ac:dyDescent="0.25">
      <c r="A118" s="7" t="s">
        <v>3791</v>
      </c>
      <c r="B118" s="2" t="s">
        <v>3792</v>
      </c>
      <c r="C118" s="4">
        <v>1</v>
      </c>
      <c r="D118" s="5">
        <v>12</v>
      </c>
      <c r="E118" s="5">
        <v>30</v>
      </c>
      <c r="F118" s="4">
        <v>1342064</v>
      </c>
      <c r="G118" s="2" t="s">
        <v>171</v>
      </c>
      <c r="H118" s="7" t="s">
        <v>159</v>
      </c>
      <c r="I118" s="2" t="s">
        <v>80</v>
      </c>
      <c r="J118" s="2" t="s">
        <v>280</v>
      </c>
      <c r="K118" s="2" t="s">
        <v>304</v>
      </c>
      <c r="L118" s="2" t="s">
        <v>125</v>
      </c>
      <c r="M118" s="8" t="str">
        <f>HYPERLINK("http://slimages.macys.com/is/image/MCY/13385828 ")</f>
        <v xml:space="preserve">http://slimages.macys.com/is/image/MCY/13385828 </v>
      </c>
    </row>
    <row r="119" spans="1:13" ht="60" x14ac:dyDescent="0.25">
      <c r="A119" s="7" t="s">
        <v>3793</v>
      </c>
      <c r="B119" s="2" t="s">
        <v>3794</v>
      </c>
      <c r="C119" s="4">
        <v>1</v>
      </c>
      <c r="D119" s="5">
        <v>12</v>
      </c>
      <c r="E119" s="5">
        <v>26.99</v>
      </c>
      <c r="F119" s="4" t="s">
        <v>3795</v>
      </c>
      <c r="G119" s="2" t="s">
        <v>134</v>
      </c>
      <c r="H119" s="7" t="s">
        <v>63</v>
      </c>
      <c r="I119" s="2" t="s">
        <v>73</v>
      </c>
      <c r="J119" s="2" t="s">
        <v>778</v>
      </c>
      <c r="K119" s="2" t="s">
        <v>304</v>
      </c>
      <c r="L119" s="2" t="s">
        <v>119</v>
      </c>
      <c r="M119" s="8" t="str">
        <f>HYPERLINK("http://slimages.macys.com/is/image/MCY/12793338 ")</f>
        <v xml:space="preserve">http://slimages.macys.com/is/image/MCY/12793338 </v>
      </c>
    </row>
    <row r="120" spans="1:13" ht="144" x14ac:dyDescent="0.25">
      <c r="A120" s="7" t="s">
        <v>3796</v>
      </c>
      <c r="B120" s="2" t="s">
        <v>3797</v>
      </c>
      <c r="C120" s="4">
        <v>1</v>
      </c>
      <c r="D120" s="5">
        <v>12</v>
      </c>
      <c r="E120" s="5">
        <v>32.99</v>
      </c>
      <c r="F120" s="4" t="s">
        <v>3798</v>
      </c>
      <c r="G120" s="2" t="s">
        <v>28</v>
      </c>
      <c r="H120" s="7" t="s">
        <v>91</v>
      </c>
      <c r="I120" s="2" t="s">
        <v>92</v>
      </c>
      <c r="J120" s="2" t="s">
        <v>65</v>
      </c>
      <c r="K120" s="2" t="s">
        <v>304</v>
      </c>
      <c r="L120" s="2" t="s">
        <v>3799</v>
      </c>
      <c r="M120" s="8" t="str">
        <f>HYPERLINK("http://slimages.macys.com/is/image/MCY/13782953 ")</f>
        <v xml:space="preserve">http://slimages.macys.com/is/image/MCY/13782953 </v>
      </c>
    </row>
    <row r="121" spans="1:13" ht="60" x14ac:dyDescent="0.25">
      <c r="A121" s="7" t="s">
        <v>3800</v>
      </c>
      <c r="B121" s="2" t="s">
        <v>3084</v>
      </c>
      <c r="C121" s="4">
        <v>1</v>
      </c>
      <c r="D121" s="5">
        <v>12</v>
      </c>
      <c r="E121" s="5">
        <v>31.99</v>
      </c>
      <c r="F121" s="4" t="s">
        <v>3085</v>
      </c>
      <c r="G121" s="2" t="s">
        <v>310</v>
      </c>
      <c r="H121" s="7" t="s">
        <v>442</v>
      </c>
      <c r="I121" s="2" t="s">
        <v>92</v>
      </c>
      <c r="J121" s="2" t="s">
        <v>3086</v>
      </c>
      <c r="K121" s="2" t="s">
        <v>304</v>
      </c>
      <c r="L121" s="2" t="s">
        <v>3087</v>
      </c>
      <c r="M121" s="8" t="str">
        <f>HYPERLINK("http://slimages.macys.com/is/image/MCY/14812314 ")</f>
        <v xml:space="preserve">http://slimages.macys.com/is/image/MCY/14812314 </v>
      </c>
    </row>
    <row r="122" spans="1:13" ht="60" x14ac:dyDescent="0.25">
      <c r="A122" s="7" t="s">
        <v>3801</v>
      </c>
      <c r="B122" s="2" t="s">
        <v>1491</v>
      </c>
      <c r="C122" s="4">
        <v>1</v>
      </c>
      <c r="D122" s="5">
        <v>11.7</v>
      </c>
      <c r="E122" s="5">
        <v>32.5</v>
      </c>
      <c r="F122" s="4" t="s">
        <v>3802</v>
      </c>
      <c r="G122" s="2" t="s">
        <v>800</v>
      </c>
      <c r="H122" s="7" t="s">
        <v>91</v>
      </c>
      <c r="I122" s="2" t="s">
        <v>92</v>
      </c>
      <c r="J122" s="2" t="s">
        <v>3633</v>
      </c>
      <c r="K122" s="2" t="s">
        <v>304</v>
      </c>
      <c r="L122" s="2" t="s">
        <v>119</v>
      </c>
      <c r="M122" s="8" t="str">
        <f>HYPERLINK("http://slimages.macys.com/is/image/MCY/13859676 ")</f>
        <v xml:space="preserve">http://slimages.macys.com/is/image/MCY/13859676 </v>
      </c>
    </row>
    <row r="123" spans="1:13" ht="60" x14ac:dyDescent="0.25">
      <c r="A123" s="7" t="s">
        <v>3803</v>
      </c>
      <c r="B123" s="2" t="s">
        <v>1491</v>
      </c>
      <c r="C123" s="4">
        <v>1</v>
      </c>
      <c r="D123" s="5">
        <v>11.7</v>
      </c>
      <c r="E123" s="5">
        <v>32.5</v>
      </c>
      <c r="F123" s="4" t="s">
        <v>3802</v>
      </c>
      <c r="G123" s="2" t="s">
        <v>800</v>
      </c>
      <c r="H123" s="7" t="s">
        <v>442</v>
      </c>
      <c r="I123" s="2" t="s">
        <v>92</v>
      </c>
      <c r="J123" s="2" t="s">
        <v>3633</v>
      </c>
      <c r="K123" s="2" t="s">
        <v>304</v>
      </c>
      <c r="L123" s="2" t="s">
        <v>119</v>
      </c>
      <c r="M123" s="8" t="str">
        <f>HYPERLINK("http://slimages.macys.com/is/image/MCY/13859676 ")</f>
        <v xml:space="preserve">http://slimages.macys.com/is/image/MCY/13859676 </v>
      </c>
    </row>
    <row r="124" spans="1:13" ht="60" x14ac:dyDescent="0.25">
      <c r="A124" s="7" t="s">
        <v>3804</v>
      </c>
      <c r="B124" s="2" t="s">
        <v>3805</v>
      </c>
      <c r="C124" s="4">
        <v>1</v>
      </c>
      <c r="D124" s="5">
        <v>11.5</v>
      </c>
      <c r="E124" s="5">
        <v>25.99</v>
      </c>
      <c r="F124" s="4" t="s">
        <v>3806</v>
      </c>
      <c r="G124" s="2" t="s">
        <v>793</v>
      </c>
      <c r="H124" s="7" t="s">
        <v>159</v>
      </c>
      <c r="I124" s="2" t="s">
        <v>80</v>
      </c>
      <c r="J124" s="2" t="s">
        <v>694</v>
      </c>
      <c r="K124" s="2" t="s">
        <v>304</v>
      </c>
      <c r="L124" s="2" t="s">
        <v>125</v>
      </c>
      <c r="M124" s="8" t="str">
        <f>HYPERLINK("http://slimages.macys.com/is/image/MCY/9278402 ")</f>
        <v xml:space="preserve">http://slimages.macys.com/is/image/MCY/9278402 </v>
      </c>
    </row>
    <row r="125" spans="1:13" ht="60" x14ac:dyDescent="0.25">
      <c r="A125" s="7" t="s">
        <v>3807</v>
      </c>
      <c r="B125" s="2" t="s">
        <v>3808</v>
      </c>
      <c r="C125" s="4">
        <v>1</v>
      </c>
      <c r="D125" s="5">
        <v>11.25</v>
      </c>
      <c r="E125" s="5">
        <v>25</v>
      </c>
      <c r="F125" s="4">
        <v>1329226</v>
      </c>
      <c r="G125" s="2" t="s">
        <v>62</v>
      </c>
      <c r="H125" s="7" t="s">
        <v>228</v>
      </c>
      <c r="I125" s="2" t="s">
        <v>73</v>
      </c>
      <c r="J125" s="2" t="s">
        <v>280</v>
      </c>
      <c r="K125" s="2" t="s">
        <v>304</v>
      </c>
      <c r="L125" s="2" t="s">
        <v>119</v>
      </c>
      <c r="M125" s="8" t="str">
        <f>HYPERLINK("http://slimages.macys.com/is/image/MCY/11713129 ")</f>
        <v xml:space="preserve">http://slimages.macys.com/is/image/MCY/11713129 </v>
      </c>
    </row>
    <row r="126" spans="1:13" ht="60" x14ac:dyDescent="0.25">
      <c r="A126" s="7" t="s">
        <v>3809</v>
      </c>
      <c r="B126" s="2" t="s">
        <v>1580</v>
      </c>
      <c r="C126" s="4">
        <v>1</v>
      </c>
      <c r="D126" s="5">
        <v>11.12</v>
      </c>
      <c r="E126" s="5">
        <v>22.99</v>
      </c>
      <c r="F126" s="4" t="s">
        <v>1581</v>
      </c>
      <c r="G126" s="2" t="s">
        <v>657</v>
      </c>
      <c r="H126" s="7" t="s">
        <v>196</v>
      </c>
      <c r="I126" s="2" t="s">
        <v>73</v>
      </c>
      <c r="J126" s="2" t="s">
        <v>160</v>
      </c>
      <c r="K126" s="2" t="s">
        <v>304</v>
      </c>
      <c r="L126" s="2" t="s">
        <v>206</v>
      </c>
      <c r="M126" s="8" t="str">
        <f>HYPERLINK("http://slimages.macys.com/is/image/MCY/12337182 ")</f>
        <v xml:space="preserve">http://slimages.macys.com/is/image/MCY/12337182 </v>
      </c>
    </row>
    <row r="127" spans="1:13" ht="144" x14ac:dyDescent="0.25">
      <c r="A127" s="7" t="s">
        <v>3810</v>
      </c>
      <c r="B127" s="2" t="s">
        <v>152</v>
      </c>
      <c r="C127" s="4">
        <v>1</v>
      </c>
      <c r="D127" s="5">
        <v>11.1</v>
      </c>
      <c r="E127" s="5">
        <v>25.24</v>
      </c>
      <c r="F127" s="4">
        <v>19318310</v>
      </c>
      <c r="G127" s="2"/>
      <c r="H127" s="7" t="s">
        <v>91</v>
      </c>
      <c r="I127" s="2" t="s">
        <v>153</v>
      </c>
      <c r="J127" s="2" t="s">
        <v>154</v>
      </c>
      <c r="K127" s="2" t="s">
        <v>304</v>
      </c>
      <c r="L127" s="2" t="s">
        <v>234</v>
      </c>
      <c r="M127" s="8" t="str">
        <f>HYPERLINK("http://slimages.macys.com/is/image/MCY/14608343 ")</f>
        <v xml:space="preserve">http://slimages.macys.com/is/image/MCY/14608343 </v>
      </c>
    </row>
    <row r="128" spans="1:13" ht="144" x14ac:dyDescent="0.25">
      <c r="A128" s="7" t="s">
        <v>3811</v>
      </c>
      <c r="B128" s="2" t="s">
        <v>152</v>
      </c>
      <c r="C128" s="4">
        <v>1</v>
      </c>
      <c r="D128" s="5">
        <v>11.1</v>
      </c>
      <c r="E128" s="5">
        <v>25.24</v>
      </c>
      <c r="F128" s="4">
        <v>19318310</v>
      </c>
      <c r="G128" s="2"/>
      <c r="H128" s="7" t="s">
        <v>42</v>
      </c>
      <c r="I128" s="2" t="s">
        <v>153</v>
      </c>
      <c r="J128" s="2" t="s">
        <v>154</v>
      </c>
      <c r="K128" s="2" t="s">
        <v>304</v>
      </c>
      <c r="L128" s="2" t="s">
        <v>234</v>
      </c>
      <c r="M128" s="8" t="str">
        <f>HYPERLINK("http://slimages.macys.com/is/image/MCY/14608343 ")</f>
        <v xml:space="preserve">http://slimages.macys.com/is/image/MCY/14608343 </v>
      </c>
    </row>
    <row r="129" spans="1:13" ht="60" x14ac:dyDescent="0.25">
      <c r="A129" s="7" t="s">
        <v>3812</v>
      </c>
      <c r="B129" s="2" t="s">
        <v>3813</v>
      </c>
      <c r="C129" s="4">
        <v>2</v>
      </c>
      <c r="D129" s="5">
        <v>11</v>
      </c>
      <c r="E129" s="5">
        <v>27.5</v>
      </c>
      <c r="F129" s="4" t="s">
        <v>3814</v>
      </c>
      <c r="G129" s="2" t="s">
        <v>86</v>
      </c>
      <c r="H129" s="7" t="s">
        <v>91</v>
      </c>
      <c r="I129" s="2" t="s">
        <v>135</v>
      </c>
      <c r="J129" s="2" t="s">
        <v>201</v>
      </c>
      <c r="K129" s="2" t="s">
        <v>304</v>
      </c>
      <c r="L129" s="2" t="s">
        <v>100</v>
      </c>
      <c r="M129" s="8" t="str">
        <f>HYPERLINK("http://slimages.macys.com/is/image/MCY/11947176 ")</f>
        <v xml:space="preserve">http://slimages.macys.com/is/image/MCY/11947176 </v>
      </c>
    </row>
    <row r="130" spans="1:13" ht="60" x14ac:dyDescent="0.25">
      <c r="A130" s="7" t="s">
        <v>3815</v>
      </c>
      <c r="B130" s="2" t="s">
        <v>3816</v>
      </c>
      <c r="C130" s="4">
        <v>1</v>
      </c>
      <c r="D130" s="5">
        <v>11</v>
      </c>
      <c r="E130" s="5">
        <v>29.99</v>
      </c>
      <c r="F130" s="4" t="s">
        <v>3817</v>
      </c>
      <c r="G130" s="2" t="s">
        <v>41</v>
      </c>
      <c r="H130" s="7" t="s">
        <v>149</v>
      </c>
      <c r="I130" s="2" t="s">
        <v>92</v>
      </c>
      <c r="J130" s="2" t="s">
        <v>239</v>
      </c>
      <c r="K130" s="2" t="s">
        <v>304</v>
      </c>
      <c r="L130" s="2" t="s">
        <v>125</v>
      </c>
      <c r="M130" s="8" t="str">
        <f>HYPERLINK("http://slimages.macys.com/is/image/MCY/11399477 ")</f>
        <v xml:space="preserve">http://slimages.macys.com/is/image/MCY/11399477 </v>
      </c>
    </row>
    <row r="131" spans="1:13" ht="60" x14ac:dyDescent="0.25">
      <c r="A131" s="7" t="s">
        <v>3818</v>
      </c>
      <c r="B131" s="2" t="s">
        <v>3813</v>
      </c>
      <c r="C131" s="4">
        <v>2</v>
      </c>
      <c r="D131" s="5">
        <v>11</v>
      </c>
      <c r="E131" s="5">
        <v>27.5</v>
      </c>
      <c r="F131" s="4" t="s">
        <v>3814</v>
      </c>
      <c r="G131" s="2" t="s">
        <v>86</v>
      </c>
      <c r="H131" s="7" t="s">
        <v>42</v>
      </c>
      <c r="I131" s="2" t="s">
        <v>135</v>
      </c>
      <c r="J131" s="2" t="s">
        <v>201</v>
      </c>
      <c r="K131" s="2" t="s">
        <v>304</v>
      </c>
      <c r="L131" s="2" t="s">
        <v>100</v>
      </c>
      <c r="M131" s="8" t="str">
        <f>HYPERLINK("http://slimages.macys.com/is/image/MCY/11947176 ")</f>
        <v xml:space="preserve">http://slimages.macys.com/is/image/MCY/11947176 </v>
      </c>
    </row>
    <row r="132" spans="1:13" ht="60" x14ac:dyDescent="0.25">
      <c r="A132" s="7" t="s">
        <v>3819</v>
      </c>
      <c r="B132" s="2" t="s">
        <v>3813</v>
      </c>
      <c r="C132" s="4">
        <v>1</v>
      </c>
      <c r="D132" s="5">
        <v>11</v>
      </c>
      <c r="E132" s="5">
        <v>27.5</v>
      </c>
      <c r="F132" s="4" t="s">
        <v>3814</v>
      </c>
      <c r="G132" s="2" t="s">
        <v>86</v>
      </c>
      <c r="H132" s="7" t="s">
        <v>442</v>
      </c>
      <c r="I132" s="2" t="s">
        <v>135</v>
      </c>
      <c r="J132" s="2" t="s">
        <v>201</v>
      </c>
      <c r="K132" s="2" t="s">
        <v>304</v>
      </c>
      <c r="L132" s="2" t="s">
        <v>100</v>
      </c>
      <c r="M132" s="8" t="str">
        <f>HYPERLINK("http://slimages.macys.com/is/image/MCY/11947176 ")</f>
        <v xml:space="preserve">http://slimages.macys.com/is/image/MCY/11947176 </v>
      </c>
    </row>
    <row r="133" spans="1:13" ht="60" x14ac:dyDescent="0.25">
      <c r="A133" s="7" t="s">
        <v>3820</v>
      </c>
      <c r="B133" s="2" t="s">
        <v>1594</v>
      </c>
      <c r="C133" s="4">
        <v>1</v>
      </c>
      <c r="D133" s="5">
        <v>10.75</v>
      </c>
      <c r="E133" s="5">
        <v>24.99</v>
      </c>
      <c r="F133" s="4" t="s">
        <v>1595</v>
      </c>
      <c r="G133" s="2" t="s">
        <v>28</v>
      </c>
      <c r="H133" s="7" t="s">
        <v>284</v>
      </c>
      <c r="I133" s="2" t="s">
        <v>73</v>
      </c>
      <c r="J133" s="2" t="s">
        <v>223</v>
      </c>
      <c r="K133" s="2" t="s">
        <v>304</v>
      </c>
      <c r="L133" s="2" t="s">
        <v>87</v>
      </c>
      <c r="M133" s="8" t="str">
        <f>HYPERLINK("http://slimages.macys.com/is/image/MCY/14433360 ")</f>
        <v xml:space="preserve">http://slimages.macys.com/is/image/MCY/14433360 </v>
      </c>
    </row>
    <row r="134" spans="1:13" ht="108" x14ac:dyDescent="0.25">
      <c r="A134" s="7" t="s">
        <v>2514</v>
      </c>
      <c r="B134" s="2" t="s">
        <v>2515</v>
      </c>
      <c r="C134" s="4">
        <v>3</v>
      </c>
      <c r="D134" s="5">
        <v>10.75</v>
      </c>
      <c r="E134" s="5">
        <v>27.99</v>
      </c>
      <c r="F134" s="4" t="s">
        <v>2516</v>
      </c>
      <c r="G134" s="2" t="s">
        <v>165</v>
      </c>
      <c r="H134" s="7" t="s">
        <v>63</v>
      </c>
      <c r="I134" s="2" t="s">
        <v>73</v>
      </c>
      <c r="J134" s="2" t="s">
        <v>778</v>
      </c>
      <c r="K134" s="2" t="s">
        <v>304</v>
      </c>
      <c r="L134" s="2" t="s">
        <v>2517</v>
      </c>
      <c r="M134" s="8" t="str">
        <f>HYPERLINK("http://slimages.macys.com/is/image/MCY/12793385 ")</f>
        <v xml:space="preserve">http://slimages.macys.com/is/image/MCY/12793385 </v>
      </c>
    </row>
    <row r="135" spans="1:13" ht="60" x14ac:dyDescent="0.25">
      <c r="A135" s="7" t="s">
        <v>3821</v>
      </c>
      <c r="B135" s="2" t="s">
        <v>3822</v>
      </c>
      <c r="C135" s="4">
        <v>1</v>
      </c>
      <c r="D135" s="5">
        <v>10.75</v>
      </c>
      <c r="E135" s="5">
        <v>27.99</v>
      </c>
      <c r="F135" s="4" t="s">
        <v>3823</v>
      </c>
      <c r="G135" s="2" t="s">
        <v>800</v>
      </c>
      <c r="H135" s="7" t="s">
        <v>68</v>
      </c>
      <c r="I135" s="2" t="s">
        <v>80</v>
      </c>
      <c r="J135" s="2" t="s">
        <v>167</v>
      </c>
      <c r="K135" s="2" t="s">
        <v>304</v>
      </c>
      <c r="L135" s="2" t="s">
        <v>125</v>
      </c>
      <c r="M135" s="8" t="str">
        <f>HYPERLINK("http://slimages.macys.com/is/image/MCY/12280866 ")</f>
        <v xml:space="preserve">http://slimages.macys.com/is/image/MCY/12280866 </v>
      </c>
    </row>
    <row r="136" spans="1:13" ht="60" x14ac:dyDescent="0.25">
      <c r="A136" s="7" t="s">
        <v>1603</v>
      </c>
      <c r="B136" s="2" t="s">
        <v>255</v>
      </c>
      <c r="C136" s="4">
        <v>2</v>
      </c>
      <c r="D136" s="5">
        <v>10.5</v>
      </c>
      <c r="E136" s="5">
        <v>24.99</v>
      </c>
      <c r="F136" s="4" t="s">
        <v>256</v>
      </c>
      <c r="G136" s="2" t="s">
        <v>86</v>
      </c>
      <c r="H136" s="7" t="s">
        <v>1411</v>
      </c>
      <c r="I136" s="2" t="s">
        <v>257</v>
      </c>
      <c r="J136" s="2" t="s">
        <v>258</v>
      </c>
      <c r="K136" s="2" t="s">
        <v>304</v>
      </c>
      <c r="L136" s="2" t="s">
        <v>206</v>
      </c>
      <c r="M136" s="8" t="str">
        <f>HYPERLINK("http://slimages.macys.com/is/image/MCY/11722980 ")</f>
        <v xml:space="preserve">http://slimages.macys.com/is/image/MCY/11722980 </v>
      </c>
    </row>
    <row r="137" spans="1:13" ht="96" x14ac:dyDescent="0.25">
      <c r="A137" s="7" t="s">
        <v>3824</v>
      </c>
      <c r="B137" s="2" t="s">
        <v>3825</v>
      </c>
      <c r="C137" s="4">
        <v>1</v>
      </c>
      <c r="D137" s="5">
        <v>10.5</v>
      </c>
      <c r="E137" s="5">
        <v>26.5</v>
      </c>
      <c r="F137" s="4" t="s">
        <v>3826</v>
      </c>
      <c r="G137" s="2" t="s">
        <v>310</v>
      </c>
      <c r="H137" s="7" t="s">
        <v>68</v>
      </c>
      <c r="I137" s="2" t="s">
        <v>380</v>
      </c>
      <c r="J137" s="2" t="s">
        <v>99</v>
      </c>
      <c r="K137" s="2" t="s">
        <v>304</v>
      </c>
      <c r="L137" s="2" t="s">
        <v>3827</v>
      </c>
      <c r="M137" s="8" t="str">
        <f>HYPERLINK("http://slimages.macys.com/is/image/MCY/12227881 ")</f>
        <v xml:space="preserve">http://slimages.macys.com/is/image/MCY/12227881 </v>
      </c>
    </row>
    <row r="138" spans="1:13" ht="60" x14ac:dyDescent="0.25">
      <c r="A138" s="7" t="s">
        <v>3828</v>
      </c>
      <c r="B138" s="2" t="s">
        <v>3829</v>
      </c>
      <c r="C138" s="4">
        <v>1</v>
      </c>
      <c r="D138" s="5">
        <v>10.5</v>
      </c>
      <c r="E138" s="5">
        <v>27.99</v>
      </c>
      <c r="F138" s="4" t="s">
        <v>3830</v>
      </c>
      <c r="G138" s="2" t="s">
        <v>310</v>
      </c>
      <c r="H138" s="7" t="s">
        <v>442</v>
      </c>
      <c r="I138" s="2" t="s">
        <v>135</v>
      </c>
      <c r="J138" s="2" t="s">
        <v>430</v>
      </c>
      <c r="K138" s="2" t="s">
        <v>304</v>
      </c>
      <c r="L138" s="2" t="s">
        <v>3831</v>
      </c>
      <c r="M138" s="8" t="str">
        <f>HYPERLINK("http://slimages.macys.com/is/image/MCY/11260428 ")</f>
        <v xml:space="preserve">http://slimages.macys.com/is/image/MCY/11260428 </v>
      </c>
    </row>
    <row r="139" spans="1:13" ht="84" x14ac:dyDescent="0.25">
      <c r="A139" s="7" t="s">
        <v>2523</v>
      </c>
      <c r="B139" s="2" t="s">
        <v>809</v>
      </c>
      <c r="C139" s="4">
        <v>1</v>
      </c>
      <c r="D139" s="5">
        <v>10.5</v>
      </c>
      <c r="E139" s="5">
        <v>25.25</v>
      </c>
      <c r="F139" s="4">
        <v>19318710</v>
      </c>
      <c r="G139" s="2"/>
      <c r="H139" s="7" t="s">
        <v>233</v>
      </c>
      <c r="I139" s="2" t="s">
        <v>153</v>
      </c>
      <c r="J139" s="2" t="s">
        <v>154</v>
      </c>
      <c r="K139" s="2" t="s">
        <v>304</v>
      </c>
      <c r="L139" s="2" t="s">
        <v>810</v>
      </c>
      <c r="M139" s="8" t="str">
        <f>HYPERLINK("http://slimages.macys.com/is/image/MCY/14662007 ")</f>
        <v xml:space="preserve">http://slimages.macys.com/is/image/MCY/14662007 </v>
      </c>
    </row>
    <row r="140" spans="1:13" ht="108" x14ac:dyDescent="0.25">
      <c r="A140" s="7" t="s">
        <v>3136</v>
      </c>
      <c r="B140" s="2" t="s">
        <v>268</v>
      </c>
      <c r="C140" s="4">
        <v>1</v>
      </c>
      <c r="D140" s="5">
        <v>10.5</v>
      </c>
      <c r="E140" s="5">
        <v>25.25</v>
      </c>
      <c r="F140" s="4">
        <v>19319310</v>
      </c>
      <c r="G140" s="2" t="s">
        <v>129</v>
      </c>
      <c r="H140" s="7" t="s">
        <v>442</v>
      </c>
      <c r="I140" s="2" t="s">
        <v>153</v>
      </c>
      <c r="J140" s="2" t="s">
        <v>154</v>
      </c>
      <c r="K140" s="2" t="s">
        <v>304</v>
      </c>
      <c r="L140" s="2" t="s">
        <v>269</v>
      </c>
      <c r="M140" s="8" t="str">
        <f>HYPERLINK("http://slimages.macys.com/is/image/MCY/14662011 ")</f>
        <v xml:space="preserve">http://slimages.macys.com/is/image/MCY/14662011 </v>
      </c>
    </row>
    <row r="141" spans="1:13" ht="60" x14ac:dyDescent="0.25">
      <c r="A141" s="7" t="s">
        <v>254</v>
      </c>
      <c r="B141" s="2" t="s">
        <v>255</v>
      </c>
      <c r="C141" s="4">
        <v>3</v>
      </c>
      <c r="D141" s="5">
        <v>10.5</v>
      </c>
      <c r="E141" s="5">
        <v>24.99</v>
      </c>
      <c r="F141" s="4" t="s">
        <v>256</v>
      </c>
      <c r="G141" s="2" t="s">
        <v>86</v>
      </c>
      <c r="H141" s="7" t="s">
        <v>56</v>
      </c>
      <c r="I141" s="2" t="s">
        <v>257</v>
      </c>
      <c r="J141" s="2" t="s">
        <v>258</v>
      </c>
      <c r="K141" s="2" t="s">
        <v>304</v>
      </c>
      <c r="L141" s="2" t="s">
        <v>206</v>
      </c>
      <c r="M141" s="8" t="str">
        <f>HYPERLINK("http://slimages.macys.com/is/image/MCY/11722980 ")</f>
        <v xml:space="preserve">http://slimages.macys.com/is/image/MCY/11722980 </v>
      </c>
    </row>
    <row r="142" spans="1:13" ht="96" x14ac:dyDescent="0.25">
      <c r="A142" s="7" t="s">
        <v>3832</v>
      </c>
      <c r="B142" s="2" t="s">
        <v>3825</v>
      </c>
      <c r="C142" s="4">
        <v>1</v>
      </c>
      <c r="D142" s="5">
        <v>10.5</v>
      </c>
      <c r="E142" s="5">
        <v>26.5</v>
      </c>
      <c r="F142" s="4" t="s">
        <v>3833</v>
      </c>
      <c r="G142" s="2" t="s">
        <v>310</v>
      </c>
      <c r="H142" s="7" t="s">
        <v>209</v>
      </c>
      <c r="I142" s="2" t="s">
        <v>380</v>
      </c>
      <c r="J142" s="2" t="s">
        <v>99</v>
      </c>
      <c r="K142" s="2" t="s">
        <v>304</v>
      </c>
      <c r="L142" s="2" t="s">
        <v>3834</v>
      </c>
      <c r="M142" s="8" t="str">
        <f>HYPERLINK("http://slimages.macys.com/is/image/MCY/11446394 ")</f>
        <v xml:space="preserve">http://slimages.macys.com/is/image/MCY/11446394 </v>
      </c>
    </row>
    <row r="143" spans="1:13" ht="60" x14ac:dyDescent="0.25">
      <c r="A143" s="7" t="s">
        <v>3835</v>
      </c>
      <c r="B143" s="2" t="s">
        <v>3836</v>
      </c>
      <c r="C143" s="4">
        <v>1</v>
      </c>
      <c r="D143" s="5">
        <v>10.5</v>
      </c>
      <c r="E143" s="5">
        <v>23.88</v>
      </c>
      <c r="F143" s="4">
        <v>19317510</v>
      </c>
      <c r="G143" s="2" t="s">
        <v>892</v>
      </c>
      <c r="H143" s="7" t="s">
        <v>42</v>
      </c>
      <c r="I143" s="2" t="s">
        <v>153</v>
      </c>
      <c r="J143" s="2" t="s">
        <v>154</v>
      </c>
      <c r="K143" s="2" t="s">
        <v>304</v>
      </c>
      <c r="L143" s="2" t="s">
        <v>206</v>
      </c>
      <c r="M143" s="8" t="str">
        <f>HYPERLINK("http://slimages.macys.com/is/image/MCY/14661880 ")</f>
        <v xml:space="preserve">http://slimages.macys.com/is/image/MCY/14661880 </v>
      </c>
    </row>
    <row r="144" spans="1:13" ht="96" x14ac:dyDescent="0.25">
      <c r="A144" s="7" t="s">
        <v>3837</v>
      </c>
      <c r="B144" s="2" t="s">
        <v>3838</v>
      </c>
      <c r="C144" s="4">
        <v>1</v>
      </c>
      <c r="D144" s="5">
        <v>10.5</v>
      </c>
      <c r="E144" s="5">
        <v>25.25</v>
      </c>
      <c r="F144" s="4">
        <v>19317910</v>
      </c>
      <c r="G144" s="2"/>
      <c r="H144" s="7" t="s">
        <v>42</v>
      </c>
      <c r="I144" s="2" t="s">
        <v>153</v>
      </c>
      <c r="J144" s="2" t="s">
        <v>154</v>
      </c>
      <c r="K144" s="2" t="s">
        <v>304</v>
      </c>
      <c r="L144" s="2" t="s">
        <v>3839</v>
      </c>
      <c r="M144" s="8" t="str">
        <f>HYPERLINK("http://slimages.macys.com/is/image/MCY/14608345 ")</f>
        <v xml:space="preserve">http://slimages.macys.com/is/image/MCY/14608345 </v>
      </c>
    </row>
    <row r="145" spans="1:13" ht="60" x14ac:dyDescent="0.25">
      <c r="A145" s="7" t="s">
        <v>3840</v>
      </c>
      <c r="B145" s="2" t="s">
        <v>3841</v>
      </c>
      <c r="C145" s="4">
        <v>1</v>
      </c>
      <c r="D145" s="5">
        <v>10.5</v>
      </c>
      <c r="E145" s="5">
        <v>25.25</v>
      </c>
      <c r="F145" s="4">
        <v>19320910</v>
      </c>
      <c r="G145" s="2"/>
      <c r="H145" s="7" t="s">
        <v>42</v>
      </c>
      <c r="I145" s="2" t="s">
        <v>153</v>
      </c>
      <c r="J145" s="2" t="s">
        <v>154</v>
      </c>
      <c r="K145" s="2" t="s">
        <v>304</v>
      </c>
      <c r="L145" s="2" t="s">
        <v>206</v>
      </c>
      <c r="M145" s="8" t="str">
        <f>HYPERLINK("http://slimages.macys.com/is/image/MCY/14608315 ")</f>
        <v xml:space="preserve">http://slimages.macys.com/is/image/MCY/14608315 </v>
      </c>
    </row>
    <row r="146" spans="1:13" ht="60" x14ac:dyDescent="0.25">
      <c r="A146" s="7" t="s">
        <v>3842</v>
      </c>
      <c r="B146" s="2" t="s">
        <v>3836</v>
      </c>
      <c r="C146" s="4">
        <v>1</v>
      </c>
      <c r="D146" s="5">
        <v>10.5</v>
      </c>
      <c r="E146" s="5">
        <v>23.88</v>
      </c>
      <c r="F146" s="4">
        <v>19317510</v>
      </c>
      <c r="G146" s="2" t="s">
        <v>892</v>
      </c>
      <c r="H146" s="7" t="s">
        <v>438</v>
      </c>
      <c r="I146" s="2" t="s">
        <v>153</v>
      </c>
      <c r="J146" s="2" t="s">
        <v>154</v>
      </c>
      <c r="K146" s="2" t="s">
        <v>304</v>
      </c>
      <c r="L146" s="2" t="s">
        <v>206</v>
      </c>
      <c r="M146" s="8" t="str">
        <f>HYPERLINK("http://slimages.macys.com/is/image/MCY/14661880 ")</f>
        <v xml:space="preserve">http://slimages.macys.com/is/image/MCY/14661880 </v>
      </c>
    </row>
    <row r="147" spans="1:13" ht="96" x14ac:dyDescent="0.25">
      <c r="A147" s="7" t="s">
        <v>3843</v>
      </c>
      <c r="B147" s="2" t="s">
        <v>3838</v>
      </c>
      <c r="C147" s="4">
        <v>1</v>
      </c>
      <c r="D147" s="5">
        <v>10.5</v>
      </c>
      <c r="E147" s="5">
        <v>25.25</v>
      </c>
      <c r="F147" s="4">
        <v>19317910</v>
      </c>
      <c r="G147" s="2"/>
      <c r="H147" s="7" t="s">
        <v>438</v>
      </c>
      <c r="I147" s="2" t="s">
        <v>153</v>
      </c>
      <c r="J147" s="2" t="s">
        <v>154</v>
      </c>
      <c r="K147" s="2" t="s">
        <v>304</v>
      </c>
      <c r="L147" s="2" t="s">
        <v>3839</v>
      </c>
      <c r="M147" s="8" t="str">
        <f>HYPERLINK("http://slimages.macys.com/is/image/MCY/14608345 ")</f>
        <v xml:space="preserve">http://slimages.macys.com/is/image/MCY/14608345 </v>
      </c>
    </row>
    <row r="148" spans="1:13" ht="108" x14ac:dyDescent="0.25">
      <c r="A148" s="7" t="s">
        <v>267</v>
      </c>
      <c r="B148" s="2" t="s">
        <v>268</v>
      </c>
      <c r="C148" s="4">
        <v>1</v>
      </c>
      <c r="D148" s="5">
        <v>10.5</v>
      </c>
      <c r="E148" s="5">
        <v>25.25</v>
      </c>
      <c r="F148" s="4">
        <v>19319310</v>
      </c>
      <c r="G148" s="2" t="s">
        <v>129</v>
      </c>
      <c r="H148" s="7" t="s">
        <v>233</v>
      </c>
      <c r="I148" s="2" t="s">
        <v>153</v>
      </c>
      <c r="J148" s="2" t="s">
        <v>154</v>
      </c>
      <c r="K148" s="2" t="s">
        <v>304</v>
      </c>
      <c r="L148" s="2" t="s">
        <v>269</v>
      </c>
      <c r="M148" s="8" t="str">
        <f>HYPERLINK("http://slimages.macys.com/is/image/MCY/14662011 ")</f>
        <v xml:space="preserve">http://slimages.macys.com/is/image/MCY/14662011 </v>
      </c>
    </row>
    <row r="149" spans="1:13" ht="60" x14ac:dyDescent="0.25">
      <c r="A149" s="7" t="s">
        <v>264</v>
      </c>
      <c r="B149" s="2" t="s">
        <v>255</v>
      </c>
      <c r="C149" s="4">
        <v>4</v>
      </c>
      <c r="D149" s="5">
        <v>10.5</v>
      </c>
      <c r="E149" s="5">
        <v>24.99</v>
      </c>
      <c r="F149" s="4" t="s">
        <v>256</v>
      </c>
      <c r="G149" s="2" t="s">
        <v>86</v>
      </c>
      <c r="H149" s="7" t="s">
        <v>177</v>
      </c>
      <c r="I149" s="2" t="s">
        <v>257</v>
      </c>
      <c r="J149" s="2" t="s">
        <v>258</v>
      </c>
      <c r="K149" s="2" t="s">
        <v>304</v>
      </c>
      <c r="L149" s="2" t="s">
        <v>206</v>
      </c>
      <c r="M149" s="8" t="str">
        <f>HYPERLINK("http://slimages.macys.com/is/image/MCY/11722980 ")</f>
        <v xml:space="preserve">http://slimages.macys.com/is/image/MCY/11722980 </v>
      </c>
    </row>
    <row r="150" spans="1:13" ht="60" x14ac:dyDescent="0.25">
      <c r="A150" s="7" t="s">
        <v>822</v>
      </c>
      <c r="B150" s="2" t="s">
        <v>255</v>
      </c>
      <c r="C150" s="4">
        <v>7</v>
      </c>
      <c r="D150" s="5">
        <v>10.5</v>
      </c>
      <c r="E150" s="5">
        <v>24.99</v>
      </c>
      <c r="F150" s="4" t="s">
        <v>256</v>
      </c>
      <c r="G150" s="2" t="s">
        <v>86</v>
      </c>
      <c r="H150" s="7" t="s">
        <v>97</v>
      </c>
      <c r="I150" s="2" t="s">
        <v>257</v>
      </c>
      <c r="J150" s="2" t="s">
        <v>258</v>
      </c>
      <c r="K150" s="2" t="s">
        <v>304</v>
      </c>
      <c r="L150" s="2" t="s">
        <v>206</v>
      </c>
      <c r="M150" s="8" t="str">
        <f>HYPERLINK("http://slimages.macys.com/is/image/MCY/11722980 ")</f>
        <v xml:space="preserve">http://slimages.macys.com/is/image/MCY/11722980 </v>
      </c>
    </row>
    <row r="151" spans="1:13" ht="60" x14ac:dyDescent="0.25">
      <c r="A151" s="7" t="s">
        <v>2522</v>
      </c>
      <c r="B151" s="2" t="s">
        <v>255</v>
      </c>
      <c r="C151" s="4">
        <v>8</v>
      </c>
      <c r="D151" s="5">
        <v>10.5</v>
      </c>
      <c r="E151" s="5">
        <v>24.99</v>
      </c>
      <c r="F151" s="4" t="s">
        <v>256</v>
      </c>
      <c r="G151" s="2" t="s">
        <v>86</v>
      </c>
      <c r="H151" s="7" t="s">
        <v>172</v>
      </c>
      <c r="I151" s="2" t="s">
        <v>257</v>
      </c>
      <c r="J151" s="2" t="s">
        <v>258</v>
      </c>
      <c r="K151" s="2" t="s">
        <v>304</v>
      </c>
      <c r="L151" s="2" t="s">
        <v>206</v>
      </c>
      <c r="M151" s="8" t="str">
        <f>HYPERLINK("http://slimages.macys.com/is/image/MCY/11722980 ")</f>
        <v xml:space="preserve">http://slimages.macys.com/is/image/MCY/11722980 </v>
      </c>
    </row>
    <row r="152" spans="1:13" ht="60" x14ac:dyDescent="0.25">
      <c r="A152" s="7" t="s">
        <v>250</v>
      </c>
      <c r="B152" s="2" t="s">
        <v>251</v>
      </c>
      <c r="C152" s="4">
        <v>1</v>
      </c>
      <c r="D152" s="5">
        <v>10.5</v>
      </c>
      <c r="E152" s="5">
        <v>18.989999999999998</v>
      </c>
      <c r="F152" s="4" t="s">
        <v>252</v>
      </c>
      <c r="G152" s="2" t="s">
        <v>253</v>
      </c>
      <c r="H152" s="7" t="s">
        <v>172</v>
      </c>
      <c r="I152" s="2" t="s">
        <v>73</v>
      </c>
      <c r="J152" s="2" t="s">
        <v>249</v>
      </c>
      <c r="K152" s="2" t="s">
        <v>304</v>
      </c>
      <c r="L152" s="2" t="s">
        <v>125</v>
      </c>
      <c r="M152" s="8" t="str">
        <f>HYPERLINK("http://slimages.macys.com/is/image/MCY/14661796 ")</f>
        <v xml:space="preserve">http://slimages.macys.com/is/image/MCY/14661796 </v>
      </c>
    </row>
    <row r="153" spans="1:13" ht="108" x14ac:dyDescent="0.25">
      <c r="A153" s="7" t="s">
        <v>3844</v>
      </c>
      <c r="B153" s="2" t="s">
        <v>268</v>
      </c>
      <c r="C153" s="4">
        <v>1</v>
      </c>
      <c r="D153" s="5">
        <v>10.5</v>
      </c>
      <c r="E153" s="5">
        <v>25.25</v>
      </c>
      <c r="F153" s="4">
        <v>19319310</v>
      </c>
      <c r="G153" s="2" t="s">
        <v>129</v>
      </c>
      <c r="H153" s="7" t="s">
        <v>675</v>
      </c>
      <c r="I153" s="2" t="s">
        <v>153</v>
      </c>
      <c r="J153" s="2" t="s">
        <v>154</v>
      </c>
      <c r="K153" s="2" t="s">
        <v>304</v>
      </c>
      <c r="L153" s="2" t="s">
        <v>269</v>
      </c>
      <c r="M153" s="8" t="str">
        <f>HYPERLINK("http://slimages.macys.com/is/image/MCY/14662011 ")</f>
        <v xml:space="preserve">http://slimages.macys.com/is/image/MCY/14662011 </v>
      </c>
    </row>
    <row r="154" spans="1:13" ht="108" x14ac:dyDescent="0.25">
      <c r="A154" s="7" t="s">
        <v>3845</v>
      </c>
      <c r="B154" s="2" t="s">
        <v>3846</v>
      </c>
      <c r="C154" s="4">
        <v>1</v>
      </c>
      <c r="D154" s="5">
        <v>10.4</v>
      </c>
      <c r="E154" s="5">
        <v>26.99</v>
      </c>
      <c r="F154" s="4" t="s">
        <v>3847</v>
      </c>
      <c r="G154" s="2" t="s">
        <v>86</v>
      </c>
      <c r="H154" s="7" t="s">
        <v>63</v>
      </c>
      <c r="I154" s="2" t="s">
        <v>3129</v>
      </c>
      <c r="J154" s="2" t="s">
        <v>3848</v>
      </c>
      <c r="K154" s="2" t="s">
        <v>304</v>
      </c>
      <c r="L154" s="2" t="s">
        <v>3849</v>
      </c>
      <c r="M154" s="8" t="str">
        <f>HYPERLINK("http://slimages.macys.com/is/image/MCY/9946795 ")</f>
        <v xml:space="preserve">http://slimages.macys.com/is/image/MCY/9946795 </v>
      </c>
    </row>
    <row r="155" spans="1:13" ht="60" x14ac:dyDescent="0.25">
      <c r="A155" s="7" t="s">
        <v>3850</v>
      </c>
      <c r="B155" s="2" t="s">
        <v>1605</v>
      </c>
      <c r="C155" s="4">
        <v>1</v>
      </c>
      <c r="D155" s="5">
        <v>10.35</v>
      </c>
      <c r="E155" s="5">
        <v>24.99</v>
      </c>
      <c r="F155" s="4" t="s">
        <v>1606</v>
      </c>
      <c r="G155" s="2" t="s">
        <v>28</v>
      </c>
      <c r="H155" s="7" t="s">
        <v>196</v>
      </c>
      <c r="I155" s="2" t="s">
        <v>389</v>
      </c>
      <c r="J155" s="2" t="s">
        <v>354</v>
      </c>
      <c r="K155" s="2" t="s">
        <v>304</v>
      </c>
      <c r="L155" s="2" t="s">
        <v>1607</v>
      </c>
      <c r="M155" s="8" t="str">
        <f>HYPERLINK("http://slimages.macys.com/is/image/MCY/12000846 ")</f>
        <v xml:space="preserve">http://slimages.macys.com/is/image/MCY/12000846 </v>
      </c>
    </row>
    <row r="156" spans="1:13" ht="60" x14ac:dyDescent="0.25">
      <c r="A156" s="7" t="s">
        <v>3851</v>
      </c>
      <c r="B156" s="2" t="s">
        <v>3852</v>
      </c>
      <c r="C156" s="4">
        <v>1</v>
      </c>
      <c r="D156" s="5">
        <v>10.3</v>
      </c>
      <c r="E156" s="5">
        <v>25.05</v>
      </c>
      <c r="F156" s="4">
        <v>17986411</v>
      </c>
      <c r="G156" s="2"/>
      <c r="H156" s="7" t="s">
        <v>91</v>
      </c>
      <c r="I156" s="2" t="s">
        <v>153</v>
      </c>
      <c r="J156" s="2" t="s">
        <v>3580</v>
      </c>
      <c r="K156" s="2" t="s">
        <v>304</v>
      </c>
      <c r="L156" s="2" t="s">
        <v>206</v>
      </c>
      <c r="M156" s="8" t="str">
        <f>HYPERLINK("http://slimages.macys.com/is/image/MCY/13852926 ")</f>
        <v xml:space="preserve">http://slimages.macys.com/is/image/MCY/13852926 </v>
      </c>
    </row>
    <row r="157" spans="1:13" ht="60" x14ac:dyDescent="0.25">
      <c r="A157" s="7" t="s">
        <v>3853</v>
      </c>
      <c r="B157" s="2" t="s">
        <v>3854</v>
      </c>
      <c r="C157" s="4">
        <v>1</v>
      </c>
      <c r="D157" s="5">
        <v>10.15</v>
      </c>
      <c r="E157" s="5">
        <v>25.99</v>
      </c>
      <c r="F157" s="4" t="s">
        <v>3855</v>
      </c>
      <c r="G157" s="2" t="s">
        <v>310</v>
      </c>
      <c r="H157" s="7" t="s">
        <v>144</v>
      </c>
      <c r="I157" s="2" t="s">
        <v>312</v>
      </c>
      <c r="J157" s="2" t="s">
        <v>1618</v>
      </c>
      <c r="K157" s="2" t="s">
        <v>304</v>
      </c>
      <c r="L157" s="2" t="s">
        <v>206</v>
      </c>
      <c r="M157" s="8" t="str">
        <f>HYPERLINK("http://slimages.macys.com/is/image/MCY/11488758 ")</f>
        <v xml:space="preserve">http://slimages.macys.com/is/image/MCY/11488758 </v>
      </c>
    </row>
    <row r="158" spans="1:13" ht="60" x14ac:dyDescent="0.25">
      <c r="A158" s="7" t="s">
        <v>3856</v>
      </c>
      <c r="B158" s="2" t="s">
        <v>3857</v>
      </c>
      <c r="C158" s="4">
        <v>1</v>
      </c>
      <c r="D158" s="5">
        <v>10</v>
      </c>
      <c r="E158" s="5">
        <v>25</v>
      </c>
      <c r="F158" s="4">
        <v>1341126</v>
      </c>
      <c r="G158" s="2" t="s">
        <v>353</v>
      </c>
      <c r="H158" s="7" t="s">
        <v>284</v>
      </c>
      <c r="I158" s="2" t="s">
        <v>73</v>
      </c>
      <c r="J158" s="2" t="s">
        <v>280</v>
      </c>
      <c r="K158" s="2" t="s">
        <v>304</v>
      </c>
      <c r="L158" s="2" t="s">
        <v>125</v>
      </c>
      <c r="M158" s="8" t="str">
        <f>HYPERLINK("http://slimages.macys.com/is/image/MCY/15867619 ")</f>
        <v xml:space="preserve">http://slimages.macys.com/is/image/MCY/15867619 </v>
      </c>
    </row>
    <row r="159" spans="1:13" ht="60" x14ac:dyDescent="0.25">
      <c r="A159" s="7" t="s">
        <v>3858</v>
      </c>
      <c r="B159" s="2" t="s">
        <v>3859</v>
      </c>
      <c r="C159" s="4">
        <v>1</v>
      </c>
      <c r="D159" s="5">
        <v>10</v>
      </c>
      <c r="E159" s="5">
        <v>23</v>
      </c>
      <c r="F159" s="4" t="s">
        <v>3860</v>
      </c>
      <c r="G159" s="2" t="s">
        <v>283</v>
      </c>
      <c r="H159" s="7" t="s">
        <v>42</v>
      </c>
      <c r="I159" s="2" t="s">
        <v>92</v>
      </c>
      <c r="J159" s="2" t="s">
        <v>65</v>
      </c>
      <c r="K159" s="2" t="s">
        <v>304</v>
      </c>
      <c r="L159" s="2" t="s">
        <v>100</v>
      </c>
      <c r="M159" s="8" t="str">
        <f>HYPERLINK("http://slimages.macys.com/is/image/MCY/12319600 ")</f>
        <v xml:space="preserve">http://slimages.macys.com/is/image/MCY/12319600 </v>
      </c>
    </row>
    <row r="160" spans="1:13" ht="144" x14ac:dyDescent="0.25">
      <c r="A160" s="7" t="s">
        <v>3861</v>
      </c>
      <c r="B160" s="2" t="s">
        <v>3862</v>
      </c>
      <c r="C160" s="4">
        <v>1</v>
      </c>
      <c r="D160" s="5">
        <v>10</v>
      </c>
      <c r="E160" s="5">
        <v>29.99</v>
      </c>
      <c r="F160" s="4" t="s">
        <v>3863</v>
      </c>
      <c r="G160" s="2" t="s">
        <v>129</v>
      </c>
      <c r="H160" s="7" t="s">
        <v>149</v>
      </c>
      <c r="I160" s="2" t="s">
        <v>92</v>
      </c>
      <c r="J160" s="2" t="s">
        <v>239</v>
      </c>
      <c r="K160" s="2" t="s">
        <v>304</v>
      </c>
      <c r="L160" s="2" t="s">
        <v>3864</v>
      </c>
      <c r="M160" s="8" t="str">
        <f>HYPERLINK("http://slimages.macys.com/is/image/MCY/14989283 ")</f>
        <v xml:space="preserve">http://slimages.macys.com/is/image/MCY/14989283 </v>
      </c>
    </row>
    <row r="161" spans="1:13" ht="144" x14ac:dyDescent="0.25">
      <c r="A161" s="7" t="s">
        <v>3865</v>
      </c>
      <c r="B161" s="2" t="s">
        <v>3862</v>
      </c>
      <c r="C161" s="4">
        <v>2</v>
      </c>
      <c r="D161" s="5">
        <v>10</v>
      </c>
      <c r="E161" s="5">
        <v>29.99</v>
      </c>
      <c r="F161" s="4" t="s">
        <v>3863</v>
      </c>
      <c r="G161" s="2" t="s">
        <v>129</v>
      </c>
      <c r="H161" s="7" t="s">
        <v>42</v>
      </c>
      <c r="I161" s="2" t="s">
        <v>92</v>
      </c>
      <c r="J161" s="2" t="s">
        <v>239</v>
      </c>
      <c r="K161" s="2" t="s">
        <v>304</v>
      </c>
      <c r="L161" s="2" t="s">
        <v>3864</v>
      </c>
      <c r="M161" s="8" t="str">
        <f>HYPERLINK("http://slimages.macys.com/is/image/MCY/14989283 ")</f>
        <v xml:space="preserve">http://slimages.macys.com/is/image/MCY/14989283 </v>
      </c>
    </row>
    <row r="162" spans="1:13" ht="156" x14ac:dyDescent="0.25">
      <c r="A162" s="7" t="s">
        <v>3866</v>
      </c>
      <c r="B162" s="2" t="s">
        <v>3038</v>
      </c>
      <c r="C162" s="4">
        <v>1</v>
      </c>
      <c r="D162" s="5">
        <v>9.9</v>
      </c>
      <c r="E162" s="5">
        <v>22.52</v>
      </c>
      <c r="F162" s="4">
        <v>19318910</v>
      </c>
      <c r="G162" s="2"/>
      <c r="H162" s="7" t="s">
        <v>438</v>
      </c>
      <c r="I162" s="2" t="s">
        <v>153</v>
      </c>
      <c r="J162" s="2" t="s">
        <v>154</v>
      </c>
      <c r="K162" s="2" t="s">
        <v>304</v>
      </c>
      <c r="L162" s="2" t="s">
        <v>3867</v>
      </c>
      <c r="M162" s="8" t="str">
        <f>HYPERLINK("http://slimages.macys.com/is/image/MCY/14608329 ")</f>
        <v xml:space="preserve">http://slimages.macys.com/is/image/MCY/14608329 </v>
      </c>
    </row>
    <row r="163" spans="1:13" ht="60" x14ac:dyDescent="0.25">
      <c r="A163" s="7" t="s">
        <v>3868</v>
      </c>
      <c r="B163" s="2" t="s">
        <v>3790</v>
      </c>
      <c r="C163" s="4">
        <v>1</v>
      </c>
      <c r="D163" s="5">
        <v>9.75</v>
      </c>
      <c r="E163" s="5">
        <v>22.41</v>
      </c>
      <c r="F163" s="4">
        <v>16486110</v>
      </c>
      <c r="G163" s="2"/>
      <c r="H163" s="7" t="s">
        <v>438</v>
      </c>
      <c r="I163" s="2" t="s">
        <v>153</v>
      </c>
      <c r="J163" s="2" t="s">
        <v>3580</v>
      </c>
      <c r="K163" s="2" t="s">
        <v>304</v>
      </c>
      <c r="L163" s="2" t="s">
        <v>38</v>
      </c>
      <c r="M163" s="8" t="str">
        <f>HYPERLINK("http://slimages.macys.com/is/image/MCY/12457440 ")</f>
        <v xml:space="preserve">http://slimages.macys.com/is/image/MCY/12457440 </v>
      </c>
    </row>
    <row r="164" spans="1:13" ht="60" x14ac:dyDescent="0.25">
      <c r="A164" s="7" t="s">
        <v>3869</v>
      </c>
      <c r="B164" s="2" t="s">
        <v>3114</v>
      </c>
      <c r="C164" s="4">
        <v>1</v>
      </c>
      <c r="D164" s="5">
        <v>9.75</v>
      </c>
      <c r="E164" s="5">
        <v>22.41</v>
      </c>
      <c r="F164" s="4">
        <v>16416712</v>
      </c>
      <c r="G164" s="2"/>
      <c r="H164" s="7" t="s">
        <v>42</v>
      </c>
      <c r="I164" s="2" t="s">
        <v>153</v>
      </c>
      <c r="J164" s="2" t="s">
        <v>3580</v>
      </c>
      <c r="K164" s="2" t="s">
        <v>304</v>
      </c>
      <c r="L164" s="2" t="s">
        <v>206</v>
      </c>
      <c r="M164" s="8" t="str">
        <f>HYPERLINK("http://slimages.macys.com/is/image/MCY/11671838 ")</f>
        <v xml:space="preserve">http://slimages.macys.com/is/image/MCY/11671838 </v>
      </c>
    </row>
    <row r="165" spans="1:13" ht="60" x14ac:dyDescent="0.25">
      <c r="A165" s="7" t="s">
        <v>3870</v>
      </c>
      <c r="B165" s="2" t="s">
        <v>3871</v>
      </c>
      <c r="C165" s="4">
        <v>1</v>
      </c>
      <c r="D165" s="5">
        <v>9.7200000000000006</v>
      </c>
      <c r="E165" s="5">
        <v>22.99</v>
      </c>
      <c r="F165" s="4" t="s">
        <v>3872</v>
      </c>
      <c r="G165" s="2" t="s">
        <v>36</v>
      </c>
      <c r="H165" s="7" t="s">
        <v>196</v>
      </c>
      <c r="I165" s="2" t="s">
        <v>389</v>
      </c>
      <c r="J165" s="2" t="s">
        <v>354</v>
      </c>
      <c r="K165" s="2" t="s">
        <v>304</v>
      </c>
      <c r="L165" s="2" t="s">
        <v>596</v>
      </c>
      <c r="M165" s="8" t="str">
        <f>HYPERLINK("http://slimages.macys.com/is/image/MCY/10128147 ")</f>
        <v xml:space="preserve">http://slimages.macys.com/is/image/MCY/10128147 </v>
      </c>
    </row>
    <row r="166" spans="1:13" ht="60" x14ac:dyDescent="0.25">
      <c r="A166" s="7" t="s">
        <v>3873</v>
      </c>
      <c r="B166" s="2" t="s">
        <v>3219</v>
      </c>
      <c r="C166" s="4">
        <v>1</v>
      </c>
      <c r="D166" s="5">
        <v>9.6</v>
      </c>
      <c r="E166" s="5">
        <v>23.99</v>
      </c>
      <c r="F166" s="4" t="s">
        <v>3874</v>
      </c>
      <c r="G166" s="2" t="s">
        <v>171</v>
      </c>
      <c r="H166" s="7" t="s">
        <v>179</v>
      </c>
      <c r="I166" s="2" t="s">
        <v>173</v>
      </c>
      <c r="J166" s="2" t="s">
        <v>174</v>
      </c>
      <c r="K166" s="2" t="s">
        <v>304</v>
      </c>
      <c r="L166" s="2" t="s">
        <v>2540</v>
      </c>
      <c r="M166" s="8" t="str">
        <f>HYPERLINK("http://slimages.macys.com/is/image/MCY/12726096 ")</f>
        <v xml:space="preserve">http://slimages.macys.com/is/image/MCY/12726096 </v>
      </c>
    </row>
    <row r="167" spans="1:13" ht="60" x14ac:dyDescent="0.25">
      <c r="A167" s="7" t="s">
        <v>3875</v>
      </c>
      <c r="B167" s="2" t="s">
        <v>3185</v>
      </c>
      <c r="C167" s="4">
        <v>1</v>
      </c>
      <c r="D167" s="5">
        <v>9.6</v>
      </c>
      <c r="E167" s="5">
        <v>23.99</v>
      </c>
      <c r="F167" s="4" t="s">
        <v>3186</v>
      </c>
      <c r="G167" s="2" t="s">
        <v>165</v>
      </c>
      <c r="H167" s="7"/>
      <c r="I167" s="2" t="s">
        <v>173</v>
      </c>
      <c r="J167" s="2" t="s">
        <v>174</v>
      </c>
      <c r="K167" s="2" t="s">
        <v>304</v>
      </c>
      <c r="L167" s="2" t="s">
        <v>206</v>
      </c>
      <c r="M167" s="8" t="str">
        <f>HYPERLINK("http://slimages.macys.com/is/image/MCY/9357303 ")</f>
        <v xml:space="preserve">http://slimages.macys.com/is/image/MCY/9357303 </v>
      </c>
    </row>
    <row r="168" spans="1:13" ht="60" x14ac:dyDescent="0.25">
      <c r="A168" s="7" t="s">
        <v>3876</v>
      </c>
      <c r="B168" s="2" t="s">
        <v>3877</v>
      </c>
      <c r="C168" s="4">
        <v>1</v>
      </c>
      <c r="D168" s="5">
        <v>9.6</v>
      </c>
      <c r="E168" s="5">
        <v>23.99</v>
      </c>
      <c r="F168" s="4" t="s">
        <v>3878</v>
      </c>
      <c r="G168" s="2" t="s">
        <v>171</v>
      </c>
      <c r="H168" s="7"/>
      <c r="I168" s="2" t="s">
        <v>173</v>
      </c>
      <c r="J168" s="2" t="s">
        <v>174</v>
      </c>
      <c r="K168" s="2" t="s">
        <v>304</v>
      </c>
      <c r="L168" s="2" t="s">
        <v>2540</v>
      </c>
      <c r="M168" s="8" t="str">
        <f>HYPERLINK("http://slimages.macys.com/is/image/MCY/12726101 ")</f>
        <v xml:space="preserve">http://slimages.macys.com/is/image/MCY/12726101 </v>
      </c>
    </row>
    <row r="169" spans="1:13" ht="60" x14ac:dyDescent="0.25">
      <c r="A169" s="7" t="s">
        <v>3879</v>
      </c>
      <c r="B169" s="2" t="s">
        <v>3877</v>
      </c>
      <c r="C169" s="4">
        <v>1</v>
      </c>
      <c r="D169" s="5">
        <v>9.6</v>
      </c>
      <c r="E169" s="5">
        <v>23.99</v>
      </c>
      <c r="F169" s="4" t="s">
        <v>3878</v>
      </c>
      <c r="G169" s="2" t="s">
        <v>171</v>
      </c>
      <c r="H169" s="7" t="s">
        <v>177</v>
      </c>
      <c r="I169" s="2" t="s">
        <v>173</v>
      </c>
      <c r="J169" s="2" t="s">
        <v>174</v>
      </c>
      <c r="K169" s="2" t="s">
        <v>304</v>
      </c>
      <c r="L169" s="2" t="s">
        <v>2540</v>
      </c>
      <c r="M169" s="8" t="str">
        <f>HYPERLINK("http://slimages.macys.com/is/image/MCY/12726101 ")</f>
        <v xml:space="preserve">http://slimages.macys.com/is/image/MCY/12726101 </v>
      </c>
    </row>
    <row r="170" spans="1:13" ht="60" x14ac:dyDescent="0.25">
      <c r="A170" s="7" t="s">
        <v>3880</v>
      </c>
      <c r="B170" s="2" t="s">
        <v>3881</v>
      </c>
      <c r="C170" s="4">
        <v>1</v>
      </c>
      <c r="D170" s="5">
        <v>9.5</v>
      </c>
      <c r="E170" s="5">
        <v>22.99</v>
      </c>
      <c r="F170" s="4" t="s">
        <v>3190</v>
      </c>
      <c r="G170" s="2" t="s">
        <v>28</v>
      </c>
      <c r="H170" s="7" t="s">
        <v>68</v>
      </c>
      <c r="I170" s="2" t="s">
        <v>80</v>
      </c>
      <c r="J170" s="2" t="s">
        <v>124</v>
      </c>
      <c r="K170" s="2" t="s">
        <v>304</v>
      </c>
      <c r="L170" s="2" t="s">
        <v>125</v>
      </c>
      <c r="M170" s="8" t="str">
        <f>HYPERLINK("http://slimages.macys.com/is/image/MCY/8271019 ")</f>
        <v xml:space="preserve">http://slimages.macys.com/is/image/MCY/8271019 </v>
      </c>
    </row>
    <row r="171" spans="1:13" ht="96" x14ac:dyDescent="0.25">
      <c r="A171" s="7" t="s">
        <v>3882</v>
      </c>
      <c r="B171" s="2" t="s">
        <v>3192</v>
      </c>
      <c r="C171" s="4">
        <v>1</v>
      </c>
      <c r="D171" s="5">
        <v>9.41</v>
      </c>
      <c r="E171" s="5">
        <v>22.99</v>
      </c>
      <c r="F171" s="4" t="s">
        <v>3193</v>
      </c>
      <c r="G171" s="2" t="s">
        <v>1091</v>
      </c>
      <c r="H171" s="7" t="s">
        <v>42</v>
      </c>
      <c r="I171" s="2" t="s">
        <v>483</v>
      </c>
      <c r="J171" s="2" t="s">
        <v>536</v>
      </c>
      <c r="K171" s="2" t="s">
        <v>304</v>
      </c>
      <c r="L171" s="2" t="s">
        <v>3194</v>
      </c>
      <c r="M171" s="8" t="str">
        <f>HYPERLINK("http://slimages.macys.com/is/image/MCY/14385247 ")</f>
        <v xml:space="preserve">http://slimages.macys.com/is/image/MCY/14385247 </v>
      </c>
    </row>
    <row r="172" spans="1:13" ht="60" x14ac:dyDescent="0.25">
      <c r="A172" s="7" t="s">
        <v>3883</v>
      </c>
      <c r="B172" s="2" t="s">
        <v>374</v>
      </c>
      <c r="C172" s="4">
        <v>1</v>
      </c>
      <c r="D172" s="5">
        <v>9.2799999999999994</v>
      </c>
      <c r="E172" s="5">
        <v>17.989999999999998</v>
      </c>
      <c r="F172" s="4" t="s">
        <v>3884</v>
      </c>
      <c r="G172" s="2" t="s">
        <v>1265</v>
      </c>
      <c r="H172" s="7" t="s">
        <v>248</v>
      </c>
      <c r="I172" s="2" t="s">
        <v>73</v>
      </c>
      <c r="J172" s="2" t="s">
        <v>249</v>
      </c>
      <c r="K172" s="2" t="s">
        <v>304</v>
      </c>
      <c r="L172" s="2" t="s">
        <v>358</v>
      </c>
      <c r="M172" s="8" t="str">
        <f>HYPERLINK("http://slimages.macys.com/is/image/MCY/12224447 ")</f>
        <v xml:space="preserve">http://slimages.macys.com/is/image/MCY/12224447 </v>
      </c>
    </row>
    <row r="173" spans="1:13" ht="60" x14ac:dyDescent="0.25">
      <c r="A173" s="7" t="s">
        <v>3885</v>
      </c>
      <c r="B173" s="2" t="s">
        <v>3886</v>
      </c>
      <c r="C173" s="4">
        <v>1</v>
      </c>
      <c r="D173" s="5">
        <v>9.27</v>
      </c>
      <c r="E173" s="5">
        <v>24.99</v>
      </c>
      <c r="F173" s="4" t="s">
        <v>3887</v>
      </c>
      <c r="G173" s="2" t="s">
        <v>595</v>
      </c>
      <c r="H173" s="7" t="s">
        <v>123</v>
      </c>
      <c r="I173" s="2" t="s">
        <v>515</v>
      </c>
      <c r="J173" s="2" t="s">
        <v>516</v>
      </c>
      <c r="K173" s="2" t="s">
        <v>304</v>
      </c>
      <c r="L173" s="2" t="s">
        <v>358</v>
      </c>
      <c r="M173" s="8" t="str">
        <f>HYPERLINK("http://slimages.macys.com/is/image/MCY/11947173 ")</f>
        <v xml:space="preserve">http://slimages.macys.com/is/image/MCY/11947173 </v>
      </c>
    </row>
    <row r="174" spans="1:13" ht="84" x14ac:dyDescent="0.25">
      <c r="A174" s="7" t="s">
        <v>3888</v>
      </c>
      <c r="B174" s="2" t="s">
        <v>3889</v>
      </c>
      <c r="C174" s="4">
        <v>1</v>
      </c>
      <c r="D174" s="5">
        <v>9.1999999999999993</v>
      </c>
      <c r="E174" s="5">
        <v>21.99</v>
      </c>
      <c r="F174" s="4">
        <v>16485510</v>
      </c>
      <c r="G174" s="2"/>
      <c r="H174" s="7" t="s">
        <v>233</v>
      </c>
      <c r="I174" s="2" t="s">
        <v>153</v>
      </c>
      <c r="J174" s="2" t="s">
        <v>154</v>
      </c>
      <c r="K174" s="2" t="s">
        <v>304</v>
      </c>
      <c r="L174" s="2" t="s">
        <v>3215</v>
      </c>
      <c r="M174" s="8" t="str">
        <f>HYPERLINK("http://slimages.macys.com/is/image/MCY/11186668 ")</f>
        <v xml:space="preserve">http://slimages.macys.com/is/image/MCY/11186668 </v>
      </c>
    </row>
    <row r="175" spans="1:13" ht="96" x14ac:dyDescent="0.25">
      <c r="A175" s="7" t="s">
        <v>3890</v>
      </c>
      <c r="B175" s="2" t="s">
        <v>3891</v>
      </c>
      <c r="C175" s="4">
        <v>1</v>
      </c>
      <c r="D175" s="5">
        <v>9.11</v>
      </c>
      <c r="E175" s="5">
        <v>31.99</v>
      </c>
      <c r="F175" s="4" t="s">
        <v>3892</v>
      </c>
      <c r="G175" s="2" t="s">
        <v>297</v>
      </c>
      <c r="H175" s="7" t="s">
        <v>590</v>
      </c>
      <c r="I175" s="2" t="s">
        <v>483</v>
      </c>
      <c r="J175" s="2" t="s">
        <v>536</v>
      </c>
      <c r="K175" s="2" t="s">
        <v>304</v>
      </c>
      <c r="L175" s="2" t="s">
        <v>3893</v>
      </c>
      <c r="M175" s="8" t="str">
        <f>HYPERLINK("http://slimages.macys.com/is/image/MCY/14385282 ")</f>
        <v xml:space="preserve">http://slimages.macys.com/is/image/MCY/14385282 </v>
      </c>
    </row>
    <row r="176" spans="1:13" ht="96" x14ac:dyDescent="0.25">
      <c r="A176" s="7" t="s">
        <v>3894</v>
      </c>
      <c r="B176" s="2" t="s">
        <v>3891</v>
      </c>
      <c r="C176" s="4">
        <v>1</v>
      </c>
      <c r="D176" s="5">
        <v>9.11</v>
      </c>
      <c r="E176" s="5">
        <v>31.99</v>
      </c>
      <c r="F176" s="4" t="s">
        <v>3892</v>
      </c>
      <c r="G176" s="2" t="s">
        <v>297</v>
      </c>
      <c r="H176" s="7" t="s">
        <v>149</v>
      </c>
      <c r="I176" s="2" t="s">
        <v>483</v>
      </c>
      <c r="J176" s="2" t="s">
        <v>536</v>
      </c>
      <c r="K176" s="2" t="s">
        <v>304</v>
      </c>
      <c r="L176" s="2" t="s">
        <v>3893</v>
      </c>
      <c r="M176" s="8" t="str">
        <f>HYPERLINK("http://slimages.macys.com/is/image/MCY/14385282 ")</f>
        <v xml:space="preserve">http://slimages.macys.com/is/image/MCY/14385282 </v>
      </c>
    </row>
    <row r="177" spans="1:13" ht="60" x14ac:dyDescent="0.25">
      <c r="A177" s="7" t="s">
        <v>2536</v>
      </c>
      <c r="B177" s="2" t="s">
        <v>333</v>
      </c>
      <c r="C177" s="4">
        <v>1</v>
      </c>
      <c r="D177" s="5">
        <v>9.1</v>
      </c>
      <c r="E177" s="5">
        <v>19.989999999999998</v>
      </c>
      <c r="F177" s="4" t="s">
        <v>334</v>
      </c>
      <c r="G177" s="2" t="s">
        <v>41</v>
      </c>
      <c r="H177" s="7" t="s">
        <v>166</v>
      </c>
      <c r="I177" s="2" t="s">
        <v>73</v>
      </c>
      <c r="J177" s="2" t="s">
        <v>249</v>
      </c>
      <c r="K177" s="2" t="s">
        <v>304</v>
      </c>
      <c r="L177" s="2" t="s">
        <v>335</v>
      </c>
      <c r="M177" s="8" t="str">
        <f>HYPERLINK("http://slimages.macys.com/is/image/MCY/14365354 ")</f>
        <v xml:space="preserve">http://slimages.macys.com/is/image/MCY/14365354 </v>
      </c>
    </row>
    <row r="178" spans="1:13" ht="60" x14ac:dyDescent="0.25">
      <c r="A178" s="7" t="s">
        <v>3895</v>
      </c>
      <c r="B178" s="2" t="s">
        <v>337</v>
      </c>
      <c r="C178" s="4">
        <v>1</v>
      </c>
      <c r="D178" s="5">
        <v>9.1</v>
      </c>
      <c r="E178" s="5">
        <v>19.989999999999998</v>
      </c>
      <c r="F178" s="4" t="s">
        <v>338</v>
      </c>
      <c r="G178" s="2" t="s">
        <v>303</v>
      </c>
      <c r="H178" s="7" t="s">
        <v>166</v>
      </c>
      <c r="I178" s="2" t="s">
        <v>73</v>
      </c>
      <c r="J178" s="2" t="s">
        <v>249</v>
      </c>
      <c r="K178" s="2" t="s">
        <v>304</v>
      </c>
      <c r="L178" s="2" t="s">
        <v>335</v>
      </c>
      <c r="M178" s="8" t="str">
        <f>HYPERLINK("http://slimages.macys.com/is/image/MCY/14365345 ")</f>
        <v xml:space="preserve">http://slimages.macys.com/is/image/MCY/14365345 </v>
      </c>
    </row>
    <row r="179" spans="1:13" ht="60" x14ac:dyDescent="0.25">
      <c r="A179" s="7" t="s">
        <v>332</v>
      </c>
      <c r="B179" s="2" t="s">
        <v>333</v>
      </c>
      <c r="C179" s="4">
        <v>1</v>
      </c>
      <c r="D179" s="5">
        <v>9.1</v>
      </c>
      <c r="E179" s="5">
        <v>19.989999999999998</v>
      </c>
      <c r="F179" s="4" t="s">
        <v>334</v>
      </c>
      <c r="G179" s="2" t="s">
        <v>41</v>
      </c>
      <c r="H179" s="7" t="s">
        <v>248</v>
      </c>
      <c r="I179" s="2" t="s">
        <v>73</v>
      </c>
      <c r="J179" s="2" t="s">
        <v>249</v>
      </c>
      <c r="K179" s="2" t="s">
        <v>304</v>
      </c>
      <c r="L179" s="2" t="s">
        <v>335</v>
      </c>
      <c r="M179" s="8" t="str">
        <f>HYPERLINK("http://slimages.macys.com/is/image/MCY/14365354 ")</f>
        <v xml:space="preserve">http://slimages.macys.com/is/image/MCY/14365354 </v>
      </c>
    </row>
    <row r="180" spans="1:13" ht="60" x14ac:dyDescent="0.25">
      <c r="A180" s="7" t="s">
        <v>3896</v>
      </c>
      <c r="B180" s="2" t="s">
        <v>333</v>
      </c>
      <c r="C180" s="4">
        <v>1</v>
      </c>
      <c r="D180" s="5">
        <v>9.1</v>
      </c>
      <c r="E180" s="5">
        <v>19.989999999999998</v>
      </c>
      <c r="F180" s="4" t="s">
        <v>334</v>
      </c>
      <c r="G180" s="2" t="s">
        <v>41</v>
      </c>
      <c r="H180" s="7" t="s">
        <v>172</v>
      </c>
      <c r="I180" s="2" t="s">
        <v>73</v>
      </c>
      <c r="J180" s="2" t="s">
        <v>249</v>
      </c>
      <c r="K180" s="2" t="s">
        <v>304</v>
      </c>
      <c r="L180" s="2" t="s">
        <v>335</v>
      </c>
      <c r="M180" s="8" t="str">
        <f>HYPERLINK("http://slimages.macys.com/is/image/MCY/14365354 ")</f>
        <v xml:space="preserve">http://slimages.macys.com/is/image/MCY/14365354 </v>
      </c>
    </row>
    <row r="181" spans="1:13" ht="60" x14ac:dyDescent="0.25">
      <c r="A181" s="7" t="s">
        <v>3897</v>
      </c>
      <c r="B181" s="2" t="s">
        <v>3898</v>
      </c>
      <c r="C181" s="4">
        <v>1</v>
      </c>
      <c r="D181" s="5">
        <v>9.1</v>
      </c>
      <c r="E181" s="5">
        <v>20.99</v>
      </c>
      <c r="F181" s="4" t="s">
        <v>3899</v>
      </c>
      <c r="G181" s="2" t="s">
        <v>165</v>
      </c>
      <c r="H181" s="7" t="s">
        <v>311</v>
      </c>
      <c r="I181" s="2" t="s">
        <v>73</v>
      </c>
      <c r="J181" s="2" t="s">
        <v>778</v>
      </c>
      <c r="K181" s="2" t="s">
        <v>304</v>
      </c>
      <c r="L181" s="2" t="s">
        <v>3900</v>
      </c>
      <c r="M181" s="8" t="str">
        <f>HYPERLINK("http://slimages.macys.com/is/image/MCY/12800705 ")</f>
        <v xml:space="preserve">http://slimages.macys.com/is/image/MCY/12800705 </v>
      </c>
    </row>
    <row r="182" spans="1:13" ht="60" x14ac:dyDescent="0.25">
      <c r="A182" s="7" t="s">
        <v>3901</v>
      </c>
      <c r="B182" s="2" t="s">
        <v>3902</v>
      </c>
      <c r="C182" s="4">
        <v>1</v>
      </c>
      <c r="D182" s="5">
        <v>9.07</v>
      </c>
      <c r="E182" s="5">
        <v>24.5</v>
      </c>
      <c r="F182" s="4" t="s">
        <v>3903</v>
      </c>
      <c r="G182" s="2" t="s">
        <v>297</v>
      </c>
      <c r="H182" s="7" t="s">
        <v>266</v>
      </c>
      <c r="I182" s="2" t="s">
        <v>880</v>
      </c>
      <c r="J182" s="2" t="s">
        <v>881</v>
      </c>
      <c r="K182" s="2" t="s">
        <v>304</v>
      </c>
      <c r="L182" s="2" t="s">
        <v>206</v>
      </c>
      <c r="M182" s="8" t="str">
        <f>HYPERLINK("http://slimages.macys.com/is/image/MCY/11437136 ")</f>
        <v xml:space="preserve">http://slimages.macys.com/is/image/MCY/11437136 </v>
      </c>
    </row>
    <row r="183" spans="1:13" ht="60" x14ac:dyDescent="0.25">
      <c r="A183" s="7" t="s">
        <v>3904</v>
      </c>
      <c r="B183" s="2" t="s">
        <v>3905</v>
      </c>
      <c r="C183" s="4">
        <v>1</v>
      </c>
      <c r="D183" s="5">
        <v>9</v>
      </c>
      <c r="E183" s="5">
        <v>17.989999999999998</v>
      </c>
      <c r="F183" s="4" t="s">
        <v>3906</v>
      </c>
      <c r="G183" s="2" t="s">
        <v>62</v>
      </c>
      <c r="H183" s="7"/>
      <c r="I183" s="2" t="s">
        <v>30</v>
      </c>
      <c r="J183" s="2" t="s">
        <v>658</v>
      </c>
      <c r="K183" s="2" t="s">
        <v>304</v>
      </c>
      <c r="L183" s="2" t="s">
        <v>1648</v>
      </c>
      <c r="M183" s="8" t="str">
        <f>HYPERLINK("http://slimages.macys.com/is/image/MCY/11686761 ")</f>
        <v xml:space="preserve">http://slimages.macys.com/is/image/MCY/11686761 </v>
      </c>
    </row>
    <row r="184" spans="1:13" ht="120" x14ac:dyDescent="0.25">
      <c r="A184" s="7" t="s">
        <v>3907</v>
      </c>
      <c r="B184" s="2" t="s">
        <v>3908</v>
      </c>
      <c r="C184" s="4">
        <v>1</v>
      </c>
      <c r="D184" s="5">
        <v>9</v>
      </c>
      <c r="E184" s="5">
        <v>24.99</v>
      </c>
      <c r="F184" s="4" t="s">
        <v>3909</v>
      </c>
      <c r="G184" s="2" t="s">
        <v>310</v>
      </c>
      <c r="H184" s="7" t="s">
        <v>311</v>
      </c>
      <c r="I184" s="2" t="s">
        <v>342</v>
      </c>
      <c r="J184" s="2" t="s">
        <v>362</v>
      </c>
      <c r="K184" s="2" t="s">
        <v>304</v>
      </c>
      <c r="L184" s="2" t="s">
        <v>3910</v>
      </c>
      <c r="M184" s="8" t="str">
        <f>HYPERLINK("http://slimages.macys.com/is/image/MCY/11860867 ")</f>
        <v xml:space="preserve">http://slimages.macys.com/is/image/MCY/11860867 </v>
      </c>
    </row>
    <row r="185" spans="1:13" ht="60" x14ac:dyDescent="0.25">
      <c r="A185" s="7" t="s">
        <v>3911</v>
      </c>
      <c r="B185" s="2" t="s">
        <v>3912</v>
      </c>
      <c r="C185" s="4">
        <v>1</v>
      </c>
      <c r="D185" s="5">
        <v>9</v>
      </c>
      <c r="E185" s="5">
        <v>20.99</v>
      </c>
      <c r="F185" s="4" t="s">
        <v>3913</v>
      </c>
      <c r="G185" s="2" t="s">
        <v>165</v>
      </c>
      <c r="H185" s="7" t="s">
        <v>209</v>
      </c>
      <c r="I185" s="2" t="s">
        <v>173</v>
      </c>
      <c r="J185" s="2" t="s">
        <v>1967</v>
      </c>
      <c r="K185" s="2" t="s">
        <v>304</v>
      </c>
      <c r="L185" s="2" t="s">
        <v>2540</v>
      </c>
      <c r="M185" s="8" t="str">
        <f>HYPERLINK("http://slimages.macys.com/is/image/MCY/13314486 ")</f>
        <v xml:space="preserve">http://slimages.macys.com/is/image/MCY/13314486 </v>
      </c>
    </row>
    <row r="186" spans="1:13" ht="60" x14ac:dyDescent="0.25">
      <c r="A186" s="7" t="s">
        <v>1645</v>
      </c>
      <c r="B186" s="2" t="s">
        <v>1646</v>
      </c>
      <c r="C186" s="4">
        <v>1</v>
      </c>
      <c r="D186" s="5">
        <v>9</v>
      </c>
      <c r="E186" s="5">
        <v>17.989999999999998</v>
      </c>
      <c r="F186" s="4" t="s">
        <v>1647</v>
      </c>
      <c r="G186" s="2" t="s">
        <v>28</v>
      </c>
      <c r="H186" s="7"/>
      <c r="I186" s="2" t="s">
        <v>30</v>
      </c>
      <c r="J186" s="2" t="s">
        <v>658</v>
      </c>
      <c r="K186" s="2" t="s">
        <v>304</v>
      </c>
      <c r="L186" s="2" t="s">
        <v>1648</v>
      </c>
      <c r="M186" s="8" t="str">
        <f>HYPERLINK("http://slimages.macys.com/is/image/MCY/11686740 ")</f>
        <v xml:space="preserve">http://slimages.macys.com/is/image/MCY/11686740 </v>
      </c>
    </row>
    <row r="187" spans="1:13" ht="60" x14ac:dyDescent="0.25">
      <c r="A187" s="7" t="s">
        <v>3914</v>
      </c>
      <c r="B187" s="2" t="s">
        <v>3915</v>
      </c>
      <c r="C187" s="4">
        <v>1</v>
      </c>
      <c r="D187" s="5">
        <v>8.75</v>
      </c>
      <c r="E187" s="5">
        <v>29</v>
      </c>
      <c r="F187" s="4" t="s">
        <v>3916</v>
      </c>
      <c r="G187" s="2" t="s">
        <v>310</v>
      </c>
      <c r="H187" s="7" t="s">
        <v>91</v>
      </c>
      <c r="I187" s="2" t="s">
        <v>135</v>
      </c>
      <c r="J187" s="2" t="s">
        <v>99</v>
      </c>
      <c r="K187" s="2" t="s">
        <v>304</v>
      </c>
      <c r="L187" s="2" t="s">
        <v>119</v>
      </c>
      <c r="M187" s="8" t="str">
        <f>HYPERLINK("http://slimages.macys.com/is/image/MCY/14839097 ")</f>
        <v xml:space="preserve">http://slimages.macys.com/is/image/MCY/14839097 </v>
      </c>
    </row>
    <row r="188" spans="1:13" ht="60" x14ac:dyDescent="0.25">
      <c r="A188" s="7" t="s">
        <v>373</v>
      </c>
      <c r="B188" s="2" t="s">
        <v>374</v>
      </c>
      <c r="C188" s="4">
        <v>1</v>
      </c>
      <c r="D188" s="5">
        <v>8.75</v>
      </c>
      <c r="E188" s="5">
        <v>18.989999999999998</v>
      </c>
      <c r="F188" s="4" t="s">
        <v>375</v>
      </c>
      <c r="G188" s="2" t="s">
        <v>165</v>
      </c>
      <c r="H188" s="7" t="s">
        <v>172</v>
      </c>
      <c r="I188" s="2" t="s">
        <v>73</v>
      </c>
      <c r="J188" s="2" t="s">
        <v>249</v>
      </c>
      <c r="K188" s="2" t="s">
        <v>304</v>
      </c>
      <c r="L188" s="2" t="s">
        <v>358</v>
      </c>
      <c r="M188" s="8" t="str">
        <f>HYPERLINK("http://slimages.macys.com/is/image/MCY/14601682 ")</f>
        <v xml:space="preserve">http://slimages.macys.com/is/image/MCY/14601682 </v>
      </c>
    </row>
    <row r="189" spans="1:13" ht="60" x14ac:dyDescent="0.25">
      <c r="A189" s="7" t="s">
        <v>3917</v>
      </c>
      <c r="B189" s="2" t="s">
        <v>374</v>
      </c>
      <c r="C189" s="4">
        <v>1</v>
      </c>
      <c r="D189" s="5">
        <v>8.75</v>
      </c>
      <c r="E189" s="5">
        <v>18.989999999999998</v>
      </c>
      <c r="F189" s="4" t="s">
        <v>375</v>
      </c>
      <c r="G189" s="2" t="s">
        <v>165</v>
      </c>
      <c r="H189" s="7" t="s">
        <v>266</v>
      </c>
      <c r="I189" s="2" t="s">
        <v>73</v>
      </c>
      <c r="J189" s="2" t="s">
        <v>249</v>
      </c>
      <c r="K189" s="2" t="s">
        <v>304</v>
      </c>
      <c r="L189" s="2" t="s">
        <v>358</v>
      </c>
      <c r="M189" s="8" t="str">
        <f>HYPERLINK("http://slimages.macys.com/is/image/MCY/14601682 ")</f>
        <v xml:space="preserve">http://slimages.macys.com/is/image/MCY/14601682 </v>
      </c>
    </row>
    <row r="190" spans="1:13" ht="60" x14ac:dyDescent="0.25">
      <c r="A190" s="7" t="s">
        <v>3918</v>
      </c>
      <c r="B190" s="2" t="s">
        <v>374</v>
      </c>
      <c r="C190" s="4">
        <v>1</v>
      </c>
      <c r="D190" s="5">
        <v>8.75</v>
      </c>
      <c r="E190" s="5">
        <v>18.989999999999998</v>
      </c>
      <c r="F190" s="4" t="s">
        <v>375</v>
      </c>
      <c r="G190" s="2" t="s">
        <v>165</v>
      </c>
      <c r="H190" s="7" t="s">
        <v>166</v>
      </c>
      <c r="I190" s="2" t="s">
        <v>73</v>
      </c>
      <c r="J190" s="2" t="s">
        <v>249</v>
      </c>
      <c r="K190" s="2" t="s">
        <v>304</v>
      </c>
      <c r="L190" s="2" t="s">
        <v>358</v>
      </c>
      <c r="M190" s="8" t="str">
        <f>HYPERLINK("http://slimages.macys.com/is/image/MCY/14601682 ")</f>
        <v xml:space="preserve">http://slimages.macys.com/is/image/MCY/14601682 </v>
      </c>
    </row>
    <row r="191" spans="1:13" ht="60" x14ac:dyDescent="0.25">
      <c r="A191" s="7" t="s">
        <v>3919</v>
      </c>
      <c r="B191" s="2" t="s">
        <v>3920</v>
      </c>
      <c r="C191" s="4">
        <v>1</v>
      </c>
      <c r="D191" s="5">
        <v>8.65</v>
      </c>
      <c r="E191" s="5">
        <v>22.99</v>
      </c>
      <c r="F191" s="4">
        <v>103388</v>
      </c>
      <c r="G191" s="2"/>
      <c r="H191" s="7" t="s">
        <v>166</v>
      </c>
      <c r="I191" s="2" t="s">
        <v>321</v>
      </c>
      <c r="J191" s="2" t="s">
        <v>322</v>
      </c>
      <c r="K191" s="2" t="s">
        <v>304</v>
      </c>
      <c r="L191" s="2" t="s">
        <v>323</v>
      </c>
      <c r="M191" s="8" t="str">
        <f>HYPERLINK("http://slimages.macys.com/is/image/MCY/10924284 ")</f>
        <v xml:space="preserve">http://slimages.macys.com/is/image/MCY/10924284 </v>
      </c>
    </row>
    <row r="192" spans="1:13" ht="60" x14ac:dyDescent="0.25">
      <c r="A192" s="7" t="s">
        <v>3921</v>
      </c>
      <c r="B192" s="2" t="s">
        <v>3922</v>
      </c>
      <c r="C192" s="4">
        <v>3</v>
      </c>
      <c r="D192" s="5">
        <v>8.6</v>
      </c>
      <c r="E192" s="5">
        <v>22.99</v>
      </c>
      <c r="F192" s="4" t="s">
        <v>3923</v>
      </c>
      <c r="G192" s="2" t="s">
        <v>171</v>
      </c>
      <c r="H192" s="7" t="s">
        <v>144</v>
      </c>
      <c r="I192" s="2" t="s">
        <v>380</v>
      </c>
      <c r="J192" s="2" t="s">
        <v>258</v>
      </c>
      <c r="K192" s="2" t="s">
        <v>304</v>
      </c>
      <c r="L192" s="2" t="s">
        <v>206</v>
      </c>
      <c r="M192" s="8" t="str">
        <f>HYPERLINK("http://slimages.macys.com/is/image/MCY/11723087 ")</f>
        <v xml:space="preserve">http://slimages.macys.com/is/image/MCY/11723087 </v>
      </c>
    </row>
    <row r="193" spans="1:13" ht="72" x14ac:dyDescent="0.25">
      <c r="A193" s="7" t="s">
        <v>3924</v>
      </c>
      <c r="B193" s="2" t="s">
        <v>3925</v>
      </c>
      <c r="C193" s="4">
        <v>1</v>
      </c>
      <c r="D193" s="5">
        <v>8.5</v>
      </c>
      <c r="E193" s="5">
        <v>20</v>
      </c>
      <c r="F193" s="4" t="s">
        <v>3926</v>
      </c>
      <c r="G193" s="2" t="s">
        <v>171</v>
      </c>
      <c r="H193" s="7" t="s">
        <v>618</v>
      </c>
      <c r="I193" s="2" t="s">
        <v>380</v>
      </c>
      <c r="J193" s="2" t="s">
        <v>381</v>
      </c>
      <c r="K193" s="2" t="s">
        <v>304</v>
      </c>
      <c r="L193" s="2" t="s">
        <v>382</v>
      </c>
      <c r="M193" s="8" t="str">
        <f>HYPERLINK("http://slimages.macys.com/is/image/MCY/12550115 ")</f>
        <v xml:space="preserve">http://slimages.macys.com/is/image/MCY/12550115 </v>
      </c>
    </row>
    <row r="194" spans="1:13" ht="60" x14ac:dyDescent="0.25">
      <c r="A194" s="7" t="s">
        <v>3927</v>
      </c>
      <c r="B194" s="2" t="s">
        <v>3928</v>
      </c>
      <c r="C194" s="4">
        <v>1</v>
      </c>
      <c r="D194" s="5">
        <v>8.4499999999999993</v>
      </c>
      <c r="E194" s="5">
        <v>17.98</v>
      </c>
      <c r="F194" s="4" t="s">
        <v>3929</v>
      </c>
      <c r="G194" s="2" t="s">
        <v>653</v>
      </c>
      <c r="H194" s="7" t="s">
        <v>228</v>
      </c>
      <c r="I194" s="2" t="s">
        <v>523</v>
      </c>
      <c r="J194" s="2" t="s">
        <v>3930</v>
      </c>
      <c r="K194" s="2" t="s">
        <v>304</v>
      </c>
      <c r="L194" s="2" t="s">
        <v>206</v>
      </c>
      <c r="M194" s="8" t="str">
        <f>HYPERLINK("http://slimages.macys.com/is/image/MCY/11671060 ")</f>
        <v xml:space="preserve">http://slimages.macys.com/is/image/MCY/11671060 </v>
      </c>
    </row>
    <row r="195" spans="1:13" ht="60" x14ac:dyDescent="0.25">
      <c r="A195" s="7" t="s">
        <v>3931</v>
      </c>
      <c r="B195" s="2" t="s">
        <v>1687</v>
      </c>
      <c r="C195" s="4">
        <v>1</v>
      </c>
      <c r="D195" s="5">
        <v>8.3800000000000008</v>
      </c>
      <c r="E195" s="5">
        <v>24.99</v>
      </c>
      <c r="F195" s="4" t="s">
        <v>1688</v>
      </c>
      <c r="G195" s="2" t="s">
        <v>28</v>
      </c>
      <c r="H195" s="7" t="s">
        <v>311</v>
      </c>
      <c r="I195" s="2" t="s">
        <v>1689</v>
      </c>
      <c r="J195" s="2" t="s">
        <v>354</v>
      </c>
      <c r="K195" s="2" t="s">
        <v>304</v>
      </c>
      <c r="L195" s="2" t="s">
        <v>390</v>
      </c>
      <c r="M195" s="8" t="str">
        <f>HYPERLINK("http://slimages.macys.com/is/image/MCY/13076988 ")</f>
        <v xml:space="preserve">http://slimages.macys.com/is/image/MCY/13076988 </v>
      </c>
    </row>
    <row r="196" spans="1:13" ht="60" x14ac:dyDescent="0.25">
      <c r="A196" s="7" t="s">
        <v>3932</v>
      </c>
      <c r="B196" s="2" t="s">
        <v>3933</v>
      </c>
      <c r="C196" s="4">
        <v>1</v>
      </c>
      <c r="D196" s="5">
        <v>8.35</v>
      </c>
      <c r="E196" s="5">
        <v>24.99</v>
      </c>
      <c r="F196" s="4" t="s">
        <v>3934</v>
      </c>
      <c r="G196" s="2" t="s">
        <v>310</v>
      </c>
      <c r="H196" s="7" t="s">
        <v>442</v>
      </c>
      <c r="I196" s="2" t="s">
        <v>92</v>
      </c>
      <c r="J196" s="2" t="s">
        <v>58</v>
      </c>
      <c r="K196" s="2" t="s">
        <v>304</v>
      </c>
      <c r="L196" s="2" t="s">
        <v>3935</v>
      </c>
      <c r="M196" s="8" t="str">
        <f>HYPERLINK("http://slimages.macys.com/is/image/MCY/12674149 ")</f>
        <v xml:space="preserve">http://slimages.macys.com/is/image/MCY/12674149 </v>
      </c>
    </row>
    <row r="197" spans="1:13" ht="60" x14ac:dyDescent="0.25">
      <c r="A197" s="7" t="s">
        <v>3936</v>
      </c>
      <c r="B197" s="2" t="s">
        <v>3937</v>
      </c>
      <c r="C197" s="4">
        <v>1</v>
      </c>
      <c r="D197" s="5">
        <v>8.35</v>
      </c>
      <c r="E197" s="5">
        <v>24.99</v>
      </c>
      <c r="F197" s="4" t="s">
        <v>3938</v>
      </c>
      <c r="G197" s="2" t="s">
        <v>310</v>
      </c>
      <c r="H197" s="7" t="s">
        <v>42</v>
      </c>
      <c r="I197" s="2" t="s">
        <v>92</v>
      </c>
      <c r="J197" s="2" t="s">
        <v>58</v>
      </c>
      <c r="K197" s="2" t="s">
        <v>304</v>
      </c>
      <c r="L197" s="2" t="s">
        <v>3935</v>
      </c>
      <c r="M197" s="8" t="str">
        <f>HYPERLINK("http://slimages.macys.com/is/image/MCY/12674148 ")</f>
        <v xml:space="preserve">http://slimages.macys.com/is/image/MCY/12674148 </v>
      </c>
    </row>
    <row r="198" spans="1:13" ht="60" x14ac:dyDescent="0.25">
      <c r="A198" s="7" t="s">
        <v>3939</v>
      </c>
      <c r="B198" s="2" t="s">
        <v>3940</v>
      </c>
      <c r="C198" s="4">
        <v>1</v>
      </c>
      <c r="D198" s="5">
        <v>8.2100000000000009</v>
      </c>
      <c r="E198" s="5">
        <v>19.989999999999998</v>
      </c>
      <c r="F198" s="4" t="s">
        <v>3941</v>
      </c>
      <c r="G198" s="2" t="s">
        <v>657</v>
      </c>
      <c r="H198" s="7" t="s">
        <v>159</v>
      </c>
      <c r="I198" s="2" t="s">
        <v>292</v>
      </c>
      <c r="J198" s="2" t="s">
        <v>293</v>
      </c>
      <c r="K198" s="2" t="s">
        <v>304</v>
      </c>
      <c r="L198" s="2" t="s">
        <v>119</v>
      </c>
      <c r="M198" s="8" t="str">
        <f>HYPERLINK("http://slimages.macys.com/is/image/MCY/15197620 ")</f>
        <v xml:space="preserve">http://slimages.macys.com/is/image/MCY/15197620 </v>
      </c>
    </row>
    <row r="199" spans="1:13" ht="60" x14ac:dyDescent="0.25">
      <c r="A199" s="7" t="s">
        <v>3942</v>
      </c>
      <c r="B199" s="2" t="s">
        <v>3943</v>
      </c>
      <c r="C199" s="4">
        <v>2</v>
      </c>
      <c r="D199" s="5">
        <v>8.2100000000000009</v>
      </c>
      <c r="E199" s="5">
        <v>22.99</v>
      </c>
      <c r="F199" s="4" t="s">
        <v>3944</v>
      </c>
      <c r="G199" s="2" t="s">
        <v>582</v>
      </c>
      <c r="H199" s="7" t="s">
        <v>228</v>
      </c>
      <c r="I199" s="2" t="s">
        <v>389</v>
      </c>
      <c r="J199" s="2" t="s">
        <v>354</v>
      </c>
      <c r="K199" s="2" t="s">
        <v>304</v>
      </c>
      <c r="L199" s="2" t="s">
        <v>390</v>
      </c>
      <c r="M199" s="8" t="str">
        <f>HYPERLINK("http://slimages.macys.com/is/image/MCY/13638249 ")</f>
        <v xml:space="preserve">http://slimages.macys.com/is/image/MCY/13638249 </v>
      </c>
    </row>
    <row r="200" spans="1:13" ht="60" x14ac:dyDescent="0.25">
      <c r="A200" s="7" t="s">
        <v>3945</v>
      </c>
      <c r="B200" s="2" t="s">
        <v>3940</v>
      </c>
      <c r="C200" s="4">
        <v>1</v>
      </c>
      <c r="D200" s="5">
        <v>8.2100000000000009</v>
      </c>
      <c r="E200" s="5">
        <v>19.989999999999998</v>
      </c>
      <c r="F200" s="4" t="s">
        <v>3941</v>
      </c>
      <c r="G200" s="2" t="s">
        <v>62</v>
      </c>
      <c r="H200" s="7" t="s">
        <v>159</v>
      </c>
      <c r="I200" s="2" t="s">
        <v>292</v>
      </c>
      <c r="J200" s="2" t="s">
        <v>293</v>
      </c>
      <c r="K200" s="2" t="s">
        <v>304</v>
      </c>
      <c r="L200" s="2" t="s">
        <v>119</v>
      </c>
      <c r="M200" s="8" t="str">
        <f>HYPERLINK("http://slimages.macys.com/is/image/MCY/15197620 ")</f>
        <v xml:space="preserve">http://slimages.macys.com/is/image/MCY/15197620 </v>
      </c>
    </row>
    <row r="201" spans="1:13" ht="60" x14ac:dyDescent="0.25">
      <c r="A201" s="7" t="s">
        <v>3946</v>
      </c>
      <c r="B201" s="2" t="s">
        <v>3940</v>
      </c>
      <c r="C201" s="4">
        <v>1</v>
      </c>
      <c r="D201" s="5">
        <v>8.2100000000000009</v>
      </c>
      <c r="E201" s="5">
        <v>19.989999999999998</v>
      </c>
      <c r="F201" s="4" t="s">
        <v>3941</v>
      </c>
      <c r="G201" s="2" t="s">
        <v>62</v>
      </c>
      <c r="H201" s="7" t="s">
        <v>217</v>
      </c>
      <c r="I201" s="2" t="s">
        <v>292</v>
      </c>
      <c r="J201" s="2" t="s">
        <v>293</v>
      </c>
      <c r="K201" s="2" t="s">
        <v>304</v>
      </c>
      <c r="L201" s="2" t="s">
        <v>119</v>
      </c>
      <c r="M201" s="8" t="str">
        <f>HYPERLINK("http://slimages.macys.com/is/image/MCY/15197620 ")</f>
        <v xml:space="preserve">http://slimages.macys.com/is/image/MCY/15197620 </v>
      </c>
    </row>
    <row r="202" spans="1:13" ht="60" x14ac:dyDescent="0.25">
      <c r="A202" s="7" t="s">
        <v>3947</v>
      </c>
      <c r="B202" s="2" t="s">
        <v>3948</v>
      </c>
      <c r="C202" s="4">
        <v>2</v>
      </c>
      <c r="D202" s="5">
        <v>8.2100000000000009</v>
      </c>
      <c r="E202" s="5">
        <v>26.99</v>
      </c>
      <c r="F202" s="4" t="s">
        <v>3949</v>
      </c>
      <c r="G202" s="2" t="s">
        <v>171</v>
      </c>
      <c r="H202" s="7" t="s">
        <v>196</v>
      </c>
      <c r="I202" s="2" t="s">
        <v>389</v>
      </c>
      <c r="J202" s="2" t="s">
        <v>354</v>
      </c>
      <c r="K202" s="2" t="s">
        <v>304</v>
      </c>
      <c r="L202" s="2" t="s">
        <v>390</v>
      </c>
      <c r="M202" s="8" t="str">
        <f>HYPERLINK("http://slimages.macys.com/is/image/MCY/12122029 ")</f>
        <v xml:space="preserve">http://slimages.macys.com/is/image/MCY/12122029 </v>
      </c>
    </row>
    <row r="203" spans="1:13" ht="60" x14ac:dyDescent="0.25">
      <c r="A203" s="7" t="s">
        <v>3950</v>
      </c>
      <c r="B203" s="2" t="s">
        <v>3951</v>
      </c>
      <c r="C203" s="4">
        <v>1</v>
      </c>
      <c r="D203" s="5">
        <v>8.2100000000000009</v>
      </c>
      <c r="E203" s="5">
        <v>26.99</v>
      </c>
      <c r="F203" s="4" t="s">
        <v>3952</v>
      </c>
      <c r="G203" s="2" t="s">
        <v>171</v>
      </c>
      <c r="H203" s="7" t="s">
        <v>196</v>
      </c>
      <c r="I203" s="2" t="s">
        <v>389</v>
      </c>
      <c r="J203" s="2" t="s">
        <v>354</v>
      </c>
      <c r="K203" s="2" t="s">
        <v>304</v>
      </c>
      <c r="L203" s="2" t="s">
        <v>390</v>
      </c>
      <c r="M203" s="8" t="str">
        <f>HYPERLINK("http://slimages.macys.com/is/image/MCY/12122283 ")</f>
        <v xml:space="preserve">http://slimages.macys.com/is/image/MCY/12122283 </v>
      </c>
    </row>
    <row r="204" spans="1:13" ht="60" x14ac:dyDescent="0.25">
      <c r="A204" s="7" t="s">
        <v>3953</v>
      </c>
      <c r="B204" s="2" t="s">
        <v>3954</v>
      </c>
      <c r="C204" s="4">
        <v>1</v>
      </c>
      <c r="D204" s="5">
        <v>8.1</v>
      </c>
      <c r="E204" s="5">
        <v>18</v>
      </c>
      <c r="F204" s="4">
        <v>322703638020</v>
      </c>
      <c r="G204" s="2" t="s">
        <v>28</v>
      </c>
      <c r="H204" s="7" t="s">
        <v>166</v>
      </c>
      <c r="I204" s="2" t="s">
        <v>204</v>
      </c>
      <c r="J204" s="2" t="s">
        <v>205</v>
      </c>
      <c r="K204" s="2" t="s">
        <v>304</v>
      </c>
      <c r="L204" s="2" t="s">
        <v>206</v>
      </c>
      <c r="M204" s="8" t="str">
        <f>HYPERLINK("http://slimages.macys.com/is/image/MCY/11501672 ")</f>
        <v xml:space="preserve">http://slimages.macys.com/is/image/MCY/11501672 </v>
      </c>
    </row>
    <row r="205" spans="1:13" ht="96" x14ac:dyDescent="0.25">
      <c r="A205" s="7" t="s">
        <v>3955</v>
      </c>
      <c r="B205" s="2" t="s">
        <v>3956</v>
      </c>
      <c r="C205" s="4">
        <v>1</v>
      </c>
      <c r="D205" s="5">
        <v>8.1</v>
      </c>
      <c r="E205" s="5">
        <v>16.2</v>
      </c>
      <c r="F205" s="4">
        <v>27862810</v>
      </c>
      <c r="G205" s="2" t="s">
        <v>79</v>
      </c>
      <c r="H205" s="7" t="s">
        <v>144</v>
      </c>
      <c r="I205" s="2" t="s">
        <v>487</v>
      </c>
      <c r="J205" s="2" t="s">
        <v>488</v>
      </c>
      <c r="K205" s="2" t="s">
        <v>304</v>
      </c>
      <c r="L205" s="2" t="s">
        <v>439</v>
      </c>
      <c r="M205" s="8" t="str">
        <f>HYPERLINK("http://slimages.macys.com/is/image/MCY/13852871 ")</f>
        <v xml:space="preserve">http://slimages.macys.com/is/image/MCY/13852871 </v>
      </c>
    </row>
    <row r="206" spans="1:13" ht="60" x14ac:dyDescent="0.25">
      <c r="A206" s="7" t="s">
        <v>3957</v>
      </c>
      <c r="B206" s="2" t="s">
        <v>3958</v>
      </c>
      <c r="C206" s="4">
        <v>2</v>
      </c>
      <c r="D206" s="5">
        <v>8.1</v>
      </c>
      <c r="E206" s="5">
        <v>18</v>
      </c>
      <c r="F206" s="4" t="s">
        <v>3959</v>
      </c>
      <c r="G206" s="2" t="s">
        <v>48</v>
      </c>
      <c r="H206" s="7" t="s">
        <v>144</v>
      </c>
      <c r="I206" s="2" t="s">
        <v>80</v>
      </c>
      <c r="J206" s="2" t="s">
        <v>647</v>
      </c>
      <c r="K206" s="2" t="s">
        <v>304</v>
      </c>
      <c r="L206" s="2" t="s">
        <v>119</v>
      </c>
      <c r="M206" s="8" t="str">
        <f>HYPERLINK("http://slimages.macys.com/is/image/MCY/11964654 ")</f>
        <v xml:space="preserve">http://slimages.macys.com/is/image/MCY/11964654 </v>
      </c>
    </row>
    <row r="207" spans="1:13" ht="60" x14ac:dyDescent="0.25">
      <c r="A207" s="7" t="s">
        <v>3960</v>
      </c>
      <c r="B207" s="2" t="s">
        <v>3961</v>
      </c>
      <c r="C207" s="4">
        <v>1</v>
      </c>
      <c r="D207" s="5">
        <v>8</v>
      </c>
      <c r="E207" s="5">
        <v>16</v>
      </c>
      <c r="F207" s="4">
        <v>38441514</v>
      </c>
      <c r="G207" s="2"/>
      <c r="H207" s="7" t="s">
        <v>123</v>
      </c>
      <c r="I207" s="2" t="s">
        <v>487</v>
      </c>
      <c r="J207" s="2" t="s">
        <v>2424</v>
      </c>
      <c r="K207" s="2" t="s">
        <v>304</v>
      </c>
      <c r="L207" s="2" t="s">
        <v>38</v>
      </c>
      <c r="M207" s="8" t="str">
        <f>HYPERLINK("http://slimages.macys.com/is/image/MCY/14661878 ")</f>
        <v xml:space="preserve">http://slimages.macys.com/is/image/MCY/14661878 </v>
      </c>
    </row>
    <row r="208" spans="1:13" ht="60" x14ac:dyDescent="0.25">
      <c r="A208" s="7" t="s">
        <v>3962</v>
      </c>
      <c r="B208" s="2" t="s">
        <v>3961</v>
      </c>
      <c r="C208" s="4">
        <v>1</v>
      </c>
      <c r="D208" s="5">
        <v>8</v>
      </c>
      <c r="E208" s="5">
        <v>16</v>
      </c>
      <c r="F208" s="4">
        <v>38441514</v>
      </c>
      <c r="G208" s="2"/>
      <c r="H208" s="7" t="s">
        <v>317</v>
      </c>
      <c r="I208" s="2" t="s">
        <v>487</v>
      </c>
      <c r="J208" s="2" t="s">
        <v>2424</v>
      </c>
      <c r="K208" s="2" t="s">
        <v>304</v>
      </c>
      <c r="L208" s="2" t="s">
        <v>38</v>
      </c>
      <c r="M208" s="8" t="str">
        <f>HYPERLINK("http://slimages.macys.com/is/image/MCY/14661878 ")</f>
        <v xml:space="preserve">http://slimages.macys.com/is/image/MCY/14661878 </v>
      </c>
    </row>
    <row r="209" spans="1:13" ht="60" x14ac:dyDescent="0.25">
      <c r="A209" s="7" t="s">
        <v>3963</v>
      </c>
      <c r="B209" s="2" t="s">
        <v>3961</v>
      </c>
      <c r="C209" s="4">
        <v>1</v>
      </c>
      <c r="D209" s="5">
        <v>8</v>
      </c>
      <c r="E209" s="5">
        <v>16</v>
      </c>
      <c r="F209" s="4">
        <v>38441514</v>
      </c>
      <c r="G209" s="2"/>
      <c r="H209" s="7" t="s">
        <v>166</v>
      </c>
      <c r="I209" s="2" t="s">
        <v>487</v>
      </c>
      <c r="J209" s="2" t="s">
        <v>2424</v>
      </c>
      <c r="K209" s="2" t="s">
        <v>304</v>
      </c>
      <c r="L209" s="2" t="s">
        <v>38</v>
      </c>
      <c r="M209" s="8" t="str">
        <f>HYPERLINK("http://slimages.macys.com/is/image/MCY/14661878 ")</f>
        <v xml:space="preserve">http://slimages.macys.com/is/image/MCY/14661878 </v>
      </c>
    </row>
    <row r="210" spans="1:13" ht="60" x14ac:dyDescent="0.25">
      <c r="A210" s="7" t="s">
        <v>3964</v>
      </c>
      <c r="B210" s="2" t="s">
        <v>3965</v>
      </c>
      <c r="C210" s="4">
        <v>2</v>
      </c>
      <c r="D210" s="5">
        <v>8</v>
      </c>
      <c r="E210" s="5">
        <v>14.99</v>
      </c>
      <c r="F210" s="4" t="s">
        <v>3966</v>
      </c>
      <c r="G210" s="2" t="s">
        <v>28</v>
      </c>
      <c r="H210" s="7"/>
      <c r="I210" s="2" t="s">
        <v>30</v>
      </c>
      <c r="J210" s="2" t="s">
        <v>31</v>
      </c>
      <c r="K210" s="2" t="s">
        <v>304</v>
      </c>
      <c r="L210" s="2" t="s">
        <v>416</v>
      </c>
      <c r="M210" s="8" t="str">
        <f>HYPERLINK("http://slimages.macys.com/is/image/MCY/11938060 ")</f>
        <v xml:space="preserve">http://slimages.macys.com/is/image/MCY/11938060 </v>
      </c>
    </row>
    <row r="211" spans="1:13" ht="60" x14ac:dyDescent="0.25">
      <c r="A211" s="7" t="s">
        <v>3967</v>
      </c>
      <c r="B211" s="2" t="s">
        <v>3968</v>
      </c>
      <c r="C211" s="4">
        <v>1</v>
      </c>
      <c r="D211" s="5">
        <v>8</v>
      </c>
      <c r="E211" s="5">
        <v>17.989999999999998</v>
      </c>
      <c r="F211" s="4" t="s">
        <v>3969</v>
      </c>
      <c r="G211" s="2" t="s">
        <v>667</v>
      </c>
      <c r="H211" s="7" t="s">
        <v>284</v>
      </c>
      <c r="I211" s="2" t="s">
        <v>73</v>
      </c>
      <c r="J211" s="2" t="s">
        <v>223</v>
      </c>
      <c r="K211" s="2" t="s">
        <v>304</v>
      </c>
      <c r="L211" s="2" t="s">
        <v>224</v>
      </c>
      <c r="M211" s="8" t="str">
        <f>HYPERLINK("http://slimages.macys.com/is/image/MCY/11647469 ")</f>
        <v xml:space="preserve">http://slimages.macys.com/is/image/MCY/11647469 </v>
      </c>
    </row>
    <row r="212" spans="1:13" ht="96" x14ac:dyDescent="0.25">
      <c r="A212" s="7" t="s">
        <v>3970</v>
      </c>
      <c r="B212" s="2" t="s">
        <v>3971</v>
      </c>
      <c r="C212" s="4">
        <v>1</v>
      </c>
      <c r="D212" s="5">
        <v>7.82</v>
      </c>
      <c r="E212" s="5">
        <v>19.989999999999998</v>
      </c>
      <c r="F212" s="4" t="s">
        <v>3972</v>
      </c>
      <c r="G212" s="2" t="s">
        <v>653</v>
      </c>
      <c r="H212" s="7" t="s">
        <v>394</v>
      </c>
      <c r="I212" s="2" t="s">
        <v>815</v>
      </c>
      <c r="J212" s="2" t="s">
        <v>3973</v>
      </c>
      <c r="K212" s="2" t="s">
        <v>304</v>
      </c>
      <c r="L212" s="2" t="s">
        <v>3974</v>
      </c>
      <c r="M212" s="8" t="str">
        <f>HYPERLINK("http://slimages.macys.com/is/image/MCY/12820613 ")</f>
        <v xml:space="preserve">http://slimages.macys.com/is/image/MCY/12820613 </v>
      </c>
    </row>
    <row r="213" spans="1:13" ht="132" x14ac:dyDescent="0.25">
      <c r="A213" s="7" t="s">
        <v>3975</v>
      </c>
      <c r="B213" s="2" t="s">
        <v>3976</v>
      </c>
      <c r="C213" s="4">
        <v>1</v>
      </c>
      <c r="D213" s="5">
        <v>7.75</v>
      </c>
      <c r="E213" s="5">
        <v>19.989999999999998</v>
      </c>
      <c r="F213" s="4" t="s">
        <v>3977</v>
      </c>
      <c r="G213" s="2" t="s">
        <v>310</v>
      </c>
      <c r="H213" s="7" t="s">
        <v>442</v>
      </c>
      <c r="I213" s="2" t="s">
        <v>92</v>
      </c>
      <c r="J213" s="2" t="s">
        <v>430</v>
      </c>
      <c r="K213" s="2" t="s">
        <v>304</v>
      </c>
      <c r="L213" s="2" t="s">
        <v>957</v>
      </c>
      <c r="M213" s="8" t="str">
        <f>HYPERLINK("http://slimages.macys.com/is/image/MCY/14379357 ")</f>
        <v xml:space="preserve">http://slimages.macys.com/is/image/MCY/14379357 </v>
      </c>
    </row>
    <row r="214" spans="1:13" ht="132" x14ac:dyDescent="0.25">
      <c r="A214" s="7" t="s">
        <v>3978</v>
      </c>
      <c r="B214" s="2" t="s">
        <v>3976</v>
      </c>
      <c r="C214" s="4">
        <v>1</v>
      </c>
      <c r="D214" s="5">
        <v>7.75</v>
      </c>
      <c r="E214" s="5">
        <v>19.989999999999998</v>
      </c>
      <c r="F214" s="4" t="s">
        <v>3977</v>
      </c>
      <c r="G214" s="2" t="s">
        <v>310</v>
      </c>
      <c r="H214" s="7" t="s">
        <v>91</v>
      </c>
      <c r="I214" s="2" t="s">
        <v>92</v>
      </c>
      <c r="J214" s="2" t="s">
        <v>430</v>
      </c>
      <c r="K214" s="2" t="s">
        <v>304</v>
      </c>
      <c r="L214" s="2" t="s">
        <v>957</v>
      </c>
      <c r="M214" s="8" t="str">
        <f>HYPERLINK("http://slimages.macys.com/is/image/MCY/14379357 ")</f>
        <v xml:space="preserve">http://slimages.macys.com/is/image/MCY/14379357 </v>
      </c>
    </row>
    <row r="215" spans="1:13" ht="132" x14ac:dyDescent="0.25">
      <c r="A215" s="7" t="s">
        <v>3979</v>
      </c>
      <c r="B215" s="2" t="s">
        <v>3976</v>
      </c>
      <c r="C215" s="4">
        <v>1</v>
      </c>
      <c r="D215" s="5">
        <v>7.75</v>
      </c>
      <c r="E215" s="5">
        <v>19.989999999999998</v>
      </c>
      <c r="F215" s="4" t="s">
        <v>3977</v>
      </c>
      <c r="G215" s="2" t="s">
        <v>310</v>
      </c>
      <c r="H215" s="7" t="s">
        <v>149</v>
      </c>
      <c r="I215" s="2" t="s">
        <v>92</v>
      </c>
      <c r="J215" s="2" t="s">
        <v>430</v>
      </c>
      <c r="K215" s="2" t="s">
        <v>304</v>
      </c>
      <c r="L215" s="2" t="s">
        <v>957</v>
      </c>
      <c r="M215" s="8" t="str">
        <f>HYPERLINK("http://slimages.macys.com/is/image/MCY/14379357 ")</f>
        <v xml:space="preserve">http://slimages.macys.com/is/image/MCY/14379357 </v>
      </c>
    </row>
    <row r="216" spans="1:13" ht="60" x14ac:dyDescent="0.25">
      <c r="A216" s="7" t="s">
        <v>3980</v>
      </c>
      <c r="B216" s="2" t="s">
        <v>3981</v>
      </c>
      <c r="C216" s="4">
        <v>1</v>
      </c>
      <c r="D216" s="5">
        <v>7.75</v>
      </c>
      <c r="E216" s="5">
        <v>19.989999999999998</v>
      </c>
      <c r="F216" s="4" t="s">
        <v>3982</v>
      </c>
      <c r="G216" s="2" t="s">
        <v>310</v>
      </c>
      <c r="H216" s="7" t="s">
        <v>42</v>
      </c>
      <c r="I216" s="2" t="s">
        <v>92</v>
      </c>
      <c r="J216" s="2" t="s">
        <v>430</v>
      </c>
      <c r="K216" s="2" t="s">
        <v>304</v>
      </c>
      <c r="L216" s="2" t="s">
        <v>100</v>
      </c>
      <c r="M216" s="8" t="str">
        <f>HYPERLINK("http://slimages.macys.com/is/image/MCY/14379310 ")</f>
        <v xml:space="preserve">http://slimages.macys.com/is/image/MCY/14379310 </v>
      </c>
    </row>
    <row r="217" spans="1:13" ht="60" x14ac:dyDescent="0.25">
      <c r="A217" s="7" t="s">
        <v>3983</v>
      </c>
      <c r="B217" s="2" t="s">
        <v>2571</v>
      </c>
      <c r="C217" s="4">
        <v>1</v>
      </c>
      <c r="D217" s="5">
        <v>7.6</v>
      </c>
      <c r="E217" s="5">
        <v>17.28</v>
      </c>
      <c r="F217" s="4">
        <v>17877810</v>
      </c>
      <c r="G217" s="2"/>
      <c r="H217" s="7" t="s">
        <v>42</v>
      </c>
      <c r="I217" s="2" t="s">
        <v>153</v>
      </c>
      <c r="J217" s="2" t="s">
        <v>154</v>
      </c>
      <c r="K217" s="2" t="s">
        <v>304</v>
      </c>
      <c r="L217" s="2" t="s">
        <v>38</v>
      </c>
      <c r="M217" s="8" t="str">
        <f>HYPERLINK("http://slimages.macys.com/is/image/MCY/13853111 ")</f>
        <v xml:space="preserve">http://slimages.macys.com/is/image/MCY/13853111 </v>
      </c>
    </row>
    <row r="218" spans="1:13" ht="96" x14ac:dyDescent="0.25">
      <c r="A218" s="7" t="s">
        <v>435</v>
      </c>
      <c r="B218" s="2" t="s">
        <v>436</v>
      </c>
      <c r="C218" s="4">
        <v>2</v>
      </c>
      <c r="D218" s="5">
        <v>7.6</v>
      </c>
      <c r="E218" s="5">
        <v>17.28</v>
      </c>
      <c r="F218" s="4">
        <v>18372810</v>
      </c>
      <c r="G218" s="2" t="s">
        <v>437</v>
      </c>
      <c r="H218" s="7" t="s">
        <v>438</v>
      </c>
      <c r="I218" s="2" t="s">
        <v>153</v>
      </c>
      <c r="J218" s="2" t="s">
        <v>154</v>
      </c>
      <c r="K218" s="2" t="s">
        <v>304</v>
      </c>
      <c r="L218" s="2" t="s">
        <v>439</v>
      </c>
      <c r="M218" s="8" t="str">
        <f>HYPERLINK("http://slimages.macys.com/is/image/MCY/14608281 ")</f>
        <v xml:space="preserve">http://slimages.macys.com/is/image/MCY/14608281 </v>
      </c>
    </row>
    <row r="219" spans="1:13" ht="96" x14ac:dyDescent="0.25">
      <c r="A219" s="7" t="s">
        <v>3984</v>
      </c>
      <c r="B219" s="2" t="s">
        <v>436</v>
      </c>
      <c r="C219" s="4">
        <v>1</v>
      </c>
      <c r="D219" s="5">
        <v>7.6</v>
      </c>
      <c r="E219" s="5">
        <v>17.28</v>
      </c>
      <c r="F219" s="4">
        <v>18372810</v>
      </c>
      <c r="G219" s="2" t="s">
        <v>437</v>
      </c>
      <c r="H219" s="7" t="s">
        <v>91</v>
      </c>
      <c r="I219" s="2" t="s">
        <v>153</v>
      </c>
      <c r="J219" s="2" t="s">
        <v>154</v>
      </c>
      <c r="K219" s="2" t="s">
        <v>304</v>
      </c>
      <c r="L219" s="2" t="s">
        <v>439</v>
      </c>
      <c r="M219" s="8" t="str">
        <f>HYPERLINK("http://slimages.macys.com/is/image/MCY/14608281 ")</f>
        <v xml:space="preserve">http://slimages.macys.com/is/image/MCY/14608281 </v>
      </c>
    </row>
    <row r="220" spans="1:13" ht="60" x14ac:dyDescent="0.25">
      <c r="A220" s="7" t="s">
        <v>3985</v>
      </c>
      <c r="B220" s="2" t="s">
        <v>3986</v>
      </c>
      <c r="C220" s="4">
        <v>1</v>
      </c>
      <c r="D220" s="5">
        <v>7.6</v>
      </c>
      <c r="E220" s="5">
        <v>17.28</v>
      </c>
      <c r="F220" s="4">
        <v>18389710</v>
      </c>
      <c r="G220" s="2" t="s">
        <v>48</v>
      </c>
      <c r="H220" s="7" t="s">
        <v>675</v>
      </c>
      <c r="I220" s="2" t="s">
        <v>153</v>
      </c>
      <c r="J220" s="2" t="s">
        <v>154</v>
      </c>
      <c r="K220" s="2" t="s">
        <v>304</v>
      </c>
      <c r="L220" s="2" t="s">
        <v>38</v>
      </c>
      <c r="M220" s="8" t="str">
        <f>HYPERLINK("http://slimages.macys.com/is/image/MCY/14608342 ")</f>
        <v xml:space="preserve">http://slimages.macys.com/is/image/MCY/14608342 </v>
      </c>
    </row>
    <row r="221" spans="1:13" ht="72" x14ac:dyDescent="0.25">
      <c r="A221" s="7" t="s">
        <v>3987</v>
      </c>
      <c r="B221" s="2" t="s">
        <v>3988</v>
      </c>
      <c r="C221" s="4">
        <v>1</v>
      </c>
      <c r="D221" s="5">
        <v>7.6</v>
      </c>
      <c r="E221" s="5">
        <v>19</v>
      </c>
      <c r="F221" s="4" t="s">
        <v>3989</v>
      </c>
      <c r="G221" s="2" t="s">
        <v>62</v>
      </c>
      <c r="H221" s="7" t="s">
        <v>3990</v>
      </c>
      <c r="I221" s="2" t="s">
        <v>523</v>
      </c>
      <c r="J221" s="2" t="s">
        <v>3991</v>
      </c>
      <c r="K221" s="2" t="s">
        <v>304</v>
      </c>
      <c r="L221" s="2" t="s">
        <v>3992</v>
      </c>
      <c r="M221" s="8" t="str">
        <f>HYPERLINK("http://slimages.macys.com/is/image/MCY/10945832 ")</f>
        <v xml:space="preserve">http://slimages.macys.com/is/image/MCY/10945832 </v>
      </c>
    </row>
    <row r="222" spans="1:13" ht="60" x14ac:dyDescent="0.25">
      <c r="A222" s="7" t="s">
        <v>3993</v>
      </c>
      <c r="B222" s="2" t="s">
        <v>3994</v>
      </c>
      <c r="C222" s="4">
        <v>1</v>
      </c>
      <c r="D222" s="5">
        <v>7.6</v>
      </c>
      <c r="E222" s="5">
        <v>15.99</v>
      </c>
      <c r="F222" s="4" t="s">
        <v>3995</v>
      </c>
      <c r="G222" s="2"/>
      <c r="H222" s="7" t="s">
        <v>438</v>
      </c>
      <c r="I222" s="2" t="s">
        <v>153</v>
      </c>
      <c r="J222" s="2" t="s">
        <v>154</v>
      </c>
      <c r="K222" s="2" t="s">
        <v>304</v>
      </c>
      <c r="L222" s="2" t="s">
        <v>38</v>
      </c>
      <c r="M222" s="8" t="str">
        <f>HYPERLINK("http://slimages.macys.com/is/image/MCY/11671958 ")</f>
        <v xml:space="preserve">http://slimages.macys.com/is/image/MCY/11671958 </v>
      </c>
    </row>
    <row r="223" spans="1:13" ht="168" x14ac:dyDescent="0.25">
      <c r="A223" s="7" t="s">
        <v>3996</v>
      </c>
      <c r="B223" s="2" t="s">
        <v>3997</v>
      </c>
      <c r="C223" s="4">
        <v>3</v>
      </c>
      <c r="D223" s="5">
        <v>7.6</v>
      </c>
      <c r="E223" s="5">
        <v>17.28</v>
      </c>
      <c r="F223" s="4">
        <v>18374410</v>
      </c>
      <c r="G223" s="2" t="s">
        <v>62</v>
      </c>
      <c r="H223" s="7" t="s">
        <v>675</v>
      </c>
      <c r="I223" s="2" t="s">
        <v>153</v>
      </c>
      <c r="J223" s="2" t="s">
        <v>154</v>
      </c>
      <c r="K223" s="2" t="s">
        <v>304</v>
      </c>
      <c r="L223" s="2" t="s">
        <v>3998</v>
      </c>
      <c r="M223" s="8" t="str">
        <f>HYPERLINK("http://slimages.macys.com/is/image/MCY/14662110 ")</f>
        <v xml:space="preserve">http://slimages.macys.com/is/image/MCY/14662110 </v>
      </c>
    </row>
    <row r="224" spans="1:13" ht="60" x14ac:dyDescent="0.25">
      <c r="A224" s="7" t="s">
        <v>3999</v>
      </c>
      <c r="B224" s="2" t="s">
        <v>1654</v>
      </c>
      <c r="C224" s="4">
        <v>1</v>
      </c>
      <c r="D224" s="5">
        <v>7.55</v>
      </c>
      <c r="E224" s="5">
        <v>12.99</v>
      </c>
      <c r="F224" s="4" t="s">
        <v>4000</v>
      </c>
      <c r="G224" s="2" t="s">
        <v>48</v>
      </c>
      <c r="H224" s="7" t="s">
        <v>482</v>
      </c>
      <c r="I224" s="2" t="s">
        <v>153</v>
      </c>
      <c r="J224" s="2" t="s">
        <v>154</v>
      </c>
      <c r="K224" s="2" t="s">
        <v>304</v>
      </c>
      <c r="L224" s="2" t="s">
        <v>206</v>
      </c>
      <c r="M224" s="8" t="str">
        <f>HYPERLINK("http://slimages.macys.com/is/image/MCY/9644680 ")</f>
        <v xml:space="preserve">http://slimages.macys.com/is/image/MCY/9644680 </v>
      </c>
    </row>
    <row r="225" spans="1:13" ht="60" x14ac:dyDescent="0.25">
      <c r="A225" s="7" t="s">
        <v>4001</v>
      </c>
      <c r="B225" s="2" t="s">
        <v>4002</v>
      </c>
      <c r="C225" s="4">
        <v>1</v>
      </c>
      <c r="D225" s="5">
        <v>7.55</v>
      </c>
      <c r="E225" s="5">
        <v>12.99</v>
      </c>
      <c r="F225" s="4" t="s">
        <v>4003</v>
      </c>
      <c r="G225" s="2" t="s">
        <v>36</v>
      </c>
      <c r="H225" s="7" t="s">
        <v>675</v>
      </c>
      <c r="I225" s="2" t="s">
        <v>153</v>
      </c>
      <c r="J225" s="2" t="s">
        <v>154</v>
      </c>
      <c r="K225" s="2" t="s">
        <v>304</v>
      </c>
      <c r="L225" s="2" t="s">
        <v>206</v>
      </c>
      <c r="M225" s="8" t="str">
        <f>HYPERLINK("http://slimages.macys.com/is/image/MCY/9644702 ")</f>
        <v xml:space="preserve">http://slimages.macys.com/is/image/MCY/9644702 </v>
      </c>
    </row>
    <row r="226" spans="1:13" ht="60" x14ac:dyDescent="0.25">
      <c r="A226" s="7" t="s">
        <v>4004</v>
      </c>
      <c r="B226" s="2" t="s">
        <v>4005</v>
      </c>
      <c r="C226" s="4">
        <v>1</v>
      </c>
      <c r="D226" s="5">
        <v>7.55</v>
      </c>
      <c r="E226" s="5">
        <v>12.99</v>
      </c>
      <c r="F226" s="4" t="s">
        <v>4006</v>
      </c>
      <c r="G226" s="2" t="s">
        <v>48</v>
      </c>
      <c r="H226" s="7" t="s">
        <v>438</v>
      </c>
      <c r="I226" s="2" t="s">
        <v>153</v>
      </c>
      <c r="J226" s="2" t="s">
        <v>154</v>
      </c>
      <c r="K226" s="2" t="s">
        <v>304</v>
      </c>
      <c r="L226" s="2" t="s">
        <v>206</v>
      </c>
      <c r="M226" s="8" t="str">
        <f>HYPERLINK("http://slimages.macys.com/is/image/MCY/9644669 ")</f>
        <v xml:space="preserve">http://slimages.macys.com/is/image/MCY/9644669 </v>
      </c>
    </row>
    <row r="227" spans="1:13" ht="120" x14ac:dyDescent="0.25">
      <c r="A227" s="7" t="s">
        <v>4007</v>
      </c>
      <c r="B227" s="2" t="s">
        <v>2573</v>
      </c>
      <c r="C227" s="4">
        <v>2</v>
      </c>
      <c r="D227" s="5">
        <v>7.5</v>
      </c>
      <c r="E227" s="5">
        <v>17.05</v>
      </c>
      <c r="F227" s="4">
        <v>18658610</v>
      </c>
      <c r="G227" s="2"/>
      <c r="H227" s="7" t="s">
        <v>482</v>
      </c>
      <c r="I227" s="2" t="s">
        <v>153</v>
      </c>
      <c r="J227" s="2" t="s">
        <v>154</v>
      </c>
      <c r="K227" s="2" t="s">
        <v>304</v>
      </c>
      <c r="L227" s="2" t="s">
        <v>2574</v>
      </c>
      <c r="M227" s="8" t="str">
        <f>HYPERLINK("http://slimages.macys.com/is/image/MCY/14662046 ")</f>
        <v xml:space="preserve">http://slimages.macys.com/is/image/MCY/14662046 </v>
      </c>
    </row>
    <row r="228" spans="1:13" ht="60" x14ac:dyDescent="0.25">
      <c r="A228" s="7" t="s">
        <v>1734</v>
      </c>
      <c r="B228" s="2" t="s">
        <v>458</v>
      </c>
      <c r="C228" s="4">
        <v>2</v>
      </c>
      <c r="D228" s="5">
        <v>7.5</v>
      </c>
      <c r="E228" s="5">
        <v>16.989999999999998</v>
      </c>
      <c r="F228" s="4" t="s">
        <v>459</v>
      </c>
      <c r="G228" s="2" t="s">
        <v>347</v>
      </c>
      <c r="H228" s="7" t="s">
        <v>228</v>
      </c>
      <c r="I228" s="2" t="s">
        <v>30</v>
      </c>
      <c r="J228" s="2" t="s">
        <v>446</v>
      </c>
      <c r="K228" s="2" t="s">
        <v>304</v>
      </c>
      <c r="L228" s="2" t="s">
        <v>460</v>
      </c>
      <c r="M228" s="8" t="str">
        <f>HYPERLINK("http://slimages.macys.com/is/image/MCY/12071760 ")</f>
        <v xml:space="preserve">http://slimages.macys.com/is/image/MCY/12071760 </v>
      </c>
    </row>
    <row r="229" spans="1:13" ht="96" x14ac:dyDescent="0.25">
      <c r="A229" s="7" t="s">
        <v>4008</v>
      </c>
      <c r="B229" s="2" t="s">
        <v>4009</v>
      </c>
      <c r="C229" s="4">
        <v>1</v>
      </c>
      <c r="D229" s="5">
        <v>7.5</v>
      </c>
      <c r="E229" s="5">
        <v>17.440000000000001</v>
      </c>
      <c r="F229" s="4">
        <v>16593410</v>
      </c>
      <c r="G229" s="2"/>
      <c r="H229" s="7" t="s">
        <v>438</v>
      </c>
      <c r="I229" s="2" t="s">
        <v>153</v>
      </c>
      <c r="J229" s="2" t="s">
        <v>154</v>
      </c>
      <c r="K229" s="2" t="s">
        <v>304</v>
      </c>
      <c r="L229" s="2" t="s">
        <v>4010</v>
      </c>
      <c r="M229" s="8" t="str">
        <f>HYPERLINK("http://slimages.macys.com/is/image/MCY/11393668 ")</f>
        <v xml:space="preserve">http://slimages.macys.com/is/image/MCY/11393668 </v>
      </c>
    </row>
    <row r="230" spans="1:13" ht="60" x14ac:dyDescent="0.25">
      <c r="A230" s="7" t="s">
        <v>4011</v>
      </c>
      <c r="B230" s="2" t="s">
        <v>4012</v>
      </c>
      <c r="C230" s="4">
        <v>1</v>
      </c>
      <c r="D230" s="5">
        <v>7.4</v>
      </c>
      <c r="E230" s="5">
        <v>18.5</v>
      </c>
      <c r="F230" s="4" t="s">
        <v>4013</v>
      </c>
      <c r="G230" s="2"/>
      <c r="H230" s="7" t="s">
        <v>68</v>
      </c>
      <c r="I230" s="2" t="s">
        <v>690</v>
      </c>
      <c r="J230" s="2" t="s">
        <v>58</v>
      </c>
      <c r="K230" s="2" t="s">
        <v>304</v>
      </c>
      <c r="L230" s="2" t="s">
        <v>119</v>
      </c>
      <c r="M230" s="8" t="str">
        <f>HYPERLINK("http://slimages.macys.com/is/image/MCY/13049158 ")</f>
        <v xml:space="preserve">http://slimages.macys.com/is/image/MCY/13049158 </v>
      </c>
    </row>
    <row r="231" spans="1:13" ht="60" x14ac:dyDescent="0.25">
      <c r="A231" s="7" t="s">
        <v>4014</v>
      </c>
      <c r="B231" s="2" t="s">
        <v>1694</v>
      </c>
      <c r="C231" s="4">
        <v>1</v>
      </c>
      <c r="D231" s="5">
        <v>7.35</v>
      </c>
      <c r="E231" s="5">
        <v>21.99</v>
      </c>
      <c r="F231" s="4" t="s">
        <v>4015</v>
      </c>
      <c r="G231" s="2" t="s">
        <v>62</v>
      </c>
      <c r="H231" s="7" t="s">
        <v>63</v>
      </c>
      <c r="I231" s="2" t="s">
        <v>515</v>
      </c>
      <c r="J231" s="2" t="s">
        <v>516</v>
      </c>
      <c r="K231" s="2" t="s">
        <v>304</v>
      </c>
      <c r="L231" s="2" t="s">
        <v>125</v>
      </c>
      <c r="M231" s="8" t="str">
        <f>HYPERLINK("http://slimages.macys.com/is/image/MCY/11860783 ")</f>
        <v xml:space="preserve">http://slimages.macys.com/is/image/MCY/11860783 </v>
      </c>
    </row>
    <row r="232" spans="1:13" ht="60" x14ac:dyDescent="0.25">
      <c r="A232" s="7" t="s">
        <v>4016</v>
      </c>
      <c r="B232" s="2" t="s">
        <v>4017</v>
      </c>
      <c r="C232" s="4">
        <v>2</v>
      </c>
      <c r="D232" s="5">
        <v>7.29</v>
      </c>
      <c r="E232" s="5">
        <v>18</v>
      </c>
      <c r="F232" s="4" t="s">
        <v>4018</v>
      </c>
      <c r="G232" s="2" t="s">
        <v>4019</v>
      </c>
      <c r="H232" s="7" t="s">
        <v>789</v>
      </c>
      <c r="I232" s="2" t="s">
        <v>523</v>
      </c>
      <c r="J232" s="2" t="s">
        <v>1042</v>
      </c>
      <c r="K232" s="2" t="s">
        <v>304</v>
      </c>
      <c r="L232" s="2" t="s">
        <v>4020</v>
      </c>
      <c r="M232" s="8" t="str">
        <f>HYPERLINK("http://slimages.macys.com/is/image/MCY/10428877 ")</f>
        <v xml:space="preserve">http://slimages.macys.com/is/image/MCY/10428877 </v>
      </c>
    </row>
    <row r="233" spans="1:13" ht="60" x14ac:dyDescent="0.25">
      <c r="A233" s="7" t="s">
        <v>4021</v>
      </c>
      <c r="B233" s="2" t="s">
        <v>4022</v>
      </c>
      <c r="C233" s="4">
        <v>1</v>
      </c>
      <c r="D233" s="5">
        <v>7.28</v>
      </c>
      <c r="E233" s="5">
        <v>16.989999999999998</v>
      </c>
      <c r="F233" s="4" t="s">
        <v>4023</v>
      </c>
      <c r="G233" s="2" t="s">
        <v>129</v>
      </c>
      <c r="H233" s="7" t="s">
        <v>379</v>
      </c>
      <c r="I233" s="2" t="s">
        <v>292</v>
      </c>
      <c r="J233" s="2" t="s">
        <v>354</v>
      </c>
      <c r="K233" s="2" t="s">
        <v>304</v>
      </c>
      <c r="L233" s="2" t="s">
        <v>119</v>
      </c>
      <c r="M233" s="8" t="str">
        <f>HYPERLINK("http://slimages.macys.com/is/image/MCY/11526610 ")</f>
        <v xml:space="preserve">http://slimages.macys.com/is/image/MCY/11526610 </v>
      </c>
    </row>
    <row r="234" spans="1:13" ht="60" x14ac:dyDescent="0.25">
      <c r="A234" s="7" t="s">
        <v>4024</v>
      </c>
      <c r="B234" s="2" t="s">
        <v>4025</v>
      </c>
      <c r="C234" s="4">
        <v>1</v>
      </c>
      <c r="D234" s="5">
        <v>7.25</v>
      </c>
      <c r="E234" s="5">
        <v>20</v>
      </c>
      <c r="F234" s="4" t="s">
        <v>4026</v>
      </c>
      <c r="G234" s="2" t="s">
        <v>28</v>
      </c>
      <c r="H234" s="7" t="s">
        <v>786</v>
      </c>
      <c r="I234" s="2" t="s">
        <v>50</v>
      </c>
      <c r="J234" s="2" t="s">
        <v>901</v>
      </c>
      <c r="K234" s="2" t="s">
        <v>304</v>
      </c>
      <c r="L234" s="2" t="s">
        <v>4027</v>
      </c>
      <c r="M234" s="8" t="str">
        <f>HYPERLINK("http://slimages.macys.com/is/image/MCY/11721992 ")</f>
        <v xml:space="preserve">http://slimages.macys.com/is/image/MCY/11721992 </v>
      </c>
    </row>
    <row r="235" spans="1:13" ht="60" x14ac:dyDescent="0.25">
      <c r="A235" s="7" t="s">
        <v>941</v>
      </c>
      <c r="B235" s="2" t="s">
        <v>942</v>
      </c>
      <c r="C235" s="4">
        <v>3</v>
      </c>
      <c r="D235" s="5">
        <v>7.2</v>
      </c>
      <c r="E235" s="5">
        <v>18</v>
      </c>
      <c r="F235" s="4" t="s">
        <v>943</v>
      </c>
      <c r="G235" s="2" t="s">
        <v>165</v>
      </c>
      <c r="H235" s="7"/>
      <c r="I235" s="2" t="s">
        <v>523</v>
      </c>
      <c r="J235" s="2" t="s">
        <v>937</v>
      </c>
      <c r="K235" s="2" t="s">
        <v>304</v>
      </c>
      <c r="L235" s="2" t="s">
        <v>944</v>
      </c>
      <c r="M235" s="8" t="str">
        <f>HYPERLINK("http://slimages.macys.com/is/image/MCY/10426043 ")</f>
        <v xml:space="preserve">http://slimages.macys.com/is/image/MCY/10426043 </v>
      </c>
    </row>
    <row r="236" spans="1:13" ht="60" x14ac:dyDescent="0.25">
      <c r="A236" s="7" t="s">
        <v>2575</v>
      </c>
      <c r="B236" s="2" t="s">
        <v>942</v>
      </c>
      <c r="C236" s="4">
        <v>1</v>
      </c>
      <c r="D236" s="5">
        <v>7.2</v>
      </c>
      <c r="E236" s="5">
        <v>18</v>
      </c>
      <c r="F236" s="4" t="s">
        <v>2576</v>
      </c>
      <c r="G236" s="2" t="s">
        <v>165</v>
      </c>
      <c r="H236" s="7"/>
      <c r="I236" s="2" t="s">
        <v>523</v>
      </c>
      <c r="J236" s="2" t="s">
        <v>937</v>
      </c>
      <c r="K236" s="2" t="s">
        <v>304</v>
      </c>
      <c r="L236" s="2" t="s">
        <v>944</v>
      </c>
      <c r="M236" s="8" t="str">
        <f>HYPERLINK("http://slimages.macys.com/is/image/MCY/10426043 ")</f>
        <v xml:space="preserve">http://slimages.macys.com/is/image/MCY/10426043 </v>
      </c>
    </row>
    <row r="237" spans="1:13" ht="72" x14ac:dyDescent="0.25">
      <c r="A237" s="7" t="s">
        <v>946</v>
      </c>
      <c r="B237" s="2" t="s">
        <v>935</v>
      </c>
      <c r="C237" s="4">
        <v>1</v>
      </c>
      <c r="D237" s="5">
        <v>7.2</v>
      </c>
      <c r="E237" s="5">
        <v>18</v>
      </c>
      <c r="F237" s="4" t="s">
        <v>936</v>
      </c>
      <c r="G237" s="2" t="s">
        <v>62</v>
      </c>
      <c r="H237" s="7"/>
      <c r="I237" s="2" t="s">
        <v>523</v>
      </c>
      <c r="J237" s="2" t="s">
        <v>937</v>
      </c>
      <c r="K237" s="2" t="s">
        <v>304</v>
      </c>
      <c r="L237" s="2" t="s">
        <v>938</v>
      </c>
      <c r="M237" s="8" t="str">
        <f>HYPERLINK("http://slimages.macys.com/is/image/MCY/9628134 ")</f>
        <v xml:space="preserve">http://slimages.macys.com/is/image/MCY/9628134 </v>
      </c>
    </row>
    <row r="238" spans="1:13" ht="60" x14ac:dyDescent="0.25">
      <c r="A238" s="7" t="s">
        <v>947</v>
      </c>
      <c r="B238" s="2" t="s">
        <v>942</v>
      </c>
      <c r="C238" s="4">
        <v>1</v>
      </c>
      <c r="D238" s="5">
        <v>7.2</v>
      </c>
      <c r="E238" s="5">
        <v>18</v>
      </c>
      <c r="F238" s="4" t="s">
        <v>943</v>
      </c>
      <c r="G238" s="2" t="s">
        <v>41</v>
      </c>
      <c r="H238" s="7"/>
      <c r="I238" s="2" t="s">
        <v>523</v>
      </c>
      <c r="J238" s="2" t="s">
        <v>937</v>
      </c>
      <c r="K238" s="2" t="s">
        <v>304</v>
      </c>
      <c r="L238" s="2" t="s">
        <v>944</v>
      </c>
      <c r="M238" s="8" t="str">
        <f>HYPERLINK("http://slimages.macys.com/is/image/MCY/10426043 ")</f>
        <v xml:space="preserve">http://slimages.macys.com/is/image/MCY/10426043 </v>
      </c>
    </row>
    <row r="239" spans="1:13" ht="60" x14ac:dyDescent="0.25">
      <c r="A239" s="7" t="s">
        <v>4028</v>
      </c>
      <c r="B239" s="2" t="s">
        <v>4029</v>
      </c>
      <c r="C239" s="4">
        <v>1</v>
      </c>
      <c r="D239" s="5">
        <v>7.15</v>
      </c>
      <c r="E239" s="5">
        <v>14.99</v>
      </c>
      <c r="F239" s="4" t="s">
        <v>4030</v>
      </c>
      <c r="G239" s="2" t="s">
        <v>653</v>
      </c>
      <c r="H239" s="7" t="s">
        <v>159</v>
      </c>
      <c r="I239" s="2" t="s">
        <v>523</v>
      </c>
      <c r="J239" s="2" t="s">
        <v>921</v>
      </c>
      <c r="K239" s="2" t="s">
        <v>304</v>
      </c>
      <c r="L239" s="2" t="s">
        <v>323</v>
      </c>
      <c r="M239" s="8" t="str">
        <f>HYPERLINK("http://slimages.macys.com/is/image/MCY/12083637 ")</f>
        <v xml:space="preserve">http://slimages.macys.com/is/image/MCY/12083637 </v>
      </c>
    </row>
    <row r="240" spans="1:13" ht="60" x14ac:dyDescent="0.25">
      <c r="A240" s="7" t="s">
        <v>4031</v>
      </c>
      <c r="B240" s="2" t="s">
        <v>4032</v>
      </c>
      <c r="C240" s="4">
        <v>1</v>
      </c>
      <c r="D240" s="5">
        <v>7.05</v>
      </c>
      <c r="E240" s="5">
        <v>15.99</v>
      </c>
      <c r="F240" s="4" t="s">
        <v>4033</v>
      </c>
      <c r="G240" s="2"/>
      <c r="H240" s="7" t="s">
        <v>233</v>
      </c>
      <c r="I240" s="2" t="s">
        <v>153</v>
      </c>
      <c r="J240" s="2" t="s">
        <v>154</v>
      </c>
      <c r="K240" s="2" t="s">
        <v>304</v>
      </c>
      <c r="L240" s="2" t="s">
        <v>206</v>
      </c>
      <c r="M240" s="8" t="str">
        <f>HYPERLINK("http://slimages.macys.com/is/image/MCY/11867653 ")</f>
        <v xml:space="preserve">http://slimages.macys.com/is/image/MCY/11867653 </v>
      </c>
    </row>
    <row r="241" spans="1:13" ht="60" x14ac:dyDescent="0.25">
      <c r="A241" s="7" t="s">
        <v>4034</v>
      </c>
      <c r="B241" s="2" t="s">
        <v>4035</v>
      </c>
      <c r="C241" s="4">
        <v>1</v>
      </c>
      <c r="D241" s="5">
        <v>7.05</v>
      </c>
      <c r="E241" s="5">
        <v>15.99</v>
      </c>
      <c r="F241" s="4" t="s">
        <v>4036</v>
      </c>
      <c r="G241" s="2"/>
      <c r="H241" s="7" t="s">
        <v>438</v>
      </c>
      <c r="I241" s="2" t="s">
        <v>153</v>
      </c>
      <c r="J241" s="2" t="s">
        <v>154</v>
      </c>
      <c r="K241" s="2" t="s">
        <v>304</v>
      </c>
      <c r="L241" s="2" t="s">
        <v>38</v>
      </c>
      <c r="M241" s="8" t="str">
        <f>HYPERLINK("http://slimages.macys.com/is/image/MCY/12076879 ")</f>
        <v xml:space="preserve">http://slimages.macys.com/is/image/MCY/12076879 </v>
      </c>
    </row>
    <row r="242" spans="1:13" ht="120" x14ac:dyDescent="0.25">
      <c r="A242" s="7" t="s">
        <v>4037</v>
      </c>
      <c r="B242" s="2" t="s">
        <v>4038</v>
      </c>
      <c r="C242" s="4">
        <v>1</v>
      </c>
      <c r="D242" s="5">
        <v>7.05</v>
      </c>
      <c r="E242" s="5">
        <v>12.99</v>
      </c>
      <c r="F242" s="4" t="s">
        <v>4039</v>
      </c>
      <c r="G242" s="2" t="s">
        <v>36</v>
      </c>
      <c r="H242" s="7" t="s">
        <v>4040</v>
      </c>
      <c r="I242" s="2" t="s">
        <v>153</v>
      </c>
      <c r="J242" s="2" t="s">
        <v>154</v>
      </c>
      <c r="K242" s="2" t="s">
        <v>304</v>
      </c>
      <c r="L242" s="2" t="s">
        <v>4041</v>
      </c>
      <c r="M242" s="8" t="str">
        <f>HYPERLINK("http://slimages.macys.com/is/image/MCY/9644619 ")</f>
        <v xml:space="preserve">http://slimages.macys.com/is/image/MCY/9644619 </v>
      </c>
    </row>
    <row r="243" spans="1:13" ht="60" x14ac:dyDescent="0.25">
      <c r="A243" s="7" t="s">
        <v>4042</v>
      </c>
      <c r="B243" s="2" t="s">
        <v>4043</v>
      </c>
      <c r="C243" s="4">
        <v>1</v>
      </c>
      <c r="D243" s="5">
        <v>7.05</v>
      </c>
      <c r="E243" s="5">
        <v>12.99</v>
      </c>
      <c r="F243" s="4" t="s">
        <v>4044</v>
      </c>
      <c r="G243" s="2" t="s">
        <v>36</v>
      </c>
      <c r="H243" s="7" t="s">
        <v>4040</v>
      </c>
      <c r="I243" s="2" t="s">
        <v>153</v>
      </c>
      <c r="J243" s="2" t="s">
        <v>154</v>
      </c>
      <c r="K243" s="2" t="s">
        <v>304</v>
      </c>
      <c r="L243" s="2" t="s">
        <v>206</v>
      </c>
      <c r="M243" s="8" t="str">
        <f>HYPERLINK("http://slimages.macys.com/is/image/MCY/9644672 ")</f>
        <v xml:space="preserve">http://slimages.macys.com/is/image/MCY/9644672 </v>
      </c>
    </row>
    <row r="244" spans="1:13" ht="60" x14ac:dyDescent="0.25">
      <c r="A244" s="7" t="s">
        <v>4045</v>
      </c>
      <c r="B244" s="2" t="s">
        <v>4046</v>
      </c>
      <c r="C244" s="4">
        <v>1</v>
      </c>
      <c r="D244" s="5">
        <v>7</v>
      </c>
      <c r="E244" s="5">
        <v>15.99</v>
      </c>
      <c r="F244" s="4" t="s">
        <v>4047</v>
      </c>
      <c r="G244" s="2" t="s">
        <v>1265</v>
      </c>
      <c r="H244" s="7" t="s">
        <v>317</v>
      </c>
      <c r="I244" s="2" t="s">
        <v>73</v>
      </c>
      <c r="J244" s="2" t="s">
        <v>464</v>
      </c>
      <c r="K244" s="2" t="s">
        <v>304</v>
      </c>
      <c r="L244" s="2" t="s">
        <v>119</v>
      </c>
      <c r="M244" s="8" t="str">
        <f>HYPERLINK("http://slimages.macys.com/is/image/MCY/12667161 ")</f>
        <v xml:space="preserve">http://slimages.macys.com/is/image/MCY/12667161 </v>
      </c>
    </row>
    <row r="245" spans="1:13" ht="60" x14ac:dyDescent="0.25">
      <c r="A245" s="7" t="s">
        <v>4048</v>
      </c>
      <c r="B245" s="2" t="s">
        <v>4049</v>
      </c>
      <c r="C245" s="4">
        <v>2</v>
      </c>
      <c r="D245" s="5">
        <v>7</v>
      </c>
      <c r="E245" s="5">
        <v>15.99</v>
      </c>
      <c r="F245" s="4" t="s">
        <v>4050</v>
      </c>
      <c r="G245" s="2" t="s">
        <v>262</v>
      </c>
      <c r="H245" s="7" t="s">
        <v>311</v>
      </c>
      <c r="I245" s="2" t="s">
        <v>73</v>
      </c>
      <c r="J245" s="2" t="s">
        <v>464</v>
      </c>
      <c r="K245" s="2" t="s">
        <v>304</v>
      </c>
      <c r="L245" s="2" t="s">
        <v>119</v>
      </c>
      <c r="M245" s="8" t="str">
        <f>HYPERLINK("http://slimages.macys.com/is/image/MCY/12227080 ")</f>
        <v xml:space="preserve">http://slimages.macys.com/is/image/MCY/12227080 </v>
      </c>
    </row>
    <row r="246" spans="1:13" ht="60" x14ac:dyDescent="0.25">
      <c r="A246" s="7" t="s">
        <v>4051</v>
      </c>
      <c r="B246" s="2" t="s">
        <v>421</v>
      </c>
      <c r="C246" s="4">
        <v>1</v>
      </c>
      <c r="D246" s="5">
        <v>7</v>
      </c>
      <c r="E246" s="5">
        <v>15.99</v>
      </c>
      <c r="F246" s="4" t="s">
        <v>422</v>
      </c>
      <c r="G246" s="2" t="s">
        <v>195</v>
      </c>
      <c r="H246" s="7" t="s">
        <v>311</v>
      </c>
      <c r="I246" s="2" t="s">
        <v>73</v>
      </c>
      <c r="J246" s="2" t="s">
        <v>464</v>
      </c>
      <c r="K246" s="2" t="s">
        <v>304</v>
      </c>
      <c r="L246" s="2" t="s">
        <v>119</v>
      </c>
      <c r="M246" s="8" t="str">
        <f>HYPERLINK("http://slimages.macys.com/is/image/MCY/13581725 ")</f>
        <v xml:space="preserve">http://slimages.macys.com/is/image/MCY/13581725 </v>
      </c>
    </row>
    <row r="247" spans="1:13" ht="60" x14ac:dyDescent="0.25">
      <c r="A247" s="7" t="s">
        <v>4052</v>
      </c>
      <c r="B247" s="2" t="s">
        <v>4053</v>
      </c>
      <c r="C247" s="4">
        <v>1</v>
      </c>
      <c r="D247" s="5">
        <v>7</v>
      </c>
      <c r="E247" s="5">
        <v>36</v>
      </c>
      <c r="F247" s="4" t="s">
        <v>4054</v>
      </c>
      <c r="G247" s="2" t="s">
        <v>353</v>
      </c>
      <c r="H247" s="7" t="s">
        <v>166</v>
      </c>
      <c r="I247" s="2" t="s">
        <v>50</v>
      </c>
      <c r="J247" s="2" t="s">
        <v>650</v>
      </c>
      <c r="K247" s="2" t="s">
        <v>304</v>
      </c>
      <c r="L247" s="2" t="s">
        <v>328</v>
      </c>
      <c r="M247" s="8" t="str">
        <f>HYPERLINK("http://slimages.macys.com/is/image/MCY/9856914 ")</f>
        <v xml:space="preserve">http://slimages.macys.com/is/image/MCY/9856914 </v>
      </c>
    </row>
    <row r="248" spans="1:13" ht="60" x14ac:dyDescent="0.25">
      <c r="A248" s="7" t="s">
        <v>4055</v>
      </c>
      <c r="B248" s="2" t="s">
        <v>973</v>
      </c>
      <c r="C248" s="4">
        <v>1</v>
      </c>
      <c r="D248" s="5">
        <v>7</v>
      </c>
      <c r="E248" s="5">
        <v>14.99</v>
      </c>
      <c r="F248" s="4">
        <v>6137</v>
      </c>
      <c r="G248" s="2" t="s">
        <v>657</v>
      </c>
      <c r="H248" s="7" t="s">
        <v>159</v>
      </c>
      <c r="I248" s="2" t="s">
        <v>523</v>
      </c>
      <c r="J248" s="2" t="s">
        <v>969</v>
      </c>
      <c r="K248" s="2" t="s">
        <v>304</v>
      </c>
      <c r="L248" s="2" t="s">
        <v>100</v>
      </c>
      <c r="M248" s="8" t="str">
        <f>HYPERLINK("http://slimages.macys.com/is/image/MCY/13040214 ")</f>
        <v xml:space="preserve">http://slimages.macys.com/is/image/MCY/13040214 </v>
      </c>
    </row>
    <row r="249" spans="1:13" ht="108" x14ac:dyDescent="0.25">
      <c r="A249" s="7" t="s">
        <v>4056</v>
      </c>
      <c r="B249" s="2" t="s">
        <v>4057</v>
      </c>
      <c r="C249" s="4">
        <v>1</v>
      </c>
      <c r="D249" s="5">
        <v>7</v>
      </c>
      <c r="E249" s="5">
        <v>17.989999999999998</v>
      </c>
      <c r="F249" s="4" t="s">
        <v>4058</v>
      </c>
      <c r="G249" s="2" t="s">
        <v>310</v>
      </c>
      <c r="H249" s="7" t="s">
        <v>590</v>
      </c>
      <c r="I249" s="2" t="s">
        <v>135</v>
      </c>
      <c r="J249" s="2" t="s">
        <v>430</v>
      </c>
      <c r="K249" s="2" t="s">
        <v>304</v>
      </c>
      <c r="L249" s="2" t="s">
        <v>4059</v>
      </c>
      <c r="M249" s="8" t="str">
        <f>HYPERLINK("http://slimages.macys.com/is/image/MCY/11974037 ")</f>
        <v xml:space="preserve">http://slimages.macys.com/is/image/MCY/11974037 </v>
      </c>
    </row>
    <row r="250" spans="1:13" ht="96" x14ac:dyDescent="0.25">
      <c r="A250" s="7" t="s">
        <v>974</v>
      </c>
      <c r="B250" s="2" t="s">
        <v>975</v>
      </c>
      <c r="C250" s="4">
        <v>4</v>
      </c>
      <c r="D250" s="5">
        <v>7</v>
      </c>
      <c r="E250" s="5">
        <v>15.99</v>
      </c>
      <c r="F250" s="4" t="s">
        <v>976</v>
      </c>
      <c r="G250" s="2" t="s">
        <v>62</v>
      </c>
      <c r="H250" s="7"/>
      <c r="I250" s="2" t="s">
        <v>815</v>
      </c>
      <c r="J250" s="2" t="s">
        <v>778</v>
      </c>
      <c r="K250" s="2" t="s">
        <v>304</v>
      </c>
      <c r="L250" s="2" t="s">
        <v>816</v>
      </c>
      <c r="M250" s="8" t="str">
        <f>HYPERLINK("http://slimages.macys.com/is/image/MCY/11234292 ")</f>
        <v xml:space="preserve">http://slimages.macys.com/is/image/MCY/11234292 </v>
      </c>
    </row>
    <row r="251" spans="1:13" ht="60" x14ac:dyDescent="0.25">
      <c r="A251" s="7" t="s">
        <v>4060</v>
      </c>
      <c r="B251" s="2" t="s">
        <v>4061</v>
      </c>
      <c r="C251" s="4">
        <v>1</v>
      </c>
      <c r="D251" s="5">
        <v>6.93</v>
      </c>
      <c r="E251" s="5">
        <v>19.5</v>
      </c>
      <c r="F251" s="4" t="s">
        <v>2583</v>
      </c>
      <c r="G251" s="2" t="s">
        <v>814</v>
      </c>
      <c r="H251" s="7"/>
      <c r="I251" s="2" t="s">
        <v>57</v>
      </c>
      <c r="J251" s="2" t="s">
        <v>58</v>
      </c>
      <c r="K251" s="2" t="s">
        <v>304</v>
      </c>
      <c r="L251" s="2" t="s">
        <v>87</v>
      </c>
      <c r="M251" s="8" t="str">
        <f>HYPERLINK("http://slimages.macys.com/is/image/MCY/8619272 ")</f>
        <v xml:space="preserve">http://slimages.macys.com/is/image/MCY/8619272 </v>
      </c>
    </row>
    <row r="252" spans="1:13" ht="60" x14ac:dyDescent="0.25">
      <c r="A252" s="7" t="s">
        <v>4062</v>
      </c>
      <c r="B252" s="2" t="s">
        <v>984</v>
      </c>
      <c r="C252" s="4">
        <v>2</v>
      </c>
      <c r="D252" s="5">
        <v>6.9</v>
      </c>
      <c r="E252" s="5">
        <v>14.99</v>
      </c>
      <c r="F252" s="4" t="s">
        <v>985</v>
      </c>
      <c r="G252" s="2" t="s">
        <v>28</v>
      </c>
      <c r="H252" s="7" t="s">
        <v>228</v>
      </c>
      <c r="I252" s="2" t="s">
        <v>523</v>
      </c>
      <c r="J252" s="2" t="s">
        <v>921</v>
      </c>
      <c r="K252" s="2" t="s">
        <v>304</v>
      </c>
      <c r="L252" s="2" t="s">
        <v>323</v>
      </c>
      <c r="M252" s="8" t="str">
        <f>HYPERLINK("http://slimages.macys.com/is/image/MCY/11247936 ")</f>
        <v xml:space="preserve">http://slimages.macys.com/is/image/MCY/11247936 </v>
      </c>
    </row>
    <row r="253" spans="1:13" ht="60" x14ac:dyDescent="0.25">
      <c r="A253" s="7" t="s">
        <v>4063</v>
      </c>
      <c r="B253" s="2" t="s">
        <v>4064</v>
      </c>
      <c r="C253" s="4">
        <v>1</v>
      </c>
      <c r="D253" s="5">
        <v>6.85</v>
      </c>
      <c r="E253" s="5">
        <v>13.7</v>
      </c>
      <c r="F253" s="4" t="s">
        <v>4065</v>
      </c>
      <c r="G253" s="2" t="s">
        <v>657</v>
      </c>
      <c r="H253" s="7" t="s">
        <v>179</v>
      </c>
      <c r="I253" s="2" t="s">
        <v>487</v>
      </c>
      <c r="J253" s="2" t="s">
        <v>488</v>
      </c>
      <c r="K253" s="2" t="s">
        <v>304</v>
      </c>
      <c r="L253" s="2" t="s">
        <v>206</v>
      </c>
      <c r="M253" s="8" t="str">
        <f>HYPERLINK("http://slimages.macys.com/is/image/MCY/12068356 ")</f>
        <v xml:space="preserve">http://slimages.macys.com/is/image/MCY/12068356 </v>
      </c>
    </row>
    <row r="254" spans="1:13" ht="60" x14ac:dyDescent="0.25">
      <c r="A254" s="7" t="s">
        <v>4066</v>
      </c>
      <c r="B254" s="2" t="s">
        <v>4067</v>
      </c>
      <c r="C254" s="4">
        <v>1</v>
      </c>
      <c r="D254" s="5">
        <v>6.8</v>
      </c>
      <c r="E254" s="5">
        <v>13.6</v>
      </c>
      <c r="F254" s="4" t="s">
        <v>4068</v>
      </c>
      <c r="G254" s="2" t="s">
        <v>657</v>
      </c>
      <c r="H254" s="7" t="s">
        <v>68</v>
      </c>
      <c r="I254" s="2" t="s">
        <v>487</v>
      </c>
      <c r="J254" s="2" t="s">
        <v>488</v>
      </c>
      <c r="K254" s="2" t="s">
        <v>304</v>
      </c>
      <c r="L254" s="2" t="s">
        <v>119</v>
      </c>
      <c r="M254" s="8" t="str">
        <f>HYPERLINK("http://slimages.macys.com/is/image/MCY/10817595 ")</f>
        <v xml:space="preserve">http://slimages.macys.com/is/image/MCY/10817595 </v>
      </c>
    </row>
    <row r="255" spans="1:13" ht="60" x14ac:dyDescent="0.25">
      <c r="A255" s="7" t="s">
        <v>4069</v>
      </c>
      <c r="B255" s="2" t="s">
        <v>4070</v>
      </c>
      <c r="C255" s="4">
        <v>1</v>
      </c>
      <c r="D255" s="5">
        <v>6.79</v>
      </c>
      <c r="E255" s="5">
        <v>16.989999999999998</v>
      </c>
      <c r="F255" s="4" t="s">
        <v>4071</v>
      </c>
      <c r="G255" s="2" t="s">
        <v>262</v>
      </c>
      <c r="H255" s="7" t="s">
        <v>442</v>
      </c>
      <c r="I255" s="2" t="s">
        <v>483</v>
      </c>
      <c r="J255" s="2" t="s">
        <v>536</v>
      </c>
      <c r="K255" s="2" t="s">
        <v>304</v>
      </c>
      <c r="L255" s="2" t="s">
        <v>38</v>
      </c>
      <c r="M255" s="8" t="str">
        <f>HYPERLINK("http://slimages.macys.com/is/image/MCY/14385171 ")</f>
        <v xml:space="preserve">http://slimages.macys.com/is/image/MCY/14385171 </v>
      </c>
    </row>
    <row r="256" spans="1:13" ht="60" x14ac:dyDescent="0.25">
      <c r="A256" s="7" t="s">
        <v>4072</v>
      </c>
      <c r="B256" s="2" t="s">
        <v>996</v>
      </c>
      <c r="C256" s="4">
        <v>1</v>
      </c>
      <c r="D256" s="5">
        <v>6.78</v>
      </c>
      <c r="E256" s="5">
        <v>14.99</v>
      </c>
      <c r="F256" s="4" t="s">
        <v>997</v>
      </c>
      <c r="G256" s="2" t="s">
        <v>48</v>
      </c>
      <c r="H256" s="7" t="s">
        <v>578</v>
      </c>
      <c r="I256" s="2" t="s">
        <v>515</v>
      </c>
      <c r="J256" s="2" t="s">
        <v>516</v>
      </c>
      <c r="K256" s="2" t="s">
        <v>304</v>
      </c>
      <c r="L256" s="2" t="s">
        <v>358</v>
      </c>
      <c r="M256" s="8" t="str">
        <f>HYPERLINK("http://slimages.macys.com/is/image/MCY/12953242 ")</f>
        <v xml:space="preserve">http://slimages.macys.com/is/image/MCY/12953242 </v>
      </c>
    </row>
    <row r="257" spans="1:13" ht="60" x14ac:dyDescent="0.25">
      <c r="A257" s="7" t="s">
        <v>4073</v>
      </c>
      <c r="B257" s="2" t="s">
        <v>996</v>
      </c>
      <c r="C257" s="4">
        <v>1</v>
      </c>
      <c r="D257" s="5">
        <v>6.78</v>
      </c>
      <c r="E257" s="5">
        <v>14.99</v>
      </c>
      <c r="F257" s="4" t="s">
        <v>997</v>
      </c>
      <c r="G257" s="2" t="s">
        <v>48</v>
      </c>
      <c r="H257" s="7" t="s">
        <v>1151</v>
      </c>
      <c r="I257" s="2" t="s">
        <v>515</v>
      </c>
      <c r="J257" s="2" t="s">
        <v>516</v>
      </c>
      <c r="K257" s="2" t="s">
        <v>304</v>
      </c>
      <c r="L257" s="2" t="s">
        <v>358</v>
      </c>
      <c r="M257" s="8" t="str">
        <f>HYPERLINK("http://slimages.macys.com/is/image/MCY/12953242 ")</f>
        <v xml:space="preserve">http://slimages.macys.com/is/image/MCY/12953242 </v>
      </c>
    </row>
    <row r="258" spans="1:13" ht="60" x14ac:dyDescent="0.25">
      <c r="A258" s="7" t="s">
        <v>4074</v>
      </c>
      <c r="B258" s="2" t="s">
        <v>4075</v>
      </c>
      <c r="C258" s="4">
        <v>9</v>
      </c>
      <c r="D258" s="5">
        <v>6.76</v>
      </c>
      <c r="E258" s="5">
        <v>14.99</v>
      </c>
      <c r="F258" s="4" t="s">
        <v>4076</v>
      </c>
      <c r="G258" s="2" t="s">
        <v>195</v>
      </c>
      <c r="H258" s="7" t="s">
        <v>91</v>
      </c>
      <c r="I258" s="2" t="s">
        <v>483</v>
      </c>
      <c r="J258" s="2" t="s">
        <v>536</v>
      </c>
      <c r="K258" s="2" t="s">
        <v>304</v>
      </c>
      <c r="L258" s="2" t="s">
        <v>4077</v>
      </c>
      <c r="M258" s="8" t="str">
        <f>HYPERLINK("http://slimages.macys.com/is/image/MCY/14634816 ")</f>
        <v xml:space="preserve">http://slimages.macys.com/is/image/MCY/14634816 </v>
      </c>
    </row>
    <row r="259" spans="1:13" ht="60" x14ac:dyDescent="0.25">
      <c r="A259" s="7" t="s">
        <v>4078</v>
      </c>
      <c r="B259" s="2" t="s">
        <v>4075</v>
      </c>
      <c r="C259" s="4">
        <v>4</v>
      </c>
      <c r="D259" s="5">
        <v>6.76</v>
      </c>
      <c r="E259" s="5">
        <v>14.99</v>
      </c>
      <c r="F259" s="4" t="s">
        <v>4076</v>
      </c>
      <c r="G259" s="2" t="s">
        <v>195</v>
      </c>
      <c r="H259" s="7" t="s">
        <v>590</v>
      </c>
      <c r="I259" s="2" t="s">
        <v>483</v>
      </c>
      <c r="J259" s="2" t="s">
        <v>536</v>
      </c>
      <c r="K259" s="2" t="s">
        <v>304</v>
      </c>
      <c r="L259" s="2" t="s">
        <v>4077</v>
      </c>
      <c r="M259" s="8" t="str">
        <f>HYPERLINK("http://slimages.macys.com/is/image/MCY/14634816 ")</f>
        <v xml:space="preserve">http://slimages.macys.com/is/image/MCY/14634816 </v>
      </c>
    </row>
    <row r="260" spans="1:13" ht="60" x14ac:dyDescent="0.25">
      <c r="A260" s="7" t="s">
        <v>4079</v>
      </c>
      <c r="B260" s="2" t="s">
        <v>4075</v>
      </c>
      <c r="C260" s="4">
        <v>3</v>
      </c>
      <c r="D260" s="5">
        <v>6.76</v>
      </c>
      <c r="E260" s="5">
        <v>14.99</v>
      </c>
      <c r="F260" s="4" t="s">
        <v>4076</v>
      </c>
      <c r="G260" s="2" t="s">
        <v>195</v>
      </c>
      <c r="H260" s="7" t="s">
        <v>149</v>
      </c>
      <c r="I260" s="2" t="s">
        <v>483</v>
      </c>
      <c r="J260" s="2" t="s">
        <v>536</v>
      </c>
      <c r="K260" s="2" t="s">
        <v>304</v>
      </c>
      <c r="L260" s="2" t="s">
        <v>4077</v>
      </c>
      <c r="M260" s="8" t="str">
        <f>HYPERLINK("http://slimages.macys.com/is/image/MCY/14634816 ")</f>
        <v xml:space="preserve">http://slimages.macys.com/is/image/MCY/14634816 </v>
      </c>
    </row>
    <row r="261" spans="1:13" ht="60" x14ac:dyDescent="0.25">
      <c r="A261" s="7" t="s">
        <v>4080</v>
      </c>
      <c r="B261" s="2" t="s">
        <v>4075</v>
      </c>
      <c r="C261" s="4">
        <v>1</v>
      </c>
      <c r="D261" s="5">
        <v>6.76</v>
      </c>
      <c r="E261" s="5">
        <v>14.99</v>
      </c>
      <c r="F261" s="4" t="s">
        <v>4076</v>
      </c>
      <c r="G261" s="2" t="s">
        <v>195</v>
      </c>
      <c r="H261" s="7" t="s">
        <v>442</v>
      </c>
      <c r="I261" s="2" t="s">
        <v>483</v>
      </c>
      <c r="J261" s="2" t="s">
        <v>536</v>
      </c>
      <c r="K261" s="2" t="s">
        <v>304</v>
      </c>
      <c r="L261" s="2" t="s">
        <v>4077</v>
      </c>
      <c r="M261" s="8" t="str">
        <f>HYPERLINK("http://slimages.macys.com/is/image/MCY/14634816 ")</f>
        <v xml:space="preserve">http://slimages.macys.com/is/image/MCY/14634816 </v>
      </c>
    </row>
    <row r="262" spans="1:13" ht="60" x14ac:dyDescent="0.25">
      <c r="A262" s="7" t="s">
        <v>4081</v>
      </c>
      <c r="B262" s="2" t="s">
        <v>4075</v>
      </c>
      <c r="C262" s="4">
        <v>7</v>
      </c>
      <c r="D262" s="5">
        <v>6.76</v>
      </c>
      <c r="E262" s="5">
        <v>14.99</v>
      </c>
      <c r="F262" s="4" t="s">
        <v>4076</v>
      </c>
      <c r="G262" s="2" t="s">
        <v>195</v>
      </c>
      <c r="H262" s="7" t="s">
        <v>42</v>
      </c>
      <c r="I262" s="2" t="s">
        <v>483</v>
      </c>
      <c r="J262" s="2" t="s">
        <v>536</v>
      </c>
      <c r="K262" s="2" t="s">
        <v>304</v>
      </c>
      <c r="L262" s="2" t="s">
        <v>4077</v>
      </c>
      <c r="M262" s="8" t="str">
        <f>HYPERLINK("http://slimages.macys.com/is/image/MCY/14634816 ")</f>
        <v xml:space="preserve">http://slimages.macys.com/is/image/MCY/14634816 </v>
      </c>
    </row>
    <row r="263" spans="1:13" ht="60" x14ac:dyDescent="0.25">
      <c r="A263" s="7" t="s">
        <v>4082</v>
      </c>
      <c r="B263" s="2" t="s">
        <v>4083</v>
      </c>
      <c r="C263" s="4">
        <v>1</v>
      </c>
      <c r="D263" s="5">
        <v>6.75</v>
      </c>
      <c r="E263" s="5">
        <v>15</v>
      </c>
      <c r="F263" s="4" t="s">
        <v>4084</v>
      </c>
      <c r="G263" s="2" t="s">
        <v>195</v>
      </c>
      <c r="H263" s="7" t="s">
        <v>4085</v>
      </c>
      <c r="I263" s="2" t="s">
        <v>523</v>
      </c>
      <c r="J263" s="2" t="s">
        <v>4086</v>
      </c>
      <c r="K263" s="2" t="s">
        <v>304</v>
      </c>
      <c r="L263" s="2" t="s">
        <v>596</v>
      </c>
      <c r="M263" s="8" t="str">
        <f>HYPERLINK("http://slimages.macys.com/is/image/MCY/8762510 ")</f>
        <v xml:space="preserve">http://slimages.macys.com/is/image/MCY/8762510 </v>
      </c>
    </row>
    <row r="264" spans="1:13" ht="84" x14ac:dyDescent="0.25">
      <c r="A264" s="7" t="s">
        <v>4087</v>
      </c>
      <c r="B264" s="2" t="s">
        <v>4088</v>
      </c>
      <c r="C264" s="4">
        <v>1</v>
      </c>
      <c r="D264" s="5">
        <v>6.75</v>
      </c>
      <c r="E264" s="5">
        <v>16.989999999999998</v>
      </c>
      <c r="F264" s="4" t="s">
        <v>4089</v>
      </c>
      <c r="G264" s="2" t="s">
        <v>892</v>
      </c>
      <c r="H264" s="7"/>
      <c r="I264" s="2" t="s">
        <v>321</v>
      </c>
      <c r="J264" s="2" t="s">
        <v>477</v>
      </c>
      <c r="K264" s="2" t="s">
        <v>304</v>
      </c>
      <c r="L264" s="2" t="s">
        <v>1516</v>
      </c>
      <c r="M264" s="8" t="str">
        <f>HYPERLINK("http://slimages.macys.com/is/image/MCY/13860413 ")</f>
        <v xml:space="preserve">http://slimages.macys.com/is/image/MCY/13860413 </v>
      </c>
    </row>
    <row r="265" spans="1:13" ht="60" x14ac:dyDescent="0.25">
      <c r="A265" s="7" t="s">
        <v>4090</v>
      </c>
      <c r="B265" s="2" t="s">
        <v>2592</v>
      </c>
      <c r="C265" s="4">
        <v>1</v>
      </c>
      <c r="D265" s="5">
        <v>6.75</v>
      </c>
      <c r="E265" s="5">
        <v>16.989999999999998</v>
      </c>
      <c r="F265" s="4" t="s">
        <v>2593</v>
      </c>
      <c r="G265" s="2" t="s">
        <v>129</v>
      </c>
      <c r="H265" s="7"/>
      <c r="I265" s="2" t="s">
        <v>135</v>
      </c>
      <c r="J265" s="2" t="s">
        <v>1076</v>
      </c>
      <c r="K265" s="2" t="s">
        <v>304</v>
      </c>
      <c r="L265" s="2" t="s">
        <v>125</v>
      </c>
      <c r="M265" s="8" t="str">
        <f>HYPERLINK("http://slimages.macys.com/is/image/MCY/15654559 ")</f>
        <v xml:space="preserve">http://slimages.macys.com/is/image/MCY/15654559 </v>
      </c>
    </row>
    <row r="266" spans="1:13" ht="60" x14ac:dyDescent="0.25">
      <c r="A266" s="7" t="s">
        <v>2598</v>
      </c>
      <c r="B266" s="2" t="s">
        <v>2592</v>
      </c>
      <c r="C266" s="4">
        <v>1</v>
      </c>
      <c r="D266" s="5">
        <v>6.75</v>
      </c>
      <c r="E266" s="5">
        <v>16.989999999999998</v>
      </c>
      <c r="F266" s="4" t="s">
        <v>2593</v>
      </c>
      <c r="G266" s="2" t="s">
        <v>129</v>
      </c>
      <c r="H266" s="7" t="s">
        <v>144</v>
      </c>
      <c r="I266" s="2" t="s">
        <v>135</v>
      </c>
      <c r="J266" s="2" t="s">
        <v>1076</v>
      </c>
      <c r="K266" s="2" t="s">
        <v>304</v>
      </c>
      <c r="L266" s="2" t="s">
        <v>125</v>
      </c>
      <c r="M266" s="8" t="str">
        <f>HYPERLINK("http://slimages.macys.com/is/image/MCY/15654559 ")</f>
        <v xml:space="preserve">http://slimages.macys.com/is/image/MCY/15654559 </v>
      </c>
    </row>
    <row r="267" spans="1:13" ht="60" x14ac:dyDescent="0.25">
      <c r="A267" s="7" t="s">
        <v>2591</v>
      </c>
      <c r="B267" s="2" t="s">
        <v>2592</v>
      </c>
      <c r="C267" s="4">
        <v>3</v>
      </c>
      <c r="D267" s="5">
        <v>6.75</v>
      </c>
      <c r="E267" s="5">
        <v>16.989999999999998</v>
      </c>
      <c r="F267" s="4" t="s">
        <v>2593</v>
      </c>
      <c r="G267" s="2" t="s">
        <v>129</v>
      </c>
      <c r="H267" s="7" t="s">
        <v>68</v>
      </c>
      <c r="I267" s="2" t="s">
        <v>135</v>
      </c>
      <c r="J267" s="2" t="s">
        <v>1076</v>
      </c>
      <c r="K267" s="2" t="s">
        <v>304</v>
      </c>
      <c r="L267" s="2" t="s">
        <v>125</v>
      </c>
      <c r="M267" s="8" t="str">
        <f>HYPERLINK("http://slimages.macys.com/is/image/MCY/15654559 ")</f>
        <v xml:space="preserve">http://slimages.macys.com/is/image/MCY/15654559 </v>
      </c>
    </row>
    <row r="268" spans="1:13" ht="60" x14ac:dyDescent="0.25">
      <c r="A268" s="7" t="s">
        <v>4091</v>
      </c>
      <c r="B268" s="2" t="s">
        <v>4092</v>
      </c>
      <c r="C268" s="4">
        <v>1</v>
      </c>
      <c r="D268" s="5">
        <v>6.75</v>
      </c>
      <c r="E268" s="5">
        <v>14.99</v>
      </c>
      <c r="F268" s="4" t="s">
        <v>4093</v>
      </c>
      <c r="G268" s="2" t="s">
        <v>657</v>
      </c>
      <c r="H268" s="7" t="s">
        <v>217</v>
      </c>
      <c r="I268" s="2" t="s">
        <v>257</v>
      </c>
      <c r="J268" s="2" t="s">
        <v>4094</v>
      </c>
      <c r="K268" s="2" t="s">
        <v>304</v>
      </c>
      <c r="L268" s="2" t="s">
        <v>4095</v>
      </c>
      <c r="M268" s="8" t="str">
        <f>HYPERLINK("http://slimages.macys.com/is/image/MCY/12080168 ")</f>
        <v xml:space="preserve">http://slimages.macys.com/is/image/MCY/12080168 </v>
      </c>
    </row>
    <row r="269" spans="1:13" ht="60" x14ac:dyDescent="0.25">
      <c r="A269" s="7" t="s">
        <v>4096</v>
      </c>
      <c r="B269" s="2" t="s">
        <v>4097</v>
      </c>
      <c r="C269" s="4">
        <v>2</v>
      </c>
      <c r="D269" s="5">
        <v>6.75</v>
      </c>
      <c r="E269" s="5">
        <v>16.989999999999998</v>
      </c>
      <c r="F269" s="4" t="s">
        <v>4098</v>
      </c>
      <c r="G269" s="2" t="s">
        <v>892</v>
      </c>
      <c r="H269" s="7"/>
      <c r="I269" s="2" t="s">
        <v>321</v>
      </c>
      <c r="J269" s="2" t="s">
        <v>477</v>
      </c>
      <c r="K269" s="2" t="s">
        <v>304</v>
      </c>
      <c r="L269" s="2" t="s">
        <v>125</v>
      </c>
      <c r="M269" s="8" t="str">
        <f>HYPERLINK("http://slimages.macys.com/is/image/MCY/13860370 ")</f>
        <v xml:space="preserve">http://slimages.macys.com/is/image/MCY/13860370 </v>
      </c>
    </row>
    <row r="270" spans="1:13" ht="60" x14ac:dyDescent="0.25">
      <c r="A270" s="7" t="s">
        <v>4099</v>
      </c>
      <c r="B270" s="2" t="s">
        <v>4100</v>
      </c>
      <c r="C270" s="4">
        <v>1</v>
      </c>
      <c r="D270" s="5">
        <v>6.67</v>
      </c>
      <c r="E270" s="5">
        <v>13.99</v>
      </c>
      <c r="F270" s="4" t="s">
        <v>4101</v>
      </c>
      <c r="G270" s="2" t="s">
        <v>393</v>
      </c>
      <c r="H270" s="7" t="s">
        <v>284</v>
      </c>
      <c r="I270" s="2" t="s">
        <v>523</v>
      </c>
      <c r="J270" s="2" t="s">
        <v>4102</v>
      </c>
      <c r="K270" s="2"/>
      <c r="L270" s="2"/>
      <c r="M270" s="8" t="str">
        <f>HYPERLINK("http://slimages.macys.com/is/image/MCY/8647388 ")</f>
        <v xml:space="preserve">http://slimages.macys.com/is/image/MCY/8647388 </v>
      </c>
    </row>
    <row r="271" spans="1:13" ht="60" x14ac:dyDescent="0.25">
      <c r="A271" s="7" t="s">
        <v>4103</v>
      </c>
      <c r="B271" s="2" t="s">
        <v>4100</v>
      </c>
      <c r="C271" s="4">
        <v>1</v>
      </c>
      <c r="D271" s="5">
        <v>6.67</v>
      </c>
      <c r="E271" s="5">
        <v>13.99</v>
      </c>
      <c r="F271" s="4" t="s">
        <v>4101</v>
      </c>
      <c r="G271" s="2" t="s">
        <v>393</v>
      </c>
      <c r="H271" s="7" t="s">
        <v>228</v>
      </c>
      <c r="I271" s="2" t="s">
        <v>523</v>
      </c>
      <c r="J271" s="2" t="s">
        <v>4102</v>
      </c>
      <c r="K271" s="2"/>
      <c r="L271" s="2"/>
      <c r="M271" s="8" t="str">
        <f>HYPERLINK("http://slimages.macys.com/is/image/MCY/8647388 ")</f>
        <v xml:space="preserve">http://slimages.macys.com/is/image/MCY/8647388 </v>
      </c>
    </row>
    <row r="272" spans="1:13" ht="60" x14ac:dyDescent="0.25">
      <c r="A272" s="7" t="s">
        <v>4104</v>
      </c>
      <c r="B272" s="2" t="s">
        <v>4105</v>
      </c>
      <c r="C272" s="4">
        <v>1</v>
      </c>
      <c r="D272" s="5">
        <v>6.6</v>
      </c>
      <c r="E272" s="5">
        <v>30.5</v>
      </c>
      <c r="F272" s="4" t="s">
        <v>4106</v>
      </c>
      <c r="G272" s="2" t="s">
        <v>437</v>
      </c>
      <c r="H272" s="7" t="s">
        <v>2740</v>
      </c>
      <c r="I272" s="2" t="s">
        <v>468</v>
      </c>
      <c r="J272" s="2" t="s">
        <v>4107</v>
      </c>
      <c r="K272" s="2" t="s">
        <v>304</v>
      </c>
      <c r="L272" s="2" t="s">
        <v>100</v>
      </c>
      <c r="M272" s="8" t="str">
        <f>HYPERLINK("http://slimages.macys.com/is/image/MCY/10751477 ")</f>
        <v xml:space="preserve">http://slimages.macys.com/is/image/MCY/10751477 </v>
      </c>
    </row>
    <row r="273" spans="1:13" ht="60" x14ac:dyDescent="0.25">
      <c r="A273" s="7" t="s">
        <v>4108</v>
      </c>
      <c r="B273" s="2" t="s">
        <v>4109</v>
      </c>
      <c r="C273" s="4">
        <v>1</v>
      </c>
      <c r="D273" s="5">
        <v>6.5</v>
      </c>
      <c r="E273" s="5">
        <v>15.99</v>
      </c>
      <c r="F273" s="4" t="s">
        <v>4110</v>
      </c>
      <c r="G273" s="2" t="s">
        <v>28</v>
      </c>
      <c r="H273" s="7"/>
      <c r="I273" s="2" t="s">
        <v>312</v>
      </c>
      <c r="J273" s="2" t="s">
        <v>4111</v>
      </c>
      <c r="K273" s="2" t="s">
        <v>304</v>
      </c>
      <c r="L273" s="2" t="s">
        <v>125</v>
      </c>
      <c r="M273" s="8" t="str">
        <f>HYPERLINK("http://slimages.macys.com/is/image/MCY/12080775 ")</f>
        <v xml:space="preserve">http://slimages.macys.com/is/image/MCY/12080775 </v>
      </c>
    </row>
    <row r="274" spans="1:13" ht="60" x14ac:dyDescent="0.25">
      <c r="A274" s="7" t="s">
        <v>1008</v>
      </c>
      <c r="B274" s="2" t="s">
        <v>1009</v>
      </c>
      <c r="C274" s="4">
        <v>1</v>
      </c>
      <c r="D274" s="5">
        <v>6.4</v>
      </c>
      <c r="E274" s="5">
        <v>16</v>
      </c>
      <c r="F274" s="4" t="s">
        <v>1010</v>
      </c>
      <c r="G274" s="2" t="s">
        <v>41</v>
      </c>
      <c r="H274" s="7"/>
      <c r="I274" s="2" t="s">
        <v>523</v>
      </c>
      <c r="J274" s="2" t="s">
        <v>937</v>
      </c>
      <c r="K274" s="2" t="s">
        <v>304</v>
      </c>
      <c r="L274" s="2" t="s">
        <v>944</v>
      </c>
      <c r="M274" s="8" t="str">
        <f>HYPERLINK("http://slimages.macys.com/is/image/MCY/10426067 ")</f>
        <v xml:space="preserve">http://slimages.macys.com/is/image/MCY/10426067 </v>
      </c>
    </row>
    <row r="275" spans="1:13" ht="60" x14ac:dyDescent="0.25">
      <c r="A275" s="7" t="s">
        <v>4112</v>
      </c>
      <c r="B275" s="2" t="s">
        <v>4113</v>
      </c>
      <c r="C275" s="4">
        <v>1</v>
      </c>
      <c r="D275" s="5">
        <v>6.35</v>
      </c>
      <c r="E275" s="5">
        <v>14.77</v>
      </c>
      <c r="F275" s="4">
        <v>18206110</v>
      </c>
      <c r="G275" s="2" t="s">
        <v>36</v>
      </c>
      <c r="H275" s="7" t="s">
        <v>438</v>
      </c>
      <c r="I275" s="2" t="s">
        <v>153</v>
      </c>
      <c r="J275" s="2" t="s">
        <v>154</v>
      </c>
      <c r="K275" s="2" t="s">
        <v>304</v>
      </c>
      <c r="L275" s="2" t="s">
        <v>119</v>
      </c>
      <c r="M275" s="8" t="str">
        <f>HYPERLINK("http://slimages.macys.com/is/image/MCY/13382326 ")</f>
        <v xml:space="preserve">http://slimages.macys.com/is/image/MCY/13382326 </v>
      </c>
    </row>
    <row r="276" spans="1:13" ht="60" x14ac:dyDescent="0.25">
      <c r="A276" s="7" t="s">
        <v>4114</v>
      </c>
      <c r="B276" s="2" t="s">
        <v>1016</v>
      </c>
      <c r="C276" s="4">
        <v>1</v>
      </c>
      <c r="D276" s="5">
        <v>6.35</v>
      </c>
      <c r="E276" s="5">
        <v>14.44</v>
      </c>
      <c r="F276" s="4">
        <v>18643410</v>
      </c>
      <c r="G276" s="2" t="s">
        <v>353</v>
      </c>
      <c r="H276" s="7" t="s">
        <v>91</v>
      </c>
      <c r="I276" s="2" t="s">
        <v>153</v>
      </c>
      <c r="J276" s="2" t="s">
        <v>154</v>
      </c>
      <c r="K276" s="2" t="s">
        <v>304</v>
      </c>
      <c r="L276" s="2" t="s">
        <v>125</v>
      </c>
      <c r="M276" s="8" t="str">
        <f>HYPERLINK("http://slimages.macys.com/is/image/MCY/14661888 ")</f>
        <v xml:space="preserve">http://slimages.macys.com/is/image/MCY/14661888 </v>
      </c>
    </row>
    <row r="277" spans="1:13" ht="60" x14ac:dyDescent="0.25">
      <c r="A277" s="7" t="s">
        <v>4115</v>
      </c>
      <c r="B277" s="2" t="s">
        <v>1837</v>
      </c>
      <c r="C277" s="4">
        <v>1</v>
      </c>
      <c r="D277" s="5">
        <v>6.18</v>
      </c>
      <c r="E277" s="5">
        <v>16.989999999999998</v>
      </c>
      <c r="F277" s="4" t="s">
        <v>1838</v>
      </c>
      <c r="G277" s="2" t="s">
        <v>171</v>
      </c>
      <c r="H277" s="7" t="s">
        <v>159</v>
      </c>
      <c r="I277" s="2" t="s">
        <v>515</v>
      </c>
      <c r="J277" s="2" t="s">
        <v>827</v>
      </c>
      <c r="K277" s="2" t="s">
        <v>304</v>
      </c>
      <c r="L277" s="2" t="s">
        <v>358</v>
      </c>
      <c r="M277" s="8" t="str">
        <f>HYPERLINK("http://slimages.macys.com/is/image/MCY/11605899 ")</f>
        <v xml:space="preserve">http://slimages.macys.com/is/image/MCY/11605899 </v>
      </c>
    </row>
    <row r="278" spans="1:13" ht="60" x14ac:dyDescent="0.25">
      <c r="A278" s="7" t="s">
        <v>4116</v>
      </c>
      <c r="B278" s="2" t="s">
        <v>4117</v>
      </c>
      <c r="C278" s="4">
        <v>1</v>
      </c>
      <c r="D278" s="5">
        <v>6</v>
      </c>
      <c r="E278" s="5">
        <v>11.99</v>
      </c>
      <c r="F278" s="4" t="s">
        <v>4118</v>
      </c>
      <c r="G278" s="2" t="s">
        <v>28</v>
      </c>
      <c r="H278" s="7" t="s">
        <v>311</v>
      </c>
      <c r="I278" s="2" t="s">
        <v>173</v>
      </c>
      <c r="J278" s="2" t="s">
        <v>1967</v>
      </c>
      <c r="K278" s="2" t="s">
        <v>304</v>
      </c>
      <c r="L278" s="2" t="s">
        <v>38</v>
      </c>
      <c r="M278" s="8" t="str">
        <f>HYPERLINK("http://slimages.macys.com/is/image/MCY/9906909 ")</f>
        <v xml:space="preserve">http://slimages.macys.com/is/image/MCY/9906909 </v>
      </c>
    </row>
    <row r="279" spans="1:13" ht="60" x14ac:dyDescent="0.25">
      <c r="A279" s="7" t="s">
        <v>4119</v>
      </c>
      <c r="B279" s="2" t="s">
        <v>4117</v>
      </c>
      <c r="C279" s="4">
        <v>1</v>
      </c>
      <c r="D279" s="5">
        <v>6</v>
      </c>
      <c r="E279" s="5">
        <v>11.99</v>
      </c>
      <c r="F279" s="4" t="s">
        <v>4118</v>
      </c>
      <c r="G279" s="2" t="s">
        <v>41</v>
      </c>
      <c r="H279" s="7" t="s">
        <v>317</v>
      </c>
      <c r="I279" s="2" t="s">
        <v>173</v>
      </c>
      <c r="J279" s="2" t="s">
        <v>1967</v>
      </c>
      <c r="K279" s="2" t="s">
        <v>304</v>
      </c>
      <c r="L279" s="2" t="s">
        <v>87</v>
      </c>
      <c r="M279" s="8" t="str">
        <f>HYPERLINK("http://slimages.macys.com/is/image/MCY/12282974 ")</f>
        <v xml:space="preserve">http://slimages.macys.com/is/image/MCY/12282974 </v>
      </c>
    </row>
    <row r="280" spans="1:13" ht="60" x14ac:dyDescent="0.25">
      <c r="A280" s="7" t="s">
        <v>4120</v>
      </c>
      <c r="B280" s="2" t="s">
        <v>4121</v>
      </c>
      <c r="C280" s="4">
        <v>2</v>
      </c>
      <c r="D280" s="5">
        <v>5.95</v>
      </c>
      <c r="E280" s="5">
        <v>16.8</v>
      </c>
      <c r="F280" s="4" t="s">
        <v>4122</v>
      </c>
      <c r="G280" s="2" t="s">
        <v>86</v>
      </c>
      <c r="H280" s="7"/>
      <c r="I280" s="2" t="s">
        <v>483</v>
      </c>
      <c r="J280" s="2" t="s">
        <v>536</v>
      </c>
      <c r="K280" s="2" t="s">
        <v>304</v>
      </c>
      <c r="L280" s="2" t="s">
        <v>4123</v>
      </c>
      <c r="M280" s="8" t="str">
        <f>HYPERLINK("http://slimages.macys.com/is/image/MCY/13061384 ")</f>
        <v xml:space="preserve">http://slimages.macys.com/is/image/MCY/13061384 </v>
      </c>
    </row>
    <row r="281" spans="1:13" ht="60" x14ac:dyDescent="0.25">
      <c r="A281" s="7" t="s">
        <v>4124</v>
      </c>
      <c r="B281" s="2" t="s">
        <v>4121</v>
      </c>
      <c r="C281" s="4">
        <v>3</v>
      </c>
      <c r="D281" s="5">
        <v>5.95</v>
      </c>
      <c r="E281" s="5">
        <v>16.8</v>
      </c>
      <c r="F281" s="4" t="s">
        <v>4122</v>
      </c>
      <c r="G281" s="2" t="s">
        <v>86</v>
      </c>
      <c r="H281" s="7" t="s">
        <v>590</v>
      </c>
      <c r="I281" s="2" t="s">
        <v>483</v>
      </c>
      <c r="J281" s="2" t="s">
        <v>536</v>
      </c>
      <c r="K281" s="2" t="s">
        <v>304</v>
      </c>
      <c r="L281" s="2" t="s">
        <v>4123</v>
      </c>
      <c r="M281" s="8" t="str">
        <f>HYPERLINK("http://slimages.macys.com/is/image/MCY/13061384 ")</f>
        <v xml:space="preserve">http://slimages.macys.com/is/image/MCY/13061384 </v>
      </c>
    </row>
    <row r="282" spans="1:13" ht="60" x14ac:dyDescent="0.25">
      <c r="A282" s="7" t="s">
        <v>4125</v>
      </c>
      <c r="B282" s="2" t="s">
        <v>1034</v>
      </c>
      <c r="C282" s="4">
        <v>1</v>
      </c>
      <c r="D282" s="5">
        <v>5.9</v>
      </c>
      <c r="E282" s="5">
        <v>12.99</v>
      </c>
      <c r="F282" s="4" t="s">
        <v>1035</v>
      </c>
      <c r="G282" s="2" t="s">
        <v>653</v>
      </c>
      <c r="H282" s="7" t="s">
        <v>196</v>
      </c>
      <c r="I282" s="2" t="s">
        <v>523</v>
      </c>
      <c r="J282" s="2" t="s">
        <v>969</v>
      </c>
      <c r="K282" s="2" t="s">
        <v>304</v>
      </c>
      <c r="L282" s="2" t="s">
        <v>1036</v>
      </c>
      <c r="M282" s="8" t="str">
        <f>HYPERLINK("http://slimages.macys.com/is/image/MCY/11646999 ")</f>
        <v xml:space="preserve">http://slimages.macys.com/is/image/MCY/11646999 </v>
      </c>
    </row>
    <row r="283" spans="1:13" ht="60" x14ac:dyDescent="0.25">
      <c r="A283" s="7" t="s">
        <v>4126</v>
      </c>
      <c r="B283" s="2" t="s">
        <v>1045</v>
      </c>
      <c r="C283" s="4">
        <v>2</v>
      </c>
      <c r="D283" s="5">
        <v>5.87</v>
      </c>
      <c r="E283" s="5">
        <v>16</v>
      </c>
      <c r="F283" s="4" t="s">
        <v>1046</v>
      </c>
      <c r="G283" s="2" t="s">
        <v>1047</v>
      </c>
      <c r="H283" s="7" t="s">
        <v>72</v>
      </c>
      <c r="I283" s="2" t="s">
        <v>523</v>
      </c>
      <c r="J283" s="2" t="s">
        <v>1042</v>
      </c>
      <c r="K283" s="2" t="s">
        <v>304</v>
      </c>
      <c r="L283" s="2" t="s">
        <v>1043</v>
      </c>
      <c r="M283" s="8" t="str">
        <f>HYPERLINK("http://slimages.macys.com/is/image/MCY/11647571 ")</f>
        <v xml:space="preserve">http://slimages.macys.com/is/image/MCY/11647571 </v>
      </c>
    </row>
    <row r="284" spans="1:13" ht="60" x14ac:dyDescent="0.25">
      <c r="A284" s="7" t="s">
        <v>1044</v>
      </c>
      <c r="B284" s="2" t="s">
        <v>1045</v>
      </c>
      <c r="C284" s="4">
        <v>2</v>
      </c>
      <c r="D284" s="5">
        <v>5.87</v>
      </c>
      <c r="E284" s="5">
        <v>16</v>
      </c>
      <c r="F284" s="4" t="s">
        <v>1046</v>
      </c>
      <c r="G284" s="2" t="s">
        <v>1047</v>
      </c>
      <c r="H284" s="7" t="s">
        <v>789</v>
      </c>
      <c r="I284" s="2" t="s">
        <v>523</v>
      </c>
      <c r="J284" s="2" t="s">
        <v>1042</v>
      </c>
      <c r="K284" s="2" t="s">
        <v>304</v>
      </c>
      <c r="L284" s="2" t="s">
        <v>1043</v>
      </c>
      <c r="M284" s="8" t="str">
        <f>HYPERLINK("http://slimages.macys.com/is/image/MCY/11647571 ")</f>
        <v xml:space="preserve">http://slimages.macys.com/is/image/MCY/11647571 </v>
      </c>
    </row>
    <row r="285" spans="1:13" ht="60" x14ac:dyDescent="0.25">
      <c r="A285" s="7" t="s">
        <v>1038</v>
      </c>
      <c r="B285" s="2" t="s">
        <v>1039</v>
      </c>
      <c r="C285" s="4">
        <v>5</v>
      </c>
      <c r="D285" s="5">
        <v>5.87</v>
      </c>
      <c r="E285" s="5">
        <v>16</v>
      </c>
      <c r="F285" s="4" t="s">
        <v>1040</v>
      </c>
      <c r="G285" s="2" t="s">
        <v>1041</v>
      </c>
      <c r="H285" s="7" t="s">
        <v>72</v>
      </c>
      <c r="I285" s="2" t="s">
        <v>523</v>
      </c>
      <c r="J285" s="2" t="s">
        <v>1042</v>
      </c>
      <c r="K285" s="2" t="s">
        <v>304</v>
      </c>
      <c r="L285" s="2" t="s">
        <v>1043</v>
      </c>
      <c r="M285" s="8" t="str">
        <f>HYPERLINK("http://slimages.macys.com/is/image/MCY/11647558 ")</f>
        <v xml:space="preserve">http://slimages.macys.com/is/image/MCY/11647558 </v>
      </c>
    </row>
    <row r="286" spans="1:13" ht="60" x14ac:dyDescent="0.25">
      <c r="A286" s="7" t="s">
        <v>4127</v>
      </c>
      <c r="B286" s="2" t="s">
        <v>1869</v>
      </c>
      <c r="C286" s="4">
        <v>1</v>
      </c>
      <c r="D286" s="5">
        <v>5.85</v>
      </c>
      <c r="E286" s="5">
        <v>15.99</v>
      </c>
      <c r="F286" s="4" t="s">
        <v>4128</v>
      </c>
      <c r="G286" s="2" t="s">
        <v>657</v>
      </c>
      <c r="H286" s="7" t="s">
        <v>4129</v>
      </c>
      <c r="I286" s="2" t="s">
        <v>342</v>
      </c>
      <c r="J286" s="2" t="s">
        <v>1872</v>
      </c>
      <c r="K286" s="2" t="s">
        <v>304</v>
      </c>
      <c r="L286" s="2" t="s">
        <v>390</v>
      </c>
      <c r="M286" s="8" t="str">
        <f>HYPERLINK("http://slimages.macys.com/is/image/MCY/11636027 ")</f>
        <v xml:space="preserve">http://slimages.macys.com/is/image/MCY/11636027 </v>
      </c>
    </row>
    <row r="287" spans="1:13" ht="60" x14ac:dyDescent="0.25">
      <c r="A287" s="7" t="s">
        <v>4130</v>
      </c>
      <c r="B287" s="2" t="s">
        <v>3449</v>
      </c>
      <c r="C287" s="4">
        <v>1</v>
      </c>
      <c r="D287" s="5">
        <v>5.85</v>
      </c>
      <c r="E287" s="5">
        <v>14.99</v>
      </c>
      <c r="F287" s="4" t="s">
        <v>3450</v>
      </c>
      <c r="G287" s="2" t="s">
        <v>657</v>
      </c>
      <c r="H287" s="7"/>
      <c r="I287" s="2" t="s">
        <v>523</v>
      </c>
      <c r="J287" s="2" t="s">
        <v>921</v>
      </c>
      <c r="K287" s="2" t="s">
        <v>304</v>
      </c>
      <c r="L287" s="2" t="s">
        <v>3452</v>
      </c>
      <c r="M287" s="8" t="str">
        <f>HYPERLINK("http://slimages.macys.com/is/image/MCY/3325491 ")</f>
        <v xml:space="preserve">http://slimages.macys.com/is/image/MCY/3325491 </v>
      </c>
    </row>
    <row r="288" spans="1:13" ht="60" x14ac:dyDescent="0.25">
      <c r="A288" s="7" t="s">
        <v>4131</v>
      </c>
      <c r="B288" s="2" t="s">
        <v>4132</v>
      </c>
      <c r="C288" s="4">
        <v>1</v>
      </c>
      <c r="D288" s="5">
        <v>5.8</v>
      </c>
      <c r="E288" s="5">
        <v>10.99</v>
      </c>
      <c r="F288" s="4">
        <v>15967210</v>
      </c>
      <c r="G288" s="2"/>
      <c r="H288" s="7" t="s">
        <v>482</v>
      </c>
      <c r="I288" s="2" t="s">
        <v>153</v>
      </c>
      <c r="J288" s="2" t="s">
        <v>154</v>
      </c>
      <c r="K288" s="2" t="s">
        <v>304</v>
      </c>
      <c r="L288" s="2" t="s">
        <v>119</v>
      </c>
      <c r="M288" s="8" t="str">
        <f>HYPERLINK("http://slimages.macys.com/is/image/MCY/11387677 ")</f>
        <v xml:space="preserve">http://slimages.macys.com/is/image/MCY/11387677 </v>
      </c>
    </row>
    <row r="289" spans="1:13" ht="60" x14ac:dyDescent="0.25">
      <c r="A289" s="7" t="s">
        <v>4133</v>
      </c>
      <c r="B289" s="2" t="s">
        <v>4134</v>
      </c>
      <c r="C289" s="4">
        <v>1</v>
      </c>
      <c r="D289" s="5">
        <v>5.8</v>
      </c>
      <c r="E289" s="5">
        <v>10.99</v>
      </c>
      <c r="F289" s="4">
        <v>15959810</v>
      </c>
      <c r="G289" s="2" t="s">
        <v>48</v>
      </c>
      <c r="H289" s="7" t="s">
        <v>482</v>
      </c>
      <c r="I289" s="2" t="s">
        <v>153</v>
      </c>
      <c r="J289" s="2" t="s">
        <v>154</v>
      </c>
      <c r="K289" s="2" t="s">
        <v>304</v>
      </c>
      <c r="L289" s="2" t="s">
        <v>206</v>
      </c>
      <c r="M289" s="8" t="str">
        <f>HYPERLINK("http://slimages.macys.com/is/image/MCY/11387694 ")</f>
        <v xml:space="preserve">http://slimages.macys.com/is/image/MCY/11387694 </v>
      </c>
    </row>
    <row r="290" spans="1:13" ht="60" x14ac:dyDescent="0.25">
      <c r="A290" s="7" t="s">
        <v>4135</v>
      </c>
      <c r="B290" s="2" t="s">
        <v>1877</v>
      </c>
      <c r="C290" s="4">
        <v>1</v>
      </c>
      <c r="D290" s="5">
        <v>5.8</v>
      </c>
      <c r="E290" s="5">
        <v>13.19</v>
      </c>
      <c r="F290" s="4">
        <v>18634010</v>
      </c>
      <c r="G290" s="2" t="s">
        <v>28</v>
      </c>
      <c r="H290" s="7" t="s">
        <v>438</v>
      </c>
      <c r="I290" s="2" t="s">
        <v>153</v>
      </c>
      <c r="J290" s="2" t="s">
        <v>154</v>
      </c>
      <c r="K290" s="2" t="s">
        <v>304</v>
      </c>
      <c r="L290" s="2" t="s">
        <v>38</v>
      </c>
      <c r="M290" s="8" t="str">
        <f>HYPERLINK("http://slimages.macys.com/is/image/MCY/13941917 ")</f>
        <v xml:space="preserve">http://slimages.macys.com/is/image/MCY/13941917 </v>
      </c>
    </row>
    <row r="291" spans="1:13" ht="60" x14ac:dyDescent="0.25">
      <c r="A291" s="7" t="s">
        <v>4136</v>
      </c>
      <c r="B291" s="2" t="s">
        <v>4137</v>
      </c>
      <c r="C291" s="4">
        <v>1</v>
      </c>
      <c r="D291" s="5">
        <v>5.77</v>
      </c>
      <c r="E291" s="5">
        <v>12.99</v>
      </c>
      <c r="F291" s="4" t="s">
        <v>4138</v>
      </c>
      <c r="G291" s="2" t="s">
        <v>86</v>
      </c>
      <c r="H291" s="7" t="s">
        <v>379</v>
      </c>
      <c r="I291" s="2" t="s">
        <v>218</v>
      </c>
      <c r="J291" s="2" t="s">
        <v>835</v>
      </c>
      <c r="K291" s="2" t="s">
        <v>304</v>
      </c>
      <c r="L291" s="2" t="s">
        <v>358</v>
      </c>
      <c r="M291" s="8" t="str">
        <f>HYPERLINK("http://slimages.macys.com/is/image/MCY/11603698 ")</f>
        <v xml:space="preserve">http://slimages.macys.com/is/image/MCY/11603698 </v>
      </c>
    </row>
    <row r="292" spans="1:13" ht="60" x14ac:dyDescent="0.25">
      <c r="A292" s="7" t="s">
        <v>4139</v>
      </c>
      <c r="B292" s="2" t="s">
        <v>4140</v>
      </c>
      <c r="C292" s="4">
        <v>1</v>
      </c>
      <c r="D292" s="5">
        <v>5.75</v>
      </c>
      <c r="E292" s="5">
        <v>16.989999999999998</v>
      </c>
      <c r="F292" s="4" t="s">
        <v>4141</v>
      </c>
      <c r="G292" s="2" t="s">
        <v>41</v>
      </c>
      <c r="H292" s="7" t="s">
        <v>228</v>
      </c>
      <c r="I292" s="2" t="s">
        <v>342</v>
      </c>
      <c r="J292" s="2" t="s">
        <v>1834</v>
      </c>
      <c r="K292" s="2" t="s">
        <v>304</v>
      </c>
      <c r="L292" s="2" t="s">
        <v>358</v>
      </c>
      <c r="M292" s="8" t="str">
        <f>HYPERLINK("http://slimages.macys.com/is/image/MCY/11636441 ")</f>
        <v xml:space="preserve">http://slimages.macys.com/is/image/MCY/11636441 </v>
      </c>
    </row>
    <row r="293" spans="1:13" ht="60" x14ac:dyDescent="0.25">
      <c r="A293" s="7" t="s">
        <v>1051</v>
      </c>
      <c r="B293" s="2" t="s">
        <v>1050</v>
      </c>
      <c r="C293" s="4">
        <v>1</v>
      </c>
      <c r="D293" s="5">
        <v>5.75</v>
      </c>
      <c r="E293" s="5">
        <v>11.99</v>
      </c>
      <c r="F293" s="4">
        <v>2581</v>
      </c>
      <c r="G293" s="2" t="s">
        <v>36</v>
      </c>
      <c r="H293" s="7" t="s">
        <v>159</v>
      </c>
      <c r="I293" s="2" t="s">
        <v>523</v>
      </c>
      <c r="J293" s="2" t="s">
        <v>921</v>
      </c>
      <c r="K293" s="2" t="s">
        <v>304</v>
      </c>
      <c r="L293" s="2" t="s">
        <v>323</v>
      </c>
      <c r="M293" s="8" t="str">
        <f>HYPERLINK("http://slimages.macys.com/is/image/MCY/13050177 ")</f>
        <v xml:space="preserve">http://slimages.macys.com/is/image/MCY/13050177 </v>
      </c>
    </row>
    <row r="294" spans="1:13" ht="60" x14ac:dyDescent="0.25">
      <c r="A294" s="7" t="s">
        <v>4142</v>
      </c>
      <c r="B294" s="2" t="s">
        <v>4143</v>
      </c>
      <c r="C294" s="4">
        <v>1</v>
      </c>
      <c r="D294" s="5">
        <v>5.75</v>
      </c>
      <c r="E294" s="5">
        <v>11.98</v>
      </c>
      <c r="F294" s="4" t="s">
        <v>4144</v>
      </c>
      <c r="G294" s="2" t="s">
        <v>262</v>
      </c>
      <c r="H294" s="7" t="s">
        <v>228</v>
      </c>
      <c r="I294" s="2" t="s">
        <v>523</v>
      </c>
      <c r="J294" s="2" t="s">
        <v>3930</v>
      </c>
      <c r="K294" s="2" t="s">
        <v>304</v>
      </c>
      <c r="L294" s="2" t="s">
        <v>206</v>
      </c>
      <c r="M294" s="8" t="str">
        <f>HYPERLINK("http://slimages.macys.com/is/image/MCY/11667346 ")</f>
        <v xml:space="preserve">http://slimages.macys.com/is/image/MCY/11667346 </v>
      </c>
    </row>
    <row r="295" spans="1:13" ht="60" x14ac:dyDescent="0.25">
      <c r="A295" s="7" t="s">
        <v>4145</v>
      </c>
      <c r="B295" s="2" t="s">
        <v>4146</v>
      </c>
      <c r="C295" s="4">
        <v>1</v>
      </c>
      <c r="D295" s="5">
        <v>5.75</v>
      </c>
      <c r="E295" s="5">
        <v>13.99</v>
      </c>
      <c r="F295" s="4" t="s">
        <v>4147</v>
      </c>
      <c r="G295" s="2" t="s">
        <v>28</v>
      </c>
      <c r="H295" s="7" t="s">
        <v>123</v>
      </c>
      <c r="I295" s="2" t="s">
        <v>218</v>
      </c>
      <c r="J295" s="2" t="s">
        <v>835</v>
      </c>
      <c r="K295" s="2" t="s">
        <v>304</v>
      </c>
      <c r="L295" s="2" t="s">
        <v>125</v>
      </c>
      <c r="M295" s="8" t="str">
        <f>HYPERLINK("http://slimages.macys.com/is/image/MCY/12284172 ")</f>
        <v xml:space="preserve">http://slimages.macys.com/is/image/MCY/12284172 </v>
      </c>
    </row>
    <row r="296" spans="1:13" ht="60" x14ac:dyDescent="0.25">
      <c r="A296" s="7" t="s">
        <v>4148</v>
      </c>
      <c r="B296" s="2" t="s">
        <v>4149</v>
      </c>
      <c r="C296" s="4">
        <v>1</v>
      </c>
      <c r="D296" s="5">
        <v>5.7</v>
      </c>
      <c r="E296" s="5">
        <v>9.99</v>
      </c>
      <c r="F296" s="4" t="s">
        <v>4150</v>
      </c>
      <c r="G296" s="2" t="s">
        <v>2107</v>
      </c>
      <c r="H296" s="7" t="s">
        <v>317</v>
      </c>
      <c r="I296" s="2" t="s">
        <v>73</v>
      </c>
      <c r="J296" s="2" t="s">
        <v>1963</v>
      </c>
      <c r="K296" s="2" t="s">
        <v>304</v>
      </c>
      <c r="L296" s="2" t="s">
        <v>623</v>
      </c>
      <c r="M296" s="8" t="str">
        <f>HYPERLINK("http://slimages.macys.com/is/image/MCY/12684281 ")</f>
        <v xml:space="preserve">http://slimages.macys.com/is/image/MCY/12684281 </v>
      </c>
    </row>
    <row r="297" spans="1:13" ht="96" x14ac:dyDescent="0.25">
      <c r="A297" s="7" t="s">
        <v>4151</v>
      </c>
      <c r="B297" s="2" t="s">
        <v>4152</v>
      </c>
      <c r="C297" s="4">
        <v>2</v>
      </c>
      <c r="D297" s="5">
        <v>5.67</v>
      </c>
      <c r="E297" s="5">
        <v>14.99</v>
      </c>
      <c r="F297" s="4" t="s">
        <v>4153</v>
      </c>
      <c r="G297" s="2" t="s">
        <v>41</v>
      </c>
      <c r="H297" s="7" t="s">
        <v>91</v>
      </c>
      <c r="I297" s="2" t="s">
        <v>483</v>
      </c>
      <c r="J297" s="2" t="s">
        <v>536</v>
      </c>
      <c r="K297" s="2" t="s">
        <v>304</v>
      </c>
      <c r="L297" s="2" t="s">
        <v>4154</v>
      </c>
      <c r="M297" s="8" t="str">
        <f>HYPERLINK("http://slimages.macys.com/is/image/MCY/14384813 ")</f>
        <v xml:space="preserve">http://slimages.macys.com/is/image/MCY/14384813 </v>
      </c>
    </row>
    <row r="298" spans="1:13" ht="96" x14ac:dyDescent="0.25">
      <c r="A298" s="7" t="s">
        <v>4155</v>
      </c>
      <c r="B298" s="2" t="s">
        <v>4152</v>
      </c>
      <c r="C298" s="4">
        <v>2</v>
      </c>
      <c r="D298" s="5">
        <v>5.67</v>
      </c>
      <c r="E298" s="5">
        <v>14.99</v>
      </c>
      <c r="F298" s="4" t="s">
        <v>4153</v>
      </c>
      <c r="G298" s="2" t="s">
        <v>41</v>
      </c>
      <c r="H298" s="7" t="s">
        <v>42</v>
      </c>
      <c r="I298" s="2" t="s">
        <v>483</v>
      </c>
      <c r="J298" s="2" t="s">
        <v>536</v>
      </c>
      <c r="K298" s="2" t="s">
        <v>304</v>
      </c>
      <c r="L298" s="2" t="s">
        <v>4154</v>
      </c>
      <c r="M298" s="8" t="str">
        <f>HYPERLINK("http://slimages.macys.com/is/image/MCY/14384813 ")</f>
        <v xml:space="preserve">http://slimages.macys.com/is/image/MCY/14384813 </v>
      </c>
    </row>
    <row r="299" spans="1:13" ht="96" x14ac:dyDescent="0.25">
      <c r="A299" s="7" t="s">
        <v>4156</v>
      </c>
      <c r="B299" s="2" t="s">
        <v>4152</v>
      </c>
      <c r="C299" s="4">
        <v>1</v>
      </c>
      <c r="D299" s="5">
        <v>5.67</v>
      </c>
      <c r="E299" s="5">
        <v>14.99</v>
      </c>
      <c r="F299" s="4" t="s">
        <v>4153</v>
      </c>
      <c r="G299" s="2" t="s">
        <v>41</v>
      </c>
      <c r="H299" s="7" t="s">
        <v>149</v>
      </c>
      <c r="I299" s="2" t="s">
        <v>483</v>
      </c>
      <c r="J299" s="2" t="s">
        <v>536</v>
      </c>
      <c r="K299" s="2" t="s">
        <v>304</v>
      </c>
      <c r="L299" s="2" t="s">
        <v>4154</v>
      </c>
      <c r="M299" s="8" t="str">
        <f>HYPERLINK("http://slimages.macys.com/is/image/MCY/14384813 ")</f>
        <v xml:space="preserve">http://slimages.macys.com/is/image/MCY/14384813 </v>
      </c>
    </row>
    <row r="300" spans="1:13" ht="96" x14ac:dyDescent="0.25">
      <c r="A300" s="7" t="s">
        <v>4157</v>
      </c>
      <c r="B300" s="2" t="s">
        <v>4152</v>
      </c>
      <c r="C300" s="4">
        <v>2</v>
      </c>
      <c r="D300" s="5">
        <v>5.67</v>
      </c>
      <c r="E300" s="5">
        <v>14.99</v>
      </c>
      <c r="F300" s="4" t="s">
        <v>4153</v>
      </c>
      <c r="G300" s="2" t="s">
        <v>41</v>
      </c>
      <c r="H300" s="7" t="s">
        <v>442</v>
      </c>
      <c r="I300" s="2" t="s">
        <v>483</v>
      </c>
      <c r="J300" s="2" t="s">
        <v>536</v>
      </c>
      <c r="K300" s="2" t="s">
        <v>304</v>
      </c>
      <c r="L300" s="2" t="s">
        <v>4154</v>
      </c>
      <c r="M300" s="8" t="str">
        <f>HYPERLINK("http://slimages.macys.com/is/image/MCY/14384813 ")</f>
        <v xml:space="preserve">http://slimages.macys.com/is/image/MCY/14384813 </v>
      </c>
    </row>
    <row r="301" spans="1:13" ht="96" x14ac:dyDescent="0.25">
      <c r="A301" s="7" t="s">
        <v>4158</v>
      </c>
      <c r="B301" s="2" t="s">
        <v>4152</v>
      </c>
      <c r="C301" s="4">
        <v>1</v>
      </c>
      <c r="D301" s="5">
        <v>5.67</v>
      </c>
      <c r="E301" s="5">
        <v>14.99</v>
      </c>
      <c r="F301" s="4" t="s">
        <v>4153</v>
      </c>
      <c r="G301" s="2" t="s">
        <v>41</v>
      </c>
      <c r="H301" s="7" t="s">
        <v>590</v>
      </c>
      <c r="I301" s="2" t="s">
        <v>483</v>
      </c>
      <c r="J301" s="2" t="s">
        <v>536</v>
      </c>
      <c r="K301" s="2" t="s">
        <v>304</v>
      </c>
      <c r="L301" s="2" t="s">
        <v>4154</v>
      </c>
      <c r="M301" s="8" t="str">
        <f>HYPERLINK("http://slimages.macys.com/is/image/MCY/14384813 ")</f>
        <v xml:space="preserve">http://slimages.macys.com/is/image/MCY/14384813 </v>
      </c>
    </row>
    <row r="302" spans="1:13" ht="60" x14ac:dyDescent="0.25">
      <c r="A302" s="7" t="s">
        <v>2638</v>
      </c>
      <c r="B302" s="2" t="s">
        <v>2639</v>
      </c>
      <c r="C302" s="4">
        <v>2</v>
      </c>
      <c r="D302" s="5">
        <v>5.6</v>
      </c>
      <c r="E302" s="5">
        <v>13.99</v>
      </c>
      <c r="F302" s="4" t="s">
        <v>2640</v>
      </c>
      <c r="G302" s="2" t="s">
        <v>874</v>
      </c>
      <c r="H302" s="7" t="s">
        <v>91</v>
      </c>
      <c r="I302" s="2" t="s">
        <v>483</v>
      </c>
      <c r="J302" s="2" t="s">
        <v>536</v>
      </c>
      <c r="K302" s="2" t="s">
        <v>304</v>
      </c>
      <c r="L302" s="2" t="s">
        <v>125</v>
      </c>
      <c r="M302" s="8" t="str">
        <f>HYPERLINK("http://slimages.macys.com/is/image/MCY/14446785 ")</f>
        <v xml:space="preserve">http://slimages.macys.com/is/image/MCY/14446785 </v>
      </c>
    </row>
    <row r="303" spans="1:13" ht="60" x14ac:dyDescent="0.25">
      <c r="A303" s="7" t="s">
        <v>3405</v>
      </c>
      <c r="B303" s="2" t="s">
        <v>2639</v>
      </c>
      <c r="C303" s="4">
        <v>1</v>
      </c>
      <c r="D303" s="5">
        <v>5.6</v>
      </c>
      <c r="E303" s="5">
        <v>13.99</v>
      </c>
      <c r="F303" s="4" t="s">
        <v>2640</v>
      </c>
      <c r="G303" s="2" t="s">
        <v>874</v>
      </c>
      <c r="H303" s="7" t="s">
        <v>590</v>
      </c>
      <c r="I303" s="2" t="s">
        <v>483</v>
      </c>
      <c r="J303" s="2" t="s">
        <v>536</v>
      </c>
      <c r="K303" s="2" t="s">
        <v>304</v>
      </c>
      <c r="L303" s="2" t="s">
        <v>125</v>
      </c>
      <c r="M303" s="8" t="str">
        <f>HYPERLINK("http://slimages.macys.com/is/image/MCY/14446785 ")</f>
        <v xml:space="preserve">http://slimages.macys.com/is/image/MCY/14446785 </v>
      </c>
    </row>
    <row r="304" spans="1:13" ht="60" x14ac:dyDescent="0.25">
      <c r="A304" s="7" t="s">
        <v>2641</v>
      </c>
      <c r="B304" s="2" t="s">
        <v>2639</v>
      </c>
      <c r="C304" s="4">
        <v>2</v>
      </c>
      <c r="D304" s="5">
        <v>5.6</v>
      </c>
      <c r="E304" s="5">
        <v>13.99</v>
      </c>
      <c r="F304" s="4" t="s">
        <v>2640</v>
      </c>
      <c r="G304" s="2" t="s">
        <v>874</v>
      </c>
      <c r="H304" s="7" t="s">
        <v>42</v>
      </c>
      <c r="I304" s="2" t="s">
        <v>483</v>
      </c>
      <c r="J304" s="2" t="s">
        <v>536</v>
      </c>
      <c r="K304" s="2" t="s">
        <v>304</v>
      </c>
      <c r="L304" s="2" t="s">
        <v>125</v>
      </c>
      <c r="M304" s="8" t="str">
        <f>HYPERLINK("http://slimages.macys.com/is/image/MCY/14446785 ")</f>
        <v xml:space="preserve">http://slimages.macys.com/is/image/MCY/14446785 </v>
      </c>
    </row>
    <row r="305" spans="1:13" ht="60" x14ac:dyDescent="0.25">
      <c r="A305" s="7" t="s">
        <v>4159</v>
      </c>
      <c r="B305" s="2" t="s">
        <v>4160</v>
      </c>
      <c r="C305" s="4">
        <v>1</v>
      </c>
      <c r="D305" s="5">
        <v>5.55</v>
      </c>
      <c r="E305" s="5">
        <v>13.5</v>
      </c>
      <c r="F305" s="4">
        <v>18345419</v>
      </c>
      <c r="G305" s="2"/>
      <c r="H305" s="7" t="s">
        <v>42</v>
      </c>
      <c r="I305" s="2" t="s">
        <v>153</v>
      </c>
      <c r="J305" s="2" t="s">
        <v>3580</v>
      </c>
      <c r="K305" s="2" t="s">
        <v>304</v>
      </c>
      <c r="L305" s="2" t="s">
        <v>206</v>
      </c>
      <c r="M305" s="8" t="str">
        <f>HYPERLINK("http://slimages.macys.com/is/image/MCY/14888873 ")</f>
        <v xml:space="preserve">http://slimages.macys.com/is/image/MCY/14888873 </v>
      </c>
    </row>
    <row r="306" spans="1:13" ht="60" x14ac:dyDescent="0.25">
      <c r="A306" s="7" t="s">
        <v>4161</v>
      </c>
      <c r="B306" s="2" t="s">
        <v>3961</v>
      </c>
      <c r="C306" s="4">
        <v>1</v>
      </c>
      <c r="D306" s="5">
        <v>5.55</v>
      </c>
      <c r="E306" s="5">
        <v>11.1</v>
      </c>
      <c r="F306" s="4">
        <v>28441513</v>
      </c>
      <c r="G306" s="2"/>
      <c r="H306" s="7" t="s">
        <v>209</v>
      </c>
      <c r="I306" s="2" t="s">
        <v>487</v>
      </c>
      <c r="J306" s="2" t="s">
        <v>2424</v>
      </c>
      <c r="K306" s="2" t="s">
        <v>304</v>
      </c>
      <c r="L306" s="2" t="s">
        <v>206</v>
      </c>
      <c r="M306" s="8" t="str">
        <f>HYPERLINK("http://slimages.macys.com/is/image/MCY/14661875 ")</f>
        <v xml:space="preserve">http://slimages.macys.com/is/image/MCY/14661875 </v>
      </c>
    </row>
    <row r="307" spans="1:13" ht="60" x14ac:dyDescent="0.25">
      <c r="A307" s="7" t="s">
        <v>4162</v>
      </c>
      <c r="B307" s="2" t="s">
        <v>4163</v>
      </c>
      <c r="C307" s="4">
        <v>1</v>
      </c>
      <c r="D307" s="5">
        <v>5.55</v>
      </c>
      <c r="E307" s="5">
        <v>11.1</v>
      </c>
      <c r="F307" s="4">
        <v>28441514</v>
      </c>
      <c r="G307" s="2" t="s">
        <v>62</v>
      </c>
      <c r="H307" s="7" t="s">
        <v>144</v>
      </c>
      <c r="I307" s="2" t="s">
        <v>487</v>
      </c>
      <c r="J307" s="2" t="s">
        <v>2424</v>
      </c>
      <c r="K307" s="2" t="s">
        <v>304</v>
      </c>
      <c r="L307" s="2" t="s">
        <v>206</v>
      </c>
      <c r="M307" s="8" t="str">
        <f>HYPERLINK("http://slimages.macys.com/is/image/MCY/14661874 ")</f>
        <v xml:space="preserve">http://slimages.macys.com/is/image/MCY/14661874 </v>
      </c>
    </row>
    <row r="308" spans="1:13" ht="60" x14ac:dyDescent="0.25">
      <c r="A308" s="7" t="s">
        <v>4164</v>
      </c>
      <c r="B308" s="2" t="s">
        <v>3410</v>
      </c>
      <c r="C308" s="4">
        <v>1</v>
      </c>
      <c r="D308" s="5">
        <v>5.52</v>
      </c>
      <c r="E308" s="5">
        <v>13.99</v>
      </c>
      <c r="F308" s="4" t="s">
        <v>3411</v>
      </c>
      <c r="G308" s="2" t="s">
        <v>62</v>
      </c>
      <c r="H308" s="7" t="s">
        <v>42</v>
      </c>
      <c r="I308" s="2" t="s">
        <v>483</v>
      </c>
      <c r="J308" s="2" t="s">
        <v>536</v>
      </c>
      <c r="K308" s="2" t="s">
        <v>304</v>
      </c>
      <c r="L308" s="2" t="s">
        <v>596</v>
      </c>
      <c r="M308" s="8" t="str">
        <f>HYPERLINK("http://slimages.macys.com/is/image/MCY/14630640 ")</f>
        <v xml:space="preserve">http://slimages.macys.com/is/image/MCY/14630640 </v>
      </c>
    </row>
    <row r="309" spans="1:13" ht="60" x14ac:dyDescent="0.25">
      <c r="A309" s="7" t="s">
        <v>4165</v>
      </c>
      <c r="B309" s="2" t="s">
        <v>3410</v>
      </c>
      <c r="C309" s="4">
        <v>1</v>
      </c>
      <c r="D309" s="5">
        <v>5.52</v>
      </c>
      <c r="E309" s="5">
        <v>13.99</v>
      </c>
      <c r="F309" s="4" t="s">
        <v>3411</v>
      </c>
      <c r="G309" s="2" t="s">
        <v>62</v>
      </c>
      <c r="H309" s="7" t="s">
        <v>590</v>
      </c>
      <c r="I309" s="2" t="s">
        <v>483</v>
      </c>
      <c r="J309" s="2" t="s">
        <v>536</v>
      </c>
      <c r="K309" s="2" t="s">
        <v>304</v>
      </c>
      <c r="L309" s="2" t="s">
        <v>596</v>
      </c>
      <c r="M309" s="8" t="str">
        <f>HYPERLINK("http://slimages.macys.com/is/image/MCY/14630640 ")</f>
        <v xml:space="preserve">http://slimages.macys.com/is/image/MCY/14630640 </v>
      </c>
    </row>
    <row r="310" spans="1:13" ht="180" x14ac:dyDescent="0.25">
      <c r="A310" s="7" t="s">
        <v>4166</v>
      </c>
      <c r="B310" s="2" t="s">
        <v>4167</v>
      </c>
      <c r="C310" s="4">
        <v>2</v>
      </c>
      <c r="D310" s="5">
        <v>5.5</v>
      </c>
      <c r="E310" s="5">
        <v>12.99</v>
      </c>
      <c r="F310" s="4" t="s">
        <v>4168</v>
      </c>
      <c r="G310" s="2" t="s">
        <v>28</v>
      </c>
      <c r="H310" s="7" t="s">
        <v>91</v>
      </c>
      <c r="I310" s="2" t="s">
        <v>92</v>
      </c>
      <c r="J310" s="2" t="s">
        <v>1076</v>
      </c>
      <c r="K310" s="2" t="s">
        <v>304</v>
      </c>
      <c r="L310" s="2" t="s">
        <v>2647</v>
      </c>
      <c r="M310" s="8" t="str">
        <f>HYPERLINK("http://slimages.macys.com/is/image/MCY/15654443 ")</f>
        <v xml:space="preserve">http://slimages.macys.com/is/image/MCY/15654443 </v>
      </c>
    </row>
    <row r="311" spans="1:13" ht="60" x14ac:dyDescent="0.25">
      <c r="A311" s="7" t="s">
        <v>1913</v>
      </c>
      <c r="B311" s="2" t="s">
        <v>1074</v>
      </c>
      <c r="C311" s="4">
        <v>1</v>
      </c>
      <c r="D311" s="5">
        <v>5.5</v>
      </c>
      <c r="E311" s="5">
        <v>12.99</v>
      </c>
      <c r="F311" s="4" t="s">
        <v>1075</v>
      </c>
      <c r="G311" s="2"/>
      <c r="H311" s="7" t="s">
        <v>91</v>
      </c>
      <c r="I311" s="2" t="s">
        <v>92</v>
      </c>
      <c r="J311" s="2" t="s">
        <v>1076</v>
      </c>
      <c r="K311" s="2" t="s">
        <v>304</v>
      </c>
      <c r="L311" s="2" t="s">
        <v>100</v>
      </c>
      <c r="M311" s="8" t="str">
        <f>HYPERLINK("http://slimages.macys.com/is/image/MCY/15654522 ")</f>
        <v xml:space="preserve">http://slimages.macys.com/is/image/MCY/15654522 </v>
      </c>
    </row>
    <row r="312" spans="1:13" ht="180" x14ac:dyDescent="0.25">
      <c r="A312" s="7" t="s">
        <v>4169</v>
      </c>
      <c r="B312" s="2" t="s">
        <v>2645</v>
      </c>
      <c r="C312" s="4">
        <v>1</v>
      </c>
      <c r="D312" s="5">
        <v>5.5</v>
      </c>
      <c r="E312" s="5">
        <v>12.99</v>
      </c>
      <c r="F312" s="4" t="s">
        <v>2646</v>
      </c>
      <c r="G312" s="2" t="s">
        <v>41</v>
      </c>
      <c r="H312" s="7" t="s">
        <v>42</v>
      </c>
      <c r="I312" s="2" t="s">
        <v>135</v>
      </c>
      <c r="J312" s="2" t="s">
        <v>1076</v>
      </c>
      <c r="K312" s="2" t="s">
        <v>304</v>
      </c>
      <c r="L312" s="2" t="s">
        <v>2647</v>
      </c>
      <c r="M312" s="8" t="str">
        <f>HYPERLINK("http://slimages.macys.com/is/image/MCY/15654567 ")</f>
        <v xml:space="preserve">http://slimages.macys.com/is/image/MCY/15654567 </v>
      </c>
    </row>
    <row r="313" spans="1:13" ht="60" x14ac:dyDescent="0.25">
      <c r="A313" s="7" t="s">
        <v>1912</v>
      </c>
      <c r="B313" s="2" t="s">
        <v>1074</v>
      </c>
      <c r="C313" s="4">
        <v>1</v>
      </c>
      <c r="D313" s="5">
        <v>5.5</v>
      </c>
      <c r="E313" s="5">
        <v>12.99</v>
      </c>
      <c r="F313" s="4" t="s">
        <v>1075</v>
      </c>
      <c r="G313" s="2"/>
      <c r="H313" s="7" t="s">
        <v>42</v>
      </c>
      <c r="I313" s="2" t="s">
        <v>92</v>
      </c>
      <c r="J313" s="2" t="s">
        <v>1076</v>
      </c>
      <c r="K313" s="2" t="s">
        <v>304</v>
      </c>
      <c r="L313" s="2" t="s">
        <v>100</v>
      </c>
      <c r="M313" s="8" t="str">
        <f>HYPERLINK("http://slimages.macys.com/is/image/MCY/15654522 ")</f>
        <v xml:space="preserve">http://slimages.macys.com/is/image/MCY/15654522 </v>
      </c>
    </row>
    <row r="314" spans="1:13" ht="60" x14ac:dyDescent="0.25">
      <c r="A314" s="7" t="s">
        <v>4170</v>
      </c>
      <c r="B314" s="2" t="s">
        <v>4171</v>
      </c>
      <c r="C314" s="4">
        <v>1</v>
      </c>
      <c r="D314" s="5">
        <v>5.5</v>
      </c>
      <c r="E314" s="5">
        <v>12.99</v>
      </c>
      <c r="F314" s="4" t="s">
        <v>4172</v>
      </c>
      <c r="G314" s="2" t="s">
        <v>62</v>
      </c>
      <c r="H314" s="7" t="s">
        <v>228</v>
      </c>
      <c r="I314" s="2" t="s">
        <v>515</v>
      </c>
      <c r="J314" s="2" t="s">
        <v>827</v>
      </c>
      <c r="K314" s="2" t="s">
        <v>304</v>
      </c>
      <c r="L314" s="2" t="s">
        <v>358</v>
      </c>
      <c r="M314" s="8" t="str">
        <f>HYPERLINK("http://slimages.macys.com/is/image/MCY/10131167 ")</f>
        <v xml:space="preserve">http://slimages.macys.com/is/image/MCY/10131167 </v>
      </c>
    </row>
    <row r="315" spans="1:13" ht="84" x14ac:dyDescent="0.25">
      <c r="A315" s="7" t="s">
        <v>4173</v>
      </c>
      <c r="B315" s="2" t="s">
        <v>4174</v>
      </c>
      <c r="C315" s="4">
        <v>1</v>
      </c>
      <c r="D315" s="5">
        <v>5.44</v>
      </c>
      <c r="E315" s="5">
        <v>14.99</v>
      </c>
      <c r="F315" s="4" t="s">
        <v>4175</v>
      </c>
      <c r="G315" s="2" t="s">
        <v>195</v>
      </c>
      <c r="H315" s="7" t="s">
        <v>149</v>
      </c>
      <c r="I315" s="2" t="s">
        <v>483</v>
      </c>
      <c r="J315" s="2" t="s">
        <v>4176</v>
      </c>
      <c r="K315" s="2" t="s">
        <v>304</v>
      </c>
      <c r="L315" s="2" t="s">
        <v>4177</v>
      </c>
      <c r="M315" s="8" t="str">
        <f>HYPERLINK("http://slimages.macys.com/is/image/MCY/14601081 ")</f>
        <v xml:space="preserve">http://slimages.macys.com/is/image/MCY/14601081 </v>
      </c>
    </row>
    <row r="316" spans="1:13" ht="84" x14ac:dyDescent="0.25">
      <c r="A316" s="7" t="s">
        <v>4178</v>
      </c>
      <c r="B316" s="2" t="s">
        <v>4174</v>
      </c>
      <c r="C316" s="4">
        <v>1</v>
      </c>
      <c r="D316" s="5">
        <v>5.44</v>
      </c>
      <c r="E316" s="5">
        <v>14.99</v>
      </c>
      <c r="F316" s="4" t="s">
        <v>4175</v>
      </c>
      <c r="G316" s="2" t="s">
        <v>195</v>
      </c>
      <c r="H316" s="7" t="s">
        <v>590</v>
      </c>
      <c r="I316" s="2" t="s">
        <v>483</v>
      </c>
      <c r="J316" s="2" t="s">
        <v>4176</v>
      </c>
      <c r="K316" s="2" t="s">
        <v>304</v>
      </c>
      <c r="L316" s="2" t="s">
        <v>4177</v>
      </c>
      <c r="M316" s="8" t="str">
        <f>HYPERLINK("http://slimages.macys.com/is/image/MCY/14601081 ")</f>
        <v xml:space="preserve">http://slimages.macys.com/is/image/MCY/14601081 </v>
      </c>
    </row>
    <row r="317" spans="1:13" ht="84" x14ac:dyDescent="0.25">
      <c r="A317" s="7" t="s">
        <v>4179</v>
      </c>
      <c r="B317" s="2" t="s">
        <v>4174</v>
      </c>
      <c r="C317" s="4">
        <v>2</v>
      </c>
      <c r="D317" s="5">
        <v>5.44</v>
      </c>
      <c r="E317" s="5">
        <v>14.99</v>
      </c>
      <c r="F317" s="4" t="s">
        <v>4175</v>
      </c>
      <c r="G317" s="2" t="s">
        <v>195</v>
      </c>
      <c r="H317" s="7" t="s">
        <v>442</v>
      </c>
      <c r="I317" s="2" t="s">
        <v>483</v>
      </c>
      <c r="J317" s="2" t="s">
        <v>4176</v>
      </c>
      <c r="K317" s="2" t="s">
        <v>304</v>
      </c>
      <c r="L317" s="2" t="s">
        <v>4177</v>
      </c>
      <c r="M317" s="8" t="str">
        <f>HYPERLINK("http://slimages.macys.com/is/image/MCY/14601081 ")</f>
        <v xml:space="preserve">http://slimages.macys.com/is/image/MCY/14601081 </v>
      </c>
    </row>
    <row r="318" spans="1:13" ht="84" x14ac:dyDescent="0.25">
      <c r="A318" s="7" t="s">
        <v>4180</v>
      </c>
      <c r="B318" s="2" t="s">
        <v>4174</v>
      </c>
      <c r="C318" s="4">
        <v>4</v>
      </c>
      <c r="D318" s="5">
        <v>5.44</v>
      </c>
      <c r="E318" s="5">
        <v>14.99</v>
      </c>
      <c r="F318" s="4" t="s">
        <v>4175</v>
      </c>
      <c r="G318" s="2" t="s">
        <v>195</v>
      </c>
      <c r="H318" s="7" t="s">
        <v>91</v>
      </c>
      <c r="I318" s="2" t="s">
        <v>483</v>
      </c>
      <c r="J318" s="2" t="s">
        <v>4176</v>
      </c>
      <c r="K318" s="2" t="s">
        <v>304</v>
      </c>
      <c r="L318" s="2" t="s">
        <v>4177</v>
      </c>
      <c r="M318" s="8" t="str">
        <f>HYPERLINK("http://slimages.macys.com/is/image/MCY/14601081 ")</f>
        <v xml:space="preserve">http://slimages.macys.com/is/image/MCY/14601081 </v>
      </c>
    </row>
    <row r="319" spans="1:13" ht="72" x14ac:dyDescent="0.25">
      <c r="A319" s="7" t="s">
        <v>1930</v>
      </c>
      <c r="B319" s="2" t="s">
        <v>1927</v>
      </c>
      <c r="C319" s="4">
        <v>1</v>
      </c>
      <c r="D319" s="5">
        <v>5.4</v>
      </c>
      <c r="E319" s="5">
        <v>12.99</v>
      </c>
      <c r="F319" s="4" t="s">
        <v>1928</v>
      </c>
      <c r="G319" s="2"/>
      <c r="H319" s="7" t="s">
        <v>91</v>
      </c>
      <c r="I319" s="2" t="s">
        <v>92</v>
      </c>
      <c r="J319" s="2" t="s">
        <v>1076</v>
      </c>
      <c r="K319" s="2" t="s">
        <v>304</v>
      </c>
      <c r="L319" s="2" t="s">
        <v>1929</v>
      </c>
      <c r="M319" s="8" t="str">
        <f>HYPERLINK("http://slimages.macys.com/is/image/MCY/15654525 ")</f>
        <v xml:space="preserve">http://slimages.macys.com/is/image/MCY/15654525 </v>
      </c>
    </row>
    <row r="320" spans="1:13" ht="60" x14ac:dyDescent="0.25">
      <c r="A320" s="7" t="s">
        <v>4181</v>
      </c>
      <c r="B320" s="2" t="s">
        <v>1081</v>
      </c>
      <c r="C320" s="4">
        <v>1</v>
      </c>
      <c r="D320" s="5">
        <v>5.35</v>
      </c>
      <c r="E320" s="5">
        <v>13.99</v>
      </c>
      <c r="F320" s="4" t="s">
        <v>1082</v>
      </c>
      <c r="G320" s="2" t="s">
        <v>41</v>
      </c>
      <c r="H320" s="7" t="s">
        <v>91</v>
      </c>
      <c r="I320" s="2" t="s">
        <v>483</v>
      </c>
      <c r="J320" s="2" t="s">
        <v>536</v>
      </c>
      <c r="K320" s="2" t="s">
        <v>304</v>
      </c>
      <c r="L320" s="2" t="s">
        <v>125</v>
      </c>
      <c r="M320" s="8" t="str">
        <f>HYPERLINK("http://slimages.macys.com/is/image/MCY/14447244 ")</f>
        <v xml:space="preserve">http://slimages.macys.com/is/image/MCY/14447244 </v>
      </c>
    </row>
    <row r="321" spans="1:13" ht="60" x14ac:dyDescent="0.25">
      <c r="A321" s="7" t="s">
        <v>4182</v>
      </c>
      <c r="B321" s="2" t="s">
        <v>1081</v>
      </c>
      <c r="C321" s="4">
        <v>2</v>
      </c>
      <c r="D321" s="5">
        <v>5.35</v>
      </c>
      <c r="E321" s="5">
        <v>13.99</v>
      </c>
      <c r="F321" s="4" t="s">
        <v>1082</v>
      </c>
      <c r="G321" s="2" t="s">
        <v>41</v>
      </c>
      <c r="H321" s="7" t="s">
        <v>42</v>
      </c>
      <c r="I321" s="2" t="s">
        <v>483</v>
      </c>
      <c r="J321" s="2" t="s">
        <v>536</v>
      </c>
      <c r="K321" s="2" t="s">
        <v>304</v>
      </c>
      <c r="L321" s="2" t="s">
        <v>125</v>
      </c>
      <c r="M321" s="8" t="str">
        <f>HYPERLINK("http://slimages.macys.com/is/image/MCY/14447244 ")</f>
        <v xml:space="preserve">http://slimages.macys.com/is/image/MCY/14447244 </v>
      </c>
    </row>
    <row r="322" spans="1:13" ht="60" x14ac:dyDescent="0.25">
      <c r="A322" s="7" t="s">
        <v>4183</v>
      </c>
      <c r="B322" s="2" t="s">
        <v>4184</v>
      </c>
      <c r="C322" s="4">
        <v>1</v>
      </c>
      <c r="D322" s="5">
        <v>5.25</v>
      </c>
      <c r="E322" s="5">
        <v>10.5</v>
      </c>
      <c r="F322" s="4">
        <v>27853610</v>
      </c>
      <c r="G322" s="2" t="s">
        <v>892</v>
      </c>
      <c r="H322" s="7" t="s">
        <v>68</v>
      </c>
      <c r="I322" s="2" t="s">
        <v>487</v>
      </c>
      <c r="J322" s="2" t="s">
        <v>488</v>
      </c>
      <c r="K322" s="2" t="s">
        <v>304</v>
      </c>
      <c r="L322" s="2" t="s">
        <v>38</v>
      </c>
      <c r="M322" s="8" t="str">
        <f>HYPERLINK("http://slimages.macys.com/is/image/MCY/13852892 ")</f>
        <v xml:space="preserve">http://slimages.macys.com/is/image/MCY/13852892 </v>
      </c>
    </row>
    <row r="323" spans="1:13" ht="96" x14ac:dyDescent="0.25">
      <c r="A323" s="7" t="s">
        <v>2651</v>
      </c>
      <c r="B323" s="2" t="s">
        <v>2649</v>
      </c>
      <c r="C323" s="4">
        <v>1</v>
      </c>
      <c r="D323" s="5">
        <v>5.25</v>
      </c>
      <c r="E323" s="5">
        <v>14.99</v>
      </c>
      <c r="F323" s="4" t="s">
        <v>2650</v>
      </c>
      <c r="G323" s="2" t="s">
        <v>48</v>
      </c>
      <c r="H323" s="7" t="s">
        <v>68</v>
      </c>
      <c r="I323" s="2" t="s">
        <v>135</v>
      </c>
      <c r="J323" s="2" t="s">
        <v>1076</v>
      </c>
      <c r="K323" s="2" t="s">
        <v>304</v>
      </c>
      <c r="L323" s="2" t="s">
        <v>1948</v>
      </c>
      <c r="M323" s="8" t="str">
        <f>HYPERLINK("http://slimages.macys.com/is/image/MCY/15367969 ")</f>
        <v xml:space="preserve">http://slimages.macys.com/is/image/MCY/15367969 </v>
      </c>
    </row>
    <row r="324" spans="1:13" ht="96" x14ac:dyDescent="0.25">
      <c r="A324" s="7" t="s">
        <v>2652</v>
      </c>
      <c r="B324" s="2" t="s">
        <v>2649</v>
      </c>
      <c r="C324" s="4">
        <v>1</v>
      </c>
      <c r="D324" s="5">
        <v>5.25</v>
      </c>
      <c r="E324" s="5">
        <v>14.99</v>
      </c>
      <c r="F324" s="4" t="s">
        <v>2650</v>
      </c>
      <c r="G324" s="2" t="s">
        <v>48</v>
      </c>
      <c r="H324" s="7" t="s">
        <v>91</v>
      </c>
      <c r="I324" s="2" t="s">
        <v>135</v>
      </c>
      <c r="J324" s="2" t="s">
        <v>1076</v>
      </c>
      <c r="K324" s="2" t="s">
        <v>304</v>
      </c>
      <c r="L324" s="2" t="s">
        <v>1948</v>
      </c>
      <c r="M324" s="8" t="str">
        <f>HYPERLINK("http://slimages.macys.com/is/image/MCY/15367911 ")</f>
        <v xml:space="preserve">http://slimages.macys.com/is/image/MCY/15367911 </v>
      </c>
    </row>
    <row r="325" spans="1:13" ht="96" x14ac:dyDescent="0.25">
      <c r="A325" s="7" t="s">
        <v>4185</v>
      </c>
      <c r="B325" s="2" t="s">
        <v>4186</v>
      </c>
      <c r="C325" s="4">
        <v>3</v>
      </c>
      <c r="D325" s="5">
        <v>5.25</v>
      </c>
      <c r="E325" s="5">
        <v>14.99</v>
      </c>
      <c r="F325" s="4" t="s">
        <v>4187</v>
      </c>
      <c r="G325" s="2" t="s">
        <v>28</v>
      </c>
      <c r="H325" s="7" t="s">
        <v>42</v>
      </c>
      <c r="I325" s="2" t="s">
        <v>135</v>
      </c>
      <c r="J325" s="2" t="s">
        <v>1076</v>
      </c>
      <c r="K325" s="2" t="s">
        <v>304</v>
      </c>
      <c r="L325" s="2" t="s">
        <v>1948</v>
      </c>
      <c r="M325" s="8" t="str">
        <f>HYPERLINK("http://slimages.macys.com/is/image/MCY/15654516 ")</f>
        <v xml:space="preserve">http://slimages.macys.com/is/image/MCY/15654516 </v>
      </c>
    </row>
    <row r="326" spans="1:13" ht="60" x14ac:dyDescent="0.25">
      <c r="A326" s="7" t="s">
        <v>533</v>
      </c>
      <c r="B326" s="2" t="s">
        <v>534</v>
      </c>
      <c r="C326" s="4">
        <v>9</v>
      </c>
      <c r="D326" s="5">
        <v>5.0999999999999996</v>
      </c>
      <c r="E326" s="5">
        <v>13.5</v>
      </c>
      <c r="F326" s="4" t="s">
        <v>535</v>
      </c>
      <c r="G326" s="2" t="s">
        <v>86</v>
      </c>
      <c r="H326" s="7"/>
      <c r="I326" s="2" t="s">
        <v>483</v>
      </c>
      <c r="J326" s="2" t="s">
        <v>536</v>
      </c>
      <c r="K326" s="2" t="s">
        <v>304</v>
      </c>
      <c r="L326" s="2" t="s">
        <v>537</v>
      </c>
      <c r="M326" s="8" t="str">
        <f>HYPERLINK("http://slimages.macys.com/is/image/MCY/9157948 ")</f>
        <v xml:space="preserve">http://slimages.macys.com/is/image/MCY/9157948 </v>
      </c>
    </row>
    <row r="327" spans="1:13" ht="60" x14ac:dyDescent="0.25">
      <c r="A327" s="7" t="s">
        <v>3423</v>
      </c>
      <c r="B327" s="2" t="s">
        <v>534</v>
      </c>
      <c r="C327" s="4">
        <v>2</v>
      </c>
      <c r="D327" s="5">
        <v>5.0999999999999996</v>
      </c>
      <c r="E327" s="5">
        <v>13.5</v>
      </c>
      <c r="F327" s="4" t="s">
        <v>535</v>
      </c>
      <c r="G327" s="2" t="s">
        <v>86</v>
      </c>
      <c r="H327" s="7" t="s">
        <v>590</v>
      </c>
      <c r="I327" s="2" t="s">
        <v>483</v>
      </c>
      <c r="J327" s="2" t="s">
        <v>536</v>
      </c>
      <c r="K327" s="2" t="s">
        <v>304</v>
      </c>
      <c r="L327" s="2" t="s">
        <v>537</v>
      </c>
      <c r="M327" s="8" t="str">
        <f>HYPERLINK("http://slimages.macys.com/is/image/MCY/9157948 ")</f>
        <v xml:space="preserve">http://slimages.macys.com/is/image/MCY/9157948 </v>
      </c>
    </row>
    <row r="328" spans="1:13" ht="84" x14ac:dyDescent="0.25">
      <c r="A328" s="7" t="s">
        <v>528</v>
      </c>
      <c r="B328" s="2" t="s">
        <v>529</v>
      </c>
      <c r="C328" s="4">
        <v>1</v>
      </c>
      <c r="D328" s="5">
        <v>5.0999999999999996</v>
      </c>
      <c r="E328" s="5">
        <v>10.99</v>
      </c>
      <c r="F328" s="4" t="s">
        <v>530</v>
      </c>
      <c r="G328" s="2" t="s">
        <v>41</v>
      </c>
      <c r="H328" s="7" t="s">
        <v>531</v>
      </c>
      <c r="I328" s="2" t="s">
        <v>483</v>
      </c>
      <c r="J328" s="2" t="s">
        <v>484</v>
      </c>
      <c r="K328" s="2" t="s">
        <v>304</v>
      </c>
      <c r="L328" s="2" t="s">
        <v>532</v>
      </c>
      <c r="M328" s="8" t="str">
        <f>HYPERLINK("http://slimages.macys.com/is/image/MCY/8549851 ")</f>
        <v xml:space="preserve">http://slimages.macys.com/is/image/MCY/8549851 </v>
      </c>
    </row>
    <row r="329" spans="1:13" ht="60" x14ac:dyDescent="0.25">
      <c r="A329" s="7" t="s">
        <v>3424</v>
      </c>
      <c r="B329" s="2" t="s">
        <v>534</v>
      </c>
      <c r="C329" s="4">
        <v>1</v>
      </c>
      <c r="D329" s="5">
        <v>5.0999999999999996</v>
      </c>
      <c r="E329" s="5">
        <v>13.5</v>
      </c>
      <c r="F329" s="4">
        <v>100006338</v>
      </c>
      <c r="G329" s="2" t="s">
        <v>86</v>
      </c>
      <c r="H329" s="7" t="s">
        <v>442</v>
      </c>
      <c r="I329" s="2" t="s">
        <v>483</v>
      </c>
      <c r="J329" s="2" t="s">
        <v>536</v>
      </c>
      <c r="K329" s="2" t="s">
        <v>304</v>
      </c>
      <c r="L329" s="2" t="s">
        <v>537</v>
      </c>
      <c r="M329" s="8" t="str">
        <f>HYPERLINK("http://slimages.macys.com/is/image/MCY/9157948 ")</f>
        <v xml:space="preserve">http://slimages.macys.com/is/image/MCY/9157948 </v>
      </c>
    </row>
    <row r="330" spans="1:13" ht="60" x14ac:dyDescent="0.25">
      <c r="A330" s="7" t="s">
        <v>4188</v>
      </c>
      <c r="B330" s="2" t="s">
        <v>534</v>
      </c>
      <c r="C330" s="4">
        <v>1</v>
      </c>
      <c r="D330" s="5">
        <v>5.0999999999999996</v>
      </c>
      <c r="E330" s="5">
        <v>13.5</v>
      </c>
      <c r="F330" s="4">
        <v>100006338</v>
      </c>
      <c r="G330" s="2" t="s">
        <v>86</v>
      </c>
      <c r="H330" s="7"/>
      <c r="I330" s="2" t="s">
        <v>483</v>
      </c>
      <c r="J330" s="2" t="s">
        <v>536</v>
      </c>
      <c r="K330" s="2" t="s">
        <v>304</v>
      </c>
      <c r="L330" s="2" t="s">
        <v>537</v>
      </c>
      <c r="M330" s="8" t="str">
        <f>HYPERLINK("http://slimages.macys.com/is/image/MCY/9157948 ")</f>
        <v xml:space="preserve">http://slimages.macys.com/is/image/MCY/9157948 </v>
      </c>
    </row>
    <row r="331" spans="1:13" ht="60" x14ac:dyDescent="0.25">
      <c r="A331" s="7" t="s">
        <v>4189</v>
      </c>
      <c r="B331" s="2" t="s">
        <v>534</v>
      </c>
      <c r="C331" s="4">
        <v>7</v>
      </c>
      <c r="D331" s="5">
        <v>5.0999999999999996</v>
      </c>
      <c r="E331" s="5">
        <v>13.5</v>
      </c>
      <c r="F331" s="4" t="s">
        <v>535</v>
      </c>
      <c r="G331" s="2" t="s">
        <v>86</v>
      </c>
      <c r="H331" s="7" t="s">
        <v>149</v>
      </c>
      <c r="I331" s="2" t="s">
        <v>483</v>
      </c>
      <c r="J331" s="2" t="s">
        <v>536</v>
      </c>
      <c r="K331" s="2" t="s">
        <v>304</v>
      </c>
      <c r="L331" s="2" t="s">
        <v>537</v>
      </c>
      <c r="M331" s="8" t="str">
        <f>HYPERLINK("http://slimages.macys.com/is/image/MCY/9157948 ")</f>
        <v xml:space="preserve">http://slimages.macys.com/is/image/MCY/9157948 </v>
      </c>
    </row>
    <row r="332" spans="1:13" ht="60" x14ac:dyDescent="0.25">
      <c r="A332" s="7" t="s">
        <v>4190</v>
      </c>
      <c r="B332" s="2" t="s">
        <v>3427</v>
      </c>
      <c r="C332" s="4">
        <v>1</v>
      </c>
      <c r="D332" s="5">
        <v>5.0999999999999996</v>
      </c>
      <c r="E332" s="5">
        <v>10.199999999999999</v>
      </c>
      <c r="F332" s="4">
        <v>28379810</v>
      </c>
      <c r="G332" s="2" t="s">
        <v>62</v>
      </c>
      <c r="H332" s="7" t="s">
        <v>144</v>
      </c>
      <c r="I332" s="2" t="s">
        <v>487</v>
      </c>
      <c r="J332" s="2" t="s">
        <v>488</v>
      </c>
      <c r="K332" s="2" t="s">
        <v>304</v>
      </c>
      <c r="L332" s="2" t="s">
        <v>206</v>
      </c>
      <c r="M332" s="8" t="str">
        <f>HYPERLINK("http://slimages.macys.com/is/image/MCY/13743118 ")</f>
        <v xml:space="preserve">http://slimages.macys.com/is/image/MCY/13743118 </v>
      </c>
    </row>
    <row r="333" spans="1:13" ht="60" x14ac:dyDescent="0.25">
      <c r="A333" s="7" t="s">
        <v>3416</v>
      </c>
      <c r="B333" s="2" t="s">
        <v>534</v>
      </c>
      <c r="C333" s="4">
        <v>2</v>
      </c>
      <c r="D333" s="5">
        <v>5.0999999999999996</v>
      </c>
      <c r="E333" s="5">
        <v>13.5</v>
      </c>
      <c r="F333" s="4" t="s">
        <v>535</v>
      </c>
      <c r="G333" s="2" t="s">
        <v>297</v>
      </c>
      <c r="H333" s="7"/>
      <c r="I333" s="2" t="s">
        <v>483</v>
      </c>
      <c r="J333" s="2" t="s">
        <v>536</v>
      </c>
      <c r="K333" s="2" t="s">
        <v>304</v>
      </c>
      <c r="L333" s="2" t="s">
        <v>537</v>
      </c>
      <c r="M333" s="8" t="str">
        <f>HYPERLINK("http://slimages.macys.com/is/image/MCY/9157948 ")</f>
        <v xml:space="preserve">http://slimages.macys.com/is/image/MCY/9157948 </v>
      </c>
    </row>
    <row r="334" spans="1:13" ht="60" x14ac:dyDescent="0.25">
      <c r="A334" s="7" t="s">
        <v>1957</v>
      </c>
      <c r="B334" s="2" t="s">
        <v>534</v>
      </c>
      <c r="C334" s="4">
        <v>1</v>
      </c>
      <c r="D334" s="5">
        <v>5.0999999999999996</v>
      </c>
      <c r="E334" s="5">
        <v>13.5</v>
      </c>
      <c r="F334" s="4">
        <v>100006338</v>
      </c>
      <c r="G334" s="2" t="s">
        <v>86</v>
      </c>
      <c r="H334" s="7" t="s">
        <v>149</v>
      </c>
      <c r="I334" s="2" t="s">
        <v>483</v>
      </c>
      <c r="J334" s="2" t="s">
        <v>536</v>
      </c>
      <c r="K334" s="2" t="s">
        <v>304</v>
      </c>
      <c r="L334" s="2" t="s">
        <v>537</v>
      </c>
      <c r="M334" s="8" t="str">
        <f>HYPERLINK("http://slimages.macys.com/is/image/MCY/9157948 ")</f>
        <v xml:space="preserve">http://slimages.macys.com/is/image/MCY/9157948 </v>
      </c>
    </row>
    <row r="335" spans="1:13" ht="60" x14ac:dyDescent="0.25">
      <c r="A335" s="7" t="s">
        <v>2656</v>
      </c>
      <c r="B335" s="2" t="s">
        <v>534</v>
      </c>
      <c r="C335" s="4">
        <v>1</v>
      </c>
      <c r="D335" s="5">
        <v>5.0999999999999996</v>
      </c>
      <c r="E335" s="5">
        <v>13.5</v>
      </c>
      <c r="F335" s="4" t="s">
        <v>535</v>
      </c>
      <c r="G335" s="2" t="s">
        <v>86</v>
      </c>
      <c r="H335" s="7" t="s">
        <v>442</v>
      </c>
      <c r="I335" s="2" t="s">
        <v>483</v>
      </c>
      <c r="J335" s="2" t="s">
        <v>536</v>
      </c>
      <c r="K335" s="2" t="s">
        <v>304</v>
      </c>
      <c r="L335" s="2" t="s">
        <v>537</v>
      </c>
      <c r="M335" s="8" t="str">
        <f>HYPERLINK("http://slimages.macys.com/is/image/MCY/9157948 ")</f>
        <v xml:space="preserve">http://slimages.macys.com/is/image/MCY/9157948 </v>
      </c>
    </row>
    <row r="336" spans="1:13" ht="60" x14ac:dyDescent="0.25">
      <c r="A336" s="7" t="s">
        <v>4191</v>
      </c>
      <c r="B336" s="2" t="s">
        <v>4192</v>
      </c>
      <c r="C336" s="4">
        <v>1</v>
      </c>
      <c r="D336" s="5">
        <v>5</v>
      </c>
      <c r="E336" s="5">
        <v>11.63</v>
      </c>
      <c r="F336" s="4">
        <v>16603610</v>
      </c>
      <c r="G336" s="2" t="s">
        <v>41</v>
      </c>
      <c r="H336" s="7" t="s">
        <v>675</v>
      </c>
      <c r="I336" s="2" t="s">
        <v>153</v>
      </c>
      <c r="J336" s="2" t="s">
        <v>154</v>
      </c>
      <c r="K336" s="2" t="s">
        <v>304</v>
      </c>
      <c r="L336" s="2" t="s">
        <v>206</v>
      </c>
      <c r="M336" s="8" t="str">
        <f>HYPERLINK("http://slimages.macys.com/is/image/MCY/11867313 ")</f>
        <v xml:space="preserve">http://slimages.macys.com/is/image/MCY/11867313 </v>
      </c>
    </row>
    <row r="337" spans="1:13" ht="60" x14ac:dyDescent="0.25">
      <c r="A337" s="7" t="s">
        <v>4193</v>
      </c>
      <c r="B337" s="2" t="s">
        <v>4194</v>
      </c>
      <c r="C337" s="4">
        <v>1</v>
      </c>
      <c r="D337" s="5">
        <v>4.93</v>
      </c>
      <c r="E337" s="5">
        <v>12.99</v>
      </c>
      <c r="F337" s="4" t="s">
        <v>4195</v>
      </c>
      <c r="G337" s="2" t="s">
        <v>62</v>
      </c>
      <c r="H337" s="7" t="s">
        <v>63</v>
      </c>
      <c r="I337" s="2" t="s">
        <v>515</v>
      </c>
      <c r="J337" s="2" t="s">
        <v>875</v>
      </c>
      <c r="K337" s="2" t="s">
        <v>304</v>
      </c>
      <c r="L337" s="2" t="s">
        <v>4196</v>
      </c>
      <c r="M337" s="8" t="str">
        <f>HYPERLINK("http://slimages.macys.com/is/image/MCY/11606116 ")</f>
        <v xml:space="preserve">http://slimages.macys.com/is/image/MCY/11606116 </v>
      </c>
    </row>
    <row r="338" spans="1:13" ht="60" x14ac:dyDescent="0.25">
      <c r="A338" s="7" t="s">
        <v>1982</v>
      </c>
      <c r="B338" s="2" t="s">
        <v>1983</v>
      </c>
      <c r="C338" s="4">
        <v>1</v>
      </c>
      <c r="D338" s="5">
        <v>4.82</v>
      </c>
      <c r="E338" s="5">
        <v>12.99</v>
      </c>
      <c r="F338" s="4" t="s">
        <v>1984</v>
      </c>
      <c r="G338" s="2" t="s">
        <v>297</v>
      </c>
      <c r="H338" s="7" t="s">
        <v>42</v>
      </c>
      <c r="I338" s="2" t="s">
        <v>483</v>
      </c>
      <c r="J338" s="2" t="s">
        <v>536</v>
      </c>
      <c r="K338" s="2" t="s">
        <v>304</v>
      </c>
      <c r="L338" s="2" t="s">
        <v>38</v>
      </c>
      <c r="M338" s="8" t="str">
        <f>HYPERLINK("http://slimages.macys.com/is/image/MCY/14384811 ")</f>
        <v xml:space="preserve">http://slimages.macys.com/is/image/MCY/14384811 </v>
      </c>
    </row>
    <row r="339" spans="1:13" ht="60" x14ac:dyDescent="0.25">
      <c r="A339" s="7" t="s">
        <v>4197</v>
      </c>
      <c r="B339" s="2" t="s">
        <v>1983</v>
      </c>
      <c r="C339" s="4">
        <v>1</v>
      </c>
      <c r="D339" s="5">
        <v>4.82</v>
      </c>
      <c r="E339" s="5">
        <v>12.99</v>
      </c>
      <c r="F339" s="4" t="s">
        <v>1984</v>
      </c>
      <c r="G339" s="2" t="s">
        <v>297</v>
      </c>
      <c r="H339" s="7" t="s">
        <v>91</v>
      </c>
      <c r="I339" s="2" t="s">
        <v>483</v>
      </c>
      <c r="J339" s="2" t="s">
        <v>536</v>
      </c>
      <c r="K339" s="2" t="s">
        <v>304</v>
      </c>
      <c r="L339" s="2" t="s">
        <v>38</v>
      </c>
      <c r="M339" s="8" t="str">
        <f>HYPERLINK("http://slimages.macys.com/is/image/MCY/14384811 ")</f>
        <v xml:space="preserve">http://slimages.macys.com/is/image/MCY/14384811 </v>
      </c>
    </row>
    <row r="340" spans="1:13" ht="60" x14ac:dyDescent="0.25">
      <c r="A340" s="7" t="s">
        <v>4198</v>
      </c>
      <c r="B340" s="2" t="s">
        <v>4199</v>
      </c>
      <c r="C340" s="4">
        <v>1</v>
      </c>
      <c r="D340" s="5">
        <v>4.8</v>
      </c>
      <c r="E340" s="5">
        <v>9.99</v>
      </c>
      <c r="F340" s="4">
        <v>15927610</v>
      </c>
      <c r="G340" s="2"/>
      <c r="H340" s="7" t="s">
        <v>675</v>
      </c>
      <c r="I340" s="2" t="s">
        <v>153</v>
      </c>
      <c r="J340" s="2" t="s">
        <v>154</v>
      </c>
      <c r="K340" s="2" t="s">
        <v>304</v>
      </c>
      <c r="L340" s="2" t="s">
        <v>38</v>
      </c>
      <c r="M340" s="8" t="str">
        <f>HYPERLINK("http://slimages.macys.com/is/image/MCY/10705164 ")</f>
        <v xml:space="preserve">http://slimages.macys.com/is/image/MCY/10705164 </v>
      </c>
    </row>
    <row r="341" spans="1:13" ht="60" x14ac:dyDescent="0.25">
      <c r="A341" s="7" t="s">
        <v>4200</v>
      </c>
      <c r="B341" s="2" t="s">
        <v>4201</v>
      </c>
      <c r="C341" s="4">
        <v>1</v>
      </c>
      <c r="D341" s="5">
        <v>4.8</v>
      </c>
      <c r="E341" s="5">
        <v>10.92</v>
      </c>
      <c r="F341" s="4">
        <v>17915010</v>
      </c>
      <c r="G341" s="2" t="s">
        <v>41</v>
      </c>
      <c r="H341" s="7" t="s">
        <v>438</v>
      </c>
      <c r="I341" s="2" t="s">
        <v>153</v>
      </c>
      <c r="J341" s="2" t="s">
        <v>154</v>
      </c>
      <c r="K341" s="2" t="s">
        <v>304</v>
      </c>
      <c r="L341" s="2" t="s">
        <v>206</v>
      </c>
      <c r="M341" s="8" t="str">
        <f>HYPERLINK("http://slimages.macys.com/is/image/MCY/13062156 ")</f>
        <v xml:space="preserve">http://slimages.macys.com/is/image/MCY/13062156 </v>
      </c>
    </row>
    <row r="342" spans="1:13" ht="60" x14ac:dyDescent="0.25">
      <c r="A342" s="7" t="s">
        <v>4202</v>
      </c>
      <c r="B342" s="2" t="s">
        <v>4203</v>
      </c>
      <c r="C342" s="4">
        <v>1</v>
      </c>
      <c r="D342" s="5">
        <v>4.8</v>
      </c>
      <c r="E342" s="5">
        <v>10.99</v>
      </c>
      <c r="F342" s="4">
        <v>16574313</v>
      </c>
      <c r="G342" s="2" t="s">
        <v>48</v>
      </c>
      <c r="H342" s="7" t="s">
        <v>442</v>
      </c>
      <c r="I342" s="2" t="s">
        <v>153</v>
      </c>
      <c r="J342" s="2" t="s">
        <v>154</v>
      </c>
      <c r="K342" s="2" t="s">
        <v>304</v>
      </c>
      <c r="L342" s="2" t="s">
        <v>38</v>
      </c>
      <c r="M342" s="8" t="str">
        <f>HYPERLINK("http://slimages.macys.com/is/image/MCY/11671850 ")</f>
        <v xml:space="preserve">http://slimages.macys.com/is/image/MCY/11671850 </v>
      </c>
    </row>
    <row r="343" spans="1:13" ht="60" x14ac:dyDescent="0.25">
      <c r="A343" s="7" t="s">
        <v>4204</v>
      </c>
      <c r="B343" s="2" t="s">
        <v>4205</v>
      </c>
      <c r="C343" s="4">
        <v>1</v>
      </c>
      <c r="D343" s="5">
        <v>4.8</v>
      </c>
      <c r="E343" s="5">
        <v>10.5</v>
      </c>
      <c r="F343" s="4" t="s">
        <v>4206</v>
      </c>
      <c r="G343" s="2" t="s">
        <v>353</v>
      </c>
      <c r="H343" s="7" t="s">
        <v>438</v>
      </c>
      <c r="I343" s="2" t="s">
        <v>153</v>
      </c>
      <c r="J343" s="2" t="s">
        <v>154</v>
      </c>
      <c r="K343" s="2"/>
      <c r="L343" s="2"/>
      <c r="M343" s="8" t="str">
        <f>HYPERLINK("http://slimages.macys.com/is/image/MCY/2509350 ")</f>
        <v xml:space="preserve">http://slimages.macys.com/is/image/MCY/2509350 </v>
      </c>
    </row>
    <row r="344" spans="1:13" ht="60" x14ac:dyDescent="0.25">
      <c r="A344" s="7" t="s">
        <v>4207</v>
      </c>
      <c r="B344" s="2" t="s">
        <v>4208</v>
      </c>
      <c r="C344" s="4">
        <v>1</v>
      </c>
      <c r="D344" s="5">
        <v>4.75</v>
      </c>
      <c r="E344" s="5">
        <v>11.99</v>
      </c>
      <c r="F344" s="4" t="s">
        <v>4209</v>
      </c>
      <c r="G344" s="2" t="s">
        <v>582</v>
      </c>
      <c r="H344" s="7" t="s">
        <v>196</v>
      </c>
      <c r="I344" s="2" t="s">
        <v>523</v>
      </c>
      <c r="J344" s="2" t="s">
        <v>921</v>
      </c>
      <c r="K344" s="2" t="s">
        <v>304</v>
      </c>
      <c r="L344" s="2" t="s">
        <v>323</v>
      </c>
      <c r="M344" s="8" t="str">
        <f>HYPERLINK("http://slimages.macys.com/is/image/MCY/2849778 ")</f>
        <v xml:space="preserve">http://slimages.macys.com/is/image/MCY/2849778 </v>
      </c>
    </row>
    <row r="345" spans="1:13" ht="60" x14ac:dyDescent="0.25">
      <c r="A345" s="7" t="s">
        <v>4210</v>
      </c>
      <c r="B345" s="2" t="s">
        <v>1086</v>
      </c>
      <c r="C345" s="4">
        <v>2</v>
      </c>
      <c r="D345" s="5">
        <v>4.75</v>
      </c>
      <c r="E345" s="5">
        <v>11.99</v>
      </c>
      <c r="F345" s="4">
        <v>4217</v>
      </c>
      <c r="G345" s="2" t="s">
        <v>582</v>
      </c>
      <c r="H345" s="7" t="s">
        <v>159</v>
      </c>
      <c r="I345" s="2" t="s">
        <v>523</v>
      </c>
      <c r="J345" s="2" t="s">
        <v>921</v>
      </c>
      <c r="K345" s="2" t="s">
        <v>304</v>
      </c>
      <c r="L345" s="2" t="s">
        <v>323</v>
      </c>
      <c r="M345" s="8" t="str">
        <f>HYPERLINK("http://slimages.macys.com/is/image/MCY/13050181 ")</f>
        <v xml:space="preserve">http://slimages.macys.com/is/image/MCY/13050181 </v>
      </c>
    </row>
    <row r="346" spans="1:13" ht="108" x14ac:dyDescent="0.25">
      <c r="A346" s="7" t="s">
        <v>1995</v>
      </c>
      <c r="B346" s="2" t="s">
        <v>1996</v>
      </c>
      <c r="C346" s="4">
        <v>1</v>
      </c>
      <c r="D346" s="5">
        <v>4.67</v>
      </c>
      <c r="E346" s="5">
        <v>12</v>
      </c>
      <c r="F346" s="4" t="s">
        <v>1997</v>
      </c>
      <c r="G346" s="2" t="s">
        <v>437</v>
      </c>
      <c r="H346" s="7" t="s">
        <v>149</v>
      </c>
      <c r="I346" s="2" t="s">
        <v>483</v>
      </c>
      <c r="J346" s="2" t="s">
        <v>536</v>
      </c>
      <c r="K346" s="2" t="s">
        <v>304</v>
      </c>
      <c r="L346" s="2" t="s">
        <v>1998</v>
      </c>
      <c r="M346" s="8" t="str">
        <f>HYPERLINK("http://slimages.macys.com/is/image/MCY/12466268 ")</f>
        <v xml:space="preserve">http://slimages.macys.com/is/image/MCY/12466268 </v>
      </c>
    </row>
    <row r="347" spans="1:13" ht="108" x14ac:dyDescent="0.25">
      <c r="A347" s="7" t="s">
        <v>1999</v>
      </c>
      <c r="B347" s="2" t="s">
        <v>1996</v>
      </c>
      <c r="C347" s="4">
        <v>1</v>
      </c>
      <c r="D347" s="5">
        <v>4.67</v>
      </c>
      <c r="E347" s="5">
        <v>12</v>
      </c>
      <c r="F347" s="4" t="s">
        <v>1997</v>
      </c>
      <c r="G347" s="2" t="s">
        <v>437</v>
      </c>
      <c r="H347" s="7" t="s">
        <v>482</v>
      </c>
      <c r="I347" s="2" t="s">
        <v>483</v>
      </c>
      <c r="J347" s="2" t="s">
        <v>536</v>
      </c>
      <c r="K347" s="2" t="s">
        <v>304</v>
      </c>
      <c r="L347" s="2" t="s">
        <v>1998</v>
      </c>
      <c r="M347" s="8" t="str">
        <f>HYPERLINK("http://slimages.macys.com/is/image/MCY/12466268 ")</f>
        <v xml:space="preserve">http://slimages.macys.com/is/image/MCY/12466268 </v>
      </c>
    </row>
    <row r="348" spans="1:13" ht="60" x14ac:dyDescent="0.25">
      <c r="A348" s="7" t="s">
        <v>4211</v>
      </c>
      <c r="B348" s="2" t="s">
        <v>4212</v>
      </c>
      <c r="C348" s="4">
        <v>2</v>
      </c>
      <c r="D348" s="5">
        <v>4.5</v>
      </c>
      <c r="E348" s="5">
        <v>9.99</v>
      </c>
      <c r="F348" s="4" t="s">
        <v>4213</v>
      </c>
      <c r="G348" s="2" t="s">
        <v>41</v>
      </c>
      <c r="H348" s="7" t="s">
        <v>442</v>
      </c>
      <c r="I348" s="2" t="s">
        <v>135</v>
      </c>
      <c r="J348" s="2" t="s">
        <v>258</v>
      </c>
      <c r="K348" s="2" t="s">
        <v>304</v>
      </c>
      <c r="L348" s="2" t="s">
        <v>206</v>
      </c>
      <c r="M348" s="8" t="str">
        <f>HYPERLINK("http://slimages.macys.com/is/image/MCY/11858765 ")</f>
        <v xml:space="preserve">http://slimages.macys.com/is/image/MCY/11858765 </v>
      </c>
    </row>
    <row r="349" spans="1:13" ht="60" x14ac:dyDescent="0.25">
      <c r="A349" s="7" t="s">
        <v>4214</v>
      </c>
      <c r="B349" s="2" t="s">
        <v>4215</v>
      </c>
      <c r="C349" s="4">
        <v>1</v>
      </c>
      <c r="D349" s="5">
        <v>4.5</v>
      </c>
      <c r="E349" s="5">
        <v>9.99</v>
      </c>
      <c r="F349" s="4" t="s">
        <v>4213</v>
      </c>
      <c r="G349" s="2" t="s">
        <v>527</v>
      </c>
      <c r="H349" s="7" t="s">
        <v>42</v>
      </c>
      <c r="I349" s="2" t="s">
        <v>135</v>
      </c>
      <c r="J349" s="2" t="s">
        <v>258</v>
      </c>
      <c r="K349" s="2" t="s">
        <v>304</v>
      </c>
      <c r="L349" s="2" t="s">
        <v>206</v>
      </c>
      <c r="M349" s="8" t="str">
        <f>HYPERLINK("http://slimages.macys.com/is/image/MCY/11858765 ")</f>
        <v xml:space="preserve">http://slimages.macys.com/is/image/MCY/11858765 </v>
      </c>
    </row>
    <row r="350" spans="1:13" ht="60" x14ac:dyDescent="0.25">
      <c r="A350" s="7" t="s">
        <v>4216</v>
      </c>
      <c r="B350" s="2" t="s">
        <v>4215</v>
      </c>
      <c r="C350" s="4">
        <v>1</v>
      </c>
      <c r="D350" s="5">
        <v>4.5</v>
      </c>
      <c r="E350" s="5">
        <v>9.99</v>
      </c>
      <c r="F350" s="4" t="s">
        <v>4213</v>
      </c>
      <c r="G350" s="2" t="s">
        <v>527</v>
      </c>
      <c r="H350" s="7" t="s">
        <v>91</v>
      </c>
      <c r="I350" s="2" t="s">
        <v>135</v>
      </c>
      <c r="J350" s="2" t="s">
        <v>258</v>
      </c>
      <c r="K350" s="2" t="s">
        <v>304</v>
      </c>
      <c r="L350" s="2" t="s">
        <v>206</v>
      </c>
      <c r="M350" s="8" t="str">
        <f>HYPERLINK("http://slimages.macys.com/is/image/MCY/11858765 ")</f>
        <v xml:space="preserve">http://slimages.macys.com/is/image/MCY/11858765 </v>
      </c>
    </row>
    <row r="351" spans="1:13" ht="60" x14ac:dyDescent="0.25">
      <c r="A351" s="7" t="s">
        <v>4217</v>
      </c>
      <c r="B351" s="2" t="s">
        <v>4215</v>
      </c>
      <c r="C351" s="4">
        <v>1</v>
      </c>
      <c r="D351" s="5">
        <v>4.5</v>
      </c>
      <c r="E351" s="5">
        <v>9.99</v>
      </c>
      <c r="F351" s="4" t="s">
        <v>4213</v>
      </c>
      <c r="G351" s="2" t="s">
        <v>4218</v>
      </c>
      <c r="H351" s="7" t="s">
        <v>91</v>
      </c>
      <c r="I351" s="2" t="s">
        <v>135</v>
      </c>
      <c r="J351" s="2" t="s">
        <v>258</v>
      </c>
      <c r="K351" s="2" t="s">
        <v>304</v>
      </c>
      <c r="L351" s="2" t="s">
        <v>206</v>
      </c>
      <c r="M351" s="8" t="str">
        <f>HYPERLINK("http://slimages.macys.com/is/image/MCY/11858765 ")</f>
        <v xml:space="preserve">http://slimages.macys.com/is/image/MCY/11858765 </v>
      </c>
    </row>
    <row r="352" spans="1:13" ht="60" x14ac:dyDescent="0.25">
      <c r="A352" s="7" t="s">
        <v>4219</v>
      </c>
      <c r="B352" s="2" t="s">
        <v>4215</v>
      </c>
      <c r="C352" s="4">
        <v>2</v>
      </c>
      <c r="D352" s="5">
        <v>4.5</v>
      </c>
      <c r="E352" s="5">
        <v>9.99</v>
      </c>
      <c r="F352" s="4" t="s">
        <v>4213</v>
      </c>
      <c r="G352" s="2" t="s">
        <v>527</v>
      </c>
      <c r="H352" s="7" t="s">
        <v>442</v>
      </c>
      <c r="I352" s="2" t="s">
        <v>135</v>
      </c>
      <c r="J352" s="2" t="s">
        <v>258</v>
      </c>
      <c r="K352" s="2" t="s">
        <v>304</v>
      </c>
      <c r="L352" s="2" t="s">
        <v>206</v>
      </c>
      <c r="M352" s="8" t="str">
        <f>HYPERLINK("http://slimages.macys.com/is/image/MCY/11858765 ")</f>
        <v xml:space="preserve">http://slimages.macys.com/is/image/MCY/11858765 </v>
      </c>
    </row>
    <row r="353" spans="1:13" ht="60" x14ac:dyDescent="0.25">
      <c r="A353" s="7" t="s">
        <v>4220</v>
      </c>
      <c r="B353" s="2" t="s">
        <v>4221</v>
      </c>
      <c r="C353" s="4">
        <v>1</v>
      </c>
      <c r="D353" s="5">
        <v>4.4800000000000004</v>
      </c>
      <c r="E353" s="5">
        <v>10.99</v>
      </c>
      <c r="F353" s="4" t="s">
        <v>4222</v>
      </c>
      <c r="G353" s="2" t="s">
        <v>253</v>
      </c>
      <c r="H353" s="7" t="s">
        <v>442</v>
      </c>
      <c r="I353" s="2" t="s">
        <v>483</v>
      </c>
      <c r="J353" s="2" t="s">
        <v>536</v>
      </c>
      <c r="K353" s="2" t="s">
        <v>304</v>
      </c>
      <c r="L353" s="2" t="s">
        <v>206</v>
      </c>
      <c r="M353" s="8" t="str">
        <f>HYPERLINK("http://slimages.macys.com/is/image/MCY/8902489 ")</f>
        <v xml:space="preserve">http://slimages.macys.com/is/image/MCY/8902489 </v>
      </c>
    </row>
    <row r="354" spans="1:13" ht="60" x14ac:dyDescent="0.25">
      <c r="A354" s="7" t="s">
        <v>4223</v>
      </c>
      <c r="B354" s="2" t="s">
        <v>4224</v>
      </c>
      <c r="C354" s="4">
        <v>2</v>
      </c>
      <c r="D354" s="5">
        <v>4.4000000000000004</v>
      </c>
      <c r="E354" s="5">
        <v>8.99</v>
      </c>
      <c r="F354" s="4">
        <v>16475010</v>
      </c>
      <c r="G354" s="2"/>
      <c r="H354" s="7" t="s">
        <v>482</v>
      </c>
      <c r="I354" s="2" t="s">
        <v>153</v>
      </c>
      <c r="J354" s="2" t="s">
        <v>154</v>
      </c>
      <c r="K354" s="2" t="s">
        <v>304</v>
      </c>
      <c r="L354" s="2" t="s">
        <v>206</v>
      </c>
      <c r="M354" s="8" t="str">
        <f>HYPERLINK("http://slimages.macys.com/is/image/MCY/11186594 ")</f>
        <v xml:space="preserve">http://slimages.macys.com/is/image/MCY/11186594 </v>
      </c>
    </row>
    <row r="355" spans="1:13" ht="60" x14ac:dyDescent="0.25">
      <c r="A355" s="7" t="s">
        <v>4225</v>
      </c>
      <c r="B355" s="2" t="s">
        <v>4224</v>
      </c>
      <c r="C355" s="4">
        <v>3</v>
      </c>
      <c r="D355" s="5">
        <v>4.4000000000000004</v>
      </c>
      <c r="E355" s="5">
        <v>8.99</v>
      </c>
      <c r="F355" s="4">
        <v>16475010</v>
      </c>
      <c r="G355" s="2"/>
      <c r="H355" s="7" t="s">
        <v>233</v>
      </c>
      <c r="I355" s="2" t="s">
        <v>153</v>
      </c>
      <c r="J355" s="2" t="s">
        <v>154</v>
      </c>
      <c r="K355" s="2" t="s">
        <v>304</v>
      </c>
      <c r="L355" s="2" t="s">
        <v>206</v>
      </c>
      <c r="M355" s="8" t="str">
        <f>HYPERLINK("http://slimages.macys.com/is/image/MCY/11186594 ")</f>
        <v xml:space="preserve">http://slimages.macys.com/is/image/MCY/11186594 </v>
      </c>
    </row>
    <row r="356" spans="1:13" ht="60" x14ac:dyDescent="0.25">
      <c r="A356" s="7" t="s">
        <v>4226</v>
      </c>
      <c r="B356" s="2" t="s">
        <v>4227</v>
      </c>
      <c r="C356" s="4">
        <v>1</v>
      </c>
      <c r="D356" s="5">
        <v>4.4000000000000004</v>
      </c>
      <c r="E356" s="5">
        <v>10.99</v>
      </c>
      <c r="F356" s="4" t="s">
        <v>4228</v>
      </c>
      <c r="G356" s="2" t="s">
        <v>86</v>
      </c>
      <c r="H356" s="7" t="s">
        <v>1151</v>
      </c>
      <c r="I356" s="2" t="s">
        <v>1689</v>
      </c>
      <c r="J356" s="2" t="s">
        <v>354</v>
      </c>
      <c r="K356" s="2" t="s">
        <v>304</v>
      </c>
      <c r="L356" s="2" t="s">
        <v>119</v>
      </c>
      <c r="M356" s="8" t="str">
        <f>HYPERLINK("http://slimages.macys.com/is/image/MCY/12892797 ")</f>
        <v xml:space="preserve">http://slimages.macys.com/is/image/MCY/12892797 </v>
      </c>
    </row>
    <row r="357" spans="1:13" ht="60" x14ac:dyDescent="0.25">
      <c r="A357" s="7" t="s">
        <v>4229</v>
      </c>
      <c r="B357" s="2" t="s">
        <v>4230</v>
      </c>
      <c r="C357" s="4">
        <v>1</v>
      </c>
      <c r="D357" s="5">
        <v>4.4000000000000004</v>
      </c>
      <c r="E357" s="5">
        <v>8.99</v>
      </c>
      <c r="F357" s="4">
        <v>16475212</v>
      </c>
      <c r="G357" s="2"/>
      <c r="H357" s="7" t="s">
        <v>482</v>
      </c>
      <c r="I357" s="2" t="s">
        <v>153</v>
      </c>
      <c r="J357" s="2" t="s">
        <v>154</v>
      </c>
      <c r="K357" s="2" t="s">
        <v>304</v>
      </c>
      <c r="L357" s="2" t="s">
        <v>38</v>
      </c>
      <c r="M357" s="8" t="str">
        <f>HYPERLINK("http://slimages.macys.com/is/image/MCY/12828824 ")</f>
        <v xml:space="preserve">http://slimages.macys.com/is/image/MCY/12828824 </v>
      </c>
    </row>
    <row r="358" spans="1:13" ht="60" x14ac:dyDescent="0.25">
      <c r="A358" s="7" t="s">
        <v>4231</v>
      </c>
      <c r="B358" s="2" t="s">
        <v>4232</v>
      </c>
      <c r="C358" s="4">
        <v>1</v>
      </c>
      <c r="D358" s="5">
        <v>4.4000000000000004</v>
      </c>
      <c r="E358" s="5">
        <v>8.99</v>
      </c>
      <c r="F358" s="4">
        <v>16475219</v>
      </c>
      <c r="G358" s="2"/>
      <c r="H358" s="7" t="s">
        <v>482</v>
      </c>
      <c r="I358" s="2" t="s">
        <v>153</v>
      </c>
      <c r="J358" s="2" t="s">
        <v>154</v>
      </c>
      <c r="K358" s="2" t="s">
        <v>304</v>
      </c>
      <c r="L358" s="2" t="s">
        <v>206</v>
      </c>
      <c r="M358" s="8" t="str">
        <f>HYPERLINK("http://slimages.macys.com/is/image/MCY/12051822 ")</f>
        <v xml:space="preserve">http://slimages.macys.com/is/image/MCY/12051822 </v>
      </c>
    </row>
    <row r="359" spans="1:13" ht="60" x14ac:dyDescent="0.25">
      <c r="A359" s="7" t="s">
        <v>4233</v>
      </c>
      <c r="B359" s="2" t="s">
        <v>4234</v>
      </c>
      <c r="C359" s="4">
        <v>1</v>
      </c>
      <c r="D359" s="5">
        <v>4.4000000000000004</v>
      </c>
      <c r="E359" s="5">
        <v>8.99</v>
      </c>
      <c r="F359" s="4">
        <v>16475215</v>
      </c>
      <c r="G359" s="2"/>
      <c r="H359" s="7" t="s">
        <v>482</v>
      </c>
      <c r="I359" s="2" t="s">
        <v>153</v>
      </c>
      <c r="J359" s="2" t="s">
        <v>154</v>
      </c>
      <c r="K359" s="2" t="s">
        <v>304</v>
      </c>
      <c r="L359" s="2" t="s">
        <v>206</v>
      </c>
      <c r="M359" s="8" t="str">
        <f>HYPERLINK("http://slimages.macys.com/is/image/MCY/12051816 ")</f>
        <v xml:space="preserve">http://slimages.macys.com/is/image/MCY/12051816 </v>
      </c>
    </row>
    <row r="360" spans="1:13" ht="60" x14ac:dyDescent="0.25">
      <c r="A360" s="7" t="s">
        <v>4235</v>
      </c>
      <c r="B360" s="2" t="s">
        <v>4236</v>
      </c>
      <c r="C360" s="4">
        <v>1</v>
      </c>
      <c r="D360" s="5">
        <v>4.4000000000000004</v>
      </c>
      <c r="E360" s="5">
        <v>8.99</v>
      </c>
      <c r="F360" s="4">
        <v>16475013</v>
      </c>
      <c r="G360" s="2"/>
      <c r="H360" s="7" t="s">
        <v>482</v>
      </c>
      <c r="I360" s="2" t="s">
        <v>153</v>
      </c>
      <c r="J360" s="2" t="s">
        <v>154</v>
      </c>
      <c r="K360" s="2" t="s">
        <v>304</v>
      </c>
      <c r="L360" s="2" t="s">
        <v>206</v>
      </c>
      <c r="M360" s="8" t="str">
        <f>HYPERLINK("http://slimages.macys.com/is/image/MCY/12051806 ")</f>
        <v xml:space="preserve">http://slimages.macys.com/is/image/MCY/12051806 </v>
      </c>
    </row>
    <row r="361" spans="1:13" ht="60" x14ac:dyDescent="0.25">
      <c r="A361" s="7" t="s">
        <v>2048</v>
      </c>
      <c r="B361" s="2" t="s">
        <v>2049</v>
      </c>
      <c r="C361" s="4">
        <v>1</v>
      </c>
      <c r="D361" s="5">
        <v>4.32</v>
      </c>
      <c r="E361" s="5">
        <v>10.99</v>
      </c>
      <c r="F361" s="4">
        <v>10005384800</v>
      </c>
      <c r="G361" s="2" t="s">
        <v>86</v>
      </c>
      <c r="H361" s="7" t="s">
        <v>590</v>
      </c>
      <c r="I361" s="2" t="s">
        <v>483</v>
      </c>
      <c r="J361" s="2" t="s">
        <v>536</v>
      </c>
      <c r="K361" s="2" t="s">
        <v>304</v>
      </c>
      <c r="L361" s="2" t="s">
        <v>119</v>
      </c>
      <c r="M361" s="8" t="str">
        <f>HYPERLINK("http://slimages.macys.com/is/image/MCY/12465277 ")</f>
        <v xml:space="preserve">http://slimages.macys.com/is/image/MCY/12465277 </v>
      </c>
    </row>
    <row r="362" spans="1:13" ht="60" x14ac:dyDescent="0.25">
      <c r="A362" s="7" t="s">
        <v>4237</v>
      </c>
      <c r="B362" s="2" t="s">
        <v>4238</v>
      </c>
      <c r="C362" s="4">
        <v>2</v>
      </c>
      <c r="D362" s="5">
        <v>4.26</v>
      </c>
      <c r="E362" s="5">
        <v>12.99</v>
      </c>
      <c r="F362" s="4" t="s">
        <v>4239</v>
      </c>
      <c r="G362" s="2" t="s">
        <v>297</v>
      </c>
      <c r="H362" s="7" t="s">
        <v>284</v>
      </c>
      <c r="I362" s="2" t="s">
        <v>515</v>
      </c>
      <c r="J362" s="2" t="s">
        <v>1971</v>
      </c>
      <c r="K362" s="2" t="s">
        <v>304</v>
      </c>
      <c r="L362" s="2" t="s">
        <v>119</v>
      </c>
      <c r="M362" s="8" t="str">
        <f>HYPERLINK("http://slimages.macys.com/is/image/MCY/12507310 ")</f>
        <v xml:space="preserve">http://slimages.macys.com/is/image/MCY/12507310 </v>
      </c>
    </row>
    <row r="363" spans="1:13" ht="60" x14ac:dyDescent="0.25">
      <c r="A363" s="7" t="s">
        <v>4240</v>
      </c>
      <c r="B363" s="2" t="s">
        <v>4241</v>
      </c>
      <c r="C363" s="4">
        <v>1</v>
      </c>
      <c r="D363" s="5">
        <v>4.16</v>
      </c>
      <c r="E363" s="5">
        <v>9.99</v>
      </c>
      <c r="F363" s="4" t="s">
        <v>4242</v>
      </c>
      <c r="G363" s="2" t="s">
        <v>48</v>
      </c>
      <c r="H363" s="7" t="s">
        <v>578</v>
      </c>
      <c r="I363" s="2" t="s">
        <v>515</v>
      </c>
      <c r="J363" s="2" t="s">
        <v>875</v>
      </c>
      <c r="K363" s="2" t="s">
        <v>304</v>
      </c>
      <c r="L363" s="2" t="s">
        <v>119</v>
      </c>
      <c r="M363" s="8" t="str">
        <f>HYPERLINK("http://slimages.macys.com/is/image/MCY/11603720 ")</f>
        <v xml:space="preserve">http://slimages.macys.com/is/image/MCY/11603720 </v>
      </c>
    </row>
    <row r="364" spans="1:13" ht="60" x14ac:dyDescent="0.25">
      <c r="A364" s="7" t="s">
        <v>4243</v>
      </c>
      <c r="B364" s="2" t="s">
        <v>4244</v>
      </c>
      <c r="C364" s="4">
        <v>1</v>
      </c>
      <c r="D364" s="5">
        <v>4.1500000000000004</v>
      </c>
      <c r="E364" s="5">
        <v>9.99</v>
      </c>
      <c r="F364" s="4" t="s">
        <v>4245</v>
      </c>
      <c r="G364" s="2" t="s">
        <v>353</v>
      </c>
      <c r="H364" s="7" t="s">
        <v>228</v>
      </c>
      <c r="I364" s="2" t="s">
        <v>468</v>
      </c>
      <c r="J364" s="2" t="s">
        <v>469</v>
      </c>
      <c r="K364" s="2" t="s">
        <v>304</v>
      </c>
      <c r="L364" s="2" t="s">
        <v>119</v>
      </c>
      <c r="M364" s="8" t="str">
        <f>HYPERLINK("http://slimages.macys.com/is/image/MCY/11959635 ")</f>
        <v xml:space="preserve">http://slimages.macys.com/is/image/MCY/11959635 </v>
      </c>
    </row>
    <row r="365" spans="1:13" ht="60" x14ac:dyDescent="0.25">
      <c r="A365" s="7" t="s">
        <v>4246</v>
      </c>
      <c r="B365" s="2" t="s">
        <v>4247</v>
      </c>
      <c r="C365" s="4">
        <v>1</v>
      </c>
      <c r="D365" s="5">
        <v>4.1500000000000004</v>
      </c>
      <c r="E365" s="5">
        <v>8.99</v>
      </c>
      <c r="F365" s="4" t="s">
        <v>4248</v>
      </c>
      <c r="G365" s="2" t="s">
        <v>107</v>
      </c>
      <c r="H365" s="7" t="s">
        <v>311</v>
      </c>
      <c r="I365" s="2" t="s">
        <v>380</v>
      </c>
      <c r="J365" s="2" t="s">
        <v>544</v>
      </c>
      <c r="K365" s="2" t="s">
        <v>304</v>
      </c>
      <c r="L365" s="2" t="s">
        <v>119</v>
      </c>
      <c r="M365" s="8" t="str">
        <f>HYPERLINK("http://slimages.macys.com/is/image/MCY/11867552 ")</f>
        <v xml:space="preserve">http://slimages.macys.com/is/image/MCY/11867552 </v>
      </c>
    </row>
    <row r="366" spans="1:13" ht="60" x14ac:dyDescent="0.25">
      <c r="A366" s="7" t="s">
        <v>4249</v>
      </c>
      <c r="B366" s="2" t="s">
        <v>4250</v>
      </c>
      <c r="C366" s="4">
        <v>1</v>
      </c>
      <c r="D366" s="5">
        <v>4.1100000000000003</v>
      </c>
      <c r="E366" s="5">
        <v>10.99</v>
      </c>
      <c r="F366" s="4" t="s">
        <v>4251</v>
      </c>
      <c r="G366" s="2" t="s">
        <v>86</v>
      </c>
      <c r="H366" s="7" t="s">
        <v>159</v>
      </c>
      <c r="I366" s="2" t="s">
        <v>389</v>
      </c>
      <c r="J366" s="2" t="s">
        <v>354</v>
      </c>
      <c r="K366" s="2" t="s">
        <v>304</v>
      </c>
      <c r="L366" s="2" t="s">
        <v>119</v>
      </c>
      <c r="M366" s="8" t="str">
        <f>HYPERLINK("http://slimages.macys.com/is/image/MCY/11499705 ")</f>
        <v xml:space="preserve">http://slimages.macys.com/is/image/MCY/11499705 </v>
      </c>
    </row>
    <row r="367" spans="1:13" ht="60" x14ac:dyDescent="0.25">
      <c r="A367" s="7" t="s">
        <v>4252</v>
      </c>
      <c r="B367" s="2" t="s">
        <v>4250</v>
      </c>
      <c r="C367" s="4">
        <v>1</v>
      </c>
      <c r="D367" s="5">
        <v>4.1100000000000003</v>
      </c>
      <c r="E367" s="5">
        <v>10.99</v>
      </c>
      <c r="F367" s="4" t="s">
        <v>4251</v>
      </c>
      <c r="G367" s="2" t="s">
        <v>86</v>
      </c>
      <c r="H367" s="7" t="s">
        <v>196</v>
      </c>
      <c r="I367" s="2" t="s">
        <v>389</v>
      </c>
      <c r="J367" s="2" t="s">
        <v>354</v>
      </c>
      <c r="K367" s="2" t="s">
        <v>304</v>
      </c>
      <c r="L367" s="2" t="s">
        <v>119</v>
      </c>
      <c r="M367" s="8" t="str">
        <f>HYPERLINK("http://slimages.macys.com/is/image/MCY/11499705 ")</f>
        <v xml:space="preserve">http://slimages.macys.com/is/image/MCY/11499705 </v>
      </c>
    </row>
    <row r="368" spans="1:13" ht="168" x14ac:dyDescent="0.25">
      <c r="A368" s="7" t="s">
        <v>4253</v>
      </c>
      <c r="B368" s="2" t="s">
        <v>4254</v>
      </c>
      <c r="C368" s="4">
        <v>1</v>
      </c>
      <c r="D368" s="5">
        <v>4.0999999999999996</v>
      </c>
      <c r="E368" s="5">
        <v>10.99</v>
      </c>
      <c r="F368" s="4">
        <v>64784</v>
      </c>
      <c r="G368" s="2" t="s">
        <v>36</v>
      </c>
      <c r="H368" s="7"/>
      <c r="I368" s="2" t="s">
        <v>523</v>
      </c>
      <c r="J368" s="2" t="s">
        <v>1227</v>
      </c>
      <c r="K368" s="2" t="s">
        <v>304</v>
      </c>
      <c r="L368" s="2" t="s">
        <v>4255</v>
      </c>
      <c r="M368" s="8" t="str">
        <f>HYPERLINK("http://slimages.macys.com/is/image/MCY/11869829 ")</f>
        <v xml:space="preserve">http://slimages.macys.com/is/image/MCY/11869829 </v>
      </c>
    </row>
    <row r="369" spans="1:13" ht="60" x14ac:dyDescent="0.25">
      <c r="A369" s="7" t="s">
        <v>4256</v>
      </c>
      <c r="B369" s="2" t="s">
        <v>4257</v>
      </c>
      <c r="C369" s="4">
        <v>1</v>
      </c>
      <c r="D369" s="5">
        <v>4.05</v>
      </c>
      <c r="E369" s="5">
        <v>8.1</v>
      </c>
      <c r="F369" s="4">
        <v>27852410</v>
      </c>
      <c r="G369" s="2"/>
      <c r="H369" s="7" t="s">
        <v>68</v>
      </c>
      <c r="I369" s="2" t="s">
        <v>487</v>
      </c>
      <c r="J369" s="2" t="s">
        <v>488</v>
      </c>
      <c r="K369" s="2" t="s">
        <v>304</v>
      </c>
      <c r="L369" s="2" t="s">
        <v>75</v>
      </c>
      <c r="M369" s="8" t="str">
        <f>HYPERLINK("http://slimages.macys.com/is/image/MCY/13852879 ")</f>
        <v xml:space="preserve">http://slimages.macys.com/is/image/MCY/13852879 </v>
      </c>
    </row>
    <row r="370" spans="1:13" ht="60" x14ac:dyDescent="0.25">
      <c r="A370" s="7" t="s">
        <v>4258</v>
      </c>
      <c r="B370" s="2" t="s">
        <v>4259</v>
      </c>
      <c r="C370" s="4">
        <v>1</v>
      </c>
      <c r="D370" s="5">
        <v>4.05</v>
      </c>
      <c r="E370" s="5">
        <v>8.1</v>
      </c>
      <c r="F370" s="4" t="s">
        <v>4260</v>
      </c>
      <c r="G370" s="2"/>
      <c r="H370" s="7" t="s">
        <v>209</v>
      </c>
      <c r="I370" s="2" t="s">
        <v>487</v>
      </c>
      <c r="J370" s="2" t="s">
        <v>488</v>
      </c>
      <c r="K370" s="2" t="s">
        <v>304</v>
      </c>
      <c r="L370" s="2" t="s">
        <v>75</v>
      </c>
      <c r="M370" s="8" t="str">
        <f>HYPERLINK("http://slimages.macys.com/is/image/MCY/11867923 ")</f>
        <v xml:space="preserve">http://slimages.macys.com/is/image/MCY/11867923 </v>
      </c>
    </row>
    <row r="371" spans="1:13" ht="60" x14ac:dyDescent="0.25">
      <c r="A371" s="7" t="s">
        <v>2674</v>
      </c>
      <c r="B371" s="2" t="s">
        <v>2675</v>
      </c>
      <c r="C371" s="4">
        <v>1</v>
      </c>
      <c r="D371" s="5">
        <v>4</v>
      </c>
      <c r="E371" s="5">
        <v>10.99</v>
      </c>
      <c r="F371" s="4" t="s">
        <v>2676</v>
      </c>
      <c r="G371" s="2" t="s">
        <v>347</v>
      </c>
      <c r="H371" s="7" t="s">
        <v>159</v>
      </c>
      <c r="I371" s="2" t="s">
        <v>389</v>
      </c>
      <c r="J371" s="2" t="s">
        <v>354</v>
      </c>
      <c r="K371" s="2" t="s">
        <v>304</v>
      </c>
      <c r="L371" s="2" t="s">
        <v>390</v>
      </c>
      <c r="M371" s="8" t="str">
        <f>HYPERLINK("http://slimages.macys.com/is/image/MCY/12898616 ")</f>
        <v xml:space="preserve">http://slimages.macys.com/is/image/MCY/12898616 </v>
      </c>
    </row>
    <row r="372" spans="1:13" ht="60" x14ac:dyDescent="0.25">
      <c r="A372" s="7" t="s">
        <v>4261</v>
      </c>
      <c r="B372" s="2" t="s">
        <v>4262</v>
      </c>
      <c r="C372" s="4">
        <v>1</v>
      </c>
      <c r="D372" s="5">
        <v>3.82</v>
      </c>
      <c r="E372" s="5">
        <v>7.99</v>
      </c>
      <c r="F372" s="4" t="s">
        <v>4263</v>
      </c>
      <c r="G372" s="2" t="s">
        <v>62</v>
      </c>
      <c r="H372" s="7" t="s">
        <v>1151</v>
      </c>
      <c r="I372" s="2" t="s">
        <v>292</v>
      </c>
      <c r="J372" s="2" t="s">
        <v>354</v>
      </c>
      <c r="K372" s="2" t="s">
        <v>304</v>
      </c>
      <c r="L372" s="2" t="s">
        <v>571</v>
      </c>
      <c r="M372" s="8" t="str">
        <f>HYPERLINK("http://slimages.macys.com/is/image/MCY/12890416 ")</f>
        <v xml:space="preserve">http://slimages.macys.com/is/image/MCY/12890416 </v>
      </c>
    </row>
    <row r="373" spans="1:13" ht="60" x14ac:dyDescent="0.25">
      <c r="A373" s="7" t="s">
        <v>4264</v>
      </c>
      <c r="B373" s="2" t="s">
        <v>4262</v>
      </c>
      <c r="C373" s="4">
        <v>1</v>
      </c>
      <c r="D373" s="5">
        <v>3.82</v>
      </c>
      <c r="E373" s="5">
        <v>7.99</v>
      </c>
      <c r="F373" s="4" t="s">
        <v>4263</v>
      </c>
      <c r="G373" s="2" t="s">
        <v>62</v>
      </c>
      <c r="H373" s="7" t="s">
        <v>578</v>
      </c>
      <c r="I373" s="2" t="s">
        <v>292</v>
      </c>
      <c r="J373" s="2" t="s">
        <v>354</v>
      </c>
      <c r="K373" s="2" t="s">
        <v>304</v>
      </c>
      <c r="L373" s="2" t="s">
        <v>571</v>
      </c>
      <c r="M373" s="8" t="str">
        <f>HYPERLINK("http://slimages.macys.com/is/image/MCY/12890416 ")</f>
        <v xml:space="preserve">http://slimages.macys.com/is/image/MCY/12890416 </v>
      </c>
    </row>
    <row r="374" spans="1:13" ht="60" x14ac:dyDescent="0.25">
      <c r="A374" s="7" t="s">
        <v>4265</v>
      </c>
      <c r="B374" s="2" t="s">
        <v>4266</v>
      </c>
      <c r="C374" s="4">
        <v>1</v>
      </c>
      <c r="D374" s="5">
        <v>3.61</v>
      </c>
      <c r="E374" s="5">
        <v>10.99</v>
      </c>
      <c r="F374" s="4" t="s">
        <v>4267</v>
      </c>
      <c r="G374" s="2" t="s">
        <v>297</v>
      </c>
      <c r="H374" s="7" t="s">
        <v>149</v>
      </c>
      <c r="I374" s="2" t="s">
        <v>483</v>
      </c>
      <c r="J374" s="2" t="s">
        <v>536</v>
      </c>
      <c r="K374" s="2" t="s">
        <v>304</v>
      </c>
      <c r="L374" s="2" t="s">
        <v>206</v>
      </c>
      <c r="M374" s="8" t="str">
        <f>HYPERLINK("http://slimages.macys.com/is/image/MCY/12700294 ")</f>
        <v xml:space="preserve">http://slimages.macys.com/is/image/MCY/12700294 </v>
      </c>
    </row>
    <row r="375" spans="1:13" ht="60" x14ac:dyDescent="0.25">
      <c r="A375" s="7" t="s">
        <v>4268</v>
      </c>
      <c r="B375" s="2" t="s">
        <v>4269</v>
      </c>
      <c r="C375" s="4">
        <v>1</v>
      </c>
      <c r="D375" s="5">
        <v>3.61</v>
      </c>
      <c r="E375" s="5">
        <v>10.99</v>
      </c>
      <c r="F375" s="4" t="s">
        <v>4270</v>
      </c>
      <c r="G375" s="2" t="s">
        <v>1360</v>
      </c>
      <c r="H375" s="7" t="s">
        <v>149</v>
      </c>
      <c r="I375" s="2" t="s">
        <v>483</v>
      </c>
      <c r="J375" s="2" t="s">
        <v>536</v>
      </c>
      <c r="K375" s="2" t="s">
        <v>304</v>
      </c>
      <c r="L375" s="2" t="s">
        <v>206</v>
      </c>
      <c r="M375" s="8" t="str">
        <f>HYPERLINK("http://slimages.macys.com/is/image/MCY/11447832 ")</f>
        <v xml:space="preserve">http://slimages.macys.com/is/image/MCY/11447832 </v>
      </c>
    </row>
    <row r="376" spans="1:13" ht="60" x14ac:dyDescent="0.25">
      <c r="A376" s="7" t="s">
        <v>4271</v>
      </c>
      <c r="B376" s="2" t="s">
        <v>4272</v>
      </c>
      <c r="C376" s="4">
        <v>1</v>
      </c>
      <c r="D376" s="5">
        <v>3.54</v>
      </c>
      <c r="E376" s="5">
        <v>7.99</v>
      </c>
      <c r="F376" s="4" t="s">
        <v>4273</v>
      </c>
      <c r="G376" s="2" t="s">
        <v>657</v>
      </c>
      <c r="H376" s="7" t="s">
        <v>166</v>
      </c>
      <c r="I376" s="2" t="s">
        <v>292</v>
      </c>
      <c r="J376" s="2" t="s">
        <v>354</v>
      </c>
      <c r="K376" s="2" t="s">
        <v>304</v>
      </c>
      <c r="L376" s="2" t="s">
        <v>119</v>
      </c>
      <c r="M376" s="8" t="str">
        <f>HYPERLINK("http://slimages.macys.com/is/image/MCY/11136823 ")</f>
        <v xml:space="preserve">http://slimages.macys.com/is/image/MCY/11136823 </v>
      </c>
    </row>
    <row r="377" spans="1:13" ht="60" x14ac:dyDescent="0.25">
      <c r="A377" s="7" t="s">
        <v>552</v>
      </c>
      <c r="B377" s="2" t="s">
        <v>553</v>
      </c>
      <c r="C377" s="4">
        <v>14</v>
      </c>
      <c r="D377" s="5">
        <v>3.54</v>
      </c>
      <c r="E377" s="5">
        <v>7.99</v>
      </c>
      <c r="F377" s="4" t="s">
        <v>554</v>
      </c>
      <c r="G377" s="2" t="s">
        <v>134</v>
      </c>
      <c r="H377" s="7" t="s">
        <v>514</v>
      </c>
      <c r="I377" s="2" t="s">
        <v>483</v>
      </c>
      <c r="J377" s="2" t="s">
        <v>536</v>
      </c>
      <c r="K377" s="2" t="s">
        <v>304</v>
      </c>
      <c r="L377" s="2" t="s">
        <v>119</v>
      </c>
      <c r="M377" s="8" t="str">
        <f>HYPERLINK("http://slimages.macys.com/is/image/MCY/14532191 ")</f>
        <v xml:space="preserve">http://slimages.macys.com/is/image/MCY/14532191 </v>
      </c>
    </row>
    <row r="378" spans="1:13" ht="60" x14ac:dyDescent="0.25">
      <c r="A378" s="7" t="s">
        <v>4274</v>
      </c>
      <c r="B378" s="2" t="s">
        <v>4275</v>
      </c>
      <c r="C378" s="4">
        <v>1</v>
      </c>
      <c r="D378" s="5">
        <v>3.54</v>
      </c>
      <c r="E378" s="5">
        <v>7.99</v>
      </c>
      <c r="F378" s="4" t="s">
        <v>4276</v>
      </c>
      <c r="G378" s="2" t="s">
        <v>657</v>
      </c>
      <c r="H378" s="7" t="s">
        <v>618</v>
      </c>
      <c r="I378" s="2" t="s">
        <v>292</v>
      </c>
      <c r="J378" s="2" t="s">
        <v>354</v>
      </c>
      <c r="K378" s="2" t="s">
        <v>304</v>
      </c>
      <c r="L378" s="2" t="s">
        <v>119</v>
      </c>
      <c r="M378" s="8" t="str">
        <f>HYPERLINK("http://slimages.macys.com/is/image/MCY/11279578 ")</f>
        <v xml:space="preserve">http://slimages.macys.com/is/image/MCY/11279578 </v>
      </c>
    </row>
    <row r="379" spans="1:13" ht="60" x14ac:dyDescent="0.25">
      <c r="A379" s="7" t="s">
        <v>4277</v>
      </c>
      <c r="B379" s="2" t="s">
        <v>553</v>
      </c>
      <c r="C379" s="4">
        <v>3</v>
      </c>
      <c r="D379" s="5">
        <v>3.54</v>
      </c>
      <c r="E379" s="5">
        <v>7.99</v>
      </c>
      <c r="F379" s="4" t="s">
        <v>554</v>
      </c>
      <c r="G379" s="2" t="s">
        <v>134</v>
      </c>
      <c r="H379" s="7" t="s">
        <v>578</v>
      </c>
      <c r="I379" s="2" t="s">
        <v>483</v>
      </c>
      <c r="J379" s="2" t="s">
        <v>536</v>
      </c>
      <c r="K379" s="2" t="s">
        <v>304</v>
      </c>
      <c r="L379" s="2" t="s">
        <v>119</v>
      </c>
      <c r="M379" s="8" t="str">
        <f>HYPERLINK("http://slimages.macys.com/is/image/MCY/14532191 ")</f>
        <v xml:space="preserve">http://slimages.macys.com/is/image/MCY/14532191 </v>
      </c>
    </row>
    <row r="380" spans="1:13" ht="60" x14ac:dyDescent="0.25">
      <c r="A380" s="7" t="s">
        <v>4278</v>
      </c>
      <c r="B380" s="2" t="s">
        <v>553</v>
      </c>
      <c r="C380" s="4">
        <v>17</v>
      </c>
      <c r="D380" s="5">
        <v>3.54</v>
      </c>
      <c r="E380" s="5">
        <v>7.99</v>
      </c>
      <c r="F380" s="4" t="s">
        <v>554</v>
      </c>
      <c r="G380" s="2" t="s">
        <v>134</v>
      </c>
      <c r="H380" s="7" t="s">
        <v>1151</v>
      </c>
      <c r="I380" s="2" t="s">
        <v>483</v>
      </c>
      <c r="J380" s="2" t="s">
        <v>536</v>
      </c>
      <c r="K380" s="2" t="s">
        <v>304</v>
      </c>
      <c r="L380" s="2" t="s">
        <v>119</v>
      </c>
      <c r="M380" s="8" t="str">
        <f>HYPERLINK("http://slimages.macys.com/is/image/MCY/14532191 ")</f>
        <v xml:space="preserve">http://slimages.macys.com/is/image/MCY/14532191 </v>
      </c>
    </row>
    <row r="381" spans="1:13" ht="60" x14ac:dyDescent="0.25">
      <c r="A381" s="7" t="s">
        <v>4279</v>
      </c>
      <c r="B381" s="2" t="s">
        <v>4280</v>
      </c>
      <c r="C381" s="4">
        <v>2</v>
      </c>
      <c r="D381" s="5">
        <v>3.52</v>
      </c>
      <c r="E381" s="5">
        <v>7.99</v>
      </c>
      <c r="F381" s="4">
        <v>100019128</v>
      </c>
      <c r="G381" s="2" t="s">
        <v>62</v>
      </c>
      <c r="H381" s="7" t="s">
        <v>123</v>
      </c>
      <c r="I381" s="2" t="s">
        <v>292</v>
      </c>
      <c r="J381" s="2" t="s">
        <v>354</v>
      </c>
      <c r="K381" s="2" t="s">
        <v>304</v>
      </c>
      <c r="L381" s="2" t="s">
        <v>119</v>
      </c>
      <c r="M381" s="8" t="str">
        <f>HYPERLINK("http://slimages.macys.com/is/image/MCY/9542283 ")</f>
        <v xml:space="preserve">http://slimages.macys.com/is/image/MCY/9542283 </v>
      </c>
    </row>
    <row r="382" spans="1:13" ht="60" x14ac:dyDescent="0.25">
      <c r="A382" s="7" t="s">
        <v>2116</v>
      </c>
      <c r="B382" s="2" t="s">
        <v>2117</v>
      </c>
      <c r="C382" s="4">
        <v>1</v>
      </c>
      <c r="D382" s="5">
        <v>3.51</v>
      </c>
      <c r="E382" s="5">
        <v>8.99</v>
      </c>
      <c r="F382" s="4">
        <v>10006320100</v>
      </c>
      <c r="G382" s="2" t="s">
        <v>134</v>
      </c>
      <c r="H382" s="7"/>
      <c r="I382" s="2" t="s">
        <v>483</v>
      </c>
      <c r="J382" s="2" t="s">
        <v>536</v>
      </c>
      <c r="K382" s="2" t="s">
        <v>304</v>
      </c>
      <c r="L382" s="2" t="s">
        <v>38</v>
      </c>
      <c r="M382" s="8" t="str">
        <f>HYPERLINK("http://slimages.macys.com/is/image/MCY/13987499 ")</f>
        <v xml:space="preserve">http://slimages.macys.com/is/image/MCY/13987499 </v>
      </c>
    </row>
    <row r="383" spans="1:13" ht="60" x14ac:dyDescent="0.25">
      <c r="A383" s="7" t="s">
        <v>2118</v>
      </c>
      <c r="B383" s="2" t="s">
        <v>2117</v>
      </c>
      <c r="C383" s="4">
        <v>1</v>
      </c>
      <c r="D383" s="5">
        <v>3.51</v>
      </c>
      <c r="E383" s="5">
        <v>8.99</v>
      </c>
      <c r="F383" s="4">
        <v>10006320100</v>
      </c>
      <c r="G383" s="2" t="s">
        <v>134</v>
      </c>
      <c r="H383" s="7" t="s">
        <v>590</v>
      </c>
      <c r="I383" s="2" t="s">
        <v>483</v>
      </c>
      <c r="J383" s="2" t="s">
        <v>536</v>
      </c>
      <c r="K383" s="2" t="s">
        <v>304</v>
      </c>
      <c r="L383" s="2" t="s">
        <v>38</v>
      </c>
      <c r="M383" s="8" t="str">
        <f>HYPERLINK("http://slimages.macys.com/is/image/MCY/13987499 ")</f>
        <v xml:space="preserve">http://slimages.macys.com/is/image/MCY/13987499 </v>
      </c>
    </row>
    <row r="384" spans="1:13" ht="60" x14ac:dyDescent="0.25">
      <c r="A384" s="7" t="s">
        <v>4281</v>
      </c>
      <c r="B384" s="2" t="s">
        <v>2117</v>
      </c>
      <c r="C384" s="4">
        <v>1</v>
      </c>
      <c r="D384" s="5">
        <v>3.51</v>
      </c>
      <c r="E384" s="5">
        <v>8.99</v>
      </c>
      <c r="F384" s="4">
        <v>10006320100</v>
      </c>
      <c r="G384" s="2" t="s">
        <v>134</v>
      </c>
      <c r="H384" s="7" t="s">
        <v>482</v>
      </c>
      <c r="I384" s="2" t="s">
        <v>483</v>
      </c>
      <c r="J384" s="2" t="s">
        <v>536</v>
      </c>
      <c r="K384" s="2" t="s">
        <v>304</v>
      </c>
      <c r="L384" s="2" t="s">
        <v>38</v>
      </c>
      <c r="M384" s="8" t="str">
        <f>HYPERLINK("http://slimages.macys.com/is/image/MCY/13987499 ")</f>
        <v xml:space="preserve">http://slimages.macys.com/is/image/MCY/13987499 </v>
      </c>
    </row>
    <row r="385" spans="1:13" ht="60" x14ac:dyDescent="0.25">
      <c r="A385" s="7" t="s">
        <v>4282</v>
      </c>
      <c r="B385" s="2" t="s">
        <v>3487</v>
      </c>
      <c r="C385" s="4">
        <v>1</v>
      </c>
      <c r="D385" s="5">
        <v>3.5</v>
      </c>
      <c r="E385" s="5">
        <v>7.99</v>
      </c>
      <c r="F385" s="4">
        <v>18182710</v>
      </c>
      <c r="G385" s="2" t="s">
        <v>28</v>
      </c>
      <c r="H385" s="7" t="s">
        <v>675</v>
      </c>
      <c r="I385" s="2" t="s">
        <v>153</v>
      </c>
      <c r="J385" s="2" t="s">
        <v>154</v>
      </c>
      <c r="K385" s="2" t="s">
        <v>304</v>
      </c>
      <c r="L385" s="2" t="s">
        <v>38</v>
      </c>
      <c r="M385" s="8" t="str">
        <f>HYPERLINK("http://slimages.macys.com/is/image/MCY/13727498 ")</f>
        <v xml:space="preserve">http://slimages.macys.com/is/image/MCY/13727498 </v>
      </c>
    </row>
    <row r="386" spans="1:13" ht="60" x14ac:dyDescent="0.25">
      <c r="A386" s="7" t="s">
        <v>4283</v>
      </c>
      <c r="B386" s="2" t="s">
        <v>4284</v>
      </c>
      <c r="C386" s="4">
        <v>2</v>
      </c>
      <c r="D386" s="5">
        <v>3.5</v>
      </c>
      <c r="E386" s="5">
        <v>7.99</v>
      </c>
      <c r="F386" s="4">
        <v>16598212</v>
      </c>
      <c r="G386" s="2" t="s">
        <v>643</v>
      </c>
      <c r="H386" s="7" t="s">
        <v>442</v>
      </c>
      <c r="I386" s="2" t="s">
        <v>153</v>
      </c>
      <c r="J386" s="2" t="s">
        <v>154</v>
      </c>
      <c r="K386" s="2" t="s">
        <v>304</v>
      </c>
      <c r="L386" s="2" t="s">
        <v>206</v>
      </c>
      <c r="M386" s="8" t="str">
        <f>HYPERLINK("http://slimages.macys.com/is/image/MCY/12235973 ")</f>
        <v xml:space="preserve">http://slimages.macys.com/is/image/MCY/12235973 </v>
      </c>
    </row>
    <row r="387" spans="1:13" ht="60" x14ac:dyDescent="0.25">
      <c r="A387" s="7" t="s">
        <v>4285</v>
      </c>
      <c r="B387" s="2" t="s">
        <v>558</v>
      </c>
      <c r="C387" s="4">
        <v>1</v>
      </c>
      <c r="D387" s="5">
        <v>3.5</v>
      </c>
      <c r="E387" s="5">
        <v>7.99</v>
      </c>
      <c r="F387" s="4">
        <v>18192210</v>
      </c>
      <c r="G387" s="2" t="s">
        <v>36</v>
      </c>
      <c r="H387" s="7" t="s">
        <v>91</v>
      </c>
      <c r="I387" s="2" t="s">
        <v>153</v>
      </c>
      <c r="J387" s="2" t="s">
        <v>154</v>
      </c>
      <c r="K387" s="2" t="s">
        <v>304</v>
      </c>
      <c r="L387" s="2" t="s">
        <v>38</v>
      </c>
      <c r="M387" s="8" t="str">
        <f>HYPERLINK("http://slimages.macys.com/is/image/MCY/13852974 ")</f>
        <v xml:space="preserve">http://slimages.macys.com/is/image/MCY/13852974 </v>
      </c>
    </row>
    <row r="388" spans="1:13" ht="60" x14ac:dyDescent="0.25">
      <c r="A388" s="7" t="s">
        <v>4286</v>
      </c>
      <c r="B388" s="2" t="s">
        <v>4287</v>
      </c>
      <c r="C388" s="4">
        <v>1</v>
      </c>
      <c r="D388" s="5">
        <v>3.5</v>
      </c>
      <c r="E388" s="5">
        <v>9.99</v>
      </c>
      <c r="F388" s="4" t="s">
        <v>4288</v>
      </c>
      <c r="G388" s="2"/>
      <c r="H388" s="7" t="s">
        <v>123</v>
      </c>
      <c r="I388" s="2" t="s">
        <v>342</v>
      </c>
      <c r="J388" s="2" t="s">
        <v>1613</v>
      </c>
      <c r="K388" s="2" t="s">
        <v>304</v>
      </c>
      <c r="L388" s="2" t="s">
        <v>87</v>
      </c>
      <c r="M388" s="8" t="str">
        <f>HYPERLINK("http://slimages.macys.com/is/image/MCY/11030868 ")</f>
        <v xml:space="preserve">http://slimages.macys.com/is/image/MCY/11030868 </v>
      </c>
    </row>
    <row r="389" spans="1:13" ht="60" x14ac:dyDescent="0.25">
      <c r="A389" s="7" t="s">
        <v>4289</v>
      </c>
      <c r="B389" s="2" t="s">
        <v>4290</v>
      </c>
      <c r="C389" s="4">
        <v>1</v>
      </c>
      <c r="D389" s="5">
        <v>3.49</v>
      </c>
      <c r="E389" s="5">
        <v>7.99</v>
      </c>
      <c r="F389" s="4" t="s">
        <v>4291</v>
      </c>
      <c r="G389" s="2" t="s">
        <v>86</v>
      </c>
      <c r="H389" s="7" t="s">
        <v>123</v>
      </c>
      <c r="I389" s="2" t="s">
        <v>1689</v>
      </c>
      <c r="J389" s="2" t="s">
        <v>354</v>
      </c>
      <c r="K389" s="2" t="s">
        <v>304</v>
      </c>
      <c r="L389" s="2" t="s">
        <v>596</v>
      </c>
      <c r="M389" s="8" t="str">
        <f>HYPERLINK("http://slimages.macys.com/is/image/MCY/12938587 ")</f>
        <v xml:space="preserve">http://slimages.macys.com/is/image/MCY/12938587 </v>
      </c>
    </row>
    <row r="390" spans="1:13" ht="60" x14ac:dyDescent="0.25">
      <c r="A390" s="7" t="s">
        <v>4292</v>
      </c>
      <c r="B390" s="2" t="s">
        <v>4293</v>
      </c>
      <c r="C390" s="4">
        <v>1</v>
      </c>
      <c r="D390" s="5">
        <v>3.49</v>
      </c>
      <c r="E390" s="5">
        <v>7.99</v>
      </c>
      <c r="F390" s="4" t="s">
        <v>4294</v>
      </c>
      <c r="G390" s="2" t="s">
        <v>129</v>
      </c>
      <c r="H390" s="7" t="s">
        <v>209</v>
      </c>
      <c r="I390" s="2" t="s">
        <v>292</v>
      </c>
      <c r="J390" s="2" t="s">
        <v>354</v>
      </c>
      <c r="K390" s="2" t="s">
        <v>304</v>
      </c>
      <c r="L390" s="2" t="s">
        <v>119</v>
      </c>
      <c r="M390" s="8" t="str">
        <f>HYPERLINK("http://slimages.macys.com/is/image/MCY/13077248 ")</f>
        <v xml:space="preserve">http://slimages.macys.com/is/image/MCY/13077248 </v>
      </c>
    </row>
    <row r="391" spans="1:13" ht="60" x14ac:dyDescent="0.25">
      <c r="A391" s="7" t="s">
        <v>4295</v>
      </c>
      <c r="B391" s="2" t="s">
        <v>1164</v>
      </c>
      <c r="C391" s="4">
        <v>5</v>
      </c>
      <c r="D391" s="5">
        <v>3.49</v>
      </c>
      <c r="E391" s="5">
        <v>7.99</v>
      </c>
      <c r="F391" s="4" t="s">
        <v>1165</v>
      </c>
      <c r="G391" s="2" t="s">
        <v>353</v>
      </c>
      <c r="H391" s="7" t="s">
        <v>209</v>
      </c>
      <c r="I391" s="2" t="s">
        <v>292</v>
      </c>
      <c r="J391" s="2" t="s">
        <v>354</v>
      </c>
      <c r="K391" s="2" t="s">
        <v>304</v>
      </c>
      <c r="L391" s="2" t="s">
        <v>119</v>
      </c>
      <c r="M391" s="8" t="str">
        <f>HYPERLINK("http://slimages.macys.com/is/image/MCY/13077249 ")</f>
        <v xml:space="preserve">http://slimages.macys.com/is/image/MCY/13077249 </v>
      </c>
    </row>
    <row r="392" spans="1:13" ht="60" x14ac:dyDescent="0.25">
      <c r="A392" s="7" t="s">
        <v>4296</v>
      </c>
      <c r="B392" s="2" t="s">
        <v>4293</v>
      </c>
      <c r="C392" s="4">
        <v>2</v>
      </c>
      <c r="D392" s="5">
        <v>3.49</v>
      </c>
      <c r="E392" s="5">
        <v>7.99</v>
      </c>
      <c r="F392" s="4" t="s">
        <v>4294</v>
      </c>
      <c r="G392" s="2" t="s">
        <v>129</v>
      </c>
      <c r="H392" s="7" t="s">
        <v>166</v>
      </c>
      <c r="I392" s="2" t="s">
        <v>292</v>
      </c>
      <c r="J392" s="2" t="s">
        <v>354</v>
      </c>
      <c r="K392" s="2" t="s">
        <v>304</v>
      </c>
      <c r="L392" s="2" t="s">
        <v>119</v>
      </c>
      <c r="M392" s="8" t="str">
        <f>HYPERLINK("http://slimages.macys.com/is/image/MCY/13077248 ")</f>
        <v xml:space="preserve">http://slimages.macys.com/is/image/MCY/13077248 </v>
      </c>
    </row>
    <row r="393" spans="1:13" ht="60" x14ac:dyDescent="0.25">
      <c r="A393" s="7" t="s">
        <v>4297</v>
      </c>
      <c r="B393" s="2" t="s">
        <v>1164</v>
      </c>
      <c r="C393" s="4">
        <v>1</v>
      </c>
      <c r="D393" s="5">
        <v>3.49</v>
      </c>
      <c r="E393" s="5">
        <v>7.99</v>
      </c>
      <c r="F393" s="4" t="s">
        <v>1165</v>
      </c>
      <c r="G393" s="2" t="s">
        <v>353</v>
      </c>
      <c r="H393" s="7" t="s">
        <v>123</v>
      </c>
      <c r="I393" s="2" t="s">
        <v>292</v>
      </c>
      <c r="J393" s="2" t="s">
        <v>354</v>
      </c>
      <c r="K393" s="2" t="s">
        <v>304</v>
      </c>
      <c r="L393" s="2" t="s">
        <v>119</v>
      </c>
      <c r="M393" s="8" t="str">
        <f>HYPERLINK("http://slimages.macys.com/is/image/MCY/13077249 ")</f>
        <v xml:space="preserve">http://slimages.macys.com/is/image/MCY/13077249 </v>
      </c>
    </row>
    <row r="394" spans="1:13" ht="60" x14ac:dyDescent="0.25">
      <c r="A394" s="7" t="s">
        <v>3491</v>
      </c>
      <c r="B394" s="2" t="s">
        <v>1164</v>
      </c>
      <c r="C394" s="4">
        <v>1</v>
      </c>
      <c r="D394" s="5">
        <v>3.49</v>
      </c>
      <c r="E394" s="5">
        <v>7.99</v>
      </c>
      <c r="F394" s="4" t="s">
        <v>1165</v>
      </c>
      <c r="G394" s="2" t="s">
        <v>353</v>
      </c>
      <c r="H394" s="7" t="s">
        <v>578</v>
      </c>
      <c r="I394" s="2" t="s">
        <v>292</v>
      </c>
      <c r="J394" s="2" t="s">
        <v>354</v>
      </c>
      <c r="K394" s="2" t="s">
        <v>304</v>
      </c>
      <c r="L394" s="2" t="s">
        <v>119</v>
      </c>
      <c r="M394" s="8" t="str">
        <f>HYPERLINK("http://slimages.macys.com/is/image/MCY/13077249 ")</f>
        <v xml:space="preserve">http://slimages.macys.com/is/image/MCY/13077249 </v>
      </c>
    </row>
    <row r="395" spans="1:13" ht="60" x14ac:dyDescent="0.25">
      <c r="A395" s="7" t="s">
        <v>4298</v>
      </c>
      <c r="B395" s="2" t="s">
        <v>560</v>
      </c>
      <c r="C395" s="4">
        <v>1</v>
      </c>
      <c r="D395" s="5">
        <v>3.49</v>
      </c>
      <c r="E395" s="5">
        <v>7.99</v>
      </c>
      <c r="F395" s="4" t="s">
        <v>561</v>
      </c>
      <c r="G395" s="2" t="s">
        <v>28</v>
      </c>
      <c r="H395" s="7" t="s">
        <v>379</v>
      </c>
      <c r="I395" s="2" t="s">
        <v>292</v>
      </c>
      <c r="J395" s="2" t="s">
        <v>354</v>
      </c>
      <c r="K395" s="2" t="s">
        <v>304</v>
      </c>
      <c r="L395" s="2" t="s">
        <v>119</v>
      </c>
      <c r="M395" s="8" t="str">
        <f>HYPERLINK("http://slimages.macys.com/is/image/MCY/11527513 ")</f>
        <v xml:space="preserve">http://slimages.macys.com/is/image/MCY/11527513 </v>
      </c>
    </row>
    <row r="396" spans="1:13" ht="60" x14ac:dyDescent="0.25">
      <c r="A396" s="7" t="s">
        <v>4299</v>
      </c>
      <c r="B396" s="2" t="s">
        <v>560</v>
      </c>
      <c r="C396" s="4">
        <v>1</v>
      </c>
      <c r="D396" s="5">
        <v>3.49</v>
      </c>
      <c r="E396" s="5">
        <v>7.99</v>
      </c>
      <c r="F396" s="4" t="s">
        <v>561</v>
      </c>
      <c r="G396" s="2" t="s">
        <v>28</v>
      </c>
      <c r="H396" s="7" t="s">
        <v>618</v>
      </c>
      <c r="I396" s="2" t="s">
        <v>292</v>
      </c>
      <c r="J396" s="2" t="s">
        <v>354</v>
      </c>
      <c r="K396" s="2" t="s">
        <v>304</v>
      </c>
      <c r="L396" s="2" t="s">
        <v>119</v>
      </c>
      <c r="M396" s="8" t="str">
        <f>HYPERLINK("http://slimages.macys.com/is/image/MCY/11527513 ")</f>
        <v xml:space="preserve">http://slimages.macys.com/is/image/MCY/11527513 </v>
      </c>
    </row>
    <row r="397" spans="1:13" ht="60" x14ac:dyDescent="0.25">
      <c r="A397" s="7" t="s">
        <v>4300</v>
      </c>
      <c r="B397" s="2" t="s">
        <v>560</v>
      </c>
      <c r="C397" s="4">
        <v>1</v>
      </c>
      <c r="D397" s="5">
        <v>3.49</v>
      </c>
      <c r="E397" s="5">
        <v>7.99</v>
      </c>
      <c r="F397" s="4" t="s">
        <v>561</v>
      </c>
      <c r="G397" s="2" t="s">
        <v>28</v>
      </c>
      <c r="H397" s="7" t="s">
        <v>311</v>
      </c>
      <c r="I397" s="2" t="s">
        <v>292</v>
      </c>
      <c r="J397" s="2" t="s">
        <v>354</v>
      </c>
      <c r="K397" s="2" t="s">
        <v>304</v>
      </c>
      <c r="L397" s="2" t="s">
        <v>119</v>
      </c>
      <c r="M397" s="8" t="str">
        <f>HYPERLINK("http://slimages.macys.com/is/image/MCY/11527513 ")</f>
        <v xml:space="preserve">http://slimages.macys.com/is/image/MCY/11527513 </v>
      </c>
    </row>
    <row r="398" spans="1:13" ht="60" x14ac:dyDescent="0.25">
      <c r="A398" s="7" t="s">
        <v>4301</v>
      </c>
      <c r="B398" s="2" t="s">
        <v>4302</v>
      </c>
      <c r="C398" s="4">
        <v>1</v>
      </c>
      <c r="D398" s="5">
        <v>3.49</v>
      </c>
      <c r="E398" s="5">
        <v>7.99</v>
      </c>
      <c r="F398" s="4" t="s">
        <v>4303</v>
      </c>
      <c r="G398" s="2" t="s">
        <v>41</v>
      </c>
      <c r="H398" s="7" t="s">
        <v>311</v>
      </c>
      <c r="I398" s="2" t="s">
        <v>292</v>
      </c>
      <c r="J398" s="2" t="s">
        <v>354</v>
      </c>
      <c r="K398" s="2" t="s">
        <v>304</v>
      </c>
      <c r="L398" s="2" t="s">
        <v>119</v>
      </c>
      <c r="M398" s="8" t="str">
        <f>HYPERLINK("http://slimages.macys.com/is/image/MCY/12684390 ")</f>
        <v xml:space="preserve">http://slimages.macys.com/is/image/MCY/12684390 </v>
      </c>
    </row>
    <row r="399" spans="1:13" ht="60" x14ac:dyDescent="0.25">
      <c r="A399" s="7" t="s">
        <v>4304</v>
      </c>
      <c r="B399" s="2" t="s">
        <v>4302</v>
      </c>
      <c r="C399" s="4">
        <v>1</v>
      </c>
      <c r="D399" s="5">
        <v>3.49</v>
      </c>
      <c r="E399" s="5">
        <v>7.99</v>
      </c>
      <c r="F399" s="4" t="s">
        <v>4303</v>
      </c>
      <c r="G399" s="2" t="s">
        <v>41</v>
      </c>
      <c r="H399" s="7" t="s">
        <v>578</v>
      </c>
      <c r="I399" s="2" t="s">
        <v>292</v>
      </c>
      <c r="J399" s="2" t="s">
        <v>354</v>
      </c>
      <c r="K399" s="2" t="s">
        <v>304</v>
      </c>
      <c r="L399" s="2" t="s">
        <v>119</v>
      </c>
      <c r="M399" s="8" t="str">
        <f>HYPERLINK("http://slimages.macys.com/is/image/MCY/12684390 ")</f>
        <v xml:space="preserve">http://slimages.macys.com/is/image/MCY/12684390 </v>
      </c>
    </row>
    <row r="400" spans="1:13" ht="60" x14ac:dyDescent="0.25">
      <c r="A400" s="7" t="s">
        <v>4305</v>
      </c>
      <c r="B400" s="2" t="s">
        <v>3446</v>
      </c>
      <c r="C400" s="4">
        <v>2</v>
      </c>
      <c r="D400" s="5">
        <v>3.49</v>
      </c>
      <c r="E400" s="5">
        <v>7.99</v>
      </c>
      <c r="F400" s="4" t="s">
        <v>4306</v>
      </c>
      <c r="G400" s="2" t="s">
        <v>129</v>
      </c>
      <c r="H400" s="7" t="s">
        <v>578</v>
      </c>
      <c r="I400" s="2" t="s">
        <v>292</v>
      </c>
      <c r="J400" s="2" t="s">
        <v>354</v>
      </c>
      <c r="K400" s="2" t="s">
        <v>304</v>
      </c>
      <c r="L400" s="2" t="s">
        <v>571</v>
      </c>
      <c r="M400" s="8" t="str">
        <f>HYPERLINK("http://slimages.macys.com/is/image/MCY/12951259 ")</f>
        <v xml:space="preserve">http://slimages.macys.com/is/image/MCY/12951259 </v>
      </c>
    </row>
    <row r="401" spans="1:13" ht="60" x14ac:dyDescent="0.25">
      <c r="A401" s="7" t="s">
        <v>4307</v>
      </c>
      <c r="B401" s="2" t="s">
        <v>3446</v>
      </c>
      <c r="C401" s="4">
        <v>1</v>
      </c>
      <c r="D401" s="5">
        <v>3.49</v>
      </c>
      <c r="E401" s="5">
        <v>7.99</v>
      </c>
      <c r="F401" s="4" t="s">
        <v>4306</v>
      </c>
      <c r="G401" s="2" t="s">
        <v>129</v>
      </c>
      <c r="H401" s="7" t="s">
        <v>1151</v>
      </c>
      <c r="I401" s="2" t="s">
        <v>292</v>
      </c>
      <c r="J401" s="2" t="s">
        <v>354</v>
      </c>
      <c r="K401" s="2" t="s">
        <v>304</v>
      </c>
      <c r="L401" s="2" t="s">
        <v>571</v>
      </c>
      <c r="M401" s="8" t="str">
        <f>HYPERLINK("http://slimages.macys.com/is/image/MCY/12951259 ")</f>
        <v xml:space="preserve">http://slimages.macys.com/is/image/MCY/12951259 </v>
      </c>
    </row>
    <row r="402" spans="1:13" ht="60" x14ac:dyDescent="0.25">
      <c r="A402" s="7" t="s">
        <v>4308</v>
      </c>
      <c r="B402" s="2" t="s">
        <v>4302</v>
      </c>
      <c r="C402" s="4">
        <v>1</v>
      </c>
      <c r="D402" s="5">
        <v>3.49</v>
      </c>
      <c r="E402" s="5">
        <v>7.99</v>
      </c>
      <c r="F402" s="4" t="s">
        <v>4303</v>
      </c>
      <c r="G402" s="2" t="s">
        <v>41</v>
      </c>
      <c r="H402" s="7" t="s">
        <v>209</v>
      </c>
      <c r="I402" s="2" t="s">
        <v>292</v>
      </c>
      <c r="J402" s="2" t="s">
        <v>354</v>
      </c>
      <c r="K402" s="2" t="s">
        <v>304</v>
      </c>
      <c r="L402" s="2" t="s">
        <v>119</v>
      </c>
      <c r="M402" s="8" t="str">
        <f>HYPERLINK("http://slimages.macys.com/is/image/MCY/12684390 ")</f>
        <v xml:space="preserve">http://slimages.macys.com/is/image/MCY/12684390 </v>
      </c>
    </row>
    <row r="403" spans="1:13" ht="60" x14ac:dyDescent="0.25">
      <c r="A403" s="7" t="s">
        <v>4309</v>
      </c>
      <c r="B403" s="2" t="s">
        <v>3446</v>
      </c>
      <c r="C403" s="4">
        <v>1</v>
      </c>
      <c r="D403" s="5">
        <v>3.49</v>
      </c>
      <c r="E403" s="5">
        <v>7.99</v>
      </c>
      <c r="F403" s="4" t="s">
        <v>4306</v>
      </c>
      <c r="G403" s="2" t="s">
        <v>129</v>
      </c>
      <c r="H403" s="7" t="s">
        <v>123</v>
      </c>
      <c r="I403" s="2" t="s">
        <v>292</v>
      </c>
      <c r="J403" s="2" t="s">
        <v>354</v>
      </c>
      <c r="K403" s="2" t="s">
        <v>304</v>
      </c>
      <c r="L403" s="2" t="s">
        <v>571</v>
      </c>
      <c r="M403" s="8" t="str">
        <f>HYPERLINK("http://slimages.macys.com/is/image/MCY/12951259 ")</f>
        <v xml:space="preserve">http://slimages.macys.com/is/image/MCY/12951259 </v>
      </c>
    </row>
    <row r="404" spans="1:13" ht="60" x14ac:dyDescent="0.25">
      <c r="A404" s="7" t="s">
        <v>4310</v>
      </c>
      <c r="B404" s="2" t="s">
        <v>4293</v>
      </c>
      <c r="C404" s="4">
        <v>2</v>
      </c>
      <c r="D404" s="5">
        <v>3.49</v>
      </c>
      <c r="E404" s="5">
        <v>7.99</v>
      </c>
      <c r="F404" s="4" t="s">
        <v>4294</v>
      </c>
      <c r="G404" s="2" t="s">
        <v>129</v>
      </c>
      <c r="H404" s="7" t="s">
        <v>1151</v>
      </c>
      <c r="I404" s="2" t="s">
        <v>292</v>
      </c>
      <c r="J404" s="2" t="s">
        <v>354</v>
      </c>
      <c r="K404" s="2" t="s">
        <v>304</v>
      </c>
      <c r="L404" s="2" t="s">
        <v>119</v>
      </c>
      <c r="M404" s="8" t="str">
        <f>HYPERLINK("http://slimages.macys.com/is/image/MCY/13077248 ")</f>
        <v xml:space="preserve">http://slimages.macys.com/is/image/MCY/13077248 </v>
      </c>
    </row>
    <row r="405" spans="1:13" ht="60" x14ac:dyDescent="0.25">
      <c r="A405" s="7" t="s">
        <v>4311</v>
      </c>
      <c r="B405" s="2" t="s">
        <v>4312</v>
      </c>
      <c r="C405" s="4">
        <v>1</v>
      </c>
      <c r="D405" s="5">
        <v>3.49</v>
      </c>
      <c r="E405" s="5">
        <v>7.99</v>
      </c>
      <c r="F405" s="4" t="s">
        <v>4313</v>
      </c>
      <c r="G405" s="2" t="s">
        <v>62</v>
      </c>
      <c r="H405" s="7" t="s">
        <v>166</v>
      </c>
      <c r="I405" s="2" t="s">
        <v>292</v>
      </c>
      <c r="J405" s="2" t="s">
        <v>354</v>
      </c>
      <c r="K405" s="2" t="s">
        <v>304</v>
      </c>
      <c r="L405" s="2" t="s">
        <v>119</v>
      </c>
      <c r="M405" s="8" t="str">
        <f>HYPERLINK("http://slimages.macys.com/is/image/MCY/12951219 ")</f>
        <v xml:space="preserve">http://slimages.macys.com/is/image/MCY/12951219 </v>
      </c>
    </row>
    <row r="406" spans="1:13" ht="60" x14ac:dyDescent="0.25">
      <c r="A406" s="7" t="s">
        <v>4314</v>
      </c>
      <c r="B406" s="2" t="s">
        <v>4293</v>
      </c>
      <c r="C406" s="4">
        <v>1</v>
      </c>
      <c r="D406" s="5">
        <v>3.49</v>
      </c>
      <c r="E406" s="5">
        <v>7.99</v>
      </c>
      <c r="F406" s="4" t="s">
        <v>4294</v>
      </c>
      <c r="G406" s="2" t="s">
        <v>129</v>
      </c>
      <c r="H406" s="7" t="s">
        <v>578</v>
      </c>
      <c r="I406" s="2" t="s">
        <v>292</v>
      </c>
      <c r="J406" s="2" t="s">
        <v>354</v>
      </c>
      <c r="K406" s="2" t="s">
        <v>304</v>
      </c>
      <c r="L406" s="2" t="s">
        <v>119</v>
      </c>
      <c r="M406" s="8" t="str">
        <f>HYPERLINK("http://slimages.macys.com/is/image/MCY/13077248 ")</f>
        <v xml:space="preserve">http://slimages.macys.com/is/image/MCY/13077248 </v>
      </c>
    </row>
    <row r="407" spans="1:13" ht="60" x14ac:dyDescent="0.25">
      <c r="A407" s="7" t="s">
        <v>4315</v>
      </c>
      <c r="B407" s="2" t="s">
        <v>4316</v>
      </c>
      <c r="C407" s="4">
        <v>2</v>
      </c>
      <c r="D407" s="5">
        <v>3.49</v>
      </c>
      <c r="E407" s="5">
        <v>7.99</v>
      </c>
      <c r="F407" s="4" t="s">
        <v>4317</v>
      </c>
      <c r="G407" s="2" t="s">
        <v>103</v>
      </c>
      <c r="H407" s="7" t="s">
        <v>1151</v>
      </c>
      <c r="I407" s="2" t="s">
        <v>1689</v>
      </c>
      <c r="J407" s="2" t="s">
        <v>354</v>
      </c>
      <c r="K407" s="2" t="s">
        <v>304</v>
      </c>
      <c r="L407" s="2" t="s">
        <v>596</v>
      </c>
      <c r="M407" s="8" t="str">
        <f>HYPERLINK("http://slimages.macys.com/is/image/MCY/12101731 ")</f>
        <v xml:space="preserve">http://slimages.macys.com/is/image/MCY/12101731 </v>
      </c>
    </row>
    <row r="408" spans="1:13" ht="60" x14ac:dyDescent="0.25">
      <c r="A408" s="7" t="s">
        <v>562</v>
      </c>
      <c r="B408" s="2" t="s">
        <v>563</v>
      </c>
      <c r="C408" s="4">
        <v>3</v>
      </c>
      <c r="D408" s="5">
        <v>3.46</v>
      </c>
      <c r="E408" s="5">
        <v>8.99</v>
      </c>
      <c r="F408" s="4">
        <v>100007426</v>
      </c>
      <c r="G408" s="2" t="s">
        <v>41</v>
      </c>
      <c r="H408" s="7" t="s">
        <v>531</v>
      </c>
      <c r="I408" s="2" t="s">
        <v>483</v>
      </c>
      <c r="J408" s="2" t="s">
        <v>484</v>
      </c>
      <c r="K408" s="2" t="s">
        <v>304</v>
      </c>
      <c r="L408" s="2" t="s">
        <v>119</v>
      </c>
      <c r="M408" s="8" t="str">
        <f>HYPERLINK("http://slimages.macys.com/is/image/MCY/9157888 ")</f>
        <v xml:space="preserve">http://slimages.macys.com/is/image/MCY/9157888 </v>
      </c>
    </row>
    <row r="409" spans="1:13" ht="84" x14ac:dyDescent="0.25">
      <c r="A409" s="7" t="s">
        <v>1166</v>
      </c>
      <c r="B409" s="2" t="s">
        <v>1167</v>
      </c>
      <c r="C409" s="4">
        <v>1</v>
      </c>
      <c r="D409" s="5">
        <v>3.46</v>
      </c>
      <c r="E409" s="5">
        <v>8.99</v>
      </c>
      <c r="F409" s="4" t="s">
        <v>1168</v>
      </c>
      <c r="G409" s="2" t="s">
        <v>793</v>
      </c>
      <c r="H409" s="7" t="s">
        <v>531</v>
      </c>
      <c r="I409" s="2" t="s">
        <v>483</v>
      </c>
      <c r="J409" s="2" t="s">
        <v>484</v>
      </c>
      <c r="K409" s="2" t="s">
        <v>304</v>
      </c>
      <c r="L409" s="2" t="s">
        <v>532</v>
      </c>
      <c r="M409" s="8" t="str">
        <f>HYPERLINK("http://slimages.macys.com/is/image/MCY/8549849 ")</f>
        <v xml:space="preserve">http://slimages.macys.com/is/image/MCY/8549849 </v>
      </c>
    </row>
    <row r="410" spans="1:13" ht="60" x14ac:dyDescent="0.25">
      <c r="A410" s="7" t="s">
        <v>4318</v>
      </c>
      <c r="B410" s="2" t="s">
        <v>3502</v>
      </c>
      <c r="C410" s="4">
        <v>15</v>
      </c>
      <c r="D410" s="5">
        <v>3.44</v>
      </c>
      <c r="E410" s="5">
        <v>7.99</v>
      </c>
      <c r="F410" s="4" t="s">
        <v>3503</v>
      </c>
      <c r="G410" s="2" t="s">
        <v>752</v>
      </c>
      <c r="H410" s="7" t="s">
        <v>1151</v>
      </c>
      <c r="I410" s="2" t="s">
        <v>1689</v>
      </c>
      <c r="J410" s="2" t="s">
        <v>354</v>
      </c>
      <c r="K410" s="2" t="s">
        <v>304</v>
      </c>
      <c r="L410" s="2" t="s">
        <v>596</v>
      </c>
      <c r="M410" s="8" t="str">
        <f>HYPERLINK("http://slimages.macys.com/is/image/MCY/12938521 ")</f>
        <v xml:space="preserve">http://slimages.macys.com/is/image/MCY/12938521 </v>
      </c>
    </row>
    <row r="411" spans="1:13" ht="60" x14ac:dyDescent="0.25">
      <c r="A411" s="7" t="s">
        <v>4319</v>
      </c>
      <c r="B411" s="2" t="s">
        <v>3502</v>
      </c>
      <c r="C411" s="4">
        <v>19</v>
      </c>
      <c r="D411" s="5">
        <v>3.44</v>
      </c>
      <c r="E411" s="5">
        <v>7.99</v>
      </c>
      <c r="F411" s="4" t="s">
        <v>3503</v>
      </c>
      <c r="G411" s="2" t="s">
        <v>752</v>
      </c>
      <c r="H411" s="7" t="s">
        <v>514</v>
      </c>
      <c r="I411" s="2" t="s">
        <v>1689</v>
      </c>
      <c r="J411" s="2" t="s">
        <v>354</v>
      </c>
      <c r="K411" s="2" t="s">
        <v>304</v>
      </c>
      <c r="L411" s="2" t="s">
        <v>596</v>
      </c>
      <c r="M411" s="8" t="str">
        <f>HYPERLINK("http://slimages.macys.com/is/image/MCY/12938521 ")</f>
        <v xml:space="preserve">http://slimages.macys.com/is/image/MCY/12938521 </v>
      </c>
    </row>
    <row r="412" spans="1:13" ht="60" x14ac:dyDescent="0.25">
      <c r="A412" s="7" t="s">
        <v>4320</v>
      </c>
      <c r="B412" s="2" t="s">
        <v>3502</v>
      </c>
      <c r="C412" s="4">
        <v>9</v>
      </c>
      <c r="D412" s="5">
        <v>3.44</v>
      </c>
      <c r="E412" s="5">
        <v>7.99</v>
      </c>
      <c r="F412" s="4" t="s">
        <v>3503</v>
      </c>
      <c r="G412" s="2" t="s">
        <v>752</v>
      </c>
      <c r="H412" s="7" t="s">
        <v>578</v>
      </c>
      <c r="I412" s="2" t="s">
        <v>1689</v>
      </c>
      <c r="J412" s="2" t="s">
        <v>354</v>
      </c>
      <c r="K412" s="2" t="s">
        <v>304</v>
      </c>
      <c r="L412" s="2" t="s">
        <v>596</v>
      </c>
      <c r="M412" s="8" t="str">
        <f>HYPERLINK("http://slimages.macys.com/is/image/MCY/12938521 ")</f>
        <v xml:space="preserve">http://slimages.macys.com/is/image/MCY/12938521 </v>
      </c>
    </row>
    <row r="413" spans="1:13" ht="60" x14ac:dyDescent="0.25">
      <c r="A413" s="7" t="s">
        <v>3501</v>
      </c>
      <c r="B413" s="2" t="s">
        <v>3502</v>
      </c>
      <c r="C413" s="4">
        <v>24</v>
      </c>
      <c r="D413" s="5">
        <v>3.44</v>
      </c>
      <c r="E413" s="5">
        <v>7.99</v>
      </c>
      <c r="F413" s="4" t="s">
        <v>3503</v>
      </c>
      <c r="G413" s="2" t="s">
        <v>752</v>
      </c>
      <c r="H413" s="7" t="s">
        <v>123</v>
      </c>
      <c r="I413" s="2" t="s">
        <v>1689</v>
      </c>
      <c r="J413" s="2" t="s">
        <v>354</v>
      </c>
      <c r="K413" s="2" t="s">
        <v>304</v>
      </c>
      <c r="L413" s="2" t="s">
        <v>596</v>
      </c>
      <c r="M413" s="8" t="str">
        <f>HYPERLINK("http://slimages.macys.com/is/image/MCY/12494891 ")</f>
        <v xml:space="preserve">http://slimages.macys.com/is/image/MCY/12494891 </v>
      </c>
    </row>
    <row r="414" spans="1:13" ht="60" x14ac:dyDescent="0.25">
      <c r="A414" s="7" t="s">
        <v>4321</v>
      </c>
      <c r="B414" s="2" t="s">
        <v>3502</v>
      </c>
      <c r="C414" s="4">
        <v>15</v>
      </c>
      <c r="D414" s="5">
        <v>3.44</v>
      </c>
      <c r="E414" s="5">
        <v>7.99</v>
      </c>
      <c r="F414" s="4" t="s">
        <v>3503</v>
      </c>
      <c r="G414" s="2" t="s">
        <v>752</v>
      </c>
      <c r="H414" s="7" t="s">
        <v>311</v>
      </c>
      <c r="I414" s="2" t="s">
        <v>1689</v>
      </c>
      <c r="J414" s="2" t="s">
        <v>354</v>
      </c>
      <c r="K414" s="2" t="s">
        <v>304</v>
      </c>
      <c r="L414" s="2" t="s">
        <v>596</v>
      </c>
      <c r="M414" s="8" t="str">
        <f>HYPERLINK("http://slimages.macys.com/is/image/MCY/12494891 ")</f>
        <v xml:space="preserve">http://slimages.macys.com/is/image/MCY/12494891 </v>
      </c>
    </row>
    <row r="415" spans="1:13" ht="60" x14ac:dyDescent="0.25">
      <c r="A415" s="7" t="s">
        <v>4322</v>
      </c>
      <c r="B415" s="2" t="s">
        <v>3502</v>
      </c>
      <c r="C415" s="4">
        <v>1</v>
      </c>
      <c r="D415" s="5">
        <v>3.44</v>
      </c>
      <c r="E415" s="5">
        <v>7.99</v>
      </c>
      <c r="F415" s="4" t="s">
        <v>3503</v>
      </c>
      <c r="G415" s="2" t="s">
        <v>103</v>
      </c>
      <c r="H415" s="7" t="s">
        <v>578</v>
      </c>
      <c r="I415" s="2" t="s">
        <v>1689</v>
      </c>
      <c r="J415" s="2" t="s">
        <v>354</v>
      </c>
      <c r="K415" s="2" t="s">
        <v>304</v>
      </c>
      <c r="L415" s="2" t="s">
        <v>596</v>
      </c>
      <c r="M415" s="8" t="str">
        <f>HYPERLINK("http://slimages.macys.com/is/image/MCY/12938521 ")</f>
        <v xml:space="preserve">http://slimages.macys.com/is/image/MCY/12938521 </v>
      </c>
    </row>
    <row r="416" spans="1:13" ht="60" x14ac:dyDescent="0.25">
      <c r="A416" s="7" t="s">
        <v>4323</v>
      </c>
      <c r="B416" s="2" t="s">
        <v>3502</v>
      </c>
      <c r="C416" s="4">
        <v>7</v>
      </c>
      <c r="D416" s="5">
        <v>3.44</v>
      </c>
      <c r="E416" s="5">
        <v>7.99</v>
      </c>
      <c r="F416" s="4" t="s">
        <v>3503</v>
      </c>
      <c r="G416" s="2" t="s">
        <v>752</v>
      </c>
      <c r="H416" s="7" t="s">
        <v>63</v>
      </c>
      <c r="I416" s="2" t="s">
        <v>1689</v>
      </c>
      <c r="J416" s="2" t="s">
        <v>354</v>
      </c>
      <c r="K416" s="2" t="s">
        <v>304</v>
      </c>
      <c r="L416" s="2" t="s">
        <v>596</v>
      </c>
      <c r="M416" s="8" t="str">
        <f>HYPERLINK("http://slimages.macys.com/is/image/MCY/12494891 ")</f>
        <v xml:space="preserve">http://slimages.macys.com/is/image/MCY/12494891 </v>
      </c>
    </row>
    <row r="417" spans="1:13" ht="60" x14ac:dyDescent="0.25">
      <c r="A417" s="7" t="s">
        <v>4324</v>
      </c>
      <c r="B417" s="2" t="s">
        <v>3506</v>
      </c>
      <c r="C417" s="4">
        <v>1</v>
      </c>
      <c r="D417" s="5">
        <v>3.36</v>
      </c>
      <c r="E417" s="5">
        <v>7.99</v>
      </c>
      <c r="F417" s="4" t="s">
        <v>3507</v>
      </c>
      <c r="G417" s="2" t="s">
        <v>582</v>
      </c>
      <c r="H417" s="7" t="s">
        <v>514</v>
      </c>
      <c r="I417" s="2" t="s">
        <v>1689</v>
      </c>
      <c r="J417" s="2" t="s">
        <v>354</v>
      </c>
      <c r="K417" s="2" t="s">
        <v>304</v>
      </c>
      <c r="L417" s="2" t="s">
        <v>596</v>
      </c>
      <c r="M417" s="8" t="str">
        <f>HYPERLINK("http://slimages.macys.com/is/image/MCY/11498760 ")</f>
        <v xml:space="preserve">http://slimages.macys.com/is/image/MCY/11498760 </v>
      </c>
    </row>
    <row r="418" spans="1:13" ht="60" x14ac:dyDescent="0.25">
      <c r="A418" s="7" t="s">
        <v>4325</v>
      </c>
      <c r="B418" s="2" t="s">
        <v>2697</v>
      </c>
      <c r="C418" s="4">
        <v>2</v>
      </c>
      <c r="D418" s="5">
        <v>3.36</v>
      </c>
      <c r="E418" s="5">
        <v>7.99</v>
      </c>
      <c r="F418" s="4" t="s">
        <v>2698</v>
      </c>
      <c r="G418" s="2" t="s">
        <v>103</v>
      </c>
      <c r="H418" s="7" t="s">
        <v>514</v>
      </c>
      <c r="I418" s="2" t="s">
        <v>1689</v>
      </c>
      <c r="J418" s="2" t="s">
        <v>354</v>
      </c>
      <c r="K418" s="2" t="s">
        <v>304</v>
      </c>
      <c r="L418" s="2" t="s">
        <v>596</v>
      </c>
      <c r="M418" s="8" t="str">
        <f>HYPERLINK("http://slimages.macys.com/is/image/MCY/12938496 ")</f>
        <v xml:space="preserve">http://slimages.macys.com/is/image/MCY/12938496 </v>
      </c>
    </row>
    <row r="419" spans="1:13" ht="60" x14ac:dyDescent="0.25">
      <c r="A419" s="7" t="s">
        <v>4326</v>
      </c>
      <c r="B419" s="2" t="s">
        <v>2697</v>
      </c>
      <c r="C419" s="4">
        <v>1</v>
      </c>
      <c r="D419" s="5">
        <v>3.36</v>
      </c>
      <c r="E419" s="5">
        <v>7.99</v>
      </c>
      <c r="F419" s="4" t="s">
        <v>2698</v>
      </c>
      <c r="G419" s="2" t="s">
        <v>103</v>
      </c>
      <c r="H419" s="7" t="s">
        <v>1151</v>
      </c>
      <c r="I419" s="2" t="s">
        <v>1689</v>
      </c>
      <c r="J419" s="2" t="s">
        <v>354</v>
      </c>
      <c r="K419" s="2" t="s">
        <v>304</v>
      </c>
      <c r="L419" s="2" t="s">
        <v>596</v>
      </c>
      <c r="M419" s="8" t="str">
        <f>HYPERLINK("http://slimages.macys.com/is/image/MCY/12938496 ")</f>
        <v xml:space="preserve">http://slimages.macys.com/is/image/MCY/12938496 </v>
      </c>
    </row>
    <row r="420" spans="1:13" ht="72" x14ac:dyDescent="0.25">
      <c r="A420" s="7" t="s">
        <v>4327</v>
      </c>
      <c r="B420" s="2" t="s">
        <v>4328</v>
      </c>
      <c r="C420" s="4">
        <v>2</v>
      </c>
      <c r="D420" s="5">
        <v>3.36</v>
      </c>
      <c r="E420" s="5">
        <v>7.99</v>
      </c>
      <c r="F420" s="4" t="s">
        <v>4329</v>
      </c>
      <c r="G420" s="2" t="s">
        <v>86</v>
      </c>
      <c r="H420" s="7" t="s">
        <v>578</v>
      </c>
      <c r="I420" s="2" t="s">
        <v>1689</v>
      </c>
      <c r="J420" s="2" t="s">
        <v>354</v>
      </c>
      <c r="K420" s="2" t="s">
        <v>304</v>
      </c>
      <c r="L420" s="2" t="s">
        <v>1922</v>
      </c>
      <c r="M420" s="8" t="str">
        <f>HYPERLINK("http://slimages.macys.com/is/image/MCY/12495246 ")</f>
        <v xml:space="preserve">http://slimages.macys.com/is/image/MCY/12495246 </v>
      </c>
    </row>
    <row r="421" spans="1:13" ht="72" x14ac:dyDescent="0.25">
      <c r="A421" s="7" t="s">
        <v>4330</v>
      </c>
      <c r="B421" s="2" t="s">
        <v>4328</v>
      </c>
      <c r="C421" s="4">
        <v>1</v>
      </c>
      <c r="D421" s="5">
        <v>3.36</v>
      </c>
      <c r="E421" s="5">
        <v>7.99</v>
      </c>
      <c r="F421" s="4" t="s">
        <v>4329</v>
      </c>
      <c r="G421" s="2" t="s">
        <v>86</v>
      </c>
      <c r="H421" s="7" t="s">
        <v>1151</v>
      </c>
      <c r="I421" s="2" t="s">
        <v>1689</v>
      </c>
      <c r="J421" s="2" t="s">
        <v>354</v>
      </c>
      <c r="K421" s="2" t="s">
        <v>304</v>
      </c>
      <c r="L421" s="2" t="s">
        <v>1922</v>
      </c>
      <c r="M421" s="8" t="str">
        <f>HYPERLINK("http://slimages.macys.com/is/image/MCY/12495246 ")</f>
        <v xml:space="preserve">http://slimages.macys.com/is/image/MCY/12495246 </v>
      </c>
    </row>
    <row r="422" spans="1:13" ht="60" x14ac:dyDescent="0.25">
      <c r="A422" s="7" t="s">
        <v>4331</v>
      </c>
      <c r="B422" s="2" t="s">
        <v>4332</v>
      </c>
      <c r="C422" s="4">
        <v>1</v>
      </c>
      <c r="D422" s="5">
        <v>3.36</v>
      </c>
      <c r="E422" s="5">
        <v>7.99</v>
      </c>
      <c r="F422" s="4" t="s">
        <v>4333</v>
      </c>
      <c r="G422" s="2" t="s">
        <v>86</v>
      </c>
      <c r="H422" s="7" t="s">
        <v>514</v>
      </c>
      <c r="I422" s="2" t="s">
        <v>1689</v>
      </c>
      <c r="J422" s="2" t="s">
        <v>354</v>
      </c>
      <c r="K422" s="2" t="s">
        <v>304</v>
      </c>
      <c r="L422" s="2" t="s">
        <v>596</v>
      </c>
      <c r="M422" s="8" t="str">
        <f>HYPERLINK("http://slimages.macys.com/is/image/MCY/12492777 ")</f>
        <v xml:space="preserve">http://slimages.macys.com/is/image/MCY/12492777 </v>
      </c>
    </row>
    <row r="423" spans="1:13" ht="72" x14ac:dyDescent="0.25">
      <c r="A423" s="7" t="s">
        <v>4334</v>
      </c>
      <c r="B423" s="2" t="s">
        <v>4328</v>
      </c>
      <c r="C423" s="4">
        <v>1</v>
      </c>
      <c r="D423" s="5">
        <v>3.36</v>
      </c>
      <c r="E423" s="5">
        <v>7.99</v>
      </c>
      <c r="F423" s="4" t="s">
        <v>4329</v>
      </c>
      <c r="G423" s="2" t="s">
        <v>86</v>
      </c>
      <c r="H423" s="7" t="s">
        <v>514</v>
      </c>
      <c r="I423" s="2" t="s">
        <v>1689</v>
      </c>
      <c r="J423" s="2" t="s">
        <v>354</v>
      </c>
      <c r="K423" s="2" t="s">
        <v>304</v>
      </c>
      <c r="L423" s="2" t="s">
        <v>1922</v>
      </c>
      <c r="M423" s="8" t="str">
        <f>HYPERLINK("http://slimages.macys.com/is/image/MCY/12495246 ")</f>
        <v xml:space="preserve">http://slimages.macys.com/is/image/MCY/12495246 </v>
      </c>
    </row>
    <row r="424" spans="1:13" ht="60" x14ac:dyDescent="0.25">
      <c r="A424" s="7" t="s">
        <v>4335</v>
      </c>
      <c r="B424" s="2" t="s">
        <v>4336</v>
      </c>
      <c r="C424" s="4">
        <v>1</v>
      </c>
      <c r="D424" s="5">
        <v>3.36</v>
      </c>
      <c r="E424" s="5">
        <v>7.99</v>
      </c>
      <c r="F424" s="4" t="s">
        <v>4337</v>
      </c>
      <c r="G424" s="2" t="s">
        <v>134</v>
      </c>
      <c r="H424" s="7" t="s">
        <v>578</v>
      </c>
      <c r="I424" s="2" t="s">
        <v>1689</v>
      </c>
      <c r="J424" s="2" t="s">
        <v>354</v>
      </c>
      <c r="K424" s="2" t="s">
        <v>304</v>
      </c>
      <c r="L424" s="2" t="s">
        <v>596</v>
      </c>
      <c r="M424" s="8" t="str">
        <f>HYPERLINK("http://slimages.macys.com/is/image/MCY/11851655 ")</f>
        <v xml:space="preserve">http://slimages.macys.com/is/image/MCY/11851655 </v>
      </c>
    </row>
    <row r="425" spans="1:13" ht="60" x14ac:dyDescent="0.25">
      <c r="A425" s="7" t="s">
        <v>4338</v>
      </c>
      <c r="B425" s="2" t="s">
        <v>4339</v>
      </c>
      <c r="C425" s="4">
        <v>1</v>
      </c>
      <c r="D425" s="5">
        <v>3.33</v>
      </c>
      <c r="E425" s="5">
        <v>7.99</v>
      </c>
      <c r="F425" s="4" t="s">
        <v>4340</v>
      </c>
      <c r="G425" s="2" t="s">
        <v>41</v>
      </c>
      <c r="H425" s="7" t="s">
        <v>209</v>
      </c>
      <c r="I425" s="2" t="s">
        <v>292</v>
      </c>
      <c r="J425" s="2" t="s">
        <v>354</v>
      </c>
      <c r="K425" s="2" t="s">
        <v>304</v>
      </c>
      <c r="L425" s="2" t="s">
        <v>571</v>
      </c>
      <c r="M425" s="8" t="str">
        <f>HYPERLINK("http://slimages.macys.com/is/image/MCY/12951266 ")</f>
        <v xml:space="preserve">http://slimages.macys.com/is/image/MCY/12951266 </v>
      </c>
    </row>
    <row r="426" spans="1:13" ht="60" x14ac:dyDescent="0.25">
      <c r="A426" s="7" t="s">
        <v>4341</v>
      </c>
      <c r="B426" s="2" t="s">
        <v>4342</v>
      </c>
      <c r="C426" s="4">
        <v>1</v>
      </c>
      <c r="D426" s="5">
        <v>3.33</v>
      </c>
      <c r="E426" s="5">
        <v>7.99</v>
      </c>
      <c r="F426" s="4" t="s">
        <v>4343</v>
      </c>
      <c r="G426" s="2" t="s">
        <v>41</v>
      </c>
      <c r="H426" s="7" t="s">
        <v>578</v>
      </c>
      <c r="I426" s="2" t="s">
        <v>292</v>
      </c>
      <c r="J426" s="2" t="s">
        <v>354</v>
      </c>
      <c r="K426" s="2" t="s">
        <v>304</v>
      </c>
      <c r="L426" s="2" t="s">
        <v>571</v>
      </c>
      <c r="M426" s="8" t="str">
        <f>HYPERLINK("http://slimages.macys.com/is/image/MCY/12684325 ")</f>
        <v xml:space="preserve">http://slimages.macys.com/is/image/MCY/12684325 </v>
      </c>
    </row>
    <row r="427" spans="1:13" ht="60" x14ac:dyDescent="0.25">
      <c r="A427" s="7" t="s">
        <v>4344</v>
      </c>
      <c r="B427" s="2" t="s">
        <v>4342</v>
      </c>
      <c r="C427" s="4">
        <v>1</v>
      </c>
      <c r="D427" s="5">
        <v>3.33</v>
      </c>
      <c r="E427" s="5">
        <v>7.99</v>
      </c>
      <c r="F427" s="4" t="s">
        <v>4343</v>
      </c>
      <c r="G427" s="2" t="s">
        <v>41</v>
      </c>
      <c r="H427" s="7" t="s">
        <v>1151</v>
      </c>
      <c r="I427" s="2" t="s">
        <v>292</v>
      </c>
      <c r="J427" s="2" t="s">
        <v>354</v>
      </c>
      <c r="K427" s="2" t="s">
        <v>304</v>
      </c>
      <c r="L427" s="2" t="s">
        <v>571</v>
      </c>
      <c r="M427" s="8" t="str">
        <f>HYPERLINK("http://slimages.macys.com/is/image/MCY/12684325 ")</f>
        <v xml:space="preserve">http://slimages.macys.com/is/image/MCY/12684325 </v>
      </c>
    </row>
    <row r="428" spans="1:13" ht="60" x14ac:dyDescent="0.25">
      <c r="A428" s="7" t="s">
        <v>4345</v>
      </c>
      <c r="B428" s="2" t="s">
        <v>4346</v>
      </c>
      <c r="C428" s="4">
        <v>1</v>
      </c>
      <c r="D428" s="5">
        <v>3.33</v>
      </c>
      <c r="E428" s="5">
        <v>7.99</v>
      </c>
      <c r="F428" s="4" t="s">
        <v>4347</v>
      </c>
      <c r="G428" s="2" t="s">
        <v>41</v>
      </c>
      <c r="H428" s="7" t="s">
        <v>311</v>
      </c>
      <c r="I428" s="2" t="s">
        <v>292</v>
      </c>
      <c r="J428" s="2" t="s">
        <v>354</v>
      </c>
      <c r="K428" s="2" t="s">
        <v>304</v>
      </c>
      <c r="L428" s="2" t="s">
        <v>571</v>
      </c>
      <c r="M428" s="8" t="str">
        <f>HYPERLINK("http://slimages.macys.com/is/image/MCY/12684332 ")</f>
        <v xml:space="preserve">http://slimages.macys.com/is/image/MCY/12684332 </v>
      </c>
    </row>
    <row r="429" spans="1:13" ht="60" x14ac:dyDescent="0.25">
      <c r="A429" s="7" t="s">
        <v>4348</v>
      </c>
      <c r="B429" s="2" t="s">
        <v>4349</v>
      </c>
      <c r="C429" s="4">
        <v>2</v>
      </c>
      <c r="D429" s="5">
        <v>3.33</v>
      </c>
      <c r="E429" s="5">
        <v>7.99</v>
      </c>
      <c r="F429" s="4" t="s">
        <v>4350</v>
      </c>
      <c r="G429" s="2" t="s">
        <v>657</v>
      </c>
      <c r="H429" s="7" t="s">
        <v>1151</v>
      </c>
      <c r="I429" s="2" t="s">
        <v>292</v>
      </c>
      <c r="J429" s="2" t="s">
        <v>354</v>
      </c>
      <c r="K429" s="2" t="s">
        <v>304</v>
      </c>
      <c r="L429" s="2" t="s">
        <v>571</v>
      </c>
      <c r="M429" s="8" t="str">
        <f>HYPERLINK("http://slimages.macys.com/is/image/MCY/12684357 ")</f>
        <v xml:space="preserve">http://slimages.macys.com/is/image/MCY/12684357 </v>
      </c>
    </row>
    <row r="430" spans="1:13" ht="60" x14ac:dyDescent="0.25">
      <c r="A430" s="7" t="s">
        <v>4351</v>
      </c>
      <c r="B430" s="2" t="s">
        <v>4349</v>
      </c>
      <c r="C430" s="4">
        <v>1</v>
      </c>
      <c r="D430" s="5">
        <v>3.33</v>
      </c>
      <c r="E430" s="5">
        <v>7.99</v>
      </c>
      <c r="F430" s="4" t="s">
        <v>4350</v>
      </c>
      <c r="G430" s="2" t="s">
        <v>657</v>
      </c>
      <c r="H430" s="7" t="s">
        <v>578</v>
      </c>
      <c r="I430" s="2" t="s">
        <v>292</v>
      </c>
      <c r="J430" s="2" t="s">
        <v>354</v>
      </c>
      <c r="K430" s="2" t="s">
        <v>304</v>
      </c>
      <c r="L430" s="2" t="s">
        <v>571</v>
      </c>
      <c r="M430" s="8" t="str">
        <f>HYPERLINK("http://slimages.macys.com/is/image/MCY/12684357 ")</f>
        <v xml:space="preserve">http://slimages.macys.com/is/image/MCY/12684357 </v>
      </c>
    </row>
    <row r="431" spans="1:13" ht="60" x14ac:dyDescent="0.25">
      <c r="A431" s="7" t="s">
        <v>4352</v>
      </c>
      <c r="B431" s="2" t="s">
        <v>2156</v>
      </c>
      <c r="C431" s="4">
        <v>1</v>
      </c>
      <c r="D431" s="5">
        <v>3.29</v>
      </c>
      <c r="E431" s="5">
        <v>7.99</v>
      </c>
      <c r="F431" s="4" t="s">
        <v>2157</v>
      </c>
      <c r="G431" s="2" t="s">
        <v>28</v>
      </c>
      <c r="H431" s="7" t="s">
        <v>123</v>
      </c>
      <c r="I431" s="2" t="s">
        <v>1689</v>
      </c>
      <c r="J431" s="2" t="s">
        <v>354</v>
      </c>
      <c r="K431" s="2" t="s">
        <v>304</v>
      </c>
      <c r="L431" s="2" t="s">
        <v>119</v>
      </c>
      <c r="M431" s="8" t="str">
        <f>HYPERLINK("http://slimages.macys.com/is/image/MCY/12938580 ")</f>
        <v xml:space="preserve">http://slimages.macys.com/is/image/MCY/12938580 </v>
      </c>
    </row>
    <row r="432" spans="1:13" ht="60" x14ac:dyDescent="0.25">
      <c r="A432" s="7" t="s">
        <v>4353</v>
      </c>
      <c r="B432" s="2" t="s">
        <v>4354</v>
      </c>
      <c r="C432" s="4">
        <v>1</v>
      </c>
      <c r="D432" s="5">
        <v>3.29</v>
      </c>
      <c r="E432" s="5">
        <v>7.99</v>
      </c>
      <c r="F432" s="4" t="s">
        <v>4355</v>
      </c>
      <c r="G432" s="2" t="s">
        <v>793</v>
      </c>
      <c r="H432" s="7" t="s">
        <v>578</v>
      </c>
      <c r="I432" s="2" t="s">
        <v>1689</v>
      </c>
      <c r="J432" s="2" t="s">
        <v>354</v>
      </c>
      <c r="K432" s="2" t="s">
        <v>304</v>
      </c>
      <c r="L432" s="2" t="s">
        <v>119</v>
      </c>
      <c r="M432" s="8" t="str">
        <f>HYPERLINK("http://slimages.macys.com/is/image/MCY/12101657 ")</f>
        <v xml:space="preserve">http://slimages.macys.com/is/image/MCY/12101657 </v>
      </c>
    </row>
    <row r="433" spans="1:13" ht="60" x14ac:dyDescent="0.25">
      <c r="A433" s="7" t="s">
        <v>4356</v>
      </c>
      <c r="B433" s="2" t="s">
        <v>4357</v>
      </c>
      <c r="C433" s="4">
        <v>2</v>
      </c>
      <c r="D433" s="5">
        <v>3.29</v>
      </c>
      <c r="E433" s="5">
        <v>7.99</v>
      </c>
      <c r="F433" s="4" t="s">
        <v>4358</v>
      </c>
      <c r="G433" s="2" t="s">
        <v>86</v>
      </c>
      <c r="H433" s="7" t="s">
        <v>311</v>
      </c>
      <c r="I433" s="2" t="s">
        <v>1689</v>
      </c>
      <c r="J433" s="2" t="s">
        <v>354</v>
      </c>
      <c r="K433" s="2" t="s">
        <v>304</v>
      </c>
      <c r="L433" s="2" t="s">
        <v>119</v>
      </c>
      <c r="M433" s="8" t="str">
        <f>HYPERLINK("http://slimages.macys.com/is/image/MCY/11499070 ")</f>
        <v xml:space="preserve">http://slimages.macys.com/is/image/MCY/11499070 </v>
      </c>
    </row>
    <row r="434" spans="1:13" ht="60" x14ac:dyDescent="0.25">
      <c r="A434" s="7" t="s">
        <v>4359</v>
      </c>
      <c r="B434" s="2" t="s">
        <v>2147</v>
      </c>
      <c r="C434" s="4">
        <v>1</v>
      </c>
      <c r="D434" s="5">
        <v>3.29</v>
      </c>
      <c r="E434" s="5">
        <v>7.99</v>
      </c>
      <c r="F434" s="4" t="s">
        <v>2148</v>
      </c>
      <c r="G434" s="2" t="s">
        <v>103</v>
      </c>
      <c r="H434" s="7" t="s">
        <v>1151</v>
      </c>
      <c r="I434" s="2" t="s">
        <v>1689</v>
      </c>
      <c r="J434" s="2" t="s">
        <v>354</v>
      </c>
      <c r="K434" s="2" t="s">
        <v>304</v>
      </c>
      <c r="L434" s="2" t="s">
        <v>119</v>
      </c>
      <c r="M434" s="8" t="str">
        <f>HYPERLINK("http://slimages.macys.com/is/image/MCY/12938500 ")</f>
        <v xml:space="preserve">http://slimages.macys.com/is/image/MCY/12938500 </v>
      </c>
    </row>
    <row r="435" spans="1:13" ht="60" x14ac:dyDescent="0.25">
      <c r="A435" s="7" t="s">
        <v>4360</v>
      </c>
      <c r="B435" s="2" t="s">
        <v>4361</v>
      </c>
      <c r="C435" s="4">
        <v>1</v>
      </c>
      <c r="D435" s="5">
        <v>3.29</v>
      </c>
      <c r="E435" s="5">
        <v>7.99</v>
      </c>
      <c r="F435" s="4" t="s">
        <v>4362</v>
      </c>
      <c r="G435" s="2" t="s">
        <v>303</v>
      </c>
      <c r="H435" s="7" t="s">
        <v>123</v>
      </c>
      <c r="I435" s="2" t="s">
        <v>1689</v>
      </c>
      <c r="J435" s="2" t="s">
        <v>354</v>
      </c>
      <c r="K435" s="2" t="s">
        <v>304</v>
      </c>
      <c r="L435" s="2" t="s">
        <v>119</v>
      </c>
      <c r="M435" s="8" t="str">
        <f>HYPERLINK("http://slimages.macys.com/is/image/MCY/11710236 ")</f>
        <v xml:space="preserve">http://slimages.macys.com/is/image/MCY/11710236 </v>
      </c>
    </row>
    <row r="436" spans="1:13" ht="60" x14ac:dyDescent="0.25">
      <c r="A436" s="7" t="s">
        <v>4363</v>
      </c>
      <c r="B436" s="2" t="s">
        <v>4364</v>
      </c>
      <c r="C436" s="4">
        <v>1</v>
      </c>
      <c r="D436" s="5">
        <v>3.29</v>
      </c>
      <c r="E436" s="5">
        <v>7.99</v>
      </c>
      <c r="F436" s="4" t="s">
        <v>4365</v>
      </c>
      <c r="G436" s="2" t="s">
        <v>86</v>
      </c>
      <c r="H436" s="7" t="s">
        <v>311</v>
      </c>
      <c r="I436" s="2" t="s">
        <v>1689</v>
      </c>
      <c r="J436" s="2" t="s">
        <v>354</v>
      </c>
      <c r="K436" s="2" t="s">
        <v>304</v>
      </c>
      <c r="L436" s="2" t="s">
        <v>119</v>
      </c>
      <c r="M436" s="8" t="str">
        <f>HYPERLINK("http://slimages.macys.com/is/image/MCY/12494534 ")</f>
        <v xml:space="preserve">http://slimages.macys.com/is/image/MCY/12494534 </v>
      </c>
    </row>
    <row r="437" spans="1:13" ht="60" x14ac:dyDescent="0.25">
      <c r="A437" s="7" t="s">
        <v>4366</v>
      </c>
      <c r="B437" s="2" t="s">
        <v>2150</v>
      </c>
      <c r="C437" s="4">
        <v>1</v>
      </c>
      <c r="D437" s="5">
        <v>3.29</v>
      </c>
      <c r="E437" s="5">
        <v>7.99</v>
      </c>
      <c r="F437" s="4" t="s">
        <v>2151</v>
      </c>
      <c r="G437" s="2" t="s">
        <v>86</v>
      </c>
      <c r="H437" s="7" t="s">
        <v>514</v>
      </c>
      <c r="I437" s="2" t="s">
        <v>1689</v>
      </c>
      <c r="J437" s="2" t="s">
        <v>354</v>
      </c>
      <c r="K437" s="2" t="s">
        <v>304</v>
      </c>
      <c r="L437" s="2" t="s">
        <v>119</v>
      </c>
      <c r="M437" s="8" t="str">
        <f>HYPERLINK("http://slimages.macys.com/is/image/MCY/12938525 ")</f>
        <v xml:space="preserve">http://slimages.macys.com/is/image/MCY/12938525 </v>
      </c>
    </row>
    <row r="438" spans="1:13" ht="60" x14ac:dyDescent="0.25">
      <c r="A438" s="7" t="s">
        <v>1178</v>
      </c>
      <c r="B438" s="2" t="s">
        <v>1176</v>
      </c>
      <c r="C438" s="4">
        <v>3</v>
      </c>
      <c r="D438" s="5">
        <v>3.21</v>
      </c>
      <c r="E438" s="5">
        <v>7.99</v>
      </c>
      <c r="F438" s="4" t="s">
        <v>1177</v>
      </c>
      <c r="G438" s="2" t="s">
        <v>527</v>
      </c>
      <c r="H438" s="7" t="s">
        <v>1151</v>
      </c>
      <c r="I438" s="2" t="s">
        <v>483</v>
      </c>
      <c r="J438" s="2" t="s">
        <v>536</v>
      </c>
      <c r="K438" s="2" t="s">
        <v>304</v>
      </c>
      <c r="L438" s="2" t="s">
        <v>119</v>
      </c>
      <c r="M438" s="8" t="str">
        <f>HYPERLINK("http://slimages.macys.com/is/image/MCY/13987326 ")</f>
        <v xml:space="preserve">http://slimages.macys.com/is/image/MCY/13987326 </v>
      </c>
    </row>
    <row r="439" spans="1:13" ht="60" x14ac:dyDescent="0.25">
      <c r="A439" s="7" t="s">
        <v>1175</v>
      </c>
      <c r="B439" s="2" t="s">
        <v>1176</v>
      </c>
      <c r="C439" s="4">
        <v>4</v>
      </c>
      <c r="D439" s="5">
        <v>3.21</v>
      </c>
      <c r="E439" s="5">
        <v>7.99</v>
      </c>
      <c r="F439" s="4" t="s">
        <v>1177</v>
      </c>
      <c r="G439" s="2" t="s">
        <v>527</v>
      </c>
      <c r="H439" s="7" t="s">
        <v>514</v>
      </c>
      <c r="I439" s="2" t="s">
        <v>483</v>
      </c>
      <c r="J439" s="2" t="s">
        <v>536</v>
      </c>
      <c r="K439" s="2" t="s">
        <v>304</v>
      </c>
      <c r="L439" s="2" t="s">
        <v>119</v>
      </c>
      <c r="M439" s="8" t="str">
        <f>HYPERLINK("http://slimages.macys.com/is/image/MCY/13987326 ")</f>
        <v xml:space="preserve">http://slimages.macys.com/is/image/MCY/13987326 </v>
      </c>
    </row>
    <row r="440" spans="1:13" ht="60" x14ac:dyDescent="0.25">
      <c r="A440" s="7" t="s">
        <v>4367</v>
      </c>
      <c r="B440" s="2" t="s">
        <v>4368</v>
      </c>
      <c r="C440" s="4">
        <v>10</v>
      </c>
      <c r="D440" s="5">
        <v>3.15</v>
      </c>
      <c r="E440" s="5">
        <v>7.99</v>
      </c>
      <c r="F440" s="4" t="s">
        <v>4369</v>
      </c>
      <c r="G440" s="2" t="s">
        <v>28</v>
      </c>
      <c r="H440" s="7" t="s">
        <v>578</v>
      </c>
      <c r="I440" s="2" t="s">
        <v>483</v>
      </c>
      <c r="J440" s="2" t="s">
        <v>536</v>
      </c>
      <c r="K440" s="2" t="s">
        <v>304</v>
      </c>
      <c r="L440" s="2" t="s">
        <v>87</v>
      </c>
      <c r="M440" s="8" t="str">
        <f>HYPERLINK("http://slimages.macys.com/is/image/MCY/11436881 ")</f>
        <v xml:space="preserve">http://slimages.macys.com/is/image/MCY/11436881 </v>
      </c>
    </row>
    <row r="441" spans="1:13" ht="60" x14ac:dyDescent="0.25">
      <c r="A441" s="7" t="s">
        <v>4370</v>
      </c>
      <c r="B441" s="2" t="s">
        <v>4368</v>
      </c>
      <c r="C441" s="4">
        <v>11</v>
      </c>
      <c r="D441" s="5">
        <v>3.15</v>
      </c>
      <c r="E441" s="5">
        <v>7.99</v>
      </c>
      <c r="F441" s="4" t="s">
        <v>4369</v>
      </c>
      <c r="G441" s="2" t="s">
        <v>28</v>
      </c>
      <c r="H441" s="7" t="s">
        <v>514</v>
      </c>
      <c r="I441" s="2" t="s">
        <v>483</v>
      </c>
      <c r="J441" s="2" t="s">
        <v>536</v>
      </c>
      <c r="K441" s="2" t="s">
        <v>304</v>
      </c>
      <c r="L441" s="2" t="s">
        <v>87</v>
      </c>
      <c r="M441" s="8" t="str">
        <f>HYPERLINK("http://slimages.macys.com/is/image/MCY/11436881 ")</f>
        <v xml:space="preserve">http://slimages.macys.com/is/image/MCY/11436881 </v>
      </c>
    </row>
    <row r="442" spans="1:13" ht="60" x14ac:dyDescent="0.25">
      <c r="A442" s="7" t="s">
        <v>4371</v>
      </c>
      <c r="B442" s="2" t="s">
        <v>2160</v>
      </c>
      <c r="C442" s="4">
        <v>2</v>
      </c>
      <c r="D442" s="5">
        <v>3.15</v>
      </c>
      <c r="E442" s="5">
        <v>7.99</v>
      </c>
      <c r="F442" s="4" t="s">
        <v>2161</v>
      </c>
      <c r="G442" s="2" t="s">
        <v>657</v>
      </c>
      <c r="H442" s="7" t="s">
        <v>514</v>
      </c>
      <c r="I442" s="2" t="s">
        <v>483</v>
      </c>
      <c r="J442" s="2" t="s">
        <v>536</v>
      </c>
      <c r="K442" s="2" t="s">
        <v>304</v>
      </c>
      <c r="L442" s="2" t="s">
        <v>119</v>
      </c>
      <c r="M442" s="8" t="str">
        <f>HYPERLINK("http://slimages.macys.com/is/image/MCY/12644604 ")</f>
        <v xml:space="preserve">http://slimages.macys.com/is/image/MCY/12644604 </v>
      </c>
    </row>
    <row r="443" spans="1:13" ht="60" x14ac:dyDescent="0.25">
      <c r="A443" s="7" t="s">
        <v>4372</v>
      </c>
      <c r="B443" s="2" t="s">
        <v>4368</v>
      </c>
      <c r="C443" s="4">
        <v>12</v>
      </c>
      <c r="D443" s="5">
        <v>3.15</v>
      </c>
      <c r="E443" s="5">
        <v>7.99</v>
      </c>
      <c r="F443" s="4" t="s">
        <v>4369</v>
      </c>
      <c r="G443" s="2" t="s">
        <v>28</v>
      </c>
      <c r="H443" s="7" t="s">
        <v>1151</v>
      </c>
      <c r="I443" s="2" t="s">
        <v>483</v>
      </c>
      <c r="J443" s="2" t="s">
        <v>536</v>
      </c>
      <c r="K443" s="2" t="s">
        <v>304</v>
      </c>
      <c r="L443" s="2" t="s">
        <v>87</v>
      </c>
      <c r="M443" s="8" t="str">
        <f>HYPERLINK("http://slimages.macys.com/is/image/MCY/11436881 ")</f>
        <v xml:space="preserve">http://slimages.macys.com/is/image/MCY/11436881 </v>
      </c>
    </row>
    <row r="444" spans="1:13" ht="60" x14ac:dyDescent="0.25">
      <c r="A444" s="7" t="s">
        <v>4373</v>
      </c>
      <c r="B444" s="2" t="s">
        <v>2160</v>
      </c>
      <c r="C444" s="4">
        <v>2</v>
      </c>
      <c r="D444" s="5">
        <v>3.15</v>
      </c>
      <c r="E444" s="5">
        <v>7.99</v>
      </c>
      <c r="F444" s="4" t="s">
        <v>2161</v>
      </c>
      <c r="G444" s="2" t="s">
        <v>657</v>
      </c>
      <c r="H444" s="7" t="s">
        <v>578</v>
      </c>
      <c r="I444" s="2" t="s">
        <v>483</v>
      </c>
      <c r="J444" s="2" t="s">
        <v>536</v>
      </c>
      <c r="K444" s="2" t="s">
        <v>304</v>
      </c>
      <c r="L444" s="2" t="s">
        <v>119</v>
      </c>
      <c r="M444" s="8" t="str">
        <f>HYPERLINK("http://slimages.macys.com/is/image/MCY/12644604 ")</f>
        <v xml:space="preserve">http://slimages.macys.com/is/image/MCY/12644604 </v>
      </c>
    </row>
    <row r="445" spans="1:13" ht="60" x14ac:dyDescent="0.25">
      <c r="A445" s="7" t="s">
        <v>4374</v>
      </c>
      <c r="B445" s="2" t="s">
        <v>4375</v>
      </c>
      <c r="C445" s="4">
        <v>1</v>
      </c>
      <c r="D445" s="5">
        <v>3.08</v>
      </c>
      <c r="E445" s="5">
        <v>7.99</v>
      </c>
      <c r="F445" s="4" t="s">
        <v>4376</v>
      </c>
      <c r="G445" s="2" t="s">
        <v>657</v>
      </c>
      <c r="H445" s="7" t="s">
        <v>1151</v>
      </c>
      <c r="I445" s="2" t="s">
        <v>483</v>
      </c>
      <c r="J445" s="2" t="s">
        <v>536</v>
      </c>
      <c r="K445" s="2"/>
      <c r="L445" s="2"/>
      <c r="M445" s="8" t="str">
        <f>HYPERLINK("http://slimages.macys.com/is/image/MCY/12228382 ")</f>
        <v xml:space="preserve">http://slimages.macys.com/is/image/MCY/12228382 </v>
      </c>
    </row>
    <row r="446" spans="1:13" ht="60" x14ac:dyDescent="0.25">
      <c r="A446" s="7" t="s">
        <v>4377</v>
      </c>
      <c r="B446" s="2" t="s">
        <v>4378</v>
      </c>
      <c r="C446" s="4">
        <v>1</v>
      </c>
      <c r="D446" s="5">
        <v>3.07</v>
      </c>
      <c r="E446" s="5">
        <v>6.99</v>
      </c>
      <c r="F446" s="4" t="s">
        <v>4379</v>
      </c>
      <c r="G446" s="2" t="s">
        <v>297</v>
      </c>
      <c r="H446" s="7"/>
      <c r="I446" s="2" t="s">
        <v>483</v>
      </c>
      <c r="J446" s="2" t="s">
        <v>536</v>
      </c>
      <c r="K446" s="2"/>
      <c r="L446" s="2" t="s">
        <v>119</v>
      </c>
      <c r="M446" s="8" t="str">
        <f>HYPERLINK("http://slimages.macys.com/is/image/MCY/12465941 ")</f>
        <v xml:space="preserve">http://slimages.macys.com/is/image/MCY/12465941 </v>
      </c>
    </row>
    <row r="447" spans="1:13" ht="60" x14ac:dyDescent="0.25">
      <c r="A447" s="7" t="s">
        <v>4380</v>
      </c>
      <c r="B447" s="2" t="s">
        <v>1180</v>
      </c>
      <c r="C447" s="4">
        <v>1</v>
      </c>
      <c r="D447" s="5">
        <v>3.05</v>
      </c>
      <c r="E447" s="5">
        <v>7.99</v>
      </c>
      <c r="F447" s="4" t="s">
        <v>1181</v>
      </c>
      <c r="G447" s="2" t="s">
        <v>41</v>
      </c>
      <c r="H447" s="7" t="s">
        <v>1151</v>
      </c>
      <c r="I447" s="2" t="s">
        <v>483</v>
      </c>
      <c r="J447" s="2" t="s">
        <v>536</v>
      </c>
      <c r="K447" s="2" t="s">
        <v>304</v>
      </c>
      <c r="L447" s="2" t="s">
        <v>38</v>
      </c>
      <c r="M447" s="8" t="str">
        <f>HYPERLINK("http://slimages.macys.com/is/image/MCY/13337374 ")</f>
        <v xml:space="preserve">http://slimages.macys.com/is/image/MCY/13337374 </v>
      </c>
    </row>
    <row r="448" spans="1:13" ht="60" x14ac:dyDescent="0.25">
      <c r="A448" s="7" t="s">
        <v>4381</v>
      </c>
      <c r="B448" s="2" t="s">
        <v>2163</v>
      </c>
      <c r="C448" s="4">
        <v>2</v>
      </c>
      <c r="D448" s="5">
        <v>3.05</v>
      </c>
      <c r="E448" s="5">
        <v>7.99</v>
      </c>
      <c r="F448" s="4" t="s">
        <v>2164</v>
      </c>
      <c r="G448" s="2" t="s">
        <v>28</v>
      </c>
      <c r="H448" s="7" t="s">
        <v>514</v>
      </c>
      <c r="I448" s="2" t="s">
        <v>483</v>
      </c>
      <c r="J448" s="2" t="s">
        <v>536</v>
      </c>
      <c r="K448" s="2" t="s">
        <v>304</v>
      </c>
      <c r="L448" s="2" t="s">
        <v>119</v>
      </c>
      <c r="M448" s="8" t="str">
        <f>HYPERLINK("http://slimages.macys.com/is/image/MCY/11436914 ")</f>
        <v xml:space="preserve">http://slimages.macys.com/is/image/MCY/11436914 </v>
      </c>
    </row>
    <row r="449" spans="1:13" ht="60" x14ac:dyDescent="0.25">
      <c r="A449" s="7" t="s">
        <v>4382</v>
      </c>
      <c r="B449" s="2" t="s">
        <v>4383</v>
      </c>
      <c r="C449" s="4">
        <v>1</v>
      </c>
      <c r="D449" s="5">
        <v>3.05</v>
      </c>
      <c r="E449" s="5">
        <v>7.99</v>
      </c>
      <c r="F449" s="4" t="s">
        <v>4384</v>
      </c>
      <c r="G449" s="2" t="s">
        <v>437</v>
      </c>
      <c r="H449" s="7" t="s">
        <v>514</v>
      </c>
      <c r="I449" s="2" t="s">
        <v>483</v>
      </c>
      <c r="J449" s="2" t="s">
        <v>536</v>
      </c>
      <c r="K449" s="2" t="s">
        <v>304</v>
      </c>
      <c r="L449" s="2" t="s">
        <v>87</v>
      </c>
      <c r="M449" s="8" t="str">
        <f>HYPERLINK("http://slimages.macys.com/is/image/MCY/12646929 ")</f>
        <v xml:space="preserve">http://slimages.macys.com/is/image/MCY/12646929 </v>
      </c>
    </row>
    <row r="450" spans="1:13" ht="60" x14ac:dyDescent="0.25">
      <c r="A450" s="7" t="s">
        <v>4385</v>
      </c>
      <c r="B450" s="2" t="s">
        <v>4386</v>
      </c>
      <c r="C450" s="4">
        <v>1</v>
      </c>
      <c r="D450" s="5">
        <v>3.03</v>
      </c>
      <c r="E450" s="5">
        <v>7.99</v>
      </c>
      <c r="F450" s="4" t="s">
        <v>4387</v>
      </c>
      <c r="G450" s="2" t="s">
        <v>28</v>
      </c>
      <c r="H450" s="7" t="s">
        <v>514</v>
      </c>
      <c r="I450" s="2" t="s">
        <v>483</v>
      </c>
      <c r="J450" s="2" t="s">
        <v>536</v>
      </c>
      <c r="K450" s="2" t="s">
        <v>304</v>
      </c>
      <c r="L450" s="2" t="s">
        <v>100</v>
      </c>
      <c r="M450" s="8" t="str">
        <f>HYPERLINK("http://slimages.macys.com/is/image/MCY/13336558 ")</f>
        <v xml:space="preserve">http://slimages.macys.com/is/image/MCY/13336558 </v>
      </c>
    </row>
    <row r="451" spans="1:13" ht="60" x14ac:dyDescent="0.25">
      <c r="A451" s="7" t="s">
        <v>4388</v>
      </c>
      <c r="B451" s="2" t="s">
        <v>1196</v>
      </c>
      <c r="C451" s="4">
        <v>1</v>
      </c>
      <c r="D451" s="5">
        <v>2.98</v>
      </c>
      <c r="E451" s="5">
        <v>7.99</v>
      </c>
      <c r="F451" s="4" t="s">
        <v>1197</v>
      </c>
      <c r="G451" s="2" t="s">
        <v>297</v>
      </c>
      <c r="H451" s="7" t="s">
        <v>578</v>
      </c>
      <c r="I451" s="2" t="s">
        <v>483</v>
      </c>
      <c r="J451" s="2" t="s">
        <v>536</v>
      </c>
      <c r="K451" s="2" t="s">
        <v>304</v>
      </c>
      <c r="L451" s="2" t="s">
        <v>100</v>
      </c>
      <c r="M451" s="8" t="str">
        <f>HYPERLINK("http://slimages.macys.com/is/image/MCY/14384900 ")</f>
        <v xml:space="preserve">http://slimages.macys.com/is/image/MCY/14384900 </v>
      </c>
    </row>
    <row r="452" spans="1:13" ht="60" x14ac:dyDescent="0.25">
      <c r="A452" s="7" t="s">
        <v>1195</v>
      </c>
      <c r="B452" s="2" t="s">
        <v>1196</v>
      </c>
      <c r="C452" s="4">
        <v>1</v>
      </c>
      <c r="D452" s="5">
        <v>2.98</v>
      </c>
      <c r="E452" s="5">
        <v>7.99</v>
      </c>
      <c r="F452" s="4" t="s">
        <v>1197</v>
      </c>
      <c r="G452" s="2" t="s">
        <v>297</v>
      </c>
      <c r="H452" s="7" t="s">
        <v>514</v>
      </c>
      <c r="I452" s="2" t="s">
        <v>483</v>
      </c>
      <c r="J452" s="2" t="s">
        <v>536</v>
      </c>
      <c r="K452" s="2" t="s">
        <v>304</v>
      </c>
      <c r="L452" s="2" t="s">
        <v>100</v>
      </c>
      <c r="M452" s="8" t="str">
        <f>HYPERLINK("http://slimages.macys.com/is/image/MCY/14384900 ")</f>
        <v xml:space="preserve">http://slimages.macys.com/is/image/MCY/14384900 </v>
      </c>
    </row>
    <row r="453" spans="1:13" ht="60" x14ac:dyDescent="0.25">
      <c r="A453" s="7" t="s">
        <v>4389</v>
      </c>
      <c r="B453" s="2" t="s">
        <v>4390</v>
      </c>
      <c r="C453" s="4">
        <v>1</v>
      </c>
      <c r="D453" s="5">
        <v>2.98</v>
      </c>
      <c r="E453" s="5">
        <v>6.99</v>
      </c>
      <c r="F453" s="4" t="s">
        <v>4391</v>
      </c>
      <c r="G453" s="2" t="s">
        <v>86</v>
      </c>
      <c r="H453" s="7" t="s">
        <v>149</v>
      </c>
      <c r="I453" s="2" t="s">
        <v>483</v>
      </c>
      <c r="J453" s="2" t="s">
        <v>536</v>
      </c>
      <c r="K453" s="2" t="s">
        <v>304</v>
      </c>
      <c r="L453" s="2" t="s">
        <v>119</v>
      </c>
      <c r="M453" s="8" t="str">
        <f>HYPERLINK("http://slimages.macys.com/is/image/MCY/14448381 ")</f>
        <v xml:space="preserve">http://slimages.macys.com/is/image/MCY/14448381 </v>
      </c>
    </row>
    <row r="454" spans="1:13" ht="60" x14ac:dyDescent="0.25">
      <c r="A454" s="7" t="s">
        <v>4392</v>
      </c>
      <c r="B454" s="2" t="s">
        <v>4390</v>
      </c>
      <c r="C454" s="4">
        <v>2</v>
      </c>
      <c r="D454" s="5">
        <v>2.98</v>
      </c>
      <c r="E454" s="5">
        <v>6.99</v>
      </c>
      <c r="F454" s="4" t="s">
        <v>4391</v>
      </c>
      <c r="G454" s="2" t="s">
        <v>86</v>
      </c>
      <c r="H454" s="7" t="s">
        <v>590</v>
      </c>
      <c r="I454" s="2" t="s">
        <v>483</v>
      </c>
      <c r="J454" s="2" t="s">
        <v>536</v>
      </c>
      <c r="K454" s="2" t="s">
        <v>304</v>
      </c>
      <c r="L454" s="2" t="s">
        <v>119</v>
      </c>
      <c r="M454" s="8" t="str">
        <f>HYPERLINK("http://slimages.macys.com/is/image/MCY/14448381 ")</f>
        <v xml:space="preserve">http://slimages.macys.com/is/image/MCY/14448381 </v>
      </c>
    </row>
    <row r="455" spans="1:13" ht="60" x14ac:dyDescent="0.25">
      <c r="A455" s="7" t="s">
        <v>4393</v>
      </c>
      <c r="B455" s="2" t="s">
        <v>4390</v>
      </c>
      <c r="C455" s="4">
        <v>2</v>
      </c>
      <c r="D455" s="5">
        <v>2.98</v>
      </c>
      <c r="E455" s="5">
        <v>6.99</v>
      </c>
      <c r="F455" s="4" t="s">
        <v>4391</v>
      </c>
      <c r="G455" s="2" t="s">
        <v>86</v>
      </c>
      <c r="H455" s="7" t="s">
        <v>42</v>
      </c>
      <c r="I455" s="2" t="s">
        <v>483</v>
      </c>
      <c r="J455" s="2" t="s">
        <v>536</v>
      </c>
      <c r="K455" s="2" t="s">
        <v>304</v>
      </c>
      <c r="L455" s="2" t="s">
        <v>119</v>
      </c>
      <c r="M455" s="8" t="str">
        <f>HYPERLINK("http://slimages.macys.com/is/image/MCY/14448381 ")</f>
        <v xml:space="preserve">http://slimages.macys.com/is/image/MCY/14448381 </v>
      </c>
    </row>
    <row r="456" spans="1:13" ht="60" x14ac:dyDescent="0.25">
      <c r="A456" s="7" t="s">
        <v>4394</v>
      </c>
      <c r="B456" s="2" t="s">
        <v>2177</v>
      </c>
      <c r="C456" s="4">
        <v>1</v>
      </c>
      <c r="D456" s="5">
        <v>2.97</v>
      </c>
      <c r="E456" s="5">
        <v>7.99</v>
      </c>
      <c r="F456" s="4" t="s">
        <v>2178</v>
      </c>
      <c r="G456" s="2" t="s">
        <v>86</v>
      </c>
      <c r="H456" s="7"/>
      <c r="I456" s="2" t="s">
        <v>483</v>
      </c>
      <c r="J456" s="2" t="s">
        <v>536</v>
      </c>
      <c r="K456" s="2" t="s">
        <v>304</v>
      </c>
      <c r="L456" s="2" t="s">
        <v>119</v>
      </c>
      <c r="M456" s="8" t="str">
        <f>HYPERLINK("http://slimages.macys.com/is/image/MCY/12465218 ")</f>
        <v xml:space="preserve">http://slimages.macys.com/is/image/MCY/12465218 </v>
      </c>
    </row>
    <row r="457" spans="1:13" ht="60" x14ac:dyDescent="0.25">
      <c r="A457" s="7" t="s">
        <v>4395</v>
      </c>
      <c r="B457" s="2" t="s">
        <v>4396</v>
      </c>
      <c r="C457" s="4">
        <v>1</v>
      </c>
      <c r="D457" s="5">
        <v>2.97</v>
      </c>
      <c r="E457" s="5">
        <v>6.99</v>
      </c>
      <c r="F457" s="4" t="s">
        <v>4397</v>
      </c>
      <c r="G457" s="2" t="s">
        <v>129</v>
      </c>
      <c r="H457" s="7" t="s">
        <v>590</v>
      </c>
      <c r="I457" s="2" t="s">
        <v>483</v>
      </c>
      <c r="J457" s="2" t="s">
        <v>536</v>
      </c>
      <c r="K457" s="2" t="s">
        <v>304</v>
      </c>
      <c r="L457" s="2" t="s">
        <v>119</v>
      </c>
      <c r="M457" s="8" t="str">
        <f>HYPERLINK("http://slimages.macys.com/is/image/MCY/10097679 ")</f>
        <v xml:space="preserve">http://slimages.macys.com/is/image/MCY/10097679 </v>
      </c>
    </row>
    <row r="458" spans="1:13" ht="60" x14ac:dyDescent="0.25">
      <c r="A458" s="7" t="s">
        <v>2176</v>
      </c>
      <c r="B458" s="2" t="s">
        <v>2177</v>
      </c>
      <c r="C458" s="4">
        <v>1</v>
      </c>
      <c r="D458" s="5">
        <v>2.97</v>
      </c>
      <c r="E458" s="5">
        <v>7.99</v>
      </c>
      <c r="F458" s="4" t="s">
        <v>2178</v>
      </c>
      <c r="G458" s="2" t="s">
        <v>86</v>
      </c>
      <c r="H458" s="7" t="s">
        <v>149</v>
      </c>
      <c r="I458" s="2" t="s">
        <v>483</v>
      </c>
      <c r="J458" s="2" t="s">
        <v>536</v>
      </c>
      <c r="K458" s="2" t="s">
        <v>304</v>
      </c>
      <c r="L458" s="2" t="s">
        <v>119</v>
      </c>
      <c r="M458" s="8" t="str">
        <f>HYPERLINK("http://slimages.macys.com/is/image/MCY/12465218 ")</f>
        <v xml:space="preserve">http://slimages.macys.com/is/image/MCY/12465218 </v>
      </c>
    </row>
    <row r="459" spans="1:13" ht="60" x14ac:dyDescent="0.25">
      <c r="A459" s="7" t="s">
        <v>4398</v>
      </c>
      <c r="B459" s="2" t="s">
        <v>4399</v>
      </c>
      <c r="C459" s="4">
        <v>1</v>
      </c>
      <c r="D459" s="5">
        <v>2.97</v>
      </c>
      <c r="E459" s="5">
        <v>7.99</v>
      </c>
      <c r="F459" s="4" t="s">
        <v>4400</v>
      </c>
      <c r="G459" s="2" t="s">
        <v>171</v>
      </c>
      <c r="H459" s="7"/>
      <c r="I459" s="2" t="s">
        <v>483</v>
      </c>
      <c r="J459" s="2" t="s">
        <v>536</v>
      </c>
      <c r="K459" s="2" t="s">
        <v>304</v>
      </c>
      <c r="L459" s="2" t="s">
        <v>100</v>
      </c>
      <c r="M459" s="8" t="str">
        <f>HYPERLINK("http://slimages.macys.com/is/image/MCY/12465404 ")</f>
        <v xml:space="preserve">http://slimages.macys.com/is/image/MCY/12465404 </v>
      </c>
    </row>
    <row r="460" spans="1:13" ht="60" x14ac:dyDescent="0.25">
      <c r="A460" s="7" t="s">
        <v>2179</v>
      </c>
      <c r="B460" s="2" t="s">
        <v>2180</v>
      </c>
      <c r="C460" s="4">
        <v>1</v>
      </c>
      <c r="D460" s="5">
        <v>2.97</v>
      </c>
      <c r="E460" s="5">
        <v>7.99</v>
      </c>
      <c r="F460" s="4" t="s">
        <v>2181</v>
      </c>
      <c r="G460" s="2" t="s">
        <v>41</v>
      </c>
      <c r="H460" s="7" t="s">
        <v>149</v>
      </c>
      <c r="I460" s="2" t="s">
        <v>483</v>
      </c>
      <c r="J460" s="2" t="s">
        <v>536</v>
      </c>
      <c r="K460" s="2" t="s">
        <v>304</v>
      </c>
      <c r="L460" s="2" t="s">
        <v>119</v>
      </c>
      <c r="M460" s="8" t="str">
        <f>HYPERLINK("http://slimages.macys.com/is/image/MCY/12465218 ")</f>
        <v xml:space="preserve">http://slimages.macys.com/is/image/MCY/12465218 </v>
      </c>
    </row>
    <row r="461" spans="1:13" ht="60" x14ac:dyDescent="0.25">
      <c r="A461" s="7" t="s">
        <v>4401</v>
      </c>
      <c r="B461" s="2" t="s">
        <v>2183</v>
      </c>
      <c r="C461" s="4">
        <v>1</v>
      </c>
      <c r="D461" s="5">
        <v>2.97</v>
      </c>
      <c r="E461" s="5">
        <v>7.99</v>
      </c>
      <c r="F461" s="4" t="s">
        <v>2184</v>
      </c>
      <c r="G461" s="2" t="s">
        <v>595</v>
      </c>
      <c r="H461" s="7" t="s">
        <v>590</v>
      </c>
      <c r="I461" s="2" t="s">
        <v>483</v>
      </c>
      <c r="J461" s="2" t="s">
        <v>536</v>
      </c>
      <c r="K461" s="2" t="s">
        <v>304</v>
      </c>
      <c r="L461" s="2" t="s">
        <v>119</v>
      </c>
      <c r="M461" s="8" t="str">
        <f>HYPERLINK("http://slimages.macys.com/is/image/MCY/12465363 ")</f>
        <v xml:space="preserve">http://slimages.macys.com/is/image/MCY/12465363 </v>
      </c>
    </row>
    <row r="462" spans="1:13" ht="60" x14ac:dyDescent="0.25">
      <c r="A462" s="7" t="s">
        <v>4402</v>
      </c>
      <c r="B462" s="2" t="s">
        <v>588</v>
      </c>
      <c r="C462" s="4">
        <v>5</v>
      </c>
      <c r="D462" s="5">
        <v>2.96</v>
      </c>
      <c r="E462" s="5">
        <v>6.99</v>
      </c>
      <c r="F462" s="4" t="s">
        <v>589</v>
      </c>
      <c r="G462" s="2" t="s">
        <v>134</v>
      </c>
      <c r="H462" s="7" t="s">
        <v>442</v>
      </c>
      <c r="I462" s="2" t="s">
        <v>483</v>
      </c>
      <c r="J462" s="2" t="s">
        <v>536</v>
      </c>
      <c r="K462" s="2" t="s">
        <v>304</v>
      </c>
      <c r="L462" s="2" t="s">
        <v>119</v>
      </c>
      <c r="M462" s="8" t="str">
        <f>HYPERLINK("http://slimages.macys.com/is/image/MCY/14532191 ")</f>
        <v xml:space="preserve">http://slimages.macys.com/is/image/MCY/14532191 </v>
      </c>
    </row>
    <row r="463" spans="1:13" ht="60" x14ac:dyDescent="0.25">
      <c r="A463" s="7" t="s">
        <v>3509</v>
      </c>
      <c r="B463" s="2" t="s">
        <v>588</v>
      </c>
      <c r="C463" s="4">
        <v>11</v>
      </c>
      <c r="D463" s="5">
        <v>2.96</v>
      </c>
      <c r="E463" s="5">
        <v>6.99</v>
      </c>
      <c r="F463" s="4" t="s">
        <v>589</v>
      </c>
      <c r="G463" s="2" t="s">
        <v>134</v>
      </c>
      <c r="H463" s="7" t="s">
        <v>91</v>
      </c>
      <c r="I463" s="2" t="s">
        <v>483</v>
      </c>
      <c r="J463" s="2" t="s">
        <v>536</v>
      </c>
      <c r="K463" s="2" t="s">
        <v>304</v>
      </c>
      <c r="L463" s="2" t="s">
        <v>119</v>
      </c>
      <c r="M463" s="8" t="str">
        <f>HYPERLINK("http://slimages.macys.com/is/image/MCY/14532191 ")</f>
        <v xml:space="preserve">http://slimages.macys.com/is/image/MCY/14532191 </v>
      </c>
    </row>
    <row r="464" spans="1:13" ht="60" x14ac:dyDescent="0.25">
      <c r="A464" s="7" t="s">
        <v>4403</v>
      </c>
      <c r="B464" s="2" t="s">
        <v>588</v>
      </c>
      <c r="C464" s="4">
        <v>4</v>
      </c>
      <c r="D464" s="5">
        <v>2.96</v>
      </c>
      <c r="E464" s="5">
        <v>6.99</v>
      </c>
      <c r="F464" s="4" t="s">
        <v>589</v>
      </c>
      <c r="G464" s="2" t="s">
        <v>134</v>
      </c>
      <c r="H464" s="7" t="s">
        <v>149</v>
      </c>
      <c r="I464" s="2" t="s">
        <v>483</v>
      </c>
      <c r="J464" s="2" t="s">
        <v>536</v>
      </c>
      <c r="K464" s="2" t="s">
        <v>304</v>
      </c>
      <c r="L464" s="2" t="s">
        <v>119</v>
      </c>
      <c r="M464" s="8" t="str">
        <f>HYPERLINK("http://slimages.macys.com/is/image/MCY/14532191 ")</f>
        <v xml:space="preserve">http://slimages.macys.com/is/image/MCY/14532191 </v>
      </c>
    </row>
    <row r="465" spans="1:13" ht="60" x14ac:dyDescent="0.25">
      <c r="A465" s="7" t="s">
        <v>591</v>
      </c>
      <c r="B465" s="2" t="s">
        <v>588</v>
      </c>
      <c r="C465" s="4">
        <v>7</v>
      </c>
      <c r="D465" s="5">
        <v>2.96</v>
      </c>
      <c r="E465" s="5">
        <v>6.99</v>
      </c>
      <c r="F465" s="4" t="s">
        <v>589</v>
      </c>
      <c r="G465" s="2" t="s">
        <v>134</v>
      </c>
      <c r="H465" s="7" t="s">
        <v>42</v>
      </c>
      <c r="I465" s="2" t="s">
        <v>483</v>
      </c>
      <c r="J465" s="2" t="s">
        <v>536</v>
      </c>
      <c r="K465" s="2" t="s">
        <v>304</v>
      </c>
      <c r="L465" s="2" t="s">
        <v>119</v>
      </c>
      <c r="M465" s="8" t="str">
        <f>HYPERLINK("http://slimages.macys.com/is/image/MCY/14532191 ")</f>
        <v xml:space="preserve">http://slimages.macys.com/is/image/MCY/14532191 </v>
      </c>
    </row>
    <row r="466" spans="1:13" ht="60" x14ac:dyDescent="0.25">
      <c r="A466" s="7" t="s">
        <v>587</v>
      </c>
      <c r="B466" s="2" t="s">
        <v>588</v>
      </c>
      <c r="C466" s="4">
        <v>7</v>
      </c>
      <c r="D466" s="5">
        <v>2.96</v>
      </c>
      <c r="E466" s="5">
        <v>6.99</v>
      </c>
      <c r="F466" s="4" t="s">
        <v>589</v>
      </c>
      <c r="G466" s="2" t="s">
        <v>134</v>
      </c>
      <c r="H466" s="7" t="s">
        <v>590</v>
      </c>
      <c r="I466" s="2" t="s">
        <v>483</v>
      </c>
      <c r="J466" s="2" t="s">
        <v>536</v>
      </c>
      <c r="K466" s="2" t="s">
        <v>304</v>
      </c>
      <c r="L466" s="2" t="s">
        <v>119</v>
      </c>
      <c r="M466" s="8" t="str">
        <f>HYPERLINK("http://slimages.macys.com/is/image/MCY/14532191 ")</f>
        <v xml:space="preserve">http://slimages.macys.com/is/image/MCY/14532191 </v>
      </c>
    </row>
    <row r="467" spans="1:13" ht="60" x14ac:dyDescent="0.25">
      <c r="A467" s="7" t="s">
        <v>4404</v>
      </c>
      <c r="B467" s="2" t="s">
        <v>4405</v>
      </c>
      <c r="C467" s="4">
        <v>4</v>
      </c>
      <c r="D467" s="5">
        <v>2.94</v>
      </c>
      <c r="E467" s="5">
        <v>7.99</v>
      </c>
      <c r="F467" s="4" t="s">
        <v>4406</v>
      </c>
      <c r="G467" s="2" t="s">
        <v>28</v>
      </c>
      <c r="H467" s="7" t="s">
        <v>578</v>
      </c>
      <c r="I467" s="2" t="s">
        <v>483</v>
      </c>
      <c r="J467" s="2" t="s">
        <v>536</v>
      </c>
      <c r="K467" s="2" t="s">
        <v>304</v>
      </c>
      <c r="L467" s="2" t="s">
        <v>38</v>
      </c>
      <c r="M467" s="8" t="str">
        <f>HYPERLINK("http://slimages.macys.com/is/image/MCY/14384849 ")</f>
        <v xml:space="preserve">http://slimages.macys.com/is/image/MCY/14384849 </v>
      </c>
    </row>
    <row r="468" spans="1:13" ht="60" x14ac:dyDescent="0.25">
      <c r="A468" s="7" t="s">
        <v>4407</v>
      </c>
      <c r="B468" s="2" t="s">
        <v>4405</v>
      </c>
      <c r="C468" s="4">
        <v>5</v>
      </c>
      <c r="D468" s="5">
        <v>2.94</v>
      </c>
      <c r="E468" s="5">
        <v>7.99</v>
      </c>
      <c r="F468" s="4" t="s">
        <v>4406</v>
      </c>
      <c r="G468" s="2" t="s">
        <v>28</v>
      </c>
      <c r="H468" s="7" t="s">
        <v>1151</v>
      </c>
      <c r="I468" s="2" t="s">
        <v>483</v>
      </c>
      <c r="J468" s="2" t="s">
        <v>536</v>
      </c>
      <c r="K468" s="2" t="s">
        <v>304</v>
      </c>
      <c r="L468" s="2" t="s">
        <v>38</v>
      </c>
      <c r="M468" s="8" t="str">
        <f>HYPERLINK("http://slimages.macys.com/is/image/MCY/14384849 ")</f>
        <v xml:space="preserve">http://slimages.macys.com/is/image/MCY/14384849 </v>
      </c>
    </row>
    <row r="469" spans="1:13" ht="60" x14ac:dyDescent="0.25">
      <c r="A469" s="7" t="s">
        <v>4408</v>
      </c>
      <c r="B469" s="2" t="s">
        <v>4405</v>
      </c>
      <c r="C469" s="4">
        <v>6</v>
      </c>
      <c r="D469" s="5">
        <v>2.94</v>
      </c>
      <c r="E469" s="5">
        <v>7.99</v>
      </c>
      <c r="F469" s="4" t="s">
        <v>4406</v>
      </c>
      <c r="G469" s="2" t="s">
        <v>28</v>
      </c>
      <c r="H469" s="7" t="s">
        <v>514</v>
      </c>
      <c r="I469" s="2" t="s">
        <v>483</v>
      </c>
      <c r="J469" s="2" t="s">
        <v>536</v>
      </c>
      <c r="K469" s="2" t="s">
        <v>304</v>
      </c>
      <c r="L469" s="2" t="s">
        <v>38</v>
      </c>
      <c r="M469" s="8" t="str">
        <f>HYPERLINK("http://slimages.macys.com/is/image/MCY/14384849 ")</f>
        <v xml:space="preserve">http://slimages.macys.com/is/image/MCY/14384849 </v>
      </c>
    </row>
    <row r="470" spans="1:13" ht="60" x14ac:dyDescent="0.25">
      <c r="A470" s="7" t="s">
        <v>4409</v>
      </c>
      <c r="B470" s="2" t="s">
        <v>2187</v>
      </c>
      <c r="C470" s="4">
        <v>1</v>
      </c>
      <c r="D470" s="5">
        <v>2.94</v>
      </c>
      <c r="E470" s="5">
        <v>7.99</v>
      </c>
      <c r="F470" s="4" t="s">
        <v>2188</v>
      </c>
      <c r="G470" s="2" t="s">
        <v>353</v>
      </c>
      <c r="H470" s="7" t="s">
        <v>578</v>
      </c>
      <c r="I470" s="2" t="s">
        <v>483</v>
      </c>
      <c r="J470" s="2" t="s">
        <v>536</v>
      </c>
      <c r="K470" s="2" t="s">
        <v>304</v>
      </c>
      <c r="L470" s="2" t="s">
        <v>206</v>
      </c>
      <c r="M470" s="8" t="str">
        <f>HYPERLINK("http://slimages.macys.com/is/image/MCY/13386702 ")</f>
        <v xml:space="preserve">http://slimages.macys.com/is/image/MCY/13386702 </v>
      </c>
    </row>
    <row r="471" spans="1:13" ht="60" x14ac:dyDescent="0.25">
      <c r="A471" s="7" t="s">
        <v>4410</v>
      </c>
      <c r="B471" s="2" t="s">
        <v>4411</v>
      </c>
      <c r="C471" s="4">
        <v>1</v>
      </c>
      <c r="D471" s="5">
        <v>2.94</v>
      </c>
      <c r="E471" s="5">
        <v>7.99</v>
      </c>
      <c r="F471" s="4" t="s">
        <v>4412</v>
      </c>
      <c r="G471" s="2" t="s">
        <v>41</v>
      </c>
      <c r="H471" s="7" t="s">
        <v>578</v>
      </c>
      <c r="I471" s="2" t="s">
        <v>483</v>
      </c>
      <c r="J471" s="2" t="s">
        <v>536</v>
      </c>
      <c r="K471" s="2" t="s">
        <v>304</v>
      </c>
      <c r="L471" s="2" t="s">
        <v>38</v>
      </c>
      <c r="M471" s="8" t="str">
        <f>HYPERLINK("http://slimages.macys.com/is/image/MCY/14384973 ")</f>
        <v xml:space="preserve">http://slimages.macys.com/is/image/MCY/14384973 </v>
      </c>
    </row>
    <row r="472" spans="1:13" ht="60" x14ac:dyDescent="0.25">
      <c r="A472" s="7" t="s">
        <v>4413</v>
      </c>
      <c r="B472" s="2" t="s">
        <v>2193</v>
      </c>
      <c r="C472" s="4">
        <v>1</v>
      </c>
      <c r="D472" s="5">
        <v>2.94</v>
      </c>
      <c r="E472" s="5">
        <v>7.99</v>
      </c>
      <c r="F472" s="4" t="s">
        <v>2194</v>
      </c>
      <c r="G472" s="2" t="s">
        <v>41</v>
      </c>
      <c r="H472" s="7" t="s">
        <v>1151</v>
      </c>
      <c r="I472" s="2" t="s">
        <v>483</v>
      </c>
      <c r="J472" s="2" t="s">
        <v>536</v>
      </c>
      <c r="K472" s="2" t="s">
        <v>304</v>
      </c>
      <c r="L472" s="2" t="s">
        <v>38</v>
      </c>
      <c r="M472" s="8" t="str">
        <f>HYPERLINK("http://slimages.macys.com/is/image/MCY/13987272 ")</f>
        <v xml:space="preserve">http://slimages.macys.com/is/image/MCY/13987272 </v>
      </c>
    </row>
    <row r="473" spans="1:13" ht="60" x14ac:dyDescent="0.25">
      <c r="A473" s="7" t="s">
        <v>4414</v>
      </c>
      <c r="B473" s="2" t="s">
        <v>4415</v>
      </c>
      <c r="C473" s="4">
        <v>2</v>
      </c>
      <c r="D473" s="5">
        <v>2.94</v>
      </c>
      <c r="E473" s="5">
        <v>7.99</v>
      </c>
      <c r="F473" s="4" t="s">
        <v>4416</v>
      </c>
      <c r="G473" s="2" t="s">
        <v>41</v>
      </c>
      <c r="H473" s="7" t="s">
        <v>1151</v>
      </c>
      <c r="I473" s="2" t="s">
        <v>483</v>
      </c>
      <c r="J473" s="2" t="s">
        <v>536</v>
      </c>
      <c r="K473" s="2" t="s">
        <v>304</v>
      </c>
      <c r="L473" s="2" t="s">
        <v>100</v>
      </c>
      <c r="M473" s="8" t="str">
        <f>HYPERLINK("http://slimages.macys.com/is/image/MCY/12466327 ")</f>
        <v xml:space="preserve">http://slimages.macys.com/is/image/MCY/12466327 </v>
      </c>
    </row>
    <row r="474" spans="1:13" ht="60" x14ac:dyDescent="0.25">
      <c r="A474" s="7" t="s">
        <v>2192</v>
      </c>
      <c r="B474" s="2" t="s">
        <v>2193</v>
      </c>
      <c r="C474" s="4">
        <v>2</v>
      </c>
      <c r="D474" s="5">
        <v>2.94</v>
      </c>
      <c r="E474" s="5">
        <v>7.99</v>
      </c>
      <c r="F474" s="4" t="s">
        <v>2194</v>
      </c>
      <c r="G474" s="2" t="s">
        <v>41</v>
      </c>
      <c r="H474" s="7" t="s">
        <v>514</v>
      </c>
      <c r="I474" s="2" t="s">
        <v>483</v>
      </c>
      <c r="J474" s="2" t="s">
        <v>536</v>
      </c>
      <c r="K474" s="2" t="s">
        <v>304</v>
      </c>
      <c r="L474" s="2" t="s">
        <v>38</v>
      </c>
      <c r="M474" s="8" t="str">
        <f>HYPERLINK("http://slimages.macys.com/is/image/MCY/13987272 ")</f>
        <v xml:space="preserve">http://slimages.macys.com/is/image/MCY/13987272 </v>
      </c>
    </row>
    <row r="475" spans="1:13" ht="60" x14ac:dyDescent="0.25">
      <c r="A475" s="7" t="s">
        <v>4417</v>
      </c>
      <c r="B475" s="2" t="s">
        <v>4418</v>
      </c>
      <c r="C475" s="4">
        <v>2</v>
      </c>
      <c r="D475" s="5">
        <v>2.94</v>
      </c>
      <c r="E475" s="5">
        <v>7.99</v>
      </c>
      <c r="F475" s="4" t="s">
        <v>4419</v>
      </c>
      <c r="G475" s="2" t="s">
        <v>28</v>
      </c>
      <c r="H475" s="7" t="s">
        <v>578</v>
      </c>
      <c r="I475" s="2" t="s">
        <v>483</v>
      </c>
      <c r="J475" s="2" t="s">
        <v>536</v>
      </c>
      <c r="K475" s="2" t="s">
        <v>304</v>
      </c>
      <c r="L475" s="2" t="s">
        <v>206</v>
      </c>
      <c r="M475" s="8" t="str">
        <f>HYPERLINK("http://slimages.macys.com/is/image/MCY/13386207 ")</f>
        <v xml:space="preserve">http://slimages.macys.com/is/image/MCY/13386207 </v>
      </c>
    </row>
    <row r="476" spans="1:13" ht="60" x14ac:dyDescent="0.25">
      <c r="A476" s="7" t="s">
        <v>4420</v>
      </c>
      <c r="B476" s="2" t="s">
        <v>4421</v>
      </c>
      <c r="C476" s="4">
        <v>1</v>
      </c>
      <c r="D476" s="5">
        <v>2.94</v>
      </c>
      <c r="E476" s="5">
        <v>7.99</v>
      </c>
      <c r="F476" s="4" t="s">
        <v>4422</v>
      </c>
      <c r="G476" s="2" t="s">
        <v>41</v>
      </c>
      <c r="H476" s="7" t="s">
        <v>578</v>
      </c>
      <c r="I476" s="2" t="s">
        <v>483</v>
      </c>
      <c r="J476" s="2" t="s">
        <v>536</v>
      </c>
      <c r="K476" s="2" t="s">
        <v>304</v>
      </c>
      <c r="L476" s="2" t="s">
        <v>206</v>
      </c>
      <c r="M476" s="8" t="str">
        <f>HYPERLINK("http://slimages.macys.com/is/image/MCY/13385820 ")</f>
        <v xml:space="preserve">http://slimages.macys.com/is/image/MCY/13385820 </v>
      </c>
    </row>
    <row r="477" spans="1:13" ht="60" x14ac:dyDescent="0.25">
      <c r="A477" s="7" t="s">
        <v>4423</v>
      </c>
      <c r="B477" s="2" t="s">
        <v>4424</v>
      </c>
      <c r="C477" s="4">
        <v>3</v>
      </c>
      <c r="D477" s="5">
        <v>2.94</v>
      </c>
      <c r="E477" s="5">
        <v>7.99</v>
      </c>
      <c r="F477" s="4" t="s">
        <v>4425</v>
      </c>
      <c r="G477" s="2" t="s">
        <v>527</v>
      </c>
      <c r="H477" s="7" t="s">
        <v>578</v>
      </c>
      <c r="I477" s="2" t="s">
        <v>483</v>
      </c>
      <c r="J477" s="2" t="s">
        <v>536</v>
      </c>
      <c r="K477" s="2" t="s">
        <v>304</v>
      </c>
      <c r="L477" s="2" t="s">
        <v>119</v>
      </c>
      <c r="M477" s="8" t="str">
        <f>HYPERLINK("http://slimages.macys.com/is/image/MCY/13987179 ")</f>
        <v xml:space="preserve">http://slimages.macys.com/is/image/MCY/13987179 </v>
      </c>
    </row>
    <row r="478" spans="1:13" ht="60" x14ac:dyDescent="0.25">
      <c r="A478" s="7" t="s">
        <v>4426</v>
      </c>
      <c r="B478" s="2" t="s">
        <v>4424</v>
      </c>
      <c r="C478" s="4">
        <v>1</v>
      </c>
      <c r="D478" s="5">
        <v>2.94</v>
      </c>
      <c r="E478" s="5">
        <v>7.99</v>
      </c>
      <c r="F478" s="4" t="s">
        <v>4425</v>
      </c>
      <c r="G478" s="2" t="s">
        <v>527</v>
      </c>
      <c r="H478" s="7" t="s">
        <v>1151</v>
      </c>
      <c r="I478" s="2" t="s">
        <v>483</v>
      </c>
      <c r="J478" s="2" t="s">
        <v>536</v>
      </c>
      <c r="K478" s="2" t="s">
        <v>304</v>
      </c>
      <c r="L478" s="2" t="s">
        <v>119</v>
      </c>
      <c r="M478" s="8" t="str">
        <f>HYPERLINK("http://slimages.macys.com/is/image/MCY/13987179 ")</f>
        <v xml:space="preserve">http://slimages.macys.com/is/image/MCY/13987179 </v>
      </c>
    </row>
    <row r="479" spans="1:13" ht="60" x14ac:dyDescent="0.25">
      <c r="A479" s="7" t="s">
        <v>4427</v>
      </c>
      <c r="B479" s="2" t="s">
        <v>4428</v>
      </c>
      <c r="C479" s="4">
        <v>1</v>
      </c>
      <c r="D479" s="5">
        <v>2.93</v>
      </c>
      <c r="E479" s="5">
        <v>8.99</v>
      </c>
      <c r="F479" s="4">
        <v>10006317700</v>
      </c>
      <c r="G479" s="2" t="s">
        <v>134</v>
      </c>
      <c r="H479" s="7"/>
      <c r="I479" s="2" t="s">
        <v>483</v>
      </c>
      <c r="J479" s="2" t="s">
        <v>536</v>
      </c>
      <c r="K479" s="2" t="s">
        <v>304</v>
      </c>
      <c r="L479" s="2" t="s">
        <v>38</v>
      </c>
      <c r="M479" s="8" t="str">
        <f>HYPERLINK("http://slimages.macys.com/is/image/MCY/13987487 ")</f>
        <v xml:space="preserve">http://slimages.macys.com/is/image/MCY/13987487 </v>
      </c>
    </row>
    <row r="480" spans="1:13" ht="60" x14ac:dyDescent="0.25">
      <c r="A480" s="7" t="s">
        <v>2198</v>
      </c>
      <c r="B480" s="2" t="s">
        <v>2196</v>
      </c>
      <c r="C480" s="4">
        <v>4</v>
      </c>
      <c r="D480" s="5">
        <v>2.92</v>
      </c>
      <c r="E480" s="5">
        <v>7.99</v>
      </c>
      <c r="F480" s="4" t="s">
        <v>2197</v>
      </c>
      <c r="G480" s="2" t="s">
        <v>86</v>
      </c>
      <c r="H480" s="7" t="s">
        <v>514</v>
      </c>
      <c r="I480" s="2" t="s">
        <v>483</v>
      </c>
      <c r="J480" s="2" t="s">
        <v>536</v>
      </c>
      <c r="K480" s="2" t="s">
        <v>304</v>
      </c>
      <c r="L480" s="2" t="s">
        <v>38</v>
      </c>
      <c r="M480" s="8" t="str">
        <f>HYPERLINK("http://slimages.macys.com/is/image/MCY/11855486 ")</f>
        <v xml:space="preserve">http://slimages.macys.com/is/image/MCY/11855486 </v>
      </c>
    </row>
    <row r="481" spans="1:13" ht="60" x14ac:dyDescent="0.25">
      <c r="A481" s="7" t="s">
        <v>4429</v>
      </c>
      <c r="B481" s="2" t="s">
        <v>2196</v>
      </c>
      <c r="C481" s="4">
        <v>1</v>
      </c>
      <c r="D481" s="5">
        <v>2.92</v>
      </c>
      <c r="E481" s="5">
        <v>7.99</v>
      </c>
      <c r="F481" s="4" t="s">
        <v>2197</v>
      </c>
      <c r="G481" s="2" t="s">
        <v>86</v>
      </c>
      <c r="H481" s="7" t="s">
        <v>578</v>
      </c>
      <c r="I481" s="2" t="s">
        <v>483</v>
      </c>
      <c r="J481" s="2" t="s">
        <v>536</v>
      </c>
      <c r="K481" s="2" t="s">
        <v>304</v>
      </c>
      <c r="L481" s="2" t="s">
        <v>38</v>
      </c>
      <c r="M481" s="8" t="str">
        <f>HYPERLINK("http://slimages.macys.com/is/image/MCY/11855486 ")</f>
        <v xml:space="preserve">http://slimages.macys.com/is/image/MCY/11855486 </v>
      </c>
    </row>
    <row r="482" spans="1:13" ht="60" x14ac:dyDescent="0.25">
      <c r="A482" s="7" t="s">
        <v>2195</v>
      </c>
      <c r="B482" s="2" t="s">
        <v>2196</v>
      </c>
      <c r="C482" s="4">
        <v>5</v>
      </c>
      <c r="D482" s="5">
        <v>2.92</v>
      </c>
      <c r="E482" s="5">
        <v>7.99</v>
      </c>
      <c r="F482" s="4" t="s">
        <v>2197</v>
      </c>
      <c r="G482" s="2" t="s">
        <v>86</v>
      </c>
      <c r="H482" s="7" t="s">
        <v>1151</v>
      </c>
      <c r="I482" s="2" t="s">
        <v>483</v>
      </c>
      <c r="J482" s="2" t="s">
        <v>536</v>
      </c>
      <c r="K482" s="2" t="s">
        <v>304</v>
      </c>
      <c r="L482" s="2" t="s">
        <v>38</v>
      </c>
      <c r="M482" s="8" t="str">
        <f>HYPERLINK("http://slimages.macys.com/is/image/MCY/11855486 ")</f>
        <v xml:space="preserve">http://slimages.macys.com/is/image/MCY/11855486 </v>
      </c>
    </row>
    <row r="483" spans="1:13" ht="60" x14ac:dyDescent="0.25">
      <c r="A483" s="7" t="s">
        <v>4430</v>
      </c>
      <c r="B483" s="2" t="s">
        <v>4431</v>
      </c>
      <c r="C483" s="4">
        <v>1</v>
      </c>
      <c r="D483" s="5">
        <v>2.91</v>
      </c>
      <c r="E483" s="5">
        <v>7.99</v>
      </c>
      <c r="F483" s="4" t="s">
        <v>4432</v>
      </c>
      <c r="G483" s="2" t="s">
        <v>657</v>
      </c>
      <c r="H483" s="7" t="s">
        <v>1151</v>
      </c>
      <c r="I483" s="2" t="s">
        <v>483</v>
      </c>
      <c r="J483" s="2" t="s">
        <v>536</v>
      </c>
      <c r="K483" s="2" t="s">
        <v>304</v>
      </c>
      <c r="L483" s="2" t="s">
        <v>119</v>
      </c>
      <c r="M483" s="8" t="str">
        <f>HYPERLINK("http://slimages.macys.com/is/image/MCY/13987264 ")</f>
        <v xml:space="preserve">http://slimages.macys.com/is/image/MCY/13987264 </v>
      </c>
    </row>
    <row r="484" spans="1:13" ht="60" x14ac:dyDescent="0.25">
      <c r="A484" s="7" t="s">
        <v>4433</v>
      </c>
      <c r="B484" s="2" t="s">
        <v>4434</v>
      </c>
      <c r="C484" s="4">
        <v>3</v>
      </c>
      <c r="D484" s="5">
        <v>2.9</v>
      </c>
      <c r="E484" s="5">
        <v>7.99</v>
      </c>
      <c r="F484" s="4" t="s">
        <v>4435</v>
      </c>
      <c r="G484" s="2" t="s">
        <v>2107</v>
      </c>
      <c r="H484" s="7" t="s">
        <v>514</v>
      </c>
      <c r="I484" s="2" t="s">
        <v>483</v>
      </c>
      <c r="J484" s="2" t="s">
        <v>536</v>
      </c>
      <c r="K484" s="2" t="s">
        <v>304</v>
      </c>
      <c r="L484" s="2" t="s">
        <v>87</v>
      </c>
      <c r="M484" s="8" t="str">
        <f>HYPERLINK("http://slimages.macys.com/is/image/MCY/11524164 ")</f>
        <v xml:space="preserve">http://slimages.macys.com/is/image/MCY/11524164 </v>
      </c>
    </row>
    <row r="485" spans="1:13" ht="60" x14ac:dyDescent="0.25">
      <c r="A485" s="7" t="s">
        <v>4436</v>
      </c>
      <c r="B485" s="2" t="s">
        <v>4434</v>
      </c>
      <c r="C485" s="4">
        <v>1</v>
      </c>
      <c r="D485" s="5">
        <v>2.9</v>
      </c>
      <c r="E485" s="5">
        <v>7.99</v>
      </c>
      <c r="F485" s="4" t="s">
        <v>4435</v>
      </c>
      <c r="G485" s="2" t="s">
        <v>86</v>
      </c>
      <c r="H485" s="7" t="s">
        <v>1151</v>
      </c>
      <c r="I485" s="2" t="s">
        <v>483</v>
      </c>
      <c r="J485" s="2" t="s">
        <v>536</v>
      </c>
      <c r="K485" s="2" t="s">
        <v>304</v>
      </c>
      <c r="L485" s="2" t="s">
        <v>87</v>
      </c>
      <c r="M485" s="8" t="str">
        <f>HYPERLINK("http://slimages.macys.com/is/image/MCY/11524164 ")</f>
        <v xml:space="preserve">http://slimages.macys.com/is/image/MCY/11524164 </v>
      </c>
    </row>
    <row r="486" spans="1:13" ht="60" x14ac:dyDescent="0.25">
      <c r="A486" s="7" t="s">
        <v>3510</v>
      </c>
      <c r="B486" s="2" t="s">
        <v>593</v>
      </c>
      <c r="C486" s="4">
        <v>17</v>
      </c>
      <c r="D486" s="5">
        <v>2.9</v>
      </c>
      <c r="E486" s="5">
        <v>7.99</v>
      </c>
      <c r="F486" s="4" t="s">
        <v>594</v>
      </c>
      <c r="G486" s="2" t="s">
        <v>595</v>
      </c>
      <c r="H486" s="7" t="s">
        <v>1151</v>
      </c>
      <c r="I486" s="2" t="s">
        <v>483</v>
      </c>
      <c r="J486" s="2" t="s">
        <v>536</v>
      </c>
      <c r="K486" s="2" t="s">
        <v>304</v>
      </c>
      <c r="L486" s="2" t="s">
        <v>596</v>
      </c>
      <c r="M486" s="8" t="str">
        <f>HYPERLINK("http://slimages.macys.com/is/image/MCY/14885497 ")</f>
        <v xml:space="preserve">http://slimages.macys.com/is/image/MCY/14885497 </v>
      </c>
    </row>
    <row r="487" spans="1:13" ht="60" x14ac:dyDescent="0.25">
      <c r="A487" s="7" t="s">
        <v>4437</v>
      </c>
      <c r="B487" s="2" t="s">
        <v>4438</v>
      </c>
      <c r="C487" s="4">
        <v>1</v>
      </c>
      <c r="D487" s="5">
        <v>2.9</v>
      </c>
      <c r="E487" s="5">
        <v>7.99</v>
      </c>
      <c r="F487" s="4" t="s">
        <v>4439</v>
      </c>
      <c r="G487" s="2" t="s">
        <v>41</v>
      </c>
      <c r="H487" s="7" t="s">
        <v>1151</v>
      </c>
      <c r="I487" s="2" t="s">
        <v>483</v>
      </c>
      <c r="J487" s="2" t="s">
        <v>536</v>
      </c>
      <c r="K487" s="2"/>
      <c r="L487" s="2"/>
      <c r="M487" s="8" t="str">
        <f>HYPERLINK("http://slimages.macys.com/is/image/MCY/11857323 ")</f>
        <v xml:space="preserve">http://slimages.macys.com/is/image/MCY/11857323 </v>
      </c>
    </row>
    <row r="488" spans="1:13" ht="60" x14ac:dyDescent="0.25">
      <c r="A488" s="7" t="s">
        <v>4440</v>
      </c>
      <c r="B488" s="2" t="s">
        <v>4434</v>
      </c>
      <c r="C488" s="4">
        <v>2</v>
      </c>
      <c r="D488" s="5">
        <v>2.9</v>
      </c>
      <c r="E488" s="5">
        <v>7.99</v>
      </c>
      <c r="F488" s="4" t="s">
        <v>4435</v>
      </c>
      <c r="G488" s="2" t="s">
        <v>62</v>
      </c>
      <c r="H488" s="7" t="s">
        <v>514</v>
      </c>
      <c r="I488" s="2" t="s">
        <v>483</v>
      </c>
      <c r="J488" s="2" t="s">
        <v>536</v>
      </c>
      <c r="K488" s="2" t="s">
        <v>304</v>
      </c>
      <c r="L488" s="2" t="s">
        <v>87</v>
      </c>
      <c r="M488" s="8" t="str">
        <f>HYPERLINK("http://slimages.macys.com/is/image/MCY/11524164 ")</f>
        <v xml:space="preserve">http://slimages.macys.com/is/image/MCY/11524164 </v>
      </c>
    </row>
    <row r="489" spans="1:13" ht="60" x14ac:dyDescent="0.25">
      <c r="A489" s="7" t="s">
        <v>4441</v>
      </c>
      <c r="B489" s="2" t="s">
        <v>4434</v>
      </c>
      <c r="C489" s="4">
        <v>1</v>
      </c>
      <c r="D489" s="5">
        <v>2.9</v>
      </c>
      <c r="E489" s="5">
        <v>7.99</v>
      </c>
      <c r="F489" s="4" t="s">
        <v>4435</v>
      </c>
      <c r="G489" s="2" t="s">
        <v>62</v>
      </c>
      <c r="H489" s="7" t="s">
        <v>1151</v>
      </c>
      <c r="I489" s="2" t="s">
        <v>483</v>
      </c>
      <c r="J489" s="2" t="s">
        <v>536</v>
      </c>
      <c r="K489" s="2" t="s">
        <v>304</v>
      </c>
      <c r="L489" s="2" t="s">
        <v>87</v>
      </c>
      <c r="M489" s="8" t="str">
        <f>HYPERLINK("http://slimages.macys.com/is/image/MCY/11524164 ")</f>
        <v xml:space="preserve">http://slimages.macys.com/is/image/MCY/11524164 </v>
      </c>
    </row>
    <row r="490" spans="1:13" ht="60" x14ac:dyDescent="0.25">
      <c r="A490" s="7" t="s">
        <v>4442</v>
      </c>
      <c r="B490" s="2" t="s">
        <v>4434</v>
      </c>
      <c r="C490" s="4">
        <v>2</v>
      </c>
      <c r="D490" s="5">
        <v>2.9</v>
      </c>
      <c r="E490" s="5">
        <v>7.99</v>
      </c>
      <c r="F490" s="4" t="s">
        <v>4435</v>
      </c>
      <c r="G490" s="2" t="s">
        <v>2107</v>
      </c>
      <c r="H490" s="7" t="s">
        <v>578</v>
      </c>
      <c r="I490" s="2" t="s">
        <v>483</v>
      </c>
      <c r="J490" s="2" t="s">
        <v>536</v>
      </c>
      <c r="K490" s="2" t="s">
        <v>304</v>
      </c>
      <c r="L490" s="2" t="s">
        <v>87</v>
      </c>
      <c r="M490" s="8" t="str">
        <f>HYPERLINK("http://slimages.macys.com/is/image/MCY/11524164 ")</f>
        <v xml:space="preserve">http://slimages.macys.com/is/image/MCY/11524164 </v>
      </c>
    </row>
    <row r="491" spans="1:13" ht="60" x14ac:dyDescent="0.25">
      <c r="A491" s="7" t="s">
        <v>4443</v>
      </c>
      <c r="B491" s="2" t="s">
        <v>593</v>
      </c>
      <c r="C491" s="4">
        <v>11</v>
      </c>
      <c r="D491" s="5">
        <v>2.9</v>
      </c>
      <c r="E491" s="5">
        <v>7.99</v>
      </c>
      <c r="F491" s="4" t="s">
        <v>594</v>
      </c>
      <c r="G491" s="2" t="s">
        <v>595</v>
      </c>
      <c r="H491" s="7" t="s">
        <v>514</v>
      </c>
      <c r="I491" s="2" t="s">
        <v>483</v>
      </c>
      <c r="J491" s="2" t="s">
        <v>536</v>
      </c>
      <c r="K491" s="2" t="s">
        <v>304</v>
      </c>
      <c r="L491" s="2" t="s">
        <v>596</v>
      </c>
      <c r="M491" s="8" t="str">
        <f>HYPERLINK("http://slimages.macys.com/is/image/MCY/14885497 ")</f>
        <v xml:space="preserve">http://slimages.macys.com/is/image/MCY/14885497 </v>
      </c>
    </row>
    <row r="492" spans="1:13" ht="60" x14ac:dyDescent="0.25">
      <c r="A492" s="7" t="s">
        <v>4444</v>
      </c>
      <c r="B492" s="2" t="s">
        <v>4434</v>
      </c>
      <c r="C492" s="4">
        <v>5</v>
      </c>
      <c r="D492" s="5">
        <v>2.9</v>
      </c>
      <c r="E492" s="5">
        <v>7.99</v>
      </c>
      <c r="F492" s="4" t="s">
        <v>4435</v>
      </c>
      <c r="G492" s="2" t="s">
        <v>2107</v>
      </c>
      <c r="H492" s="7" t="s">
        <v>1151</v>
      </c>
      <c r="I492" s="2" t="s">
        <v>483</v>
      </c>
      <c r="J492" s="2" t="s">
        <v>536</v>
      </c>
      <c r="K492" s="2" t="s">
        <v>304</v>
      </c>
      <c r="L492" s="2" t="s">
        <v>87</v>
      </c>
      <c r="M492" s="8" t="str">
        <f>HYPERLINK("http://slimages.macys.com/is/image/MCY/11524164 ")</f>
        <v xml:space="preserve">http://slimages.macys.com/is/image/MCY/11524164 </v>
      </c>
    </row>
    <row r="493" spans="1:13" ht="60" x14ac:dyDescent="0.25">
      <c r="A493" s="7" t="s">
        <v>592</v>
      </c>
      <c r="B493" s="2" t="s">
        <v>593</v>
      </c>
      <c r="C493" s="4">
        <v>6</v>
      </c>
      <c r="D493" s="5">
        <v>2.9</v>
      </c>
      <c r="E493" s="5">
        <v>7.99</v>
      </c>
      <c r="F493" s="4" t="s">
        <v>594</v>
      </c>
      <c r="G493" s="2" t="s">
        <v>595</v>
      </c>
      <c r="H493" s="7" t="s">
        <v>578</v>
      </c>
      <c r="I493" s="2" t="s">
        <v>483</v>
      </c>
      <c r="J493" s="2" t="s">
        <v>536</v>
      </c>
      <c r="K493" s="2" t="s">
        <v>304</v>
      </c>
      <c r="L493" s="2" t="s">
        <v>596</v>
      </c>
      <c r="M493" s="8" t="str">
        <f>HYPERLINK("http://slimages.macys.com/is/image/MCY/14885497 ")</f>
        <v xml:space="preserve">http://slimages.macys.com/is/image/MCY/14885497 </v>
      </c>
    </row>
    <row r="494" spans="1:13" ht="60" x14ac:dyDescent="0.25">
      <c r="A494" s="7" t="s">
        <v>1204</v>
      </c>
      <c r="B494" s="2" t="s">
        <v>1205</v>
      </c>
      <c r="C494" s="4">
        <v>3</v>
      </c>
      <c r="D494" s="5">
        <v>2.87</v>
      </c>
      <c r="E494" s="5">
        <v>7.99</v>
      </c>
      <c r="F494" s="4" t="s">
        <v>1206</v>
      </c>
      <c r="G494" s="2" t="s">
        <v>437</v>
      </c>
      <c r="H494" s="7" t="s">
        <v>531</v>
      </c>
      <c r="I494" s="2" t="s">
        <v>483</v>
      </c>
      <c r="J494" s="2" t="s">
        <v>536</v>
      </c>
      <c r="K494" s="2" t="s">
        <v>304</v>
      </c>
      <c r="L494" s="2" t="s">
        <v>1207</v>
      </c>
      <c r="M494" s="8" t="str">
        <f>HYPERLINK("http://slimages.macys.com/is/image/MCY/12466264 ")</f>
        <v xml:space="preserve">http://slimages.macys.com/is/image/MCY/12466264 </v>
      </c>
    </row>
    <row r="495" spans="1:13" ht="108" x14ac:dyDescent="0.25">
      <c r="A495" s="7" t="s">
        <v>2200</v>
      </c>
      <c r="B495" s="2" t="s">
        <v>598</v>
      </c>
      <c r="C495" s="4">
        <v>1</v>
      </c>
      <c r="D495" s="5">
        <v>2.84</v>
      </c>
      <c r="E495" s="5">
        <v>7.99</v>
      </c>
      <c r="F495" s="4" t="s">
        <v>599</v>
      </c>
      <c r="G495" s="2" t="s">
        <v>62</v>
      </c>
      <c r="H495" s="7" t="s">
        <v>149</v>
      </c>
      <c r="I495" s="2" t="s">
        <v>483</v>
      </c>
      <c r="J495" s="2" t="s">
        <v>536</v>
      </c>
      <c r="K495" s="2" t="s">
        <v>304</v>
      </c>
      <c r="L495" s="2" t="s">
        <v>600</v>
      </c>
      <c r="M495" s="8" t="str">
        <f>HYPERLINK("http://slimages.macys.com/is/image/MCY/14384837 ")</f>
        <v xml:space="preserve">http://slimages.macys.com/is/image/MCY/14384837 </v>
      </c>
    </row>
    <row r="496" spans="1:13" ht="108" x14ac:dyDescent="0.25">
      <c r="A496" s="7" t="s">
        <v>2199</v>
      </c>
      <c r="B496" s="2" t="s">
        <v>598</v>
      </c>
      <c r="C496" s="4">
        <v>3</v>
      </c>
      <c r="D496" s="5">
        <v>2.84</v>
      </c>
      <c r="E496" s="5">
        <v>7.99</v>
      </c>
      <c r="F496" s="4" t="s">
        <v>599</v>
      </c>
      <c r="G496" s="2" t="s">
        <v>62</v>
      </c>
      <c r="H496" s="7" t="s">
        <v>590</v>
      </c>
      <c r="I496" s="2" t="s">
        <v>483</v>
      </c>
      <c r="J496" s="2" t="s">
        <v>536</v>
      </c>
      <c r="K496" s="2" t="s">
        <v>304</v>
      </c>
      <c r="L496" s="2" t="s">
        <v>600</v>
      </c>
      <c r="M496" s="8" t="str">
        <f>HYPERLINK("http://slimages.macys.com/is/image/MCY/14384837 ")</f>
        <v xml:space="preserve">http://slimages.macys.com/is/image/MCY/14384837 </v>
      </c>
    </row>
    <row r="497" spans="1:13" ht="60" x14ac:dyDescent="0.25">
      <c r="A497" s="7" t="s">
        <v>4445</v>
      </c>
      <c r="B497" s="2" t="s">
        <v>4446</v>
      </c>
      <c r="C497" s="4">
        <v>1</v>
      </c>
      <c r="D497" s="5">
        <v>2.78</v>
      </c>
      <c r="E497" s="5">
        <v>6.99</v>
      </c>
      <c r="F497" s="4" t="s">
        <v>4447</v>
      </c>
      <c r="G497" s="2" t="s">
        <v>86</v>
      </c>
      <c r="H497" s="7" t="s">
        <v>91</v>
      </c>
      <c r="I497" s="2" t="s">
        <v>483</v>
      </c>
      <c r="J497" s="2" t="s">
        <v>536</v>
      </c>
      <c r="K497" s="2" t="s">
        <v>304</v>
      </c>
      <c r="L497" s="2" t="s">
        <v>38</v>
      </c>
      <c r="M497" s="8" t="str">
        <f>HYPERLINK("http://slimages.macys.com/is/image/MCY/14630310 ")</f>
        <v xml:space="preserve">http://slimages.macys.com/is/image/MCY/14630310 </v>
      </c>
    </row>
    <row r="498" spans="1:13" ht="60" x14ac:dyDescent="0.25">
      <c r="A498" s="7" t="s">
        <v>4448</v>
      </c>
      <c r="B498" s="2" t="s">
        <v>4449</v>
      </c>
      <c r="C498" s="4">
        <v>1</v>
      </c>
      <c r="D498" s="5">
        <v>2.77</v>
      </c>
      <c r="E498" s="5">
        <v>7.99</v>
      </c>
      <c r="F498" s="4" t="s">
        <v>4450</v>
      </c>
      <c r="G498" s="2" t="s">
        <v>62</v>
      </c>
      <c r="H498" s="7" t="s">
        <v>578</v>
      </c>
      <c r="I498" s="2" t="s">
        <v>483</v>
      </c>
      <c r="J498" s="2" t="s">
        <v>536</v>
      </c>
      <c r="K498" s="2" t="s">
        <v>304</v>
      </c>
      <c r="L498" s="2" t="s">
        <v>38</v>
      </c>
      <c r="M498" s="8" t="str">
        <f>HYPERLINK("http://slimages.macys.com/is/image/MCY/13337362 ")</f>
        <v xml:space="preserve">http://slimages.macys.com/is/image/MCY/13337362 </v>
      </c>
    </row>
    <row r="499" spans="1:13" ht="60" x14ac:dyDescent="0.25">
      <c r="A499" s="7" t="s">
        <v>4451</v>
      </c>
      <c r="B499" s="2" t="s">
        <v>4449</v>
      </c>
      <c r="C499" s="4">
        <v>1</v>
      </c>
      <c r="D499" s="5">
        <v>2.77</v>
      </c>
      <c r="E499" s="5">
        <v>7.99</v>
      </c>
      <c r="F499" s="4" t="s">
        <v>4450</v>
      </c>
      <c r="G499" s="2" t="s">
        <v>62</v>
      </c>
      <c r="H499" s="7" t="s">
        <v>1151</v>
      </c>
      <c r="I499" s="2" t="s">
        <v>483</v>
      </c>
      <c r="J499" s="2" t="s">
        <v>536</v>
      </c>
      <c r="K499" s="2" t="s">
        <v>304</v>
      </c>
      <c r="L499" s="2" t="s">
        <v>38</v>
      </c>
      <c r="M499" s="8" t="str">
        <f>HYPERLINK("http://slimages.macys.com/is/image/MCY/13337362 ")</f>
        <v xml:space="preserve">http://slimages.macys.com/is/image/MCY/13337362 </v>
      </c>
    </row>
    <row r="500" spans="1:13" ht="96" x14ac:dyDescent="0.25">
      <c r="A500" s="7" t="s">
        <v>4452</v>
      </c>
      <c r="B500" s="2" t="s">
        <v>4453</v>
      </c>
      <c r="C500" s="4">
        <v>1</v>
      </c>
      <c r="D500" s="5">
        <v>2.74</v>
      </c>
      <c r="E500" s="5">
        <v>7.99</v>
      </c>
      <c r="F500" s="4" t="s">
        <v>4454</v>
      </c>
      <c r="G500" s="2" t="s">
        <v>476</v>
      </c>
      <c r="H500" s="7" t="s">
        <v>578</v>
      </c>
      <c r="I500" s="2" t="s">
        <v>483</v>
      </c>
      <c r="J500" s="2" t="s">
        <v>536</v>
      </c>
      <c r="K500" s="2" t="s">
        <v>304</v>
      </c>
      <c r="L500" s="2" t="s">
        <v>4455</v>
      </c>
      <c r="M500" s="8" t="str">
        <f>HYPERLINK("http://slimages.macys.com/is/image/MCY/12642968 ")</f>
        <v xml:space="preserve">http://slimages.macys.com/is/image/MCY/12642968 </v>
      </c>
    </row>
    <row r="501" spans="1:13" ht="60" x14ac:dyDescent="0.25">
      <c r="A501" s="7" t="s">
        <v>4456</v>
      </c>
      <c r="B501" s="2" t="s">
        <v>4457</v>
      </c>
      <c r="C501" s="4">
        <v>1</v>
      </c>
      <c r="D501" s="5">
        <v>2.71</v>
      </c>
      <c r="E501" s="5">
        <v>7.99</v>
      </c>
      <c r="F501" s="4" t="s">
        <v>4458</v>
      </c>
      <c r="G501" s="2" t="s">
        <v>36</v>
      </c>
      <c r="H501" s="7" t="s">
        <v>514</v>
      </c>
      <c r="I501" s="2" t="s">
        <v>483</v>
      </c>
      <c r="J501" s="2" t="s">
        <v>536</v>
      </c>
      <c r="K501" s="2" t="s">
        <v>304</v>
      </c>
      <c r="L501" s="2" t="s">
        <v>596</v>
      </c>
      <c r="M501" s="8" t="str">
        <f>HYPERLINK("http://slimages.macys.com/is/image/MCY/12466357 ")</f>
        <v xml:space="preserve">http://slimages.macys.com/is/image/MCY/12466357 </v>
      </c>
    </row>
    <row r="502" spans="1:13" ht="60" x14ac:dyDescent="0.25">
      <c r="A502" s="7" t="s">
        <v>4459</v>
      </c>
      <c r="B502" s="2" t="s">
        <v>4460</v>
      </c>
      <c r="C502" s="4">
        <v>1</v>
      </c>
      <c r="D502" s="5">
        <v>2.71</v>
      </c>
      <c r="E502" s="5">
        <v>7.99</v>
      </c>
      <c r="F502" s="4" t="s">
        <v>4461</v>
      </c>
      <c r="G502" s="2" t="s">
        <v>28</v>
      </c>
      <c r="H502" s="7" t="s">
        <v>578</v>
      </c>
      <c r="I502" s="2" t="s">
        <v>483</v>
      </c>
      <c r="J502" s="2" t="s">
        <v>536</v>
      </c>
      <c r="K502" s="2" t="s">
        <v>304</v>
      </c>
      <c r="L502" s="2" t="s">
        <v>119</v>
      </c>
      <c r="M502" s="8" t="str">
        <f>HYPERLINK("http://slimages.macys.com/is/image/MCY/12644507 ")</f>
        <v xml:space="preserve">http://slimages.macys.com/is/image/MCY/12644507 </v>
      </c>
    </row>
    <row r="503" spans="1:13" ht="60" x14ac:dyDescent="0.25">
      <c r="A503" s="7" t="s">
        <v>4462</v>
      </c>
      <c r="B503" s="2" t="s">
        <v>4463</v>
      </c>
      <c r="C503" s="4">
        <v>1</v>
      </c>
      <c r="D503" s="5">
        <v>2.71</v>
      </c>
      <c r="E503" s="5">
        <v>7.99</v>
      </c>
      <c r="F503" s="4" t="s">
        <v>4464</v>
      </c>
      <c r="G503" s="2" t="s">
        <v>657</v>
      </c>
      <c r="H503" s="7" t="s">
        <v>578</v>
      </c>
      <c r="I503" s="2" t="s">
        <v>483</v>
      </c>
      <c r="J503" s="2" t="s">
        <v>536</v>
      </c>
      <c r="K503" s="2" t="s">
        <v>304</v>
      </c>
      <c r="L503" s="2" t="s">
        <v>119</v>
      </c>
      <c r="M503" s="8" t="str">
        <f>HYPERLINK("http://slimages.macys.com/is/image/MCY/12462089 ")</f>
        <v xml:space="preserve">http://slimages.macys.com/is/image/MCY/12462089 </v>
      </c>
    </row>
    <row r="504" spans="1:13" ht="60" x14ac:dyDescent="0.25">
      <c r="A504" s="7" t="s">
        <v>4465</v>
      </c>
      <c r="B504" s="2" t="s">
        <v>4460</v>
      </c>
      <c r="C504" s="4">
        <v>1</v>
      </c>
      <c r="D504" s="5">
        <v>2.71</v>
      </c>
      <c r="E504" s="5">
        <v>7.99</v>
      </c>
      <c r="F504" s="4" t="s">
        <v>4461</v>
      </c>
      <c r="G504" s="2" t="s">
        <v>28</v>
      </c>
      <c r="H504" s="7" t="s">
        <v>1151</v>
      </c>
      <c r="I504" s="2" t="s">
        <v>483</v>
      </c>
      <c r="J504" s="2" t="s">
        <v>536</v>
      </c>
      <c r="K504" s="2" t="s">
        <v>304</v>
      </c>
      <c r="L504" s="2" t="s">
        <v>119</v>
      </c>
      <c r="M504" s="8" t="str">
        <f>HYPERLINK("http://slimages.macys.com/is/image/MCY/12644507 ")</f>
        <v xml:space="preserve">http://slimages.macys.com/is/image/MCY/12644507 </v>
      </c>
    </row>
    <row r="505" spans="1:13" ht="60" x14ac:dyDescent="0.25">
      <c r="A505" s="7" t="s">
        <v>4466</v>
      </c>
      <c r="B505" s="2" t="s">
        <v>4460</v>
      </c>
      <c r="C505" s="4">
        <v>2</v>
      </c>
      <c r="D505" s="5">
        <v>2.71</v>
      </c>
      <c r="E505" s="5">
        <v>7.99</v>
      </c>
      <c r="F505" s="4" t="s">
        <v>4461</v>
      </c>
      <c r="G505" s="2" t="s">
        <v>28</v>
      </c>
      <c r="H505" s="7" t="s">
        <v>514</v>
      </c>
      <c r="I505" s="2" t="s">
        <v>483</v>
      </c>
      <c r="J505" s="2" t="s">
        <v>536</v>
      </c>
      <c r="K505" s="2" t="s">
        <v>304</v>
      </c>
      <c r="L505" s="2" t="s">
        <v>119</v>
      </c>
      <c r="M505" s="8" t="str">
        <f>HYPERLINK("http://slimages.macys.com/is/image/MCY/12644507 ")</f>
        <v xml:space="preserve">http://slimages.macys.com/is/image/MCY/12644507 </v>
      </c>
    </row>
    <row r="506" spans="1:13" ht="60" x14ac:dyDescent="0.25">
      <c r="A506" s="7" t="s">
        <v>4467</v>
      </c>
      <c r="B506" s="2" t="s">
        <v>2223</v>
      </c>
      <c r="C506" s="4">
        <v>1</v>
      </c>
      <c r="D506" s="5">
        <v>2.69</v>
      </c>
      <c r="E506" s="5">
        <v>5.99</v>
      </c>
      <c r="F506" s="4" t="s">
        <v>2224</v>
      </c>
      <c r="G506" s="2" t="s">
        <v>238</v>
      </c>
      <c r="H506" s="7" t="s">
        <v>42</v>
      </c>
      <c r="I506" s="2" t="s">
        <v>483</v>
      </c>
      <c r="J506" s="2" t="s">
        <v>536</v>
      </c>
      <c r="K506" s="2" t="s">
        <v>304</v>
      </c>
      <c r="L506" s="2" t="s">
        <v>206</v>
      </c>
      <c r="M506" s="8" t="str">
        <f>HYPERLINK("http://slimages.macys.com/is/image/MCY/11436881 ")</f>
        <v xml:space="preserve">http://slimages.macys.com/is/image/MCY/11436881 </v>
      </c>
    </row>
    <row r="507" spans="1:13" ht="60" x14ac:dyDescent="0.25">
      <c r="A507" s="7" t="s">
        <v>4468</v>
      </c>
      <c r="B507" s="2" t="s">
        <v>2223</v>
      </c>
      <c r="C507" s="4">
        <v>1</v>
      </c>
      <c r="D507" s="5">
        <v>2.69</v>
      </c>
      <c r="E507" s="5">
        <v>5.99</v>
      </c>
      <c r="F507" s="4" t="s">
        <v>2224</v>
      </c>
      <c r="G507" s="2" t="s">
        <v>262</v>
      </c>
      <c r="H507" s="7" t="s">
        <v>149</v>
      </c>
      <c r="I507" s="2" t="s">
        <v>483</v>
      </c>
      <c r="J507" s="2" t="s">
        <v>536</v>
      </c>
      <c r="K507" s="2" t="s">
        <v>304</v>
      </c>
      <c r="L507" s="2" t="s">
        <v>206</v>
      </c>
      <c r="M507" s="8" t="str">
        <f>HYPERLINK("http://slimages.macys.com/is/image/MCY/11436881 ")</f>
        <v xml:space="preserve">http://slimages.macys.com/is/image/MCY/11436881 </v>
      </c>
    </row>
    <row r="508" spans="1:13" ht="60" x14ac:dyDescent="0.25">
      <c r="A508" s="7" t="s">
        <v>4469</v>
      </c>
      <c r="B508" s="2" t="s">
        <v>2223</v>
      </c>
      <c r="C508" s="4">
        <v>2</v>
      </c>
      <c r="D508" s="5">
        <v>2.69</v>
      </c>
      <c r="E508" s="5">
        <v>5.99</v>
      </c>
      <c r="F508" s="4" t="s">
        <v>2224</v>
      </c>
      <c r="G508" s="2" t="s">
        <v>437</v>
      </c>
      <c r="H508" s="7" t="s">
        <v>442</v>
      </c>
      <c r="I508" s="2" t="s">
        <v>483</v>
      </c>
      <c r="J508" s="2" t="s">
        <v>536</v>
      </c>
      <c r="K508" s="2" t="s">
        <v>304</v>
      </c>
      <c r="L508" s="2" t="s">
        <v>206</v>
      </c>
      <c r="M508" s="8" t="str">
        <f>HYPERLINK("http://slimages.macys.com/is/image/MCY/11436881 ")</f>
        <v xml:space="preserve">http://slimages.macys.com/is/image/MCY/11436881 </v>
      </c>
    </row>
    <row r="509" spans="1:13" ht="60" x14ac:dyDescent="0.25">
      <c r="A509" s="7" t="s">
        <v>4470</v>
      </c>
      <c r="B509" s="2" t="s">
        <v>2223</v>
      </c>
      <c r="C509" s="4">
        <v>1</v>
      </c>
      <c r="D509" s="5">
        <v>2.69</v>
      </c>
      <c r="E509" s="5">
        <v>5.99</v>
      </c>
      <c r="F509" s="4" t="s">
        <v>2224</v>
      </c>
      <c r="G509" s="2" t="s">
        <v>437</v>
      </c>
      <c r="H509" s="7" t="s">
        <v>590</v>
      </c>
      <c r="I509" s="2" t="s">
        <v>483</v>
      </c>
      <c r="J509" s="2" t="s">
        <v>536</v>
      </c>
      <c r="K509" s="2" t="s">
        <v>304</v>
      </c>
      <c r="L509" s="2" t="s">
        <v>206</v>
      </c>
      <c r="M509" s="8" t="str">
        <f>HYPERLINK("http://slimages.macys.com/is/image/MCY/11436881 ")</f>
        <v xml:space="preserve">http://slimages.macys.com/is/image/MCY/11436881 </v>
      </c>
    </row>
    <row r="510" spans="1:13" ht="60" x14ac:dyDescent="0.25">
      <c r="A510" s="7" t="s">
        <v>4471</v>
      </c>
      <c r="B510" s="2" t="s">
        <v>4472</v>
      </c>
      <c r="C510" s="4">
        <v>1</v>
      </c>
      <c r="D510" s="5">
        <v>2.68</v>
      </c>
      <c r="E510" s="5">
        <v>7.99</v>
      </c>
      <c r="F510" s="4" t="s">
        <v>4473</v>
      </c>
      <c r="G510" s="2" t="s">
        <v>62</v>
      </c>
      <c r="H510" s="7" t="s">
        <v>578</v>
      </c>
      <c r="I510" s="2" t="s">
        <v>483</v>
      </c>
      <c r="J510" s="2" t="s">
        <v>536</v>
      </c>
      <c r="K510" s="2" t="s">
        <v>304</v>
      </c>
      <c r="L510" s="2" t="s">
        <v>100</v>
      </c>
      <c r="M510" s="8" t="str">
        <f>HYPERLINK("http://slimages.macys.com/is/image/MCY/12463166 ")</f>
        <v xml:space="preserve">http://slimages.macys.com/is/image/MCY/12463166 </v>
      </c>
    </row>
    <row r="511" spans="1:13" ht="60" x14ac:dyDescent="0.25">
      <c r="A511" s="7" t="s">
        <v>1232</v>
      </c>
      <c r="B511" s="2" t="s">
        <v>1233</v>
      </c>
      <c r="C511" s="4">
        <v>1</v>
      </c>
      <c r="D511" s="5">
        <v>2.67</v>
      </c>
      <c r="E511" s="5">
        <v>6.99</v>
      </c>
      <c r="F511" s="4" t="s">
        <v>1234</v>
      </c>
      <c r="G511" s="2" t="s">
        <v>171</v>
      </c>
      <c r="H511" s="7" t="s">
        <v>590</v>
      </c>
      <c r="I511" s="2" t="s">
        <v>483</v>
      </c>
      <c r="J511" s="2" t="s">
        <v>536</v>
      </c>
      <c r="K511" s="2" t="s">
        <v>304</v>
      </c>
      <c r="L511" s="2" t="s">
        <v>119</v>
      </c>
      <c r="M511" s="8" t="str">
        <f>HYPERLINK("http://slimages.macys.com/is/image/MCY/12646582 ")</f>
        <v xml:space="preserve">http://slimages.macys.com/is/image/MCY/12646582 </v>
      </c>
    </row>
    <row r="512" spans="1:13" ht="60" x14ac:dyDescent="0.25">
      <c r="A512" s="7" t="s">
        <v>4474</v>
      </c>
      <c r="B512" s="2" t="s">
        <v>2235</v>
      </c>
      <c r="C512" s="4">
        <v>2</v>
      </c>
      <c r="D512" s="5">
        <v>2.67</v>
      </c>
      <c r="E512" s="5">
        <v>6.99</v>
      </c>
      <c r="F512" s="4" t="s">
        <v>2236</v>
      </c>
      <c r="G512" s="2" t="s">
        <v>297</v>
      </c>
      <c r="H512" s="7" t="s">
        <v>442</v>
      </c>
      <c r="I512" s="2" t="s">
        <v>483</v>
      </c>
      <c r="J512" s="2" t="s">
        <v>536</v>
      </c>
      <c r="K512" s="2" t="s">
        <v>304</v>
      </c>
      <c r="L512" s="2" t="s">
        <v>119</v>
      </c>
      <c r="M512" s="8" t="str">
        <f>HYPERLINK("http://slimages.macys.com/is/image/MCY/11434962 ")</f>
        <v xml:space="preserve">http://slimages.macys.com/is/image/MCY/11434962 </v>
      </c>
    </row>
    <row r="513" spans="1:13" ht="60" x14ac:dyDescent="0.25">
      <c r="A513" s="7" t="s">
        <v>4475</v>
      </c>
      <c r="B513" s="2" t="s">
        <v>4476</v>
      </c>
      <c r="C513" s="4">
        <v>3</v>
      </c>
      <c r="D513" s="5">
        <v>2.67</v>
      </c>
      <c r="E513" s="5">
        <v>6.99</v>
      </c>
      <c r="F513" s="4" t="s">
        <v>4477</v>
      </c>
      <c r="G513" s="2" t="s">
        <v>297</v>
      </c>
      <c r="H513" s="7" t="s">
        <v>590</v>
      </c>
      <c r="I513" s="2" t="s">
        <v>483</v>
      </c>
      <c r="J513" s="2" t="s">
        <v>536</v>
      </c>
      <c r="K513" s="2" t="s">
        <v>304</v>
      </c>
      <c r="L513" s="2" t="s">
        <v>119</v>
      </c>
      <c r="M513" s="8" t="str">
        <f>HYPERLINK("http://slimages.macys.com/is/image/MCY/12465952 ")</f>
        <v xml:space="preserve">http://slimages.macys.com/is/image/MCY/12465952 </v>
      </c>
    </row>
    <row r="514" spans="1:13" ht="84" x14ac:dyDescent="0.25">
      <c r="A514" s="7" t="s">
        <v>2238</v>
      </c>
      <c r="B514" s="2" t="s">
        <v>2228</v>
      </c>
      <c r="C514" s="4">
        <v>1</v>
      </c>
      <c r="D514" s="5">
        <v>2.67</v>
      </c>
      <c r="E514" s="5">
        <v>7.99</v>
      </c>
      <c r="F514" s="4" t="s">
        <v>2229</v>
      </c>
      <c r="G514" s="2" t="s">
        <v>527</v>
      </c>
      <c r="H514" s="7" t="s">
        <v>590</v>
      </c>
      <c r="I514" s="2" t="s">
        <v>483</v>
      </c>
      <c r="J514" s="2" t="s">
        <v>536</v>
      </c>
      <c r="K514" s="2" t="s">
        <v>304</v>
      </c>
      <c r="L514" s="2" t="s">
        <v>2230</v>
      </c>
      <c r="M514" s="8" t="str">
        <f>HYPERLINK("http://slimages.macys.com/is/image/MCY/14385110 ")</f>
        <v xml:space="preserve">http://slimages.macys.com/is/image/MCY/14385110 </v>
      </c>
    </row>
    <row r="515" spans="1:13" ht="60" x14ac:dyDescent="0.25">
      <c r="A515" s="7" t="s">
        <v>4478</v>
      </c>
      <c r="B515" s="2" t="s">
        <v>4479</v>
      </c>
      <c r="C515" s="4">
        <v>1</v>
      </c>
      <c r="D515" s="5">
        <v>2.67</v>
      </c>
      <c r="E515" s="5">
        <v>6.99</v>
      </c>
      <c r="F515" s="4" t="s">
        <v>4480</v>
      </c>
      <c r="G515" s="2" t="s">
        <v>195</v>
      </c>
      <c r="H515" s="7"/>
      <c r="I515" s="2" t="s">
        <v>483</v>
      </c>
      <c r="J515" s="2" t="s">
        <v>536</v>
      </c>
      <c r="K515" s="2" t="s">
        <v>304</v>
      </c>
      <c r="L515" s="2" t="s">
        <v>38</v>
      </c>
      <c r="M515" s="8" t="str">
        <f>HYPERLINK("http://slimages.macys.com/is/image/MCY/12465793 ")</f>
        <v xml:space="preserve">http://slimages.macys.com/is/image/MCY/12465793 </v>
      </c>
    </row>
    <row r="516" spans="1:13" ht="60" x14ac:dyDescent="0.25">
      <c r="A516" s="7" t="s">
        <v>4481</v>
      </c>
      <c r="B516" s="2" t="s">
        <v>4482</v>
      </c>
      <c r="C516" s="4">
        <v>1</v>
      </c>
      <c r="D516" s="5">
        <v>2.67</v>
      </c>
      <c r="E516" s="5">
        <v>7.99</v>
      </c>
      <c r="F516" s="4" t="s">
        <v>4483</v>
      </c>
      <c r="G516" s="2" t="s">
        <v>28</v>
      </c>
      <c r="H516" s="7" t="s">
        <v>1151</v>
      </c>
      <c r="I516" s="2" t="s">
        <v>483</v>
      </c>
      <c r="J516" s="2" t="s">
        <v>536</v>
      </c>
      <c r="K516" s="2" t="s">
        <v>304</v>
      </c>
      <c r="L516" s="2" t="s">
        <v>596</v>
      </c>
      <c r="M516" s="8" t="str">
        <f>HYPERLINK("http://slimages.macys.com/is/image/MCY/11378202 ")</f>
        <v xml:space="preserve">http://slimages.macys.com/is/image/MCY/11378202 </v>
      </c>
    </row>
    <row r="517" spans="1:13" ht="84" x14ac:dyDescent="0.25">
      <c r="A517" s="7" t="s">
        <v>2227</v>
      </c>
      <c r="B517" s="2" t="s">
        <v>2228</v>
      </c>
      <c r="C517" s="4">
        <v>1</v>
      </c>
      <c r="D517" s="5">
        <v>2.67</v>
      </c>
      <c r="E517" s="5">
        <v>7.99</v>
      </c>
      <c r="F517" s="4" t="s">
        <v>2229</v>
      </c>
      <c r="G517" s="2" t="s">
        <v>527</v>
      </c>
      <c r="H517" s="7" t="s">
        <v>149</v>
      </c>
      <c r="I517" s="2" t="s">
        <v>483</v>
      </c>
      <c r="J517" s="2" t="s">
        <v>536</v>
      </c>
      <c r="K517" s="2" t="s">
        <v>304</v>
      </c>
      <c r="L517" s="2" t="s">
        <v>2230</v>
      </c>
      <c r="M517" s="8" t="str">
        <f>HYPERLINK("http://slimages.macys.com/is/image/MCY/14385110 ")</f>
        <v xml:space="preserve">http://slimages.macys.com/is/image/MCY/14385110 </v>
      </c>
    </row>
    <row r="518" spans="1:13" ht="84" x14ac:dyDescent="0.25">
      <c r="A518" s="7" t="s">
        <v>4484</v>
      </c>
      <c r="B518" s="2" t="s">
        <v>2228</v>
      </c>
      <c r="C518" s="4">
        <v>1</v>
      </c>
      <c r="D518" s="5">
        <v>2.67</v>
      </c>
      <c r="E518" s="5">
        <v>7.99</v>
      </c>
      <c r="F518" s="4" t="s">
        <v>2229</v>
      </c>
      <c r="G518" s="2" t="s">
        <v>527</v>
      </c>
      <c r="H518" s="7" t="s">
        <v>91</v>
      </c>
      <c r="I518" s="2" t="s">
        <v>483</v>
      </c>
      <c r="J518" s="2" t="s">
        <v>536</v>
      </c>
      <c r="K518" s="2" t="s">
        <v>304</v>
      </c>
      <c r="L518" s="2" t="s">
        <v>2230</v>
      </c>
      <c r="M518" s="8" t="str">
        <f>HYPERLINK("http://slimages.macys.com/is/image/MCY/14385110 ")</f>
        <v xml:space="preserve">http://slimages.macys.com/is/image/MCY/14385110 </v>
      </c>
    </row>
    <row r="519" spans="1:13" ht="60" x14ac:dyDescent="0.25">
      <c r="A519" s="7" t="s">
        <v>4485</v>
      </c>
      <c r="B519" s="2" t="s">
        <v>4486</v>
      </c>
      <c r="C519" s="4">
        <v>2</v>
      </c>
      <c r="D519" s="5">
        <v>2.65</v>
      </c>
      <c r="E519" s="5">
        <v>7.99</v>
      </c>
      <c r="F519" s="4" t="s">
        <v>4487</v>
      </c>
      <c r="G519" s="2" t="s">
        <v>28</v>
      </c>
      <c r="H519" s="7" t="s">
        <v>1151</v>
      </c>
      <c r="I519" s="2" t="s">
        <v>483</v>
      </c>
      <c r="J519" s="2" t="s">
        <v>536</v>
      </c>
      <c r="K519" s="2" t="s">
        <v>304</v>
      </c>
      <c r="L519" s="2" t="s">
        <v>38</v>
      </c>
      <c r="M519" s="8" t="str">
        <f>HYPERLINK("http://slimages.macys.com/is/image/MCY/11857610 ")</f>
        <v xml:space="preserve">http://slimages.macys.com/is/image/MCY/11857610 </v>
      </c>
    </row>
    <row r="520" spans="1:13" ht="60" x14ac:dyDescent="0.25">
      <c r="A520" s="7" t="s">
        <v>4488</v>
      </c>
      <c r="B520" s="2" t="s">
        <v>4489</v>
      </c>
      <c r="C520" s="4">
        <v>2</v>
      </c>
      <c r="D520" s="5">
        <v>2.65</v>
      </c>
      <c r="E520" s="5">
        <v>7.99</v>
      </c>
      <c r="F520" s="4" t="s">
        <v>4490</v>
      </c>
      <c r="G520" s="2" t="s">
        <v>41</v>
      </c>
      <c r="H520" s="7" t="s">
        <v>578</v>
      </c>
      <c r="I520" s="2" t="s">
        <v>483</v>
      </c>
      <c r="J520" s="2" t="s">
        <v>536</v>
      </c>
      <c r="K520" s="2" t="s">
        <v>304</v>
      </c>
      <c r="L520" s="2" t="s">
        <v>206</v>
      </c>
      <c r="M520" s="8" t="str">
        <f>HYPERLINK("http://slimages.macys.com/is/image/MCY/11857322 ")</f>
        <v xml:space="preserve">http://slimages.macys.com/is/image/MCY/11857322 </v>
      </c>
    </row>
    <row r="521" spans="1:13" ht="108" x14ac:dyDescent="0.25">
      <c r="A521" s="7" t="s">
        <v>4491</v>
      </c>
      <c r="B521" s="2" t="s">
        <v>4492</v>
      </c>
      <c r="C521" s="4">
        <v>1</v>
      </c>
      <c r="D521" s="5">
        <v>2.64</v>
      </c>
      <c r="E521" s="5">
        <v>6.99</v>
      </c>
      <c r="F521" s="4">
        <v>10004350100</v>
      </c>
      <c r="G521" s="2" t="s">
        <v>134</v>
      </c>
      <c r="H521" s="7" t="s">
        <v>604</v>
      </c>
      <c r="I521" s="2" t="s">
        <v>483</v>
      </c>
      <c r="J521" s="2" t="s">
        <v>536</v>
      </c>
      <c r="K521" s="2" t="s">
        <v>304</v>
      </c>
      <c r="L521" s="2" t="s">
        <v>4493</v>
      </c>
      <c r="M521" s="8" t="str">
        <f>HYPERLINK("http://slimages.macys.com/is/image/MCY/11437061 ")</f>
        <v xml:space="preserve">http://slimages.macys.com/is/image/MCY/11437061 </v>
      </c>
    </row>
    <row r="522" spans="1:13" ht="60" x14ac:dyDescent="0.25">
      <c r="A522" s="7" t="s">
        <v>4494</v>
      </c>
      <c r="B522" s="2" t="s">
        <v>4495</v>
      </c>
      <c r="C522" s="4">
        <v>1</v>
      </c>
      <c r="D522" s="5">
        <v>2.63</v>
      </c>
      <c r="E522" s="5">
        <v>5.99</v>
      </c>
      <c r="F522" s="4" t="s">
        <v>4496</v>
      </c>
      <c r="G522" s="2" t="s">
        <v>1147</v>
      </c>
      <c r="H522" s="7" t="s">
        <v>149</v>
      </c>
      <c r="I522" s="2" t="s">
        <v>483</v>
      </c>
      <c r="J522" s="2" t="s">
        <v>536</v>
      </c>
      <c r="K522" s="2" t="s">
        <v>304</v>
      </c>
      <c r="L522" s="2" t="s">
        <v>206</v>
      </c>
      <c r="M522" s="8" t="str">
        <f>HYPERLINK("http://slimages.macys.com/is/image/MCY/11709478 ")</f>
        <v xml:space="preserve">http://slimages.macys.com/is/image/MCY/11709478 </v>
      </c>
    </row>
    <row r="523" spans="1:13" ht="60" x14ac:dyDescent="0.25">
      <c r="A523" s="7" t="s">
        <v>4497</v>
      </c>
      <c r="B523" s="2" t="s">
        <v>4498</v>
      </c>
      <c r="C523" s="4">
        <v>2</v>
      </c>
      <c r="D523" s="5">
        <v>2.63</v>
      </c>
      <c r="E523" s="5">
        <v>7.99</v>
      </c>
      <c r="F523" s="4" t="s">
        <v>4499</v>
      </c>
      <c r="G523" s="2" t="s">
        <v>28</v>
      </c>
      <c r="H523" s="7" t="s">
        <v>514</v>
      </c>
      <c r="I523" s="2" t="s">
        <v>483</v>
      </c>
      <c r="J523" s="2" t="s">
        <v>536</v>
      </c>
      <c r="K523" s="2" t="s">
        <v>304</v>
      </c>
      <c r="L523" s="2" t="s">
        <v>119</v>
      </c>
      <c r="M523" s="8" t="str">
        <f>HYPERLINK("http://slimages.macys.com/is/image/MCY/12462743 ")</f>
        <v xml:space="preserve">http://slimages.macys.com/is/image/MCY/12462743 </v>
      </c>
    </row>
    <row r="524" spans="1:13" ht="60" x14ac:dyDescent="0.25">
      <c r="A524" s="7" t="s">
        <v>4500</v>
      </c>
      <c r="B524" s="2" t="s">
        <v>4501</v>
      </c>
      <c r="C524" s="4">
        <v>1</v>
      </c>
      <c r="D524" s="5">
        <v>2.63</v>
      </c>
      <c r="E524" s="5">
        <v>7.99</v>
      </c>
      <c r="F524" s="4" t="s">
        <v>4502</v>
      </c>
      <c r="G524" s="2" t="s">
        <v>353</v>
      </c>
      <c r="H524" s="7" t="s">
        <v>578</v>
      </c>
      <c r="I524" s="2" t="s">
        <v>483</v>
      </c>
      <c r="J524" s="2" t="s">
        <v>536</v>
      </c>
      <c r="K524" s="2"/>
      <c r="L524" s="2"/>
      <c r="M524" s="8" t="str">
        <f>HYPERLINK("http://slimages.macys.com/is/image/MCY/12239826 ")</f>
        <v xml:space="preserve">http://slimages.macys.com/is/image/MCY/12239826 </v>
      </c>
    </row>
    <row r="525" spans="1:13" ht="60" x14ac:dyDescent="0.25">
      <c r="A525" s="7" t="s">
        <v>4503</v>
      </c>
      <c r="B525" s="2" t="s">
        <v>607</v>
      </c>
      <c r="C525" s="4">
        <v>5</v>
      </c>
      <c r="D525" s="5">
        <v>2.62</v>
      </c>
      <c r="E525" s="5">
        <v>6.99</v>
      </c>
      <c r="F525" s="4" t="s">
        <v>608</v>
      </c>
      <c r="G525" s="2" t="s">
        <v>41</v>
      </c>
      <c r="H525" s="7" t="s">
        <v>590</v>
      </c>
      <c r="I525" s="2" t="s">
        <v>483</v>
      </c>
      <c r="J525" s="2" t="s">
        <v>536</v>
      </c>
      <c r="K525" s="2" t="s">
        <v>304</v>
      </c>
      <c r="L525" s="2" t="s">
        <v>100</v>
      </c>
      <c r="M525" s="8" t="str">
        <f>HYPERLINK("http://slimages.macys.com/is/image/MCY/13336572 ")</f>
        <v xml:space="preserve">http://slimages.macys.com/is/image/MCY/13336572 </v>
      </c>
    </row>
    <row r="526" spans="1:13" ht="60" x14ac:dyDescent="0.25">
      <c r="A526" s="7" t="s">
        <v>4504</v>
      </c>
      <c r="B526" s="2" t="s">
        <v>607</v>
      </c>
      <c r="C526" s="4">
        <v>7</v>
      </c>
      <c r="D526" s="5">
        <v>2.62</v>
      </c>
      <c r="E526" s="5">
        <v>6.99</v>
      </c>
      <c r="F526" s="4" t="s">
        <v>608</v>
      </c>
      <c r="G526" s="2" t="s">
        <v>41</v>
      </c>
      <c r="H526" s="7" t="s">
        <v>149</v>
      </c>
      <c r="I526" s="2" t="s">
        <v>483</v>
      </c>
      <c r="J526" s="2" t="s">
        <v>536</v>
      </c>
      <c r="K526" s="2" t="s">
        <v>304</v>
      </c>
      <c r="L526" s="2" t="s">
        <v>100</v>
      </c>
      <c r="M526" s="8" t="str">
        <f>HYPERLINK("http://slimages.macys.com/is/image/MCY/13336572 ")</f>
        <v xml:space="preserve">http://slimages.macys.com/is/image/MCY/13336572 </v>
      </c>
    </row>
    <row r="527" spans="1:13" ht="60" x14ac:dyDescent="0.25">
      <c r="A527" s="7" t="s">
        <v>4505</v>
      </c>
      <c r="B527" s="2" t="s">
        <v>607</v>
      </c>
      <c r="C527" s="4">
        <v>3</v>
      </c>
      <c r="D527" s="5">
        <v>2.62</v>
      </c>
      <c r="E527" s="5">
        <v>6.99</v>
      </c>
      <c r="F527" s="4" t="s">
        <v>608</v>
      </c>
      <c r="G527" s="2" t="s">
        <v>41</v>
      </c>
      <c r="H527" s="7" t="s">
        <v>442</v>
      </c>
      <c r="I527" s="2" t="s">
        <v>483</v>
      </c>
      <c r="J527" s="2" t="s">
        <v>536</v>
      </c>
      <c r="K527" s="2" t="s">
        <v>304</v>
      </c>
      <c r="L527" s="2" t="s">
        <v>100</v>
      </c>
      <c r="M527" s="8" t="str">
        <f>HYPERLINK("http://slimages.macys.com/is/image/MCY/13336572 ")</f>
        <v xml:space="preserve">http://slimages.macys.com/is/image/MCY/13336572 </v>
      </c>
    </row>
    <row r="528" spans="1:13" ht="60" x14ac:dyDescent="0.25">
      <c r="A528" s="7" t="s">
        <v>2265</v>
      </c>
      <c r="B528" s="2" t="s">
        <v>2261</v>
      </c>
      <c r="C528" s="4">
        <v>1</v>
      </c>
      <c r="D528" s="5">
        <v>2.62</v>
      </c>
      <c r="E528" s="5">
        <v>5.99</v>
      </c>
      <c r="F528" s="4" t="s">
        <v>2262</v>
      </c>
      <c r="G528" s="2" t="s">
        <v>858</v>
      </c>
      <c r="H528" s="7" t="s">
        <v>442</v>
      </c>
      <c r="I528" s="2" t="s">
        <v>483</v>
      </c>
      <c r="J528" s="2" t="s">
        <v>536</v>
      </c>
      <c r="K528" s="2" t="s">
        <v>304</v>
      </c>
      <c r="L528" s="2" t="s">
        <v>119</v>
      </c>
      <c r="M528" s="8" t="str">
        <f>HYPERLINK("http://slimages.macys.com/is/image/MCY/12644569 ")</f>
        <v xml:space="preserve">http://slimages.macys.com/is/image/MCY/12644569 </v>
      </c>
    </row>
    <row r="529" spans="1:13" ht="60" x14ac:dyDescent="0.25">
      <c r="A529" s="7" t="s">
        <v>4506</v>
      </c>
      <c r="B529" s="2" t="s">
        <v>2258</v>
      </c>
      <c r="C529" s="4">
        <v>1</v>
      </c>
      <c r="D529" s="5">
        <v>2.62</v>
      </c>
      <c r="E529" s="5">
        <v>7.99</v>
      </c>
      <c r="F529" s="4" t="s">
        <v>2259</v>
      </c>
      <c r="G529" s="2" t="s">
        <v>134</v>
      </c>
      <c r="H529" s="7" t="s">
        <v>1151</v>
      </c>
      <c r="I529" s="2" t="s">
        <v>483</v>
      </c>
      <c r="J529" s="2" t="s">
        <v>536</v>
      </c>
      <c r="K529" s="2" t="s">
        <v>304</v>
      </c>
      <c r="L529" s="2" t="s">
        <v>119</v>
      </c>
      <c r="M529" s="8" t="str">
        <f>HYPERLINK("http://slimages.macys.com/is/image/MCY/12642166 ")</f>
        <v xml:space="preserve">http://slimages.macys.com/is/image/MCY/12642166 </v>
      </c>
    </row>
    <row r="530" spans="1:13" ht="60" x14ac:dyDescent="0.25">
      <c r="A530" s="7" t="s">
        <v>4507</v>
      </c>
      <c r="B530" s="2" t="s">
        <v>4508</v>
      </c>
      <c r="C530" s="4">
        <v>1</v>
      </c>
      <c r="D530" s="5">
        <v>2.62</v>
      </c>
      <c r="E530" s="5">
        <v>7.99</v>
      </c>
      <c r="F530" s="4" t="s">
        <v>4509</v>
      </c>
      <c r="G530" s="2" t="s">
        <v>353</v>
      </c>
      <c r="H530" s="7" t="s">
        <v>578</v>
      </c>
      <c r="I530" s="2" t="s">
        <v>483</v>
      </c>
      <c r="J530" s="2" t="s">
        <v>536</v>
      </c>
      <c r="K530" s="2" t="s">
        <v>304</v>
      </c>
      <c r="L530" s="2" t="s">
        <v>38</v>
      </c>
      <c r="M530" s="8" t="str">
        <f>HYPERLINK("http://slimages.macys.com/is/image/MCY/12644528 ")</f>
        <v xml:space="preserve">http://slimages.macys.com/is/image/MCY/12644528 </v>
      </c>
    </row>
    <row r="531" spans="1:13" ht="60" x14ac:dyDescent="0.25">
      <c r="A531" s="7" t="s">
        <v>1238</v>
      </c>
      <c r="B531" s="2" t="s">
        <v>607</v>
      </c>
      <c r="C531" s="4">
        <v>3</v>
      </c>
      <c r="D531" s="5">
        <v>2.62</v>
      </c>
      <c r="E531" s="5">
        <v>6.99</v>
      </c>
      <c r="F531" s="4" t="s">
        <v>608</v>
      </c>
      <c r="G531" s="2" t="s">
        <v>41</v>
      </c>
      <c r="H531" s="7" t="s">
        <v>91</v>
      </c>
      <c r="I531" s="2" t="s">
        <v>483</v>
      </c>
      <c r="J531" s="2" t="s">
        <v>536</v>
      </c>
      <c r="K531" s="2" t="s">
        <v>304</v>
      </c>
      <c r="L531" s="2" t="s">
        <v>100</v>
      </c>
      <c r="M531" s="8" t="str">
        <f>HYPERLINK("http://slimages.macys.com/is/image/MCY/13336572 ")</f>
        <v xml:space="preserve">http://slimages.macys.com/is/image/MCY/13336572 </v>
      </c>
    </row>
    <row r="532" spans="1:13" ht="60" x14ac:dyDescent="0.25">
      <c r="A532" s="7" t="s">
        <v>2268</v>
      </c>
      <c r="B532" s="2" t="s">
        <v>2254</v>
      </c>
      <c r="C532" s="4">
        <v>1</v>
      </c>
      <c r="D532" s="5">
        <v>2.62</v>
      </c>
      <c r="E532" s="5">
        <v>5.99</v>
      </c>
      <c r="F532" s="4" t="s">
        <v>2255</v>
      </c>
      <c r="G532" s="2" t="s">
        <v>657</v>
      </c>
      <c r="H532" s="7" t="s">
        <v>91</v>
      </c>
      <c r="I532" s="2" t="s">
        <v>483</v>
      </c>
      <c r="J532" s="2" t="s">
        <v>536</v>
      </c>
      <c r="K532" s="2" t="s">
        <v>304</v>
      </c>
      <c r="L532" s="2" t="s">
        <v>119</v>
      </c>
      <c r="M532" s="8" t="str">
        <f>HYPERLINK("http://slimages.macys.com/is/image/MCY/12644604 ")</f>
        <v xml:space="preserve">http://slimages.macys.com/is/image/MCY/12644604 </v>
      </c>
    </row>
    <row r="533" spans="1:13" ht="60" x14ac:dyDescent="0.25">
      <c r="A533" s="7" t="s">
        <v>2266</v>
      </c>
      <c r="B533" s="2" t="s">
        <v>2254</v>
      </c>
      <c r="C533" s="4">
        <v>1</v>
      </c>
      <c r="D533" s="5">
        <v>2.62</v>
      </c>
      <c r="E533" s="5">
        <v>5.99</v>
      </c>
      <c r="F533" s="4" t="s">
        <v>2255</v>
      </c>
      <c r="G533" s="2" t="s">
        <v>657</v>
      </c>
      <c r="H533" s="7" t="s">
        <v>442</v>
      </c>
      <c r="I533" s="2" t="s">
        <v>483</v>
      </c>
      <c r="J533" s="2" t="s">
        <v>536</v>
      </c>
      <c r="K533" s="2" t="s">
        <v>304</v>
      </c>
      <c r="L533" s="2" t="s">
        <v>119</v>
      </c>
      <c r="M533" s="8" t="str">
        <f>HYPERLINK("http://slimages.macys.com/is/image/MCY/12644604 ")</f>
        <v xml:space="preserve">http://slimages.macys.com/is/image/MCY/12644604 </v>
      </c>
    </row>
    <row r="534" spans="1:13" ht="60" x14ac:dyDescent="0.25">
      <c r="A534" s="7" t="s">
        <v>606</v>
      </c>
      <c r="B534" s="2" t="s">
        <v>607</v>
      </c>
      <c r="C534" s="4">
        <v>3</v>
      </c>
      <c r="D534" s="5">
        <v>2.62</v>
      </c>
      <c r="E534" s="5">
        <v>6.99</v>
      </c>
      <c r="F534" s="4" t="s">
        <v>608</v>
      </c>
      <c r="G534" s="2" t="s">
        <v>41</v>
      </c>
      <c r="H534" s="7" t="s">
        <v>42</v>
      </c>
      <c r="I534" s="2" t="s">
        <v>483</v>
      </c>
      <c r="J534" s="2" t="s">
        <v>536</v>
      </c>
      <c r="K534" s="2" t="s">
        <v>304</v>
      </c>
      <c r="L534" s="2" t="s">
        <v>100</v>
      </c>
      <c r="M534" s="8" t="str">
        <f>HYPERLINK("http://slimages.macys.com/is/image/MCY/13336572 ")</f>
        <v xml:space="preserve">http://slimages.macys.com/is/image/MCY/13336572 </v>
      </c>
    </row>
    <row r="535" spans="1:13" ht="60" x14ac:dyDescent="0.25">
      <c r="A535" s="7" t="s">
        <v>4510</v>
      </c>
      <c r="B535" s="2" t="s">
        <v>4511</v>
      </c>
      <c r="C535" s="4">
        <v>5</v>
      </c>
      <c r="D535" s="5">
        <v>2.61</v>
      </c>
      <c r="E535" s="5">
        <v>7.99</v>
      </c>
      <c r="F535" s="4" t="s">
        <v>4512</v>
      </c>
      <c r="G535" s="2" t="s">
        <v>41</v>
      </c>
      <c r="H535" s="7" t="s">
        <v>514</v>
      </c>
      <c r="I535" s="2" t="s">
        <v>483</v>
      </c>
      <c r="J535" s="2" t="s">
        <v>536</v>
      </c>
      <c r="K535" s="2" t="s">
        <v>304</v>
      </c>
      <c r="L535" s="2" t="s">
        <v>87</v>
      </c>
      <c r="M535" s="8" t="str">
        <f>HYPERLINK("http://slimages.macys.com/is/image/MCY/12466281 ")</f>
        <v xml:space="preserve">http://slimages.macys.com/is/image/MCY/12466281 </v>
      </c>
    </row>
    <row r="536" spans="1:13" ht="60" x14ac:dyDescent="0.25">
      <c r="A536" s="7" t="s">
        <v>4513</v>
      </c>
      <c r="B536" s="2" t="s">
        <v>4511</v>
      </c>
      <c r="C536" s="4">
        <v>1</v>
      </c>
      <c r="D536" s="5">
        <v>2.61</v>
      </c>
      <c r="E536" s="5">
        <v>7.99</v>
      </c>
      <c r="F536" s="4" t="s">
        <v>4512</v>
      </c>
      <c r="G536" s="2" t="s">
        <v>41</v>
      </c>
      <c r="H536" s="7" t="s">
        <v>578</v>
      </c>
      <c r="I536" s="2" t="s">
        <v>483</v>
      </c>
      <c r="J536" s="2" t="s">
        <v>536</v>
      </c>
      <c r="K536" s="2" t="s">
        <v>304</v>
      </c>
      <c r="L536" s="2" t="s">
        <v>87</v>
      </c>
      <c r="M536" s="8" t="str">
        <f>HYPERLINK("http://slimages.macys.com/is/image/MCY/12466281 ")</f>
        <v xml:space="preserve">http://slimages.macys.com/is/image/MCY/12466281 </v>
      </c>
    </row>
    <row r="537" spans="1:13" ht="60" x14ac:dyDescent="0.25">
      <c r="A537" s="7" t="s">
        <v>4514</v>
      </c>
      <c r="B537" s="2" t="s">
        <v>4515</v>
      </c>
      <c r="C537" s="4">
        <v>1</v>
      </c>
      <c r="D537" s="5">
        <v>2.61</v>
      </c>
      <c r="E537" s="5">
        <v>7.99</v>
      </c>
      <c r="F537" s="4" t="s">
        <v>4516</v>
      </c>
      <c r="G537" s="2" t="s">
        <v>41</v>
      </c>
      <c r="H537" s="7" t="s">
        <v>578</v>
      </c>
      <c r="I537" s="2" t="s">
        <v>483</v>
      </c>
      <c r="J537" s="2" t="s">
        <v>536</v>
      </c>
      <c r="K537" s="2" t="s">
        <v>304</v>
      </c>
      <c r="L537" s="2" t="s">
        <v>38</v>
      </c>
      <c r="M537" s="8" t="str">
        <f>HYPERLINK("http://slimages.macys.com/is/image/MCY/12466263 ")</f>
        <v xml:space="preserve">http://slimages.macys.com/is/image/MCY/12466263 </v>
      </c>
    </row>
    <row r="538" spans="1:13" ht="60" x14ac:dyDescent="0.25">
      <c r="A538" s="7" t="s">
        <v>4517</v>
      </c>
      <c r="B538" s="2" t="s">
        <v>4518</v>
      </c>
      <c r="C538" s="4">
        <v>1</v>
      </c>
      <c r="D538" s="5">
        <v>2.61</v>
      </c>
      <c r="E538" s="5">
        <v>6.99</v>
      </c>
      <c r="F538" s="4" t="s">
        <v>4519</v>
      </c>
      <c r="G538" s="2" t="s">
        <v>171</v>
      </c>
      <c r="H538" s="7" t="s">
        <v>590</v>
      </c>
      <c r="I538" s="2" t="s">
        <v>483</v>
      </c>
      <c r="J538" s="2" t="s">
        <v>536</v>
      </c>
      <c r="K538" s="2" t="s">
        <v>304</v>
      </c>
      <c r="L538" s="2" t="s">
        <v>623</v>
      </c>
      <c r="M538" s="8" t="str">
        <f>HYPERLINK("http://slimages.macys.com/is/image/MCY/12466225 ")</f>
        <v xml:space="preserve">http://slimages.macys.com/is/image/MCY/12466225 </v>
      </c>
    </row>
    <row r="539" spans="1:13" ht="60" x14ac:dyDescent="0.25">
      <c r="A539" s="7" t="s">
        <v>4520</v>
      </c>
      <c r="B539" s="2" t="s">
        <v>4521</v>
      </c>
      <c r="C539" s="4">
        <v>1</v>
      </c>
      <c r="D539" s="5">
        <v>2.61</v>
      </c>
      <c r="E539" s="5">
        <v>7.99</v>
      </c>
      <c r="F539" s="4" t="s">
        <v>4522</v>
      </c>
      <c r="G539" s="2" t="s">
        <v>353</v>
      </c>
      <c r="H539" s="7" t="s">
        <v>514</v>
      </c>
      <c r="I539" s="2" t="s">
        <v>483</v>
      </c>
      <c r="J539" s="2" t="s">
        <v>536</v>
      </c>
      <c r="K539" s="2" t="s">
        <v>304</v>
      </c>
      <c r="L539" s="2" t="s">
        <v>38</v>
      </c>
      <c r="M539" s="8" t="str">
        <f>HYPERLINK("http://slimages.macys.com/is/image/MCY/12466331 ")</f>
        <v xml:space="preserve">http://slimages.macys.com/is/image/MCY/12466331 </v>
      </c>
    </row>
    <row r="540" spans="1:13" ht="60" x14ac:dyDescent="0.25">
      <c r="A540" s="7" t="s">
        <v>4523</v>
      </c>
      <c r="B540" s="2" t="s">
        <v>2271</v>
      </c>
      <c r="C540" s="4">
        <v>1</v>
      </c>
      <c r="D540" s="5">
        <v>2.61</v>
      </c>
      <c r="E540" s="5">
        <v>6.99</v>
      </c>
      <c r="F540" s="4" t="s">
        <v>2272</v>
      </c>
      <c r="G540" s="2" t="s">
        <v>1147</v>
      </c>
      <c r="H540" s="7" t="s">
        <v>149</v>
      </c>
      <c r="I540" s="2" t="s">
        <v>483</v>
      </c>
      <c r="J540" s="2" t="s">
        <v>536</v>
      </c>
      <c r="K540" s="2" t="s">
        <v>304</v>
      </c>
      <c r="L540" s="2" t="s">
        <v>38</v>
      </c>
      <c r="M540" s="8" t="str">
        <f>HYPERLINK("http://slimages.macys.com/is/image/MCY/13987297 ")</f>
        <v xml:space="preserve">http://slimages.macys.com/is/image/MCY/13987297 </v>
      </c>
    </row>
    <row r="541" spans="1:13" ht="60" x14ac:dyDescent="0.25">
      <c r="A541" s="7" t="s">
        <v>4524</v>
      </c>
      <c r="B541" s="2" t="s">
        <v>4518</v>
      </c>
      <c r="C541" s="4">
        <v>1</v>
      </c>
      <c r="D541" s="5">
        <v>2.61</v>
      </c>
      <c r="E541" s="5">
        <v>6.99</v>
      </c>
      <c r="F541" s="4" t="s">
        <v>4519</v>
      </c>
      <c r="G541" s="2" t="s">
        <v>171</v>
      </c>
      <c r="H541" s="7"/>
      <c r="I541" s="2" t="s">
        <v>483</v>
      </c>
      <c r="J541" s="2" t="s">
        <v>536</v>
      </c>
      <c r="K541" s="2" t="s">
        <v>304</v>
      </c>
      <c r="L541" s="2" t="s">
        <v>623</v>
      </c>
      <c r="M541" s="8" t="str">
        <f>HYPERLINK("http://slimages.macys.com/is/image/MCY/12466225 ")</f>
        <v xml:space="preserve">http://slimages.macys.com/is/image/MCY/12466225 </v>
      </c>
    </row>
    <row r="542" spans="1:13" ht="60" x14ac:dyDescent="0.25">
      <c r="A542" s="7" t="s">
        <v>4525</v>
      </c>
      <c r="B542" s="2" t="s">
        <v>4526</v>
      </c>
      <c r="C542" s="4">
        <v>2</v>
      </c>
      <c r="D542" s="5">
        <v>2.59</v>
      </c>
      <c r="E542" s="5">
        <v>7.99</v>
      </c>
      <c r="F542" s="4" t="s">
        <v>4527</v>
      </c>
      <c r="G542" s="2" t="s">
        <v>1265</v>
      </c>
      <c r="H542" s="7" t="s">
        <v>149</v>
      </c>
      <c r="I542" s="2" t="s">
        <v>483</v>
      </c>
      <c r="J542" s="2" t="s">
        <v>536</v>
      </c>
      <c r="K542" s="2" t="s">
        <v>304</v>
      </c>
      <c r="L542" s="2" t="s">
        <v>100</v>
      </c>
      <c r="M542" s="8" t="str">
        <f>HYPERLINK("http://slimages.macys.com/is/image/MCY/12466031 ")</f>
        <v xml:space="preserve">http://slimages.macys.com/is/image/MCY/12466031 </v>
      </c>
    </row>
    <row r="543" spans="1:13" ht="60" x14ac:dyDescent="0.25">
      <c r="A543" s="7" t="s">
        <v>4528</v>
      </c>
      <c r="B543" s="2" t="s">
        <v>4529</v>
      </c>
      <c r="C543" s="4">
        <v>1</v>
      </c>
      <c r="D543" s="5">
        <v>2.57</v>
      </c>
      <c r="E543" s="5">
        <v>6.99</v>
      </c>
      <c r="F543" s="4" t="s">
        <v>4530</v>
      </c>
      <c r="G543" s="2" t="s">
        <v>41</v>
      </c>
      <c r="H543" s="7" t="s">
        <v>42</v>
      </c>
      <c r="I543" s="2" t="s">
        <v>483</v>
      </c>
      <c r="J543" s="2" t="s">
        <v>536</v>
      </c>
      <c r="K543" s="2" t="s">
        <v>304</v>
      </c>
      <c r="L543" s="2" t="s">
        <v>100</v>
      </c>
      <c r="M543" s="8" t="str">
        <f>HYPERLINK("http://slimages.macys.com/is/image/MCY/11334660 ")</f>
        <v xml:space="preserve">http://slimages.macys.com/is/image/MCY/11334660 </v>
      </c>
    </row>
    <row r="544" spans="1:13" ht="60" x14ac:dyDescent="0.25">
      <c r="A544" s="7" t="s">
        <v>4531</v>
      </c>
      <c r="B544" s="2" t="s">
        <v>4532</v>
      </c>
      <c r="C544" s="4">
        <v>1</v>
      </c>
      <c r="D544" s="5">
        <v>2.57</v>
      </c>
      <c r="E544" s="5">
        <v>6.99</v>
      </c>
      <c r="F544" s="4">
        <v>100021102</v>
      </c>
      <c r="G544" s="2" t="s">
        <v>653</v>
      </c>
      <c r="H544" s="7" t="s">
        <v>590</v>
      </c>
      <c r="I544" s="2" t="s">
        <v>483</v>
      </c>
      <c r="J544" s="2" t="s">
        <v>536</v>
      </c>
      <c r="K544" s="2" t="s">
        <v>304</v>
      </c>
      <c r="L544" s="2" t="s">
        <v>596</v>
      </c>
      <c r="M544" s="8" t="str">
        <f>HYPERLINK("http://slimages.macys.com/is/image/MCY/9648773 ")</f>
        <v xml:space="preserve">http://slimages.macys.com/is/image/MCY/9648773 </v>
      </c>
    </row>
    <row r="545" spans="1:13" ht="60" x14ac:dyDescent="0.25">
      <c r="A545" s="7" t="s">
        <v>4533</v>
      </c>
      <c r="B545" s="2" t="s">
        <v>1260</v>
      </c>
      <c r="C545" s="4">
        <v>1</v>
      </c>
      <c r="D545" s="5">
        <v>2.56</v>
      </c>
      <c r="E545" s="5">
        <v>6.99</v>
      </c>
      <c r="F545" s="4" t="s">
        <v>1261</v>
      </c>
      <c r="G545" s="2" t="s">
        <v>86</v>
      </c>
      <c r="H545" s="7" t="s">
        <v>42</v>
      </c>
      <c r="I545" s="2" t="s">
        <v>483</v>
      </c>
      <c r="J545" s="2" t="s">
        <v>536</v>
      </c>
      <c r="K545" s="2" t="s">
        <v>304</v>
      </c>
      <c r="L545" s="2" t="s">
        <v>100</v>
      </c>
      <c r="M545" s="8" t="str">
        <f>HYPERLINK("http://slimages.macys.com/is/image/MCY/11779082 ")</f>
        <v xml:space="preserve">http://slimages.macys.com/is/image/MCY/11779082 </v>
      </c>
    </row>
    <row r="546" spans="1:13" ht="60" x14ac:dyDescent="0.25">
      <c r="A546" s="7" t="s">
        <v>4534</v>
      </c>
      <c r="B546" s="2" t="s">
        <v>2286</v>
      </c>
      <c r="C546" s="4">
        <v>1</v>
      </c>
      <c r="D546" s="5">
        <v>2.5499999999999998</v>
      </c>
      <c r="E546" s="5">
        <v>6.99</v>
      </c>
      <c r="F546" s="4" t="s">
        <v>2287</v>
      </c>
      <c r="G546" s="2" t="s">
        <v>297</v>
      </c>
      <c r="H546" s="7"/>
      <c r="I546" s="2" t="s">
        <v>483</v>
      </c>
      <c r="J546" s="2" t="s">
        <v>536</v>
      </c>
      <c r="K546" s="2" t="s">
        <v>304</v>
      </c>
      <c r="L546" s="2" t="s">
        <v>38</v>
      </c>
      <c r="M546" s="8" t="str">
        <f>HYPERLINK("http://slimages.macys.com/is/image/MCY/12465797 ")</f>
        <v xml:space="preserve">http://slimages.macys.com/is/image/MCY/12465797 </v>
      </c>
    </row>
    <row r="547" spans="1:13" ht="60" x14ac:dyDescent="0.25">
      <c r="A547" s="7" t="s">
        <v>2285</v>
      </c>
      <c r="B547" s="2" t="s">
        <v>2286</v>
      </c>
      <c r="C547" s="4">
        <v>1</v>
      </c>
      <c r="D547" s="5">
        <v>2.5499999999999998</v>
      </c>
      <c r="E547" s="5">
        <v>6.99</v>
      </c>
      <c r="F547" s="4" t="s">
        <v>2287</v>
      </c>
      <c r="G547" s="2" t="s">
        <v>297</v>
      </c>
      <c r="H547" s="7" t="s">
        <v>149</v>
      </c>
      <c r="I547" s="2" t="s">
        <v>483</v>
      </c>
      <c r="J547" s="2" t="s">
        <v>536</v>
      </c>
      <c r="K547" s="2" t="s">
        <v>304</v>
      </c>
      <c r="L547" s="2" t="s">
        <v>38</v>
      </c>
      <c r="M547" s="8" t="str">
        <f>HYPERLINK("http://slimages.macys.com/is/image/MCY/12465797 ")</f>
        <v xml:space="preserve">http://slimages.macys.com/is/image/MCY/12465797 </v>
      </c>
    </row>
    <row r="548" spans="1:13" ht="60" x14ac:dyDescent="0.25">
      <c r="A548" s="7" t="s">
        <v>4535</v>
      </c>
      <c r="B548" s="2" t="s">
        <v>4536</v>
      </c>
      <c r="C548" s="4">
        <v>1</v>
      </c>
      <c r="D548" s="5">
        <v>2.5499999999999998</v>
      </c>
      <c r="E548" s="5">
        <v>6.99</v>
      </c>
      <c r="F548" s="4">
        <v>10005486300</v>
      </c>
      <c r="G548" s="2" t="s">
        <v>134</v>
      </c>
      <c r="H548" s="7" t="s">
        <v>149</v>
      </c>
      <c r="I548" s="2" t="s">
        <v>483</v>
      </c>
      <c r="J548" s="2" t="s">
        <v>536</v>
      </c>
      <c r="K548" s="2" t="s">
        <v>304</v>
      </c>
      <c r="L548" s="2" t="s">
        <v>119</v>
      </c>
      <c r="M548" s="8" t="str">
        <f>HYPERLINK("http://slimages.macys.com/is/image/MCY/12466262 ")</f>
        <v xml:space="preserve">http://slimages.macys.com/is/image/MCY/12466262 </v>
      </c>
    </row>
    <row r="549" spans="1:13" ht="84" x14ac:dyDescent="0.25">
      <c r="A549" s="7" t="s">
        <v>4537</v>
      </c>
      <c r="B549" s="2" t="s">
        <v>4538</v>
      </c>
      <c r="C549" s="4">
        <v>3</v>
      </c>
      <c r="D549" s="5">
        <v>2.5499999999999998</v>
      </c>
      <c r="E549" s="5">
        <v>6.99</v>
      </c>
      <c r="F549" s="4" t="s">
        <v>4539</v>
      </c>
      <c r="G549" s="2" t="s">
        <v>1265</v>
      </c>
      <c r="H549" s="7" t="s">
        <v>590</v>
      </c>
      <c r="I549" s="2" t="s">
        <v>483</v>
      </c>
      <c r="J549" s="2" t="s">
        <v>536</v>
      </c>
      <c r="K549" s="2" t="s">
        <v>304</v>
      </c>
      <c r="L549" s="2" t="s">
        <v>1308</v>
      </c>
      <c r="M549" s="8" t="str">
        <f>HYPERLINK("http://slimages.macys.com/is/image/MCY/13987471 ")</f>
        <v xml:space="preserve">http://slimages.macys.com/is/image/MCY/13987471 </v>
      </c>
    </row>
    <row r="550" spans="1:13" ht="84" x14ac:dyDescent="0.25">
      <c r="A550" s="7" t="s">
        <v>4540</v>
      </c>
      <c r="B550" s="2" t="s">
        <v>4538</v>
      </c>
      <c r="C550" s="4">
        <v>2</v>
      </c>
      <c r="D550" s="5">
        <v>2.5499999999999998</v>
      </c>
      <c r="E550" s="5">
        <v>6.99</v>
      </c>
      <c r="F550" s="4" t="s">
        <v>4539</v>
      </c>
      <c r="G550" s="2" t="s">
        <v>1265</v>
      </c>
      <c r="H550" s="7" t="s">
        <v>149</v>
      </c>
      <c r="I550" s="2" t="s">
        <v>483</v>
      </c>
      <c r="J550" s="2" t="s">
        <v>536</v>
      </c>
      <c r="K550" s="2" t="s">
        <v>304</v>
      </c>
      <c r="L550" s="2" t="s">
        <v>1308</v>
      </c>
      <c r="M550" s="8" t="str">
        <f>HYPERLINK("http://slimages.macys.com/is/image/MCY/13987471 ")</f>
        <v xml:space="preserve">http://slimages.macys.com/is/image/MCY/13987471 </v>
      </c>
    </row>
    <row r="551" spans="1:13" ht="60" x14ac:dyDescent="0.25">
      <c r="A551" s="7" t="s">
        <v>4541</v>
      </c>
      <c r="B551" s="2" t="s">
        <v>4542</v>
      </c>
      <c r="C551" s="4">
        <v>1</v>
      </c>
      <c r="D551" s="5">
        <v>2.54</v>
      </c>
      <c r="E551" s="5">
        <v>7.99</v>
      </c>
      <c r="F551" s="4" t="s">
        <v>4543</v>
      </c>
      <c r="G551" s="2" t="s">
        <v>41</v>
      </c>
      <c r="H551" s="7" t="s">
        <v>1151</v>
      </c>
      <c r="I551" s="2" t="s">
        <v>483</v>
      </c>
      <c r="J551" s="2" t="s">
        <v>536</v>
      </c>
      <c r="K551" s="2" t="s">
        <v>304</v>
      </c>
      <c r="L551" s="2" t="s">
        <v>87</v>
      </c>
      <c r="M551" s="8" t="str">
        <f>HYPERLINK("http://slimages.macys.com/is/image/MCY/12644613 ")</f>
        <v xml:space="preserve">http://slimages.macys.com/is/image/MCY/12644613 </v>
      </c>
    </row>
    <row r="552" spans="1:13" ht="60" x14ac:dyDescent="0.25">
      <c r="A552" s="7" t="s">
        <v>4544</v>
      </c>
      <c r="B552" s="2" t="s">
        <v>4545</v>
      </c>
      <c r="C552" s="4">
        <v>5</v>
      </c>
      <c r="D552" s="5">
        <v>2.5299999999999998</v>
      </c>
      <c r="E552" s="5">
        <v>5.99</v>
      </c>
      <c r="F552" s="4" t="s">
        <v>4546</v>
      </c>
      <c r="G552" s="2" t="s">
        <v>657</v>
      </c>
      <c r="H552" s="7" t="s">
        <v>91</v>
      </c>
      <c r="I552" s="2" t="s">
        <v>483</v>
      </c>
      <c r="J552" s="2" t="s">
        <v>536</v>
      </c>
      <c r="K552" s="2" t="s">
        <v>304</v>
      </c>
      <c r="L552" s="2" t="s">
        <v>119</v>
      </c>
      <c r="M552" s="8" t="str">
        <f>HYPERLINK("http://slimages.macys.com/is/image/MCY/11856951 ")</f>
        <v xml:space="preserve">http://slimages.macys.com/is/image/MCY/11856951 </v>
      </c>
    </row>
    <row r="553" spans="1:13" ht="60" x14ac:dyDescent="0.25">
      <c r="A553" s="7" t="s">
        <v>4547</v>
      </c>
      <c r="B553" s="2" t="s">
        <v>4548</v>
      </c>
      <c r="C553" s="4">
        <v>2</v>
      </c>
      <c r="D553" s="5">
        <v>2.5299999999999998</v>
      </c>
      <c r="E553" s="5">
        <v>5.99</v>
      </c>
      <c r="F553" s="4" t="s">
        <v>4549</v>
      </c>
      <c r="G553" s="2" t="s">
        <v>28</v>
      </c>
      <c r="H553" s="7" t="s">
        <v>149</v>
      </c>
      <c r="I553" s="2" t="s">
        <v>483</v>
      </c>
      <c r="J553" s="2" t="s">
        <v>536</v>
      </c>
      <c r="K553" s="2" t="s">
        <v>304</v>
      </c>
      <c r="L553" s="2" t="s">
        <v>38</v>
      </c>
      <c r="M553" s="8" t="str">
        <f>HYPERLINK("http://slimages.macys.com/is/image/MCY/14384849 ")</f>
        <v xml:space="preserve">http://slimages.macys.com/is/image/MCY/14384849 </v>
      </c>
    </row>
    <row r="554" spans="1:13" ht="60" x14ac:dyDescent="0.25">
      <c r="A554" s="7" t="s">
        <v>4550</v>
      </c>
      <c r="B554" s="2" t="s">
        <v>4551</v>
      </c>
      <c r="C554" s="4">
        <v>1</v>
      </c>
      <c r="D554" s="5">
        <v>2.5299999999999998</v>
      </c>
      <c r="E554" s="5">
        <v>5.99</v>
      </c>
      <c r="F554" s="4" t="s">
        <v>4552</v>
      </c>
      <c r="G554" s="2" t="s">
        <v>36</v>
      </c>
      <c r="H554" s="7" t="s">
        <v>42</v>
      </c>
      <c r="I554" s="2" t="s">
        <v>483</v>
      </c>
      <c r="J554" s="2" t="s">
        <v>536</v>
      </c>
      <c r="K554" s="2" t="s">
        <v>304</v>
      </c>
      <c r="L554" s="2" t="s">
        <v>87</v>
      </c>
      <c r="M554" s="8" t="str">
        <f>HYPERLINK("http://slimages.macys.com/is/image/MCY/11792594 ")</f>
        <v xml:space="preserve">http://slimages.macys.com/is/image/MCY/11792594 </v>
      </c>
    </row>
    <row r="555" spans="1:13" ht="60" x14ac:dyDescent="0.25">
      <c r="A555" s="7" t="s">
        <v>4553</v>
      </c>
      <c r="B555" s="2" t="s">
        <v>3520</v>
      </c>
      <c r="C555" s="4">
        <v>1</v>
      </c>
      <c r="D555" s="5">
        <v>2.5299999999999998</v>
      </c>
      <c r="E555" s="5">
        <v>7.99</v>
      </c>
      <c r="F555" s="4" t="s">
        <v>3521</v>
      </c>
      <c r="G555" s="2" t="s">
        <v>86</v>
      </c>
      <c r="H555" s="7" t="s">
        <v>514</v>
      </c>
      <c r="I555" s="2" t="s">
        <v>483</v>
      </c>
      <c r="J555" s="2" t="s">
        <v>536</v>
      </c>
      <c r="K555" s="2" t="s">
        <v>304</v>
      </c>
      <c r="L555" s="2" t="s">
        <v>38</v>
      </c>
      <c r="M555" s="8" t="str">
        <f>HYPERLINK("http://slimages.macys.com/is/image/MCY/14384969 ")</f>
        <v xml:space="preserve">http://slimages.macys.com/is/image/MCY/14384969 </v>
      </c>
    </row>
    <row r="556" spans="1:13" ht="60" x14ac:dyDescent="0.25">
      <c r="A556" s="7" t="s">
        <v>4554</v>
      </c>
      <c r="B556" s="2" t="s">
        <v>4548</v>
      </c>
      <c r="C556" s="4">
        <v>1</v>
      </c>
      <c r="D556" s="5">
        <v>2.5299999999999998</v>
      </c>
      <c r="E556" s="5">
        <v>5.99</v>
      </c>
      <c r="F556" s="4" t="s">
        <v>4549</v>
      </c>
      <c r="G556" s="2" t="s">
        <v>28</v>
      </c>
      <c r="H556" s="7" t="s">
        <v>91</v>
      </c>
      <c r="I556" s="2" t="s">
        <v>483</v>
      </c>
      <c r="J556" s="2" t="s">
        <v>536</v>
      </c>
      <c r="K556" s="2" t="s">
        <v>304</v>
      </c>
      <c r="L556" s="2" t="s">
        <v>38</v>
      </c>
      <c r="M556" s="8" t="str">
        <f>HYPERLINK("http://slimages.macys.com/is/image/MCY/14384849 ")</f>
        <v xml:space="preserve">http://slimages.macys.com/is/image/MCY/14384849 </v>
      </c>
    </row>
    <row r="557" spans="1:13" ht="60" x14ac:dyDescent="0.25">
      <c r="A557" s="7" t="s">
        <v>4555</v>
      </c>
      <c r="B557" s="2" t="s">
        <v>4545</v>
      </c>
      <c r="C557" s="4">
        <v>1</v>
      </c>
      <c r="D557" s="5">
        <v>2.5299999999999998</v>
      </c>
      <c r="E557" s="5">
        <v>5.99</v>
      </c>
      <c r="F557" s="4" t="s">
        <v>4546</v>
      </c>
      <c r="G557" s="2" t="s">
        <v>657</v>
      </c>
      <c r="H557" s="7" t="s">
        <v>590</v>
      </c>
      <c r="I557" s="2" t="s">
        <v>483</v>
      </c>
      <c r="J557" s="2" t="s">
        <v>536</v>
      </c>
      <c r="K557" s="2" t="s">
        <v>304</v>
      </c>
      <c r="L557" s="2" t="s">
        <v>119</v>
      </c>
      <c r="M557" s="8" t="str">
        <f>HYPERLINK("http://slimages.macys.com/is/image/MCY/11856951 ")</f>
        <v xml:space="preserve">http://slimages.macys.com/is/image/MCY/11856951 </v>
      </c>
    </row>
    <row r="558" spans="1:13" ht="60" x14ac:dyDescent="0.25">
      <c r="A558" s="7" t="s">
        <v>4556</v>
      </c>
      <c r="B558" s="2" t="s">
        <v>4545</v>
      </c>
      <c r="C558" s="4">
        <v>4</v>
      </c>
      <c r="D558" s="5">
        <v>2.5299999999999998</v>
      </c>
      <c r="E558" s="5">
        <v>5.99</v>
      </c>
      <c r="F558" s="4" t="s">
        <v>4546</v>
      </c>
      <c r="G558" s="2" t="s">
        <v>657</v>
      </c>
      <c r="H558" s="7" t="s">
        <v>42</v>
      </c>
      <c r="I558" s="2" t="s">
        <v>483</v>
      </c>
      <c r="J558" s="2" t="s">
        <v>536</v>
      </c>
      <c r="K558" s="2" t="s">
        <v>304</v>
      </c>
      <c r="L558" s="2" t="s">
        <v>119</v>
      </c>
      <c r="M558" s="8" t="str">
        <f>HYPERLINK("http://slimages.macys.com/is/image/MCY/11856951 ")</f>
        <v xml:space="preserve">http://slimages.macys.com/is/image/MCY/11856951 </v>
      </c>
    </row>
    <row r="559" spans="1:13" ht="60" x14ac:dyDescent="0.25">
      <c r="A559" s="7" t="s">
        <v>4557</v>
      </c>
      <c r="B559" s="2" t="s">
        <v>4545</v>
      </c>
      <c r="C559" s="4">
        <v>1</v>
      </c>
      <c r="D559" s="5">
        <v>2.5299999999999998</v>
      </c>
      <c r="E559" s="5">
        <v>5.99</v>
      </c>
      <c r="F559" s="4" t="s">
        <v>4546</v>
      </c>
      <c r="G559" s="2" t="s">
        <v>657</v>
      </c>
      <c r="H559" s="7" t="s">
        <v>149</v>
      </c>
      <c r="I559" s="2" t="s">
        <v>483</v>
      </c>
      <c r="J559" s="2" t="s">
        <v>536</v>
      </c>
      <c r="K559" s="2" t="s">
        <v>304</v>
      </c>
      <c r="L559" s="2" t="s">
        <v>119</v>
      </c>
      <c r="M559" s="8" t="str">
        <f>HYPERLINK("http://slimages.macys.com/is/image/MCY/11856951 ")</f>
        <v xml:space="preserve">http://slimages.macys.com/is/image/MCY/11856951 </v>
      </c>
    </row>
    <row r="560" spans="1:13" ht="60" x14ac:dyDescent="0.25">
      <c r="A560" s="7" t="s">
        <v>4558</v>
      </c>
      <c r="B560" s="2" t="s">
        <v>2725</v>
      </c>
      <c r="C560" s="4">
        <v>1</v>
      </c>
      <c r="D560" s="5">
        <v>2.5</v>
      </c>
      <c r="E560" s="5">
        <v>5.99</v>
      </c>
      <c r="F560" s="4" t="s">
        <v>2726</v>
      </c>
      <c r="G560" s="2" t="s">
        <v>297</v>
      </c>
      <c r="H560" s="7" t="s">
        <v>42</v>
      </c>
      <c r="I560" s="2" t="s">
        <v>483</v>
      </c>
      <c r="J560" s="2" t="s">
        <v>536</v>
      </c>
      <c r="K560" s="2" t="s">
        <v>304</v>
      </c>
      <c r="L560" s="2" t="s">
        <v>87</v>
      </c>
      <c r="M560" s="8" t="str">
        <f>HYPERLINK("http://slimages.macys.com/is/image/MCY/11793253 ")</f>
        <v xml:space="preserve">http://slimages.macys.com/is/image/MCY/11793253 </v>
      </c>
    </row>
    <row r="561" spans="1:13" ht="60" x14ac:dyDescent="0.25">
      <c r="A561" s="7" t="s">
        <v>4559</v>
      </c>
      <c r="B561" s="2" t="s">
        <v>616</v>
      </c>
      <c r="C561" s="4">
        <v>3</v>
      </c>
      <c r="D561" s="5">
        <v>2.5</v>
      </c>
      <c r="E561" s="5">
        <v>5.99</v>
      </c>
      <c r="F561" s="4" t="s">
        <v>617</v>
      </c>
      <c r="G561" s="2" t="s">
        <v>262</v>
      </c>
      <c r="H561" s="7" t="s">
        <v>123</v>
      </c>
      <c r="I561" s="2" t="s">
        <v>380</v>
      </c>
      <c r="J561" s="2" t="s">
        <v>544</v>
      </c>
      <c r="K561" s="2" t="s">
        <v>304</v>
      </c>
      <c r="L561" s="2" t="s">
        <v>87</v>
      </c>
      <c r="M561" s="8" t="str">
        <f>HYPERLINK("http://slimages.macys.com/is/image/MCY/12228048 ")</f>
        <v xml:space="preserve">http://slimages.macys.com/is/image/MCY/12228048 </v>
      </c>
    </row>
    <row r="562" spans="1:13" ht="60" x14ac:dyDescent="0.25">
      <c r="A562" s="7" t="s">
        <v>619</v>
      </c>
      <c r="B562" s="2" t="s">
        <v>616</v>
      </c>
      <c r="C562" s="4">
        <v>1</v>
      </c>
      <c r="D562" s="5">
        <v>2.5</v>
      </c>
      <c r="E562" s="5">
        <v>5.99</v>
      </c>
      <c r="F562" s="4" t="s">
        <v>617</v>
      </c>
      <c r="G562" s="2" t="s">
        <v>262</v>
      </c>
      <c r="H562" s="7" t="s">
        <v>379</v>
      </c>
      <c r="I562" s="2" t="s">
        <v>380</v>
      </c>
      <c r="J562" s="2" t="s">
        <v>544</v>
      </c>
      <c r="K562" s="2" t="s">
        <v>304</v>
      </c>
      <c r="L562" s="2" t="s">
        <v>38</v>
      </c>
      <c r="M562" s="8" t="str">
        <f>HYPERLINK("http://slimages.macys.com/is/image/MCY/12228048 ")</f>
        <v xml:space="preserve">http://slimages.macys.com/is/image/MCY/12228048 </v>
      </c>
    </row>
    <row r="563" spans="1:13" ht="60" x14ac:dyDescent="0.25">
      <c r="A563" s="7" t="s">
        <v>4560</v>
      </c>
      <c r="B563" s="2" t="s">
        <v>616</v>
      </c>
      <c r="C563" s="4">
        <v>1</v>
      </c>
      <c r="D563" s="5">
        <v>2.5</v>
      </c>
      <c r="E563" s="5">
        <v>5.99</v>
      </c>
      <c r="F563" s="4" t="s">
        <v>617</v>
      </c>
      <c r="G563" s="2" t="s">
        <v>262</v>
      </c>
      <c r="H563" s="7" t="s">
        <v>311</v>
      </c>
      <c r="I563" s="2" t="s">
        <v>380</v>
      </c>
      <c r="J563" s="2" t="s">
        <v>544</v>
      </c>
      <c r="K563" s="2" t="s">
        <v>304</v>
      </c>
      <c r="L563" s="2" t="s">
        <v>87</v>
      </c>
      <c r="M563" s="8" t="str">
        <f>HYPERLINK("http://slimages.macys.com/is/image/MCY/12228048 ")</f>
        <v xml:space="preserve">http://slimages.macys.com/is/image/MCY/12228048 </v>
      </c>
    </row>
    <row r="564" spans="1:13" ht="60" x14ac:dyDescent="0.25">
      <c r="A564" s="7" t="s">
        <v>4561</v>
      </c>
      <c r="B564" s="2" t="s">
        <v>616</v>
      </c>
      <c r="C564" s="4">
        <v>2</v>
      </c>
      <c r="D564" s="5">
        <v>2.5</v>
      </c>
      <c r="E564" s="5">
        <v>5.99</v>
      </c>
      <c r="F564" s="4" t="s">
        <v>617</v>
      </c>
      <c r="G564" s="2" t="s">
        <v>262</v>
      </c>
      <c r="H564" s="7" t="s">
        <v>317</v>
      </c>
      <c r="I564" s="2" t="s">
        <v>380</v>
      </c>
      <c r="J564" s="2" t="s">
        <v>544</v>
      </c>
      <c r="K564" s="2" t="s">
        <v>304</v>
      </c>
      <c r="L564" s="2" t="s">
        <v>87</v>
      </c>
      <c r="M564" s="8" t="str">
        <f>HYPERLINK("http://slimages.macys.com/is/image/MCY/12228048 ")</f>
        <v xml:space="preserve">http://slimages.macys.com/is/image/MCY/12228048 </v>
      </c>
    </row>
    <row r="565" spans="1:13" ht="60" x14ac:dyDescent="0.25">
      <c r="A565" s="7" t="s">
        <v>615</v>
      </c>
      <c r="B565" s="2" t="s">
        <v>616</v>
      </c>
      <c r="C565" s="4">
        <v>2</v>
      </c>
      <c r="D565" s="5">
        <v>2.5</v>
      </c>
      <c r="E565" s="5">
        <v>5.99</v>
      </c>
      <c r="F565" s="4" t="s">
        <v>617</v>
      </c>
      <c r="G565" s="2" t="s">
        <v>262</v>
      </c>
      <c r="H565" s="7" t="s">
        <v>618</v>
      </c>
      <c r="I565" s="2" t="s">
        <v>380</v>
      </c>
      <c r="J565" s="2" t="s">
        <v>544</v>
      </c>
      <c r="K565" s="2" t="s">
        <v>304</v>
      </c>
      <c r="L565" s="2" t="s">
        <v>38</v>
      </c>
      <c r="M565" s="8" t="str">
        <f>HYPERLINK("http://slimages.macys.com/is/image/MCY/12228048 ")</f>
        <v xml:space="preserve">http://slimages.macys.com/is/image/MCY/12228048 </v>
      </c>
    </row>
    <row r="566" spans="1:13" ht="60" x14ac:dyDescent="0.25">
      <c r="A566" s="7" t="s">
        <v>1299</v>
      </c>
      <c r="B566" s="2" t="s">
        <v>1300</v>
      </c>
      <c r="C566" s="4">
        <v>2</v>
      </c>
      <c r="D566" s="5">
        <v>2.4900000000000002</v>
      </c>
      <c r="E566" s="5">
        <v>6.99</v>
      </c>
      <c r="F566" s="4" t="s">
        <v>1301</v>
      </c>
      <c r="G566" s="2" t="s">
        <v>1302</v>
      </c>
      <c r="H566" s="7" t="s">
        <v>590</v>
      </c>
      <c r="I566" s="2" t="s">
        <v>483</v>
      </c>
      <c r="J566" s="2" t="s">
        <v>536</v>
      </c>
      <c r="K566" s="2" t="s">
        <v>304</v>
      </c>
      <c r="L566" s="2" t="s">
        <v>596</v>
      </c>
      <c r="M566" s="8" t="str">
        <f>HYPERLINK("http://slimages.macys.com/is/image/MCY/13337498 ")</f>
        <v xml:space="preserve">http://slimages.macys.com/is/image/MCY/13337498 </v>
      </c>
    </row>
    <row r="567" spans="1:13" ht="60" x14ac:dyDescent="0.25">
      <c r="A567" s="7" t="s">
        <v>1316</v>
      </c>
      <c r="B567" s="2" t="s">
        <v>1304</v>
      </c>
      <c r="C567" s="4">
        <v>1</v>
      </c>
      <c r="D567" s="5">
        <v>2.4900000000000002</v>
      </c>
      <c r="E567" s="5">
        <v>5.99</v>
      </c>
      <c r="F567" s="4" t="s">
        <v>1305</v>
      </c>
      <c r="G567" s="2" t="s">
        <v>86</v>
      </c>
      <c r="H567" s="7" t="s">
        <v>149</v>
      </c>
      <c r="I567" s="2" t="s">
        <v>483</v>
      </c>
      <c r="J567" s="2" t="s">
        <v>536</v>
      </c>
      <c r="K567" s="2" t="s">
        <v>304</v>
      </c>
      <c r="L567" s="2" t="s">
        <v>38</v>
      </c>
      <c r="M567" s="8" t="str">
        <f>HYPERLINK("http://slimages.macys.com/is/image/MCY/11855486 ")</f>
        <v xml:space="preserve">http://slimages.macys.com/is/image/MCY/11855486 </v>
      </c>
    </row>
    <row r="568" spans="1:13" ht="60" x14ac:dyDescent="0.25">
      <c r="A568" s="7" t="s">
        <v>1318</v>
      </c>
      <c r="B568" s="2" t="s">
        <v>1300</v>
      </c>
      <c r="C568" s="4">
        <v>1</v>
      </c>
      <c r="D568" s="5">
        <v>2.4900000000000002</v>
      </c>
      <c r="E568" s="5">
        <v>6.99</v>
      </c>
      <c r="F568" s="4" t="s">
        <v>1301</v>
      </c>
      <c r="G568" s="2" t="s">
        <v>1302</v>
      </c>
      <c r="H568" s="7" t="s">
        <v>149</v>
      </c>
      <c r="I568" s="2" t="s">
        <v>483</v>
      </c>
      <c r="J568" s="2" t="s">
        <v>536</v>
      </c>
      <c r="K568" s="2" t="s">
        <v>304</v>
      </c>
      <c r="L568" s="2" t="s">
        <v>596</v>
      </c>
      <c r="M568" s="8" t="str">
        <f>HYPERLINK("http://slimages.macys.com/is/image/MCY/13337498 ")</f>
        <v xml:space="preserve">http://slimages.macys.com/is/image/MCY/13337498 </v>
      </c>
    </row>
    <row r="569" spans="1:13" ht="84" x14ac:dyDescent="0.25">
      <c r="A569" s="7" t="s">
        <v>1306</v>
      </c>
      <c r="B569" s="2" t="s">
        <v>1307</v>
      </c>
      <c r="C569" s="4">
        <v>1</v>
      </c>
      <c r="D569" s="5">
        <v>2.4900000000000002</v>
      </c>
      <c r="E569" s="5">
        <v>6.99</v>
      </c>
      <c r="F569" s="4">
        <v>10006315700</v>
      </c>
      <c r="G569" s="2" t="s">
        <v>41</v>
      </c>
      <c r="H569" s="7" t="s">
        <v>590</v>
      </c>
      <c r="I569" s="2" t="s">
        <v>483</v>
      </c>
      <c r="J569" s="2" t="s">
        <v>536</v>
      </c>
      <c r="K569" s="2" t="s">
        <v>304</v>
      </c>
      <c r="L569" s="2" t="s">
        <v>1308</v>
      </c>
      <c r="M569" s="8" t="str">
        <f>HYPERLINK("http://slimages.macys.com/is/image/MCY/13987457 ")</f>
        <v xml:space="preserve">http://slimages.macys.com/is/image/MCY/13987457 </v>
      </c>
    </row>
    <row r="570" spans="1:13" ht="60" x14ac:dyDescent="0.25">
      <c r="A570" s="7" t="s">
        <v>621</v>
      </c>
      <c r="B570" s="2" t="s">
        <v>622</v>
      </c>
      <c r="C570" s="4">
        <v>2</v>
      </c>
      <c r="D570" s="5">
        <v>2.48</v>
      </c>
      <c r="E570" s="5">
        <v>7.99</v>
      </c>
      <c r="F570" s="4">
        <v>10005379300</v>
      </c>
      <c r="G570" s="2" t="s">
        <v>437</v>
      </c>
      <c r="H570" s="7" t="s">
        <v>590</v>
      </c>
      <c r="I570" s="2" t="s">
        <v>483</v>
      </c>
      <c r="J570" s="2" t="s">
        <v>536</v>
      </c>
      <c r="K570" s="2" t="s">
        <v>304</v>
      </c>
      <c r="L570" s="2" t="s">
        <v>623</v>
      </c>
      <c r="M570" s="8" t="str">
        <f>HYPERLINK("http://slimages.macys.com/is/image/MCY/12465415 ")</f>
        <v xml:space="preserve">http://slimages.macys.com/is/image/MCY/12465415 </v>
      </c>
    </row>
    <row r="571" spans="1:13" ht="60" x14ac:dyDescent="0.25">
      <c r="A571" s="7" t="s">
        <v>2314</v>
      </c>
      <c r="B571" s="2" t="s">
        <v>622</v>
      </c>
      <c r="C571" s="4">
        <v>4</v>
      </c>
      <c r="D571" s="5">
        <v>2.48</v>
      </c>
      <c r="E571" s="5">
        <v>7.99</v>
      </c>
      <c r="F571" s="4">
        <v>10005379300</v>
      </c>
      <c r="G571" s="2" t="s">
        <v>437</v>
      </c>
      <c r="H571" s="7"/>
      <c r="I571" s="2" t="s">
        <v>483</v>
      </c>
      <c r="J571" s="2" t="s">
        <v>536</v>
      </c>
      <c r="K571" s="2" t="s">
        <v>304</v>
      </c>
      <c r="L571" s="2" t="s">
        <v>623</v>
      </c>
      <c r="M571" s="8" t="str">
        <f>HYPERLINK("http://slimages.macys.com/is/image/MCY/12465415 ")</f>
        <v xml:space="preserve">http://slimages.macys.com/is/image/MCY/12465415 </v>
      </c>
    </row>
    <row r="572" spans="1:13" ht="60" x14ac:dyDescent="0.25">
      <c r="A572" s="7" t="s">
        <v>3526</v>
      </c>
      <c r="B572" s="2" t="s">
        <v>3527</v>
      </c>
      <c r="C572" s="4">
        <v>1</v>
      </c>
      <c r="D572" s="5">
        <v>2.48</v>
      </c>
      <c r="E572" s="5">
        <v>6.99</v>
      </c>
      <c r="F572" s="4" t="s">
        <v>3528</v>
      </c>
      <c r="G572" s="2" t="s">
        <v>595</v>
      </c>
      <c r="H572" s="7" t="s">
        <v>149</v>
      </c>
      <c r="I572" s="2" t="s">
        <v>483</v>
      </c>
      <c r="J572" s="2" t="s">
        <v>536</v>
      </c>
      <c r="K572" s="2" t="s">
        <v>304</v>
      </c>
      <c r="L572" s="2" t="s">
        <v>596</v>
      </c>
      <c r="M572" s="8" t="str">
        <f>HYPERLINK("http://slimages.macys.com/is/image/MCY/14799396 ")</f>
        <v xml:space="preserve">http://slimages.macys.com/is/image/MCY/14799396 </v>
      </c>
    </row>
    <row r="573" spans="1:13" ht="60" x14ac:dyDescent="0.25">
      <c r="A573" s="7" t="s">
        <v>2313</v>
      </c>
      <c r="B573" s="2" t="s">
        <v>622</v>
      </c>
      <c r="C573" s="4">
        <v>2</v>
      </c>
      <c r="D573" s="5">
        <v>2.48</v>
      </c>
      <c r="E573" s="5">
        <v>7.99</v>
      </c>
      <c r="F573" s="4">
        <v>10005379300</v>
      </c>
      <c r="G573" s="2" t="s">
        <v>437</v>
      </c>
      <c r="H573" s="7" t="s">
        <v>149</v>
      </c>
      <c r="I573" s="2" t="s">
        <v>483</v>
      </c>
      <c r="J573" s="2" t="s">
        <v>536</v>
      </c>
      <c r="K573" s="2" t="s">
        <v>304</v>
      </c>
      <c r="L573" s="2" t="s">
        <v>623</v>
      </c>
      <c r="M573" s="8" t="str">
        <f>HYPERLINK("http://slimages.macys.com/is/image/MCY/12465415 ")</f>
        <v xml:space="preserve">http://slimages.macys.com/is/image/MCY/12465415 </v>
      </c>
    </row>
    <row r="574" spans="1:13" ht="60" x14ac:dyDescent="0.25">
      <c r="A574" s="7" t="s">
        <v>2309</v>
      </c>
      <c r="B574" s="2" t="s">
        <v>622</v>
      </c>
      <c r="C574" s="4">
        <v>1</v>
      </c>
      <c r="D574" s="5">
        <v>2.48</v>
      </c>
      <c r="E574" s="5">
        <v>7.99</v>
      </c>
      <c r="F574" s="4">
        <v>10005379300</v>
      </c>
      <c r="G574" s="2" t="s">
        <v>437</v>
      </c>
      <c r="H574" s="7" t="s">
        <v>482</v>
      </c>
      <c r="I574" s="2" t="s">
        <v>483</v>
      </c>
      <c r="J574" s="2" t="s">
        <v>536</v>
      </c>
      <c r="K574" s="2" t="s">
        <v>304</v>
      </c>
      <c r="L574" s="2" t="s">
        <v>623</v>
      </c>
      <c r="M574" s="8" t="str">
        <f>HYPERLINK("http://slimages.macys.com/is/image/MCY/12465415 ")</f>
        <v xml:space="preserve">http://slimages.macys.com/is/image/MCY/12465415 </v>
      </c>
    </row>
    <row r="575" spans="1:13" ht="60" x14ac:dyDescent="0.25">
      <c r="A575" s="7" t="s">
        <v>4562</v>
      </c>
      <c r="B575" s="2" t="s">
        <v>3527</v>
      </c>
      <c r="C575" s="4">
        <v>1</v>
      </c>
      <c r="D575" s="5">
        <v>2.48</v>
      </c>
      <c r="E575" s="5">
        <v>6.99</v>
      </c>
      <c r="F575" s="4" t="s">
        <v>3528</v>
      </c>
      <c r="G575" s="2" t="s">
        <v>595</v>
      </c>
      <c r="H575" s="7" t="s">
        <v>590</v>
      </c>
      <c r="I575" s="2" t="s">
        <v>483</v>
      </c>
      <c r="J575" s="2" t="s">
        <v>536</v>
      </c>
      <c r="K575" s="2" t="s">
        <v>304</v>
      </c>
      <c r="L575" s="2" t="s">
        <v>596</v>
      </c>
      <c r="M575" s="8" t="str">
        <f>HYPERLINK("http://slimages.macys.com/is/image/MCY/14799396 ")</f>
        <v xml:space="preserve">http://slimages.macys.com/is/image/MCY/14799396 </v>
      </c>
    </row>
    <row r="576" spans="1:13" ht="60" x14ac:dyDescent="0.25">
      <c r="A576" s="7" t="s">
        <v>3529</v>
      </c>
      <c r="B576" s="2" t="s">
        <v>3527</v>
      </c>
      <c r="C576" s="4">
        <v>1</v>
      </c>
      <c r="D576" s="5">
        <v>2.48</v>
      </c>
      <c r="E576" s="5">
        <v>6.99</v>
      </c>
      <c r="F576" s="4" t="s">
        <v>3528</v>
      </c>
      <c r="G576" s="2" t="s">
        <v>595</v>
      </c>
      <c r="H576" s="7" t="s">
        <v>442</v>
      </c>
      <c r="I576" s="2" t="s">
        <v>483</v>
      </c>
      <c r="J576" s="2" t="s">
        <v>536</v>
      </c>
      <c r="K576" s="2" t="s">
        <v>304</v>
      </c>
      <c r="L576" s="2" t="s">
        <v>596</v>
      </c>
      <c r="M576" s="8" t="str">
        <f>HYPERLINK("http://slimages.macys.com/is/image/MCY/14799396 ")</f>
        <v xml:space="preserve">http://slimages.macys.com/is/image/MCY/14799396 </v>
      </c>
    </row>
    <row r="577" spans="1:13" ht="60" x14ac:dyDescent="0.25">
      <c r="A577" s="7" t="s">
        <v>4563</v>
      </c>
      <c r="B577" s="2" t="s">
        <v>4564</v>
      </c>
      <c r="C577" s="4">
        <v>1</v>
      </c>
      <c r="D577" s="5">
        <v>2.4300000000000002</v>
      </c>
      <c r="E577" s="5">
        <v>6.99</v>
      </c>
      <c r="F577" s="4" t="s">
        <v>4565</v>
      </c>
      <c r="G577" s="2" t="s">
        <v>171</v>
      </c>
      <c r="H577" s="7" t="s">
        <v>482</v>
      </c>
      <c r="I577" s="2" t="s">
        <v>483</v>
      </c>
      <c r="J577" s="2" t="s">
        <v>536</v>
      </c>
      <c r="K577" s="2" t="s">
        <v>304</v>
      </c>
      <c r="L577" s="2" t="s">
        <v>100</v>
      </c>
      <c r="M577" s="8" t="str">
        <f>HYPERLINK("http://slimages.macys.com/is/image/MCY/13987449 ")</f>
        <v xml:space="preserve">http://slimages.macys.com/is/image/MCY/13987449 </v>
      </c>
    </row>
    <row r="578" spans="1:13" ht="60" x14ac:dyDescent="0.25">
      <c r="A578" s="7" t="s">
        <v>4566</v>
      </c>
      <c r="B578" s="2" t="s">
        <v>4567</v>
      </c>
      <c r="C578" s="4">
        <v>1</v>
      </c>
      <c r="D578" s="5">
        <v>2.4300000000000002</v>
      </c>
      <c r="E578" s="5">
        <v>6.99</v>
      </c>
      <c r="F578" s="4">
        <v>10006315200</v>
      </c>
      <c r="G578" s="2" t="s">
        <v>1302</v>
      </c>
      <c r="H578" s="7"/>
      <c r="I578" s="2" t="s">
        <v>483</v>
      </c>
      <c r="J578" s="2" t="s">
        <v>536</v>
      </c>
      <c r="K578" s="2" t="s">
        <v>304</v>
      </c>
      <c r="L578" s="2" t="s">
        <v>596</v>
      </c>
      <c r="M578" s="8" t="str">
        <f>HYPERLINK("http://slimages.macys.com/is/image/MCY/13987463 ")</f>
        <v xml:space="preserve">http://slimages.macys.com/is/image/MCY/13987463 </v>
      </c>
    </row>
    <row r="579" spans="1:13" ht="108" x14ac:dyDescent="0.25">
      <c r="A579" s="7" t="s">
        <v>2325</v>
      </c>
      <c r="B579" s="2" t="s">
        <v>2322</v>
      </c>
      <c r="C579" s="4">
        <v>1</v>
      </c>
      <c r="D579" s="5">
        <v>2.4300000000000002</v>
      </c>
      <c r="E579" s="5">
        <v>7.99</v>
      </c>
      <c r="F579" s="4" t="s">
        <v>2323</v>
      </c>
      <c r="G579" s="2" t="s">
        <v>41</v>
      </c>
      <c r="H579" s="7" t="s">
        <v>590</v>
      </c>
      <c r="I579" s="2" t="s">
        <v>483</v>
      </c>
      <c r="J579" s="2" t="s">
        <v>536</v>
      </c>
      <c r="K579" s="2" t="s">
        <v>304</v>
      </c>
      <c r="L579" s="2" t="s">
        <v>2324</v>
      </c>
      <c r="M579" s="8" t="str">
        <f>HYPERLINK("http://slimages.macys.com/is/image/MCY/14384998 ")</f>
        <v xml:space="preserve">http://slimages.macys.com/is/image/MCY/14384998 </v>
      </c>
    </row>
    <row r="580" spans="1:13" ht="108" x14ac:dyDescent="0.25">
      <c r="A580" s="7" t="s">
        <v>2326</v>
      </c>
      <c r="B580" s="2" t="s">
        <v>2322</v>
      </c>
      <c r="C580" s="4">
        <v>2</v>
      </c>
      <c r="D580" s="5">
        <v>2.4300000000000002</v>
      </c>
      <c r="E580" s="5">
        <v>7.99</v>
      </c>
      <c r="F580" s="4" t="s">
        <v>2323</v>
      </c>
      <c r="G580" s="2" t="s">
        <v>41</v>
      </c>
      <c r="H580" s="7" t="s">
        <v>149</v>
      </c>
      <c r="I580" s="2" t="s">
        <v>483</v>
      </c>
      <c r="J580" s="2" t="s">
        <v>536</v>
      </c>
      <c r="K580" s="2" t="s">
        <v>304</v>
      </c>
      <c r="L580" s="2" t="s">
        <v>2324</v>
      </c>
      <c r="M580" s="8" t="str">
        <f>HYPERLINK("http://slimages.macys.com/is/image/MCY/14384998 ")</f>
        <v xml:space="preserve">http://slimages.macys.com/is/image/MCY/14384998 </v>
      </c>
    </row>
    <row r="581" spans="1:13" ht="60" x14ac:dyDescent="0.25">
      <c r="A581" s="7" t="s">
        <v>4568</v>
      </c>
      <c r="B581" s="2" t="s">
        <v>4567</v>
      </c>
      <c r="C581" s="4">
        <v>1</v>
      </c>
      <c r="D581" s="5">
        <v>2.4300000000000002</v>
      </c>
      <c r="E581" s="5">
        <v>6.99</v>
      </c>
      <c r="F581" s="4">
        <v>10006315200</v>
      </c>
      <c r="G581" s="2" t="s">
        <v>1302</v>
      </c>
      <c r="H581" s="7" t="s">
        <v>482</v>
      </c>
      <c r="I581" s="2" t="s">
        <v>483</v>
      </c>
      <c r="J581" s="2" t="s">
        <v>536</v>
      </c>
      <c r="K581" s="2" t="s">
        <v>304</v>
      </c>
      <c r="L581" s="2" t="s">
        <v>596</v>
      </c>
      <c r="M581" s="8" t="str">
        <f>HYPERLINK("http://slimages.macys.com/is/image/MCY/13987463 ")</f>
        <v xml:space="preserve">http://slimages.macys.com/is/image/MCY/13987463 </v>
      </c>
    </row>
    <row r="582" spans="1:13" ht="60" x14ac:dyDescent="0.25">
      <c r="A582" s="7" t="s">
        <v>3532</v>
      </c>
      <c r="B582" s="2" t="s">
        <v>3533</v>
      </c>
      <c r="C582" s="4">
        <v>3</v>
      </c>
      <c r="D582" s="5">
        <v>2.42</v>
      </c>
      <c r="E582" s="5">
        <v>7.99</v>
      </c>
      <c r="F582" s="4" t="s">
        <v>3534</v>
      </c>
      <c r="G582" s="2" t="s">
        <v>48</v>
      </c>
      <c r="H582" s="7" t="s">
        <v>578</v>
      </c>
      <c r="I582" s="2" t="s">
        <v>483</v>
      </c>
      <c r="J582" s="2" t="s">
        <v>536</v>
      </c>
      <c r="K582" s="2" t="s">
        <v>304</v>
      </c>
      <c r="L582" s="2" t="s">
        <v>119</v>
      </c>
      <c r="M582" s="8" t="str">
        <f>HYPERLINK("http://slimages.macys.com/is/image/MCY/14380988 ")</f>
        <v xml:space="preserve">http://slimages.macys.com/is/image/MCY/14380988 </v>
      </c>
    </row>
    <row r="583" spans="1:13" ht="60" x14ac:dyDescent="0.25">
      <c r="A583" s="7" t="s">
        <v>4569</v>
      </c>
      <c r="B583" s="2" t="s">
        <v>3533</v>
      </c>
      <c r="C583" s="4">
        <v>3</v>
      </c>
      <c r="D583" s="5">
        <v>2.42</v>
      </c>
      <c r="E583" s="5">
        <v>7.99</v>
      </c>
      <c r="F583" s="4" t="s">
        <v>3534</v>
      </c>
      <c r="G583" s="2" t="s">
        <v>48</v>
      </c>
      <c r="H583" s="7" t="s">
        <v>1151</v>
      </c>
      <c r="I583" s="2" t="s">
        <v>483</v>
      </c>
      <c r="J583" s="2" t="s">
        <v>536</v>
      </c>
      <c r="K583" s="2" t="s">
        <v>304</v>
      </c>
      <c r="L583" s="2" t="s">
        <v>119</v>
      </c>
      <c r="M583" s="8" t="str">
        <f>HYPERLINK("http://slimages.macys.com/is/image/MCY/14380988 ")</f>
        <v xml:space="preserve">http://slimages.macys.com/is/image/MCY/14380988 </v>
      </c>
    </row>
    <row r="584" spans="1:13" ht="60" x14ac:dyDescent="0.25">
      <c r="A584" s="7" t="s">
        <v>2333</v>
      </c>
      <c r="B584" s="2" t="s">
        <v>2330</v>
      </c>
      <c r="C584" s="4">
        <v>1</v>
      </c>
      <c r="D584" s="5">
        <v>2.35</v>
      </c>
      <c r="E584" s="5">
        <v>5.99</v>
      </c>
      <c r="F584" s="4" t="s">
        <v>2331</v>
      </c>
      <c r="G584" s="2" t="s">
        <v>36</v>
      </c>
      <c r="H584" s="7" t="s">
        <v>590</v>
      </c>
      <c r="I584" s="2" t="s">
        <v>483</v>
      </c>
      <c r="J584" s="2" t="s">
        <v>536</v>
      </c>
      <c r="K584" s="2" t="s">
        <v>304</v>
      </c>
      <c r="L584" s="2" t="s">
        <v>596</v>
      </c>
      <c r="M584" s="8" t="str">
        <f>HYPERLINK("http://slimages.macys.com/is/image/MCY/12466357 ")</f>
        <v xml:space="preserve">http://slimages.macys.com/is/image/MCY/12466357 </v>
      </c>
    </row>
    <row r="585" spans="1:13" ht="60" x14ac:dyDescent="0.25">
      <c r="A585" s="7" t="s">
        <v>4570</v>
      </c>
      <c r="B585" s="2" t="s">
        <v>2330</v>
      </c>
      <c r="C585" s="4">
        <v>1</v>
      </c>
      <c r="D585" s="5">
        <v>2.35</v>
      </c>
      <c r="E585" s="5">
        <v>5.99</v>
      </c>
      <c r="F585" s="4" t="s">
        <v>2331</v>
      </c>
      <c r="G585" s="2" t="s">
        <v>36</v>
      </c>
      <c r="H585" s="7" t="s">
        <v>149</v>
      </c>
      <c r="I585" s="2" t="s">
        <v>483</v>
      </c>
      <c r="J585" s="2" t="s">
        <v>536</v>
      </c>
      <c r="K585" s="2" t="s">
        <v>304</v>
      </c>
      <c r="L585" s="2" t="s">
        <v>596</v>
      </c>
      <c r="M585" s="8" t="str">
        <f>HYPERLINK("http://slimages.macys.com/is/image/MCY/12466357 ")</f>
        <v xml:space="preserve">http://slimages.macys.com/is/image/MCY/12466357 </v>
      </c>
    </row>
    <row r="586" spans="1:13" ht="60" x14ac:dyDescent="0.25">
      <c r="A586" s="7" t="s">
        <v>4571</v>
      </c>
      <c r="B586" s="2" t="s">
        <v>1354</v>
      </c>
      <c r="C586" s="4">
        <v>1</v>
      </c>
      <c r="D586" s="5">
        <v>2.34</v>
      </c>
      <c r="E586" s="5">
        <v>5.99</v>
      </c>
      <c r="F586" s="4" t="s">
        <v>1355</v>
      </c>
      <c r="G586" s="2" t="s">
        <v>643</v>
      </c>
      <c r="H586" s="7" t="s">
        <v>42</v>
      </c>
      <c r="I586" s="2" t="s">
        <v>483</v>
      </c>
      <c r="J586" s="2" t="s">
        <v>536</v>
      </c>
      <c r="K586" s="2" t="s">
        <v>304</v>
      </c>
      <c r="L586" s="2" t="s">
        <v>38</v>
      </c>
      <c r="M586" s="8" t="str">
        <f>HYPERLINK("http://slimages.macys.com/is/image/MCY/13337390 ")</f>
        <v xml:space="preserve">http://slimages.macys.com/is/image/MCY/13337390 </v>
      </c>
    </row>
    <row r="587" spans="1:13" ht="60" x14ac:dyDescent="0.25">
      <c r="A587" s="7" t="s">
        <v>4572</v>
      </c>
      <c r="B587" s="2" t="s">
        <v>4573</v>
      </c>
      <c r="C587" s="4">
        <v>1</v>
      </c>
      <c r="D587" s="5">
        <v>2.34</v>
      </c>
      <c r="E587" s="5">
        <v>5.99</v>
      </c>
      <c r="F587" s="4" t="s">
        <v>4574</v>
      </c>
      <c r="G587" s="2" t="s">
        <v>1360</v>
      </c>
      <c r="H587" s="7" t="s">
        <v>91</v>
      </c>
      <c r="I587" s="2" t="s">
        <v>483</v>
      </c>
      <c r="J587" s="2" t="s">
        <v>536</v>
      </c>
      <c r="K587" s="2" t="s">
        <v>304</v>
      </c>
      <c r="L587" s="2" t="s">
        <v>38</v>
      </c>
      <c r="M587" s="8" t="str">
        <f>HYPERLINK("http://slimages.macys.com/is/image/MCY/13987605 ")</f>
        <v xml:space="preserve">http://slimages.macys.com/is/image/MCY/13987605 </v>
      </c>
    </row>
    <row r="588" spans="1:13" ht="60" x14ac:dyDescent="0.25">
      <c r="A588" s="7" t="s">
        <v>4575</v>
      </c>
      <c r="B588" s="2" t="s">
        <v>4576</v>
      </c>
      <c r="C588" s="4">
        <v>1</v>
      </c>
      <c r="D588" s="5">
        <v>2.33</v>
      </c>
      <c r="E588" s="5">
        <v>6.99</v>
      </c>
      <c r="F588" s="4" t="s">
        <v>4577</v>
      </c>
      <c r="G588" s="2" t="s">
        <v>297</v>
      </c>
      <c r="H588" s="7" t="s">
        <v>442</v>
      </c>
      <c r="I588" s="2" t="s">
        <v>483</v>
      </c>
      <c r="J588" s="2" t="s">
        <v>536</v>
      </c>
      <c r="K588" s="2" t="s">
        <v>304</v>
      </c>
      <c r="L588" s="2" t="s">
        <v>596</v>
      </c>
      <c r="M588" s="8" t="str">
        <f>HYPERLINK("http://slimages.macys.com/is/image/MCY/12465959 ")</f>
        <v xml:space="preserve">http://slimages.macys.com/is/image/MCY/12465959 </v>
      </c>
    </row>
    <row r="589" spans="1:13" ht="60" x14ac:dyDescent="0.25">
      <c r="A589" s="7" t="s">
        <v>4578</v>
      </c>
      <c r="B589" s="2" t="s">
        <v>4579</v>
      </c>
      <c r="C589" s="4">
        <v>2</v>
      </c>
      <c r="D589" s="5">
        <v>2.31</v>
      </c>
      <c r="E589" s="5">
        <v>7.99</v>
      </c>
      <c r="F589" s="4">
        <v>10004192100</v>
      </c>
      <c r="G589" s="2" t="s">
        <v>297</v>
      </c>
      <c r="H589" s="7" t="s">
        <v>531</v>
      </c>
      <c r="I589" s="2" t="s">
        <v>483</v>
      </c>
      <c r="J589" s="2" t="s">
        <v>536</v>
      </c>
      <c r="K589" s="2" t="s">
        <v>304</v>
      </c>
      <c r="L589" s="2" t="s">
        <v>75</v>
      </c>
      <c r="M589" s="8" t="str">
        <f>HYPERLINK("http://slimages.macys.com/is/image/MCY/11519987 ")</f>
        <v xml:space="preserve">http://slimages.macys.com/is/image/MCY/11519987 </v>
      </c>
    </row>
    <row r="590" spans="1:13" ht="60" x14ac:dyDescent="0.25">
      <c r="A590" s="7" t="s">
        <v>4580</v>
      </c>
      <c r="B590" s="2" t="s">
        <v>2350</v>
      </c>
      <c r="C590" s="4">
        <v>1</v>
      </c>
      <c r="D590" s="5">
        <v>2.31</v>
      </c>
      <c r="E590" s="5">
        <v>7.99</v>
      </c>
      <c r="F590" s="4" t="s">
        <v>2351</v>
      </c>
      <c r="G590" s="2" t="s">
        <v>657</v>
      </c>
      <c r="H590" s="7" t="s">
        <v>514</v>
      </c>
      <c r="I590" s="2" t="s">
        <v>483</v>
      </c>
      <c r="J590" s="2" t="s">
        <v>536</v>
      </c>
      <c r="K590" s="2" t="s">
        <v>304</v>
      </c>
      <c r="L590" s="2" t="s">
        <v>38</v>
      </c>
      <c r="M590" s="8" t="str">
        <f>HYPERLINK("http://slimages.macys.com/is/image/MCY/13987607 ")</f>
        <v xml:space="preserve">http://slimages.macys.com/is/image/MCY/13987607 </v>
      </c>
    </row>
    <row r="591" spans="1:13" ht="60" x14ac:dyDescent="0.25">
      <c r="A591" s="7" t="s">
        <v>4581</v>
      </c>
      <c r="B591" s="2" t="s">
        <v>2350</v>
      </c>
      <c r="C591" s="4">
        <v>1</v>
      </c>
      <c r="D591" s="5">
        <v>2.31</v>
      </c>
      <c r="E591" s="5">
        <v>7.99</v>
      </c>
      <c r="F591" s="4" t="s">
        <v>2351</v>
      </c>
      <c r="G591" s="2" t="s">
        <v>657</v>
      </c>
      <c r="H591" s="7" t="s">
        <v>578</v>
      </c>
      <c r="I591" s="2" t="s">
        <v>483</v>
      </c>
      <c r="J591" s="2" t="s">
        <v>536</v>
      </c>
      <c r="K591" s="2" t="s">
        <v>304</v>
      </c>
      <c r="L591" s="2" t="s">
        <v>38</v>
      </c>
      <c r="M591" s="8" t="str">
        <f>HYPERLINK("http://slimages.macys.com/is/image/MCY/13987607 ")</f>
        <v xml:space="preserve">http://slimages.macys.com/is/image/MCY/13987607 </v>
      </c>
    </row>
    <row r="592" spans="1:13" ht="60" x14ac:dyDescent="0.25">
      <c r="A592" s="7" t="s">
        <v>2347</v>
      </c>
      <c r="B592" s="2" t="s">
        <v>2348</v>
      </c>
      <c r="C592" s="4">
        <v>2</v>
      </c>
      <c r="D592" s="5">
        <v>2.31</v>
      </c>
      <c r="E592" s="5">
        <v>7.99</v>
      </c>
      <c r="F592" s="4">
        <v>10005380100</v>
      </c>
      <c r="G592" s="2" t="s">
        <v>1360</v>
      </c>
      <c r="H592" s="7" t="s">
        <v>531</v>
      </c>
      <c r="I592" s="2" t="s">
        <v>483</v>
      </c>
      <c r="J592" s="2" t="s">
        <v>536</v>
      </c>
      <c r="K592" s="2" t="s">
        <v>304</v>
      </c>
      <c r="L592" s="2" t="s">
        <v>87</v>
      </c>
      <c r="M592" s="8" t="str">
        <f>HYPERLINK("http://slimages.macys.com/is/image/MCY/12466174 ")</f>
        <v xml:space="preserve">http://slimages.macys.com/is/image/MCY/12466174 </v>
      </c>
    </row>
    <row r="593" spans="1:13" ht="60" x14ac:dyDescent="0.25">
      <c r="A593" s="7" t="s">
        <v>4582</v>
      </c>
      <c r="B593" s="2" t="s">
        <v>4583</v>
      </c>
      <c r="C593" s="4">
        <v>1</v>
      </c>
      <c r="D593" s="5">
        <v>2.31</v>
      </c>
      <c r="E593" s="5">
        <v>7.99</v>
      </c>
      <c r="F593" s="4" t="s">
        <v>4584</v>
      </c>
      <c r="G593" s="2" t="s">
        <v>657</v>
      </c>
      <c r="H593" s="7" t="s">
        <v>1151</v>
      </c>
      <c r="I593" s="2" t="s">
        <v>483</v>
      </c>
      <c r="J593" s="2" t="s">
        <v>536</v>
      </c>
      <c r="K593" s="2" t="s">
        <v>304</v>
      </c>
      <c r="L593" s="2" t="s">
        <v>119</v>
      </c>
      <c r="M593" s="8" t="str">
        <f>HYPERLINK("http://slimages.macys.com/is/image/MCY/12636887 ")</f>
        <v xml:space="preserve">http://slimages.macys.com/is/image/MCY/12636887 </v>
      </c>
    </row>
    <row r="594" spans="1:13" ht="60" x14ac:dyDescent="0.25">
      <c r="A594" s="7" t="s">
        <v>2362</v>
      </c>
      <c r="B594" s="2" t="s">
        <v>2359</v>
      </c>
      <c r="C594" s="4">
        <v>1</v>
      </c>
      <c r="D594" s="5">
        <v>2.29</v>
      </c>
      <c r="E594" s="5">
        <v>5.99</v>
      </c>
      <c r="F594" s="4" t="s">
        <v>2360</v>
      </c>
      <c r="G594" s="2" t="s">
        <v>28</v>
      </c>
      <c r="H594" s="7" t="s">
        <v>442</v>
      </c>
      <c r="I594" s="2" t="s">
        <v>483</v>
      </c>
      <c r="J594" s="2" t="s">
        <v>536</v>
      </c>
      <c r="K594" s="2" t="s">
        <v>304</v>
      </c>
      <c r="L594" s="2" t="s">
        <v>119</v>
      </c>
      <c r="M594" s="8" t="str">
        <f>HYPERLINK("http://slimages.macys.com/is/image/MCY/12644507 ")</f>
        <v xml:space="preserve">http://slimages.macys.com/is/image/MCY/12644507 </v>
      </c>
    </row>
    <row r="595" spans="1:13" ht="60" x14ac:dyDescent="0.25">
      <c r="A595" s="7" t="s">
        <v>4585</v>
      </c>
      <c r="B595" s="2" t="s">
        <v>2359</v>
      </c>
      <c r="C595" s="4">
        <v>1</v>
      </c>
      <c r="D595" s="5">
        <v>2.29</v>
      </c>
      <c r="E595" s="5">
        <v>5.99</v>
      </c>
      <c r="F595" s="4" t="s">
        <v>2360</v>
      </c>
      <c r="G595" s="2" t="s">
        <v>28</v>
      </c>
      <c r="H595" s="7" t="s">
        <v>590</v>
      </c>
      <c r="I595" s="2" t="s">
        <v>483</v>
      </c>
      <c r="J595" s="2" t="s">
        <v>536</v>
      </c>
      <c r="K595" s="2" t="s">
        <v>304</v>
      </c>
      <c r="L595" s="2" t="s">
        <v>119</v>
      </c>
      <c r="M595" s="8" t="str">
        <f>HYPERLINK("http://slimages.macys.com/is/image/MCY/12644507 ")</f>
        <v xml:space="preserve">http://slimages.macys.com/is/image/MCY/12644507 </v>
      </c>
    </row>
    <row r="596" spans="1:13" ht="60" x14ac:dyDescent="0.25">
      <c r="A596" s="7" t="s">
        <v>4586</v>
      </c>
      <c r="B596" s="2" t="s">
        <v>4587</v>
      </c>
      <c r="C596" s="4">
        <v>1</v>
      </c>
      <c r="D596" s="5">
        <v>2.27</v>
      </c>
      <c r="E596" s="5">
        <v>5.99</v>
      </c>
      <c r="F596" s="4" t="s">
        <v>4588</v>
      </c>
      <c r="G596" s="2" t="s">
        <v>129</v>
      </c>
      <c r="H596" s="7" t="s">
        <v>42</v>
      </c>
      <c r="I596" s="2" t="s">
        <v>483</v>
      </c>
      <c r="J596" s="2" t="s">
        <v>536</v>
      </c>
      <c r="K596" s="2" t="s">
        <v>304</v>
      </c>
      <c r="L596" s="2" t="s">
        <v>38</v>
      </c>
      <c r="M596" s="8" t="str">
        <f>HYPERLINK("http://slimages.macys.com/is/image/MCY/11857357 ")</f>
        <v xml:space="preserve">http://slimages.macys.com/is/image/MCY/11857357 </v>
      </c>
    </row>
    <row r="597" spans="1:13" ht="60" x14ac:dyDescent="0.25">
      <c r="A597" s="7" t="s">
        <v>1371</v>
      </c>
      <c r="B597" s="2" t="s">
        <v>1372</v>
      </c>
      <c r="C597" s="4">
        <v>1</v>
      </c>
      <c r="D597" s="5">
        <v>2.27</v>
      </c>
      <c r="E597" s="5">
        <v>5.99</v>
      </c>
      <c r="F597" s="4" t="s">
        <v>1373</v>
      </c>
      <c r="G597" s="2" t="s">
        <v>134</v>
      </c>
      <c r="H597" s="7" t="s">
        <v>442</v>
      </c>
      <c r="I597" s="2" t="s">
        <v>483</v>
      </c>
      <c r="J597" s="2" t="s">
        <v>536</v>
      </c>
      <c r="K597" s="2" t="s">
        <v>304</v>
      </c>
      <c r="L597" s="2" t="s">
        <v>119</v>
      </c>
      <c r="M597" s="8" t="str">
        <f>HYPERLINK("http://slimages.macys.com/is/image/MCY/12642166 ")</f>
        <v xml:space="preserve">http://slimages.macys.com/is/image/MCY/12642166 </v>
      </c>
    </row>
    <row r="598" spans="1:13" ht="60" x14ac:dyDescent="0.25">
      <c r="A598" s="7" t="s">
        <v>4589</v>
      </c>
      <c r="B598" s="2" t="s">
        <v>4590</v>
      </c>
      <c r="C598" s="4">
        <v>1</v>
      </c>
      <c r="D598" s="5">
        <v>2.27</v>
      </c>
      <c r="E598" s="5">
        <v>5.99</v>
      </c>
      <c r="F598" s="4" t="s">
        <v>4591</v>
      </c>
      <c r="G598" s="2" t="s">
        <v>353</v>
      </c>
      <c r="H598" s="7" t="s">
        <v>42</v>
      </c>
      <c r="I598" s="2" t="s">
        <v>483</v>
      </c>
      <c r="J598" s="2" t="s">
        <v>536</v>
      </c>
      <c r="K598" s="2" t="s">
        <v>304</v>
      </c>
      <c r="L598" s="2" t="s">
        <v>206</v>
      </c>
      <c r="M598" s="8" t="str">
        <f>HYPERLINK("http://slimages.macys.com/is/image/MCY/12239826 ")</f>
        <v xml:space="preserve">http://slimages.macys.com/is/image/MCY/12239826 </v>
      </c>
    </row>
    <row r="599" spans="1:13" ht="60" x14ac:dyDescent="0.25">
      <c r="A599" s="7" t="s">
        <v>4592</v>
      </c>
      <c r="B599" s="2" t="s">
        <v>4590</v>
      </c>
      <c r="C599" s="4">
        <v>1</v>
      </c>
      <c r="D599" s="5">
        <v>2.27</v>
      </c>
      <c r="E599" s="5">
        <v>5.99</v>
      </c>
      <c r="F599" s="4" t="s">
        <v>4591</v>
      </c>
      <c r="G599" s="2" t="s">
        <v>353</v>
      </c>
      <c r="H599" s="7" t="s">
        <v>91</v>
      </c>
      <c r="I599" s="2" t="s">
        <v>483</v>
      </c>
      <c r="J599" s="2" t="s">
        <v>536</v>
      </c>
      <c r="K599" s="2" t="s">
        <v>304</v>
      </c>
      <c r="L599" s="2" t="s">
        <v>206</v>
      </c>
      <c r="M599" s="8" t="str">
        <f>HYPERLINK("http://slimages.macys.com/is/image/MCY/12239826 ")</f>
        <v xml:space="preserve">http://slimages.macys.com/is/image/MCY/12239826 </v>
      </c>
    </row>
    <row r="600" spans="1:13" ht="60" x14ac:dyDescent="0.25">
      <c r="A600" s="7" t="s">
        <v>4593</v>
      </c>
      <c r="B600" s="2" t="s">
        <v>4594</v>
      </c>
      <c r="C600" s="4">
        <v>1</v>
      </c>
      <c r="D600" s="5">
        <v>2.27</v>
      </c>
      <c r="E600" s="5">
        <v>5.99</v>
      </c>
      <c r="F600" s="4" t="s">
        <v>4595</v>
      </c>
      <c r="G600" s="2" t="s">
        <v>41</v>
      </c>
      <c r="H600" s="7" t="s">
        <v>42</v>
      </c>
      <c r="I600" s="2" t="s">
        <v>483</v>
      </c>
      <c r="J600" s="2" t="s">
        <v>536</v>
      </c>
      <c r="K600" s="2" t="s">
        <v>304</v>
      </c>
      <c r="L600" s="2" t="s">
        <v>87</v>
      </c>
      <c r="M600" s="8" t="str">
        <f>HYPERLINK("http://slimages.macys.com/is/image/MCY/12466281 ")</f>
        <v xml:space="preserve">http://slimages.macys.com/is/image/MCY/12466281 </v>
      </c>
    </row>
    <row r="601" spans="1:13" ht="60" x14ac:dyDescent="0.25">
      <c r="A601" s="7" t="s">
        <v>4596</v>
      </c>
      <c r="B601" s="2" t="s">
        <v>4594</v>
      </c>
      <c r="C601" s="4">
        <v>1</v>
      </c>
      <c r="D601" s="5">
        <v>2.27</v>
      </c>
      <c r="E601" s="5">
        <v>5.99</v>
      </c>
      <c r="F601" s="4" t="s">
        <v>4595</v>
      </c>
      <c r="G601" s="2" t="s">
        <v>41</v>
      </c>
      <c r="H601" s="7" t="s">
        <v>149</v>
      </c>
      <c r="I601" s="2" t="s">
        <v>483</v>
      </c>
      <c r="J601" s="2" t="s">
        <v>536</v>
      </c>
      <c r="K601" s="2" t="s">
        <v>304</v>
      </c>
      <c r="L601" s="2" t="s">
        <v>87</v>
      </c>
      <c r="M601" s="8" t="str">
        <f>HYPERLINK("http://slimages.macys.com/is/image/MCY/12466281 ")</f>
        <v xml:space="preserve">http://slimages.macys.com/is/image/MCY/12466281 </v>
      </c>
    </row>
    <row r="602" spans="1:13" ht="60" x14ac:dyDescent="0.25">
      <c r="A602" s="7" t="s">
        <v>4597</v>
      </c>
      <c r="B602" s="2" t="s">
        <v>4598</v>
      </c>
      <c r="C602" s="4">
        <v>1</v>
      </c>
      <c r="D602" s="5">
        <v>2.2200000000000002</v>
      </c>
      <c r="E602" s="5">
        <v>5.99</v>
      </c>
      <c r="F602" s="4" t="s">
        <v>4599</v>
      </c>
      <c r="G602" s="2" t="s">
        <v>171</v>
      </c>
      <c r="H602" s="7" t="s">
        <v>42</v>
      </c>
      <c r="I602" s="2" t="s">
        <v>483</v>
      </c>
      <c r="J602" s="2" t="s">
        <v>536</v>
      </c>
      <c r="K602" s="2" t="s">
        <v>304</v>
      </c>
      <c r="L602" s="2" t="s">
        <v>119</v>
      </c>
      <c r="M602" s="8" t="str">
        <f>HYPERLINK("http://slimages.macys.com/is/image/MCY/14380996 ")</f>
        <v xml:space="preserve">http://slimages.macys.com/is/image/MCY/14380996 </v>
      </c>
    </row>
    <row r="603" spans="1:13" ht="60" x14ac:dyDescent="0.25">
      <c r="A603" s="7" t="s">
        <v>4600</v>
      </c>
      <c r="B603" s="2" t="s">
        <v>4598</v>
      </c>
      <c r="C603" s="4">
        <v>2</v>
      </c>
      <c r="D603" s="5">
        <v>2.2200000000000002</v>
      </c>
      <c r="E603" s="5">
        <v>5.99</v>
      </c>
      <c r="F603" s="4" t="s">
        <v>4599</v>
      </c>
      <c r="G603" s="2" t="s">
        <v>171</v>
      </c>
      <c r="H603" s="7" t="s">
        <v>590</v>
      </c>
      <c r="I603" s="2" t="s">
        <v>483</v>
      </c>
      <c r="J603" s="2" t="s">
        <v>536</v>
      </c>
      <c r="K603" s="2" t="s">
        <v>304</v>
      </c>
      <c r="L603" s="2" t="s">
        <v>119</v>
      </c>
      <c r="M603" s="8" t="str">
        <f>HYPERLINK("http://slimages.macys.com/is/image/MCY/14380996 ")</f>
        <v xml:space="preserve">http://slimages.macys.com/is/image/MCY/14380996 </v>
      </c>
    </row>
    <row r="604" spans="1:13" ht="60" x14ac:dyDescent="0.25">
      <c r="A604" s="7" t="s">
        <v>4601</v>
      </c>
      <c r="B604" s="2" t="s">
        <v>4598</v>
      </c>
      <c r="C604" s="4">
        <v>1</v>
      </c>
      <c r="D604" s="5">
        <v>2.2200000000000002</v>
      </c>
      <c r="E604" s="5">
        <v>5.99</v>
      </c>
      <c r="F604" s="4" t="s">
        <v>4599</v>
      </c>
      <c r="G604" s="2" t="s">
        <v>171</v>
      </c>
      <c r="H604" s="7" t="s">
        <v>91</v>
      </c>
      <c r="I604" s="2" t="s">
        <v>483</v>
      </c>
      <c r="J604" s="2" t="s">
        <v>536</v>
      </c>
      <c r="K604" s="2" t="s">
        <v>304</v>
      </c>
      <c r="L604" s="2" t="s">
        <v>119</v>
      </c>
      <c r="M604" s="8" t="str">
        <f>HYPERLINK("http://slimages.macys.com/is/image/MCY/14380996 ")</f>
        <v xml:space="preserve">http://slimages.macys.com/is/image/MCY/14380996 </v>
      </c>
    </row>
    <row r="605" spans="1:13" ht="60" x14ac:dyDescent="0.25">
      <c r="A605" s="7" t="s">
        <v>2382</v>
      </c>
      <c r="B605" s="2" t="s">
        <v>2383</v>
      </c>
      <c r="C605" s="4">
        <v>1</v>
      </c>
      <c r="D605" s="5">
        <v>2.2200000000000002</v>
      </c>
      <c r="E605" s="5">
        <v>4.99</v>
      </c>
      <c r="F605" s="4">
        <v>10004193500</v>
      </c>
      <c r="G605" s="2" t="s">
        <v>1360</v>
      </c>
      <c r="H605" s="7" t="s">
        <v>531</v>
      </c>
      <c r="I605" s="2" t="s">
        <v>483</v>
      </c>
      <c r="J605" s="2" t="s">
        <v>536</v>
      </c>
      <c r="K605" s="2" t="s">
        <v>304</v>
      </c>
      <c r="L605" s="2" t="s">
        <v>87</v>
      </c>
      <c r="M605" s="8" t="str">
        <f>HYPERLINK("http://slimages.macys.com/is/image/MCY/11520388 ")</f>
        <v xml:space="preserve">http://slimages.macys.com/is/image/MCY/11520388 </v>
      </c>
    </row>
    <row r="606" spans="1:13" ht="60" x14ac:dyDescent="0.25">
      <c r="A606" s="7" t="s">
        <v>4602</v>
      </c>
      <c r="B606" s="2" t="s">
        <v>1391</v>
      </c>
      <c r="C606" s="4">
        <v>1</v>
      </c>
      <c r="D606" s="5">
        <v>2.21</v>
      </c>
      <c r="E606" s="5">
        <v>5.99</v>
      </c>
      <c r="F606" s="4" t="s">
        <v>1392</v>
      </c>
      <c r="G606" s="2" t="s">
        <v>41</v>
      </c>
      <c r="H606" s="7" t="s">
        <v>149</v>
      </c>
      <c r="I606" s="2" t="s">
        <v>483</v>
      </c>
      <c r="J606" s="2" t="s">
        <v>536</v>
      </c>
      <c r="K606" s="2" t="s">
        <v>304</v>
      </c>
      <c r="L606" s="2" t="s">
        <v>100</v>
      </c>
      <c r="M606" s="8" t="str">
        <f>HYPERLINK("http://slimages.macys.com/is/image/MCY/12466361 ")</f>
        <v xml:space="preserve">http://slimages.macys.com/is/image/MCY/12466361 </v>
      </c>
    </row>
    <row r="607" spans="1:13" ht="60" x14ac:dyDescent="0.25">
      <c r="A607" s="7" t="s">
        <v>4603</v>
      </c>
      <c r="B607" s="2" t="s">
        <v>4604</v>
      </c>
      <c r="C607" s="4">
        <v>1</v>
      </c>
      <c r="D607" s="5">
        <v>2.21</v>
      </c>
      <c r="E607" s="5">
        <v>5.99</v>
      </c>
      <c r="F607" s="4" t="s">
        <v>4605</v>
      </c>
      <c r="G607" s="2" t="s">
        <v>86</v>
      </c>
      <c r="H607" s="7" t="s">
        <v>42</v>
      </c>
      <c r="I607" s="2" t="s">
        <v>483</v>
      </c>
      <c r="J607" s="2" t="s">
        <v>536</v>
      </c>
      <c r="K607" s="2" t="s">
        <v>304</v>
      </c>
      <c r="L607" s="2" t="s">
        <v>119</v>
      </c>
      <c r="M607" s="8" t="str">
        <f>HYPERLINK("http://slimages.macys.com/is/image/MCY/14385251 ")</f>
        <v xml:space="preserve">http://slimages.macys.com/is/image/MCY/14385251 </v>
      </c>
    </row>
    <row r="608" spans="1:13" ht="72" x14ac:dyDescent="0.25">
      <c r="A608" s="7" t="s">
        <v>4606</v>
      </c>
      <c r="B608" s="2" t="s">
        <v>4607</v>
      </c>
      <c r="C608" s="4">
        <v>2</v>
      </c>
      <c r="D608" s="5">
        <v>2.21</v>
      </c>
      <c r="E608" s="5">
        <v>6.99</v>
      </c>
      <c r="F608" s="4" t="s">
        <v>4608</v>
      </c>
      <c r="G608" s="2" t="s">
        <v>41</v>
      </c>
      <c r="H608" s="7" t="s">
        <v>604</v>
      </c>
      <c r="I608" s="2" t="s">
        <v>483</v>
      </c>
      <c r="J608" s="2" t="s">
        <v>536</v>
      </c>
      <c r="K608" s="2" t="s">
        <v>304</v>
      </c>
      <c r="L608" s="2" t="s">
        <v>4609</v>
      </c>
      <c r="M608" s="8" t="str">
        <f>HYPERLINK("http://slimages.macys.com/is/image/MCY/13987511 ")</f>
        <v xml:space="preserve">http://slimages.macys.com/is/image/MCY/13987511 </v>
      </c>
    </row>
    <row r="609" spans="1:13" ht="72" x14ac:dyDescent="0.25">
      <c r="A609" s="7" t="s">
        <v>4610</v>
      </c>
      <c r="B609" s="2" t="s">
        <v>4607</v>
      </c>
      <c r="C609" s="4">
        <v>3</v>
      </c>
      <c r="D609" s="5">
        <v>2.21</v>
      </c>
      <c r="E609" s="5">
        <v>6.99</v>
      </c>
      <c r="F609" s="4" t="s">
        <v>4608</v>
      </c>
      <c r="G609" s="2" t="s">
        <v>41</v>
      </c>
      <c r="H609" s="7" t="s">
        <v>586</v>
      </c>
      <c r="I609" s="2" t="s">
        <v>483</v>
      </c>
      <c r="J609" s="2" t="s">
        <v>536</v>
      </c>
      <c r="K609" s="2" t="s">
        <v>304</v>
      </c>
      <c r="L609" s="2" t="s">
        <v>4609</v>
      </c>
      <c r="M609" s="8" t="str">
        <f>HYPERLINK("http://slimages.macys.com/is/image/MCY/13987511 ")</f>
        <v xml:space="preserve">http://slimages.macys.com/is/image/MCY/13987511 </v>
      </c>
    </row>
    <row r="610" spans="1:13" ht="60" x14ac:dyDescent="0.25">
      <c r="A610" s="7" t="s">
        <v>4611</v>
      </c>
      <c r="B610" s="2" t="s">
        <v>4612</v>
      </c>
      <c r="C610" s="4">
        <v>1</v>
      </c>
      <c r="D610" s="5">
        <v>2.12</v>
      </c>
      <c r="E610" s="5">
        <v>5.99</v>
      </c>
      <c r="F610" s="4" t="s">
        <v>4613</v>
      </c>
      <c r="G610" s="2" t="s">
        <v>129</v>
      </c>
      <c r="H610" s="7" t="s">
        <v>590</v>
      </c>
      <c r="I610" s="2" t="s">
        <v>483</v>
      </c>
      <c r="J610" s="2" t="s">
        <v>536</v>
      </c>
      <c r="K610" s="2" t="s">
        <v>304</v>
      </c>
      <c r="L610" s="2" t="s">
        <v>206</v>
      </c>
      <c r="M610" s="8" t="str">
        <f>HYPERLINK("http://slimages.macys.com/is/image/MCY/10467605 ")</f>
        <v xml:space="preserve">http://slimages.macys.com/is/image/MCY/10467605 </v>
      </c>
    </row>
    <row r="611" spans="1:13" ht="60" x14ac:dyDescent="0.25">
      <c r="A611" s="7" t="s">
        <v>2415</v>
      </c>
      <c r="B611" s="2" t="s">
        <v>2416</v>
      </c>
      <c r="C611" s="4">
        <v>6</v>
      </c>
      <c r="D611" s="5">
        <v>1.47</v>
      </c>
      <c r="E611" s="5">
        <v>3.99</v>
      </c>
      <c r="F611" s="4" t="s">
        <v>2417</v>
      </c>
      <c r="G611" s="2" t="s">
        <v>297</v>
      </c>
      <c r="H611" s="7" t="s">
        <v>531</v>
      </c>
      <c r="I611" s="2" t="s">
        <v>483</v>
      </c>
      <c r="J611" s="2" t="s">
        <v>536</v>
      </c>
      <c r="K611" s="2" t="s">
        <v>304</v>
      </c>
      <c r="L611" s="2" t="s">
        <v>206</v>
      </c>
      <c r="M611" s="8" t="str">
        <f>HYPERLINK("http://slimages.macys.com/is/image/MCY/13987503 ")</f>
        <v xml:space="preserve">http://slimages.macys.com/is/image/MCY/13987503 </v>
      </c>
    </row>
    <row r="612" spans="1:13" ht="60" x14ac:dyDescent="0.25">
      <c r="A612" s="7" t="s">
        <v>4614</v>
      </c>
      <c r="B612" s="2" t="s">
        <v>2423</v>
      </c>
      <c r="C612" s="4">
        <v>1</v>
      </c>
      <c r="D612" s="5">
        <v>12.6</v>
      </c>
      <c r="E612" s="5">
        <v>25.2</v>
      </c>
      <c r="F612" s="4">
        <v>38346610</v>
      </c>
      <c r="G612" s="2"/>
      <c r="H612" s="7" t="s">
        <v>166</v>
      </c>
      <c r="I612" s="2" t="s">
        <v>487</v>
      </c>
      <c r="J612" s="2" t="s">
        <v>2424</v>
      </c>
      <c r="K612" s="2"/>
      <c r="L612" s="2"/>
      <c r="M612" s="8"/>
    </row>
    <row r="613" spans="1:13" ht="60" x14ac:dyDescent="0.25">
      <c r="A613" s="7" t="s">
        <v>4615</v>
      </c>
      <c r="B613" s="2" t="s">
        <v>2423</v>
      </c>
      <c r="C613" s="4">
        <v>1</v>
      </c>
      <c r="D613" s="5">
        <v>12.6</v>
      </c>
      <c r="E613" s="5">
        <v>25.2</v>
      </c>
      <c r="F613" s="4">
        <v>38346610</v>
      </c>
      <c r="G613" s="2"/>
      <c r="H613" s="7" t="s">
        <v>179</v>
      </c>
      <c r="I613" s="2" t="s">
        <v>487</v>
      </c>
      <c r="J613" s="2" t="s">
        <v>2424</v>
      </c>
      <c r="K613" s="2"/>
      <c r="L613" s="2"/>
      <c r="M613" s="8"/>
    </row>
    <row r="614" spans="1:13" ht="60" x14ac:dyDescent="0.25">
      <c r="A614" s="7" t="s">
        <v>4616</v>
      </c>
      <c r="B614" s="2" t="s">
        <v>4617</v>
      </c>
      <c r="C614" s="4">
        <v>1</v>
      </c>
      <c r="D614" s="5">
        <v>10.3</v>
      </c>
      <c r="E614" s="5">
        <v>20.6</v>
      </c>
      <c r="F614" s="4">
        <v>27872211</v>
      </c>
      <c r="G614" s="2"/>
      <c r="H614" s="7" t="s">
        <v>144</v>
      </c>
      <c r="I614" s="2" t="s">
        <v>487</v>
      </c>
      <c r="J614" s="2" t="s">
        <v>2424</v>
      </c>
      <c r="K614" s="2"/>
      <c r="L614" s="2"/>
      <c r="M614" s="8"/>
    </row>
    <row r="615" spans="1:13" ht="48" x14ac:dyDescent="0.25">
      <c r="A615" s="7" t="s">
        <v>4618</v>
      </c>
      <c r="B615" s="2" t="s">
        <v>4619</v>
      </c>
      <c r="C615" s="4">
        <v>2</v>
      </c>
      <c r="D615" s="5">
        <v>9.65</v>
      </c>
      <c r="E615" s="5">
        <v>19.3</v>
      </c>
      <c r="F615" s="4">
        <v>37865410</v>
      </c>
      <c r="G615" s="2"/>
      <c r="H615" s="7" t="s">
        <v>166</v>
      </c>
      <c r="I615" s="2" t="s">
        <v>487</v>
      </c>
      <c r="J615" s="2" t="s">
        <v>488</v>
      </c>
      <c r="K615" s="2"/>
      <c r="L615" s="2"/>
      <c r="M615" s="8"/>
    </row>
    <row r="616" spans="1:13" ht="48" x14ac:dyDescent="0.25">
      <c r="A616" s="7" t="s">
        <v>4620</v>
      </c>
      <c r="B616" s="2" t="s">
        <v>4619</v>
      </c>
      <c r="C616" s="4">
        <v>1</v>
      </c>
      <c r="D616" s="5">
        <v>9.65</v>
      </c>
      <c r="E616" s="5">
        <v>19.3</v>
      </c>
      <c r="F616" s="4">
        <v>37865410</v>
      </c>
      <c r="G616" s="2"/>
      <c r="H616" s="7"/>
      <c r="I616" s="2" t="s">
        <v>487</v>
      </c>
      <c r="J616" s="2" t="s">
        <v>488</v>
      </c>
      <c r="K616" s="2"/>
      <c r="L616" s="2"/>
      <c r="M616" s="8"/>
    </row>
    <row r="617" spans="1:13" ht="36" x14ac:dyDescent="0.25">
      <c r="A617" s="7" t="s">
        <v>4621</v>
      </c>
      <c r="B617" s="2" t="s">
        <v>2426</v>
      </c>
      <c r="C617" s="4">
        <v>1</v>
      </c>
      <c r="D617" s="5">
        <v>6.4</v>
      </c>
      <c r="E617" s="5">
        <v>14.55</v>
      </c>
      <c r="F617" s="4">
        <v>17890410</v>
      </c>
      <c r="G617" s="2" t="s">
        <v>36</v>
      </c>
      <c r="H617" s="7" t="s">
        <v>233</v>
      </c>
      <c r="I617" s="2" t="s">
        <v>153</v>
      </c>
      <c r="J617" s="2" t="s">
        <v>154</v>
      </c>
      <c r="K617" s="2"/>
      <c r="L617" s="2"/>
      <c r="M617" s="8"/>
    </row>
    <row r="618" spans="1:13" ht="36" x14ac:dyDescent="0.25">
      <c r="A618" s="7" t="s">
        <v>4622</v>
      </c>
      <c r="B618" s="2" t="s">
        <v>2426</v>
      </c>
      <c r="C618" s="4">
        <v>1</v>
      </c>
      <c r="D618" s="5">
        <v>6.4</v>
      </c>
      <c r="E618" s="5">
        <v>14.55</v>
      </c>
      <c r="F618" s="4">
        <v>17890410</v>
      </c>
      <c r="G618" s="2" t="s">
        <v>36</v>
      </c>
      <c r="H618" s="7" t="s">
        <v>482</v>
      </c>
      <c r="I618" s="2" t="s">
        <v>153</v>
      </c>
      <c r="J618" s="2" t="s">
        <v>154</v>
      </c>
      <c r="K618" s="2"/>
      <c r="L618" s="2"/>
      <c r="M618" s="8"/>
    </row>
    <row r="619" spans="1:13" ht="36" x14ac:dyDescent="0.25">
      <c r="A619" s="7" t="s">
        <v>4623</v>
      </c>
      <c r="B619" s="2" t="s">
        <v>4624</v>
      </c>
      <c r="C619" s="4">
        <v>1</v>
      </c>
      <c r="D619" s="5">
        <v>6.4</v>
      </c>
      <c r="E619" s="5">
        <v>14.55</v>
      </c>
      <c r="F619" s="4">
        <v>17890810</v>
      </c>
      <c r="G619" s="2" t="s">
        <v>653</v>
      </c>
      <c r="H619" s="7" t="s">
        <v>91</v>
      </c>
      <c r="I619" s="2" t="s">
        <v>153</v>
      </c>
      <c r="J619" s="2" t="s">
        <v>154</v>
      </c>
      <c r="K619" s="2"/>
      <c r="L619" s="2"/>
      <c r="M619" s="8"/>
    </row>
  </sheetData>
  <pageMargins left="0.5" right="0.5" top="0.25" bottom="0.25" header="0.3" footer="0.3"/>
  <pageSetup scale="65" orientation="landscape" horizontalDpi="0" verticalDpi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27"/>
  <sheetViews>
    <sheetView workbookViewId="0">
      <selection activeCell="N8" sqref="N8"/>
    </sheetView>
  </sheetViews>
  <sheetFormatPr defaultRowHeight="15" x14ac:dyDescent="0.25"/>
  <cols>
    <col min="1" max="1" width="14.28515625" customWidth="1"/>
    <col min="2" max="2" width="41.42578125" customWidth="1"/>
    <col min="3" max="3" width="15" customWidth="1"/>
    <col min="4" max="4" width="10.85546875" customWidth="1"/>
    <col min="5" max="6" width="15" customWidth="1"/>
    <col min="7" max="7" width="10.28515625" customWidth="1"/>
    <col min="8" max="8" width="13.140625" customWidth="1"/>
    <col min="9" max="11" width="11.42578125" customWidth="1"/>
    <col min="12" max="12" width="7.42578125" customWidth="1"/>
    <col min="13" max="13" width="10.85546875" customWidth="1"/>
    <col min="14" max="14" width="12.140625" customWidth="1"/>
    <col min="15" max="15" width="36.5703125" bestFit="1" customWidth="1"/>
    <col min="16" max="17" width="20.7109375" customWidth="1"/>
    <col min="18" max="18" width="64.28515625" customWidth="1"/>
  </cols>
  <sheetData>
    <row r="1" spans="1:13" ht="36" x14ac:dyDescent="0.25">
      <c r="A1" s="13" t="s">
        <v>0</v>
      </c>
      <c r="B1" s="13" t="s">
        <v>1</v>
      </c>
      <c r="C1" s="13" t="s">
        <v>2</v>
      </c>
      <c r="D1" s="13" t="s">
        <v>3</v>
      </c>
      <c r="E1" s="13" t="s">
        <v>4</v>
      </c>
      <c r="F1" s="13" t="s">
        <v>5</v>
      </c>
      <c r="G1" s="13" t="s">
        <v>6</v>
      </c>
      <c r="H1" s="13" t="s">
        <v>7</v>
      </c>
      <c r="I1" s="13" t="s">
        <v>8</v>
      </c>
      <c r="J1" s="13" t="s">
        <v>9</v>
      </c>
    </row>
    <row r="2" spans="1:13" ht="36" x14ac:dyDescent="0.25">
      <c r="A2" s="2" t="s">
        <v>654</v>
      </c>
      <c r="B2" s="3">
        <v>12498408</v>
      </c>
      <c r="C2" s="2" t="s">
        <v>11</v>
      </c>
      <c r="D2" s="2" t="s">
        <v>12</v>
      </c>
      <c r="E2" s="4">
        <v>1</v>
      </c>
      <c r="F2" s="4">
        <v>28</v>
      </c>
      <c r="G2" s="2">
        <v>324</v>
      </c>
      <c r="H2" s="5">
        <v>5784.52</v>
      </c>
      <c r="I2" s="5">
        <v>14334.11</v>
      </c>
      <c r="J2" s="2">
        <v>535</v>
      </c>
    </row>
    <row r="4" spans="1:13" s="6" customFormat="1" x14ac:dyDescent="0.25"/>
    <row r="8" spans="1:13" s="6" customFormat="1" x14ac:dyDescent="0.25"/>
    <row r="9" spans="1:13" ht="36" x14ac:dyDescent="0.25">
      <c r="A9" s="13" t="s">
        <v>13</v>
      </c>
      <c r="B9" s="13" t="s">
        <v>14</v>
      </c>
      <c r="C9" s="13" t="s">
        <v>15</v>
      </c>
      <c r="D9" s="13" t="s">
        <v>16</v>
      </c>
      <c r="E9" s="13" t="s">
        <v>17</v>
      </c>
      <c r="F9" s="13" t="s">
        <v>18</v>
      </c>
      <c r="G9" s="13" t="s">
        <v>19</v>
      </c>
      <c r="H9" s="13" t="s">
        <v>20</v>
      </c>
      <c r="I9" s="13" t="s">
        <v>21</v>
      </c>
      <c r="J9" s="13" t="s">
        <v>22</v>
      </c>
      <c r="K9" s="13" t="s">
        <v>2737</v>
      </c>
      <c r="L9" s="13" t="s">
        <v>23</v>
      </c>
      <c r="M9" s="13" t="s">
        <v>24</v>
      </c>
    </row>
    <row r="10" spans="1:13" ht="60" x14ac:dyDescent="0.25">
      <c r="A10" s="7" t="s">
        <v>2738</v>
      </c>
      <c r="B10" s="2" t="s">
        <v>2739</v>
      </c>
      <c r="C10" s="4">
        <v>1</v>
      </c>
      <c r="D10" s="5">
        <v>42.75</v>
      </c>
      <c r="E10" s="5">
        <v>95</v>
      </c>
      <c r="F10" s="4">
        <v>323750432001</v>
      </c>
      <c r="G10" s="2" t="s">
        <v>28</v>
      </c>
      <c r="H10" s="7" t="s">
        <v>2740</v>
      </c>
      <c r="I10" s="2" t="s">
        <v>700</v>
      </c>
      <c r="J10" s="2" t="s">
        <v>205</v>
      </c>
      <c r="K10" s="2" t="s">
        <v>2741</v>
      </c>
      <c r="L10" s="2" t="s">
        <v>87</v>
      </c>
      <c r="M10" s="8" t="str">
        <f>HYPERLINK("http://images.bloomingdales.com/is/image/BLM/10464482 ")</f>
        <v xml:space="preserve">http://images.bloomingdales.com/is/image/BLM/10464482 </v>
      </c>
    </row>
    <row r="11" spans="1:13" ht="132" x14ac:dyDescent="0.25">
      <c r="A11" s="7" t="s">
        <v>2742</v>
      </c>
      <c r="B11" s="2" t="s">
        <v>2743</v>
      </c>
      <c r="C11" s="4">
        <v>1</v>
      </c>
      <c r="D11" s="5">
        <v>42</v>
      </c>
      <c r="E11" s="5">
        <v>138</v>
      </c>
      <c r="F11" s="4" t="s">
        <v>2744</v>
      </c>
      <c r="G11" s="2" t="s">
        <v>297</v>
      </c>
      <c r="H11" s="7" t="s">
        <v>97</v>
      </c>
      <c r="I11" s="2" t="s">
        <v>173</v>
      </c>
      <c r="J11" s="2" t="s">
        <v>2745</v>
      </c>
      <c r="K11" s="2" t="s">
        <v>2746</v>
      </c>
      <c r="L11" s="2" t="s">
        <v>2747</v>
      </c>
      <c r="M11" s="8" t="str">
        <f>HYPERLINK("http://images.bloomingdales.com/is/image/BLM/10201137 ")</f>
        <v xml:space="preserve">http://images.bloomingdales.com/is/image/BLM/10201137 </v>
      </c>
    </row>
    <row r="12" spans="1:13" ht="108" x14ac:dyDescent="0.25">
      <c r="A12" s="7" t="s">
        <v>2748</v>
      </c>
      <c r="B12" s="2" t="s">
        <v>2749</v>
      </c>
      <c r="C12" s="4">
        <v>1</v>
      </c>
      <c r="D12" s="5">
        <v>42</v>
      </c>
      <c r="E12" s="5">
        <v>98</v>
      </c>
      <c r="F12" s="4" t="s">
        <v>2750</v>
      </c>
      <c r="G12" s="2" t="s">
        <v>62</v>
      </c>
      <c r="H12" s="7" t="s">
        <v>228</v>
      </c>
      <c r="I12" s="2" t="s">
        <v>173</v>
      </c>
      <c r="J12" s="2" t="s">
        <v>2751</v>
      </c>
      <c r="K12" s="2" t="s">
        <v>2752</v>
      </c>
      <c r="L12" s="2" t="s">
        <v>2753</v>
      </c>
      <c r="M12" s="8" t="str">
        <f>HYPERLINK("http://images.bloomingdales.com/is/image/BLM/10199790 ")</f>
        <v xml:space="preserve">http://images.bloomingdales.com/is/image/BLM/10199790 </v>
      </c>
    </row>
    <row r="13" spans="1:13" ht="60" x14ac:dyDescent="0.25">
      <c r="A13" s="7" t="s">
        <v>2754</v>
      </c>
      <c r="B13" s="2" t="s">
        <v>2755</v>
      </c>
      <c r="C13" s="4">
        <v>1</v>
      </c>
      <c r="D13" s="5">
        <v>40.28</v>
      </c>
      <c r="E13" s="5">
        <v>89.5</v>
      </c>
      <c r="F13" s="4">
        <v>312736261001</v>
      </c>
      <c r="G13" s="2" t="s">
        <v>41</v>
      </c>
      <c r="H13" s="7" t="s">
        <v>311</v>
      </c>
      <c r="I13" s="2" t="s">
        <v>173</v>
      </c>
      <c r="J13" s="2" t="s">
        <v>205</v>
      </c>
      <c r="K13" s="2" t="s">
        <v>304</v>
      </c>
      <c r="L13" s="2" t="s">
        <v>38</v>
      </c>
      <c r="M13" s="8" t="str">
        <f>HYPERLINK("http://slimages.macys.com/is/image/MCY/12274363 ")</f>
        <v xml:space="preserve">http://slimages.macys.com/is/image/MCY/12274363 </v>
      </c>
    </row>
    <row r="14" spans="1:13" ht="324" x14ac:dyDescent="0.25">
      <c r="A14" s="7" t="s">
        <v>2756</v>
      </c>
      <c r="B14" s="2" t="s">
        <v>2757</v>
      </c>
      <c r="C14" s="4">
        <v>1</v>
      </c>
      <c r="D14" s="5">
        <v>40</v>
      </c>
      <c r="E14" s="5">
        <v>110</v>
      </c>
      <c r="F14" s="4" t="s">
        <v>2758</v>
      </c>
      <c r="G14" s="2" t="s">
        <v>41</v>
      </c>
      <c r="H14" s="7" t="s">
        <v>97</v>
      </c>
      <c r="I14" s="2" t="s">
        <v>668</v>
      </c>
      <c r="J14" s="2" t="s">
        <v>672</v>
      </c>
      <c r="K14" s="2" t="s">
        <v>304</v>
      </c>
      <c r="L14" s="2" t="s">
        <v>2759</v>
      </c>
      <c r="M14" s="8" t="str">
        <f>HYPERLINK("http://slimages.macys.com/is/image/MCY/12336674 ")</f>
        <v xml:space="preserve">http://slimages.macys.com/is/image/MCY/12336674 </v>
      </c>
    </row>
    <row r="15" spans="1:13" ht="60" x14ac:dyDescent="0.25">
      <c r="A15" s="7" t="s">
        <v>2760</v>
      </c>
      <c r="B15" s="2" t="s">
        <v>2761</v>
      </c>
      <c r="C15" s="4">
        <v>2</v>
      </c>
      <c r="D15" s="5">
        <v>39.9</v>
      </c>
      <c r="E15" s="5">
        <v>79.989999999999995</v>
      </c>
      <c r="F15" s="4" t="s">
        <v>2762</v>
      </c>
      <c r="G15" s="2" t="s">
        <v>62</v>
      </c>
      <c r="H15" s="7" t="s">
        <v>29</v>
      </c>
      <c r="I15" s="2" t="s">
        <v>30</v>
      </c>
      <c r="J15" s="2" t="s">
        <v>31</v>
      </c>
      <c r="K15" s="2" t="s">
        <v>304</v>
      </c>
      <c r="L15" s="2" t="s">
        <v>32</v>
      </c>
      <c r="M15" s="8" t="str">
        <f>HYPERLINK("http://slimages.macys.com/is/image/MCY/11831381 ")</f>
        <v xml:space="preserve">http://slimages.macys.com/is/image/MCY/11831381 </v>
      </c>
    </row>
    <row r="16" spans="1:13" ht="60" x14ac:dyDescent="0.25">
      <c r="A16" s="7" t="s">
        <v>2763</v>
      </c>
      <c r="B16" s="2" t="s">
        <v>2761</v>
      </c>
      <c r="C16" s="4">
        <v>1</v>
      </c>
      <c r="D16" s="5">
        <v>39.9</v>
      </c>
      <c r="E16" s="5">
        <v>79.989999999999995</v>
      </c>
      <c r="F16" s="4" t="s">
        <v>2762</v>
      </c>
      <c r="G16" s="2" t="s">
        <v>62</v>
      </c>
      <c r="H16" s="7" t="s">
        <v>118</v>
      </c>
      <c r="I16" s="2" t="s">
        <v>30</v>
      </c>
      <c r="J16" s="2" t="s">
        <v>31</v>
      </c>
      <c r="K16" s="2" t="s">
        <v>304</v>
      </c>
      <c r="L16" s="2" t="s">
        <v>32</v>
      </c>
      <c r="M16" s="8" t="str">
        <f>HYPERLINK("http://slimages.macys.com/is/image/MCY/11831381 ")</f>
        <v xml:space="preserve">http://slimages.macys.com/is/image/MCY/11831381 </v>
      </c>
    </row>
    <row r="17" spans="1:13" ht="60" x14ac:dyDescent="0.25">
      <c r="A17" s="7" t="s">
        <v>2764</v>
      </c>
      <c r="B17" s="2" t="s">
        <v>2761</v>
      </c>
      <c r="C17" s="4">
        <v>1</v>
      </c>
      <c r="D17" s="5">
        <v>39.9</v>
      </c>
      <c r="E17" s="5">
        <v>79.989999999999995</v>
      </c>
      <c r="F17" s="4" t="s">
        <v>2765</v>
      </c>
      <c r="G17" s="2" t="s">
        <v>171</v>
      </c>
      <c r="H17" s="7" t="s">
        <v>29</v>
      </c>
      <c r="I17" s="2" t="s">
        <v>30</v>
      </c>
      <c r="J17" s="2" t="s">
        <v>31</v>
      </c>
      <c r="K17" s="2" t="s">
        <v>304</v>
      </c>
      <c r="L17" s="2" t="s">
        <v>32</v>
      </c>
      <c r="M17" s="8" t="str">
        <f>HYPERLINK("http://slimages.macys.com/is/image/MCY/11951834 ")</f>
        <v xml:space="preserve">http://slimages.macys.com/is/image/MCY/11951834 </v>
      </c>
    </row>
    <row r="18" spans="1:13" ht="60" x14ac:dyDescent="0.25">
      <c r="A18" s="7" t="s">
        <v>2766</v>
      </c>
      <c r="B18" s="2" t="s">
        <v>2767</v>
      </c>
      <c r="C18" s="4">
        <v>1</v>
      </c>
      <c r="D18" s="5">
        <v>35.78</v>
      </c>
      <c r="E18" s="5">
        <v>79.5</v>
      </c>
      <c r="F18" s="4">
        <v>322751277001</v>
      </c>
      <c r="G18" s="2" t="s">
        <v>657</v>
      </c>
      <c r="H18" s="7" t="s">
        <v>311</v>
      </c>
      <c r="I18" s="2" t="s">
        <v>700</v>
      </c>
      <c r="J18" s="2" t="s">
        <v>205</v>
      </c>
      <c r="K18" s="2" t="s">
        <v>304</v>
      </c>
      <c r="L18" s="2" t="s">
        <v>38</v>
      </c>
      <c r="M18" s="8" t="str">
        <f>HYPERLINK("http://slimages.macys.com/is/image/MCY/14356714 ")</f>
        <v xml:space="preserve">http://slimages.macys.com/is/image/MCY/14356714 </v>
      </c>
    </row>
    <row r="19" spans="1:13" ht="96" x14ac:dyDescent="0.25">
      <c r="A19" s="7" t="s">
        <v>2768</v>
      </c>
      <c r="B19" s="2" t="s">
        <v>2769</v>
      </c>
      <c r="C19" s="4">
        <v>1</v>
      </c>
      <c r="D19" s="5">
        <v>33</v>
      </c>
      <c r="E19" s="5">
        <v>72</v>
      </c>
      <c r="F19" s="4">
        <v>149720</v>
      </c>
      <c r="G19" s="2" t="s">
        <v>28</v>
      </c>
      <c r="H19" s="7" t="s">
        <v>179</v>
      </c>
      <c r="I19" s="2" t="s">
        <v>173</v>
      </c>
      <c r="J19" s="2" t="s">
        <v>2770</v>
      </c>
      <c r="K19" s="2" t="s">
        <v>2752</v>
      </c>
      <c r="L19" s="2" t="s">
        <v>2771</v>
      </c>
      <c r="M19" s="8" t="str">
        <f>HYPERLINK("http://images.bloomingdales.com/is/image/BLM/10257802 ")</f>
        <v xml:space="preserve">http://images.bloomingdales.com/is/image/BLM/10257802 </v>
      </c>
    </row>
    <row r="20" spans="1:13" ht="60" x14ac:dyDescent="0.25">
      <c r="A20" s="7" t="s">
        <v>2772</v>
      </c>
      <c r="B20" s="2" t="s">
        <v>2773</v>
      </c>
      <c r="C20" s="4">
        <v>1</v>
      </c>
      <c r="D20" s="5">
        <v>32</v>
      </c>
      <c r="E20" s="5">
        <v>64</v>
      </c>
      <c r="F20" s="4" t="s">
        <v>2774</v>
      </c>
      <c r="G20" s="2"/>
      <c r="H20" s="7"/>
      <c r="I20" s="2" t="s">
        <v>173</v>
      </c>
      <c r="J20" s="2" t="s">
        <v>2775</v>
      </c>
      <c r="K20" s="2" t="s">
        <v>2776</v>
      </c>
      <c r="L20" s="2" t="s">
        <v>2777</v>
      </c>
      <c r="M20" s="8" t="str">
        <f>HYPERLINK("http://images.bloomingdales.com/is/image/BLM/10216665 ")</f>
        <v xml:space="preserve">http://images.bloomingdales.com/is/image/BLM/10216665 </v>
      </c>
    </row>
    <row r="21" spans="1:13" ht="60" x14ac:dyDescent="0.25">
      <c r="A21" s="7" t="s">
        <v>2778</v>
      </c>
      <c r="B21" s="2" t="s">
        <v>2773</v>
      </c>
      <c r="C21" s="4">
        <v>1</v>
      </c>
      <c r="D21" s="5">
        <v>32</v>
      </c>
      <c r="E21" s="5">
        <v>64</v>
      </c>
      <c r="F21" s="4" t="s">
        <v>2774</v>
      </c>
      <c r="G21" s="2"/>
      <c r="H21" s="7"/>
      <c r="I21" s="2" t="s">
        <v>173</v>
      </c>
      <c r="J21" s="2" t="s">
        <v>2775</v>
      </c>
      <c r="K21" s="2" t="s">
        <v>2776</v>
      </c>
      <c r="L21" s="2" t="s">
        <v>2777</v>
      </c>
      <c r="M21" s="8" t="str">
        <f>HYPERLINK("http://images.bloomingdales.com/is/image/BLM/10216665 ")</f>
        <v xml:space="preserve">http://images.bloomingdales.com/is/image/BLM/10216665 </v>
      </c>
    </row>
    <row r="22" spans="1:13" ht="60" x14ac:dyDescent="0.25">
      <c r="A22" s="7" t="s">
        <v>2779</v>
      </c>
      <c r="B22" s="2" t="s">
        <v>2780</v>
      </c>
      <c r="C22" s="4">
        <v>1</v>
      </c>
      <c r="D22" s="5">
        <v>32</v>
      </c>
      <c r="E22" s="5">
        <v>69</v>
      </c>
      <c r="F22" s="4" t="s">
        <v>2781</v>
      </c>
      <c r="G22" s="2"/>
      <c r="H22" s="7" t="s">
        <v>177</v>
      </c>
      <c r="I22" s="2" t="s">
        <v>700</v>
      </c>
      <c r="J22" s="2" t="s">
        <v>2782</v>
      </c>
      <c r="K22" s="2" t="s">
        <v>2783</v>
      </c>
      <c r="L22" s="2" t="s">
        <v>87</v>
      </c>
      <c r="M22" s="8" t="str">
        <f>HYPERLINK("http://images.bloomingdales.com/is/image/BLM/10077142 ")</f>
        <v xml:space="preserve">http://images.bloomingdales.com/is/image/BLM/10077142 </v>
      </c>
    </row>
    <row r="23" spans="1:13" ht="60" x14ac:dyDescent="0.25">
      <c r="A23" s="7" t="s">
        <v>2784</v>
      </c>
      <c r="B23" s="2" t="s">
        <v>2785</v>
      </c>
      <c r="C23" s="4">
        <v>1</v>
      </c>
      <c r="D23" s="5">
        <v>31.28</v>
      </c>
      <c r="E23" s="5">
        <v>69.5</v>
      </c>
      <c r="F23" s="4">
        <v>321761651002</v>
      </c>
      <c r="G23" s="2" t="s">
        <v>657</v>
      </c>
      <c r="H23" s="7" t="s">
        <v>68</v>
      </c>
      <c r="I23" s="2" t="s">
        <v>700</v>
      </c>
      <c r="J23" s="2" t="s">
        <v>205</v>
      </c>
      <c r="K23" s="2" t="s">
        <v>2786</v>
      </c>
      <c r="L23" s="2" t="s">
        <v>87</v>
      </c>
      <c r="M23" s="8" t="str">
        <f>HYPERLINK("http://images.bloomingdales.com/is/image/BLM/10483058 ")</f>
        <v xml:space="preserve">http://images.bloomingdales.com/is/image/BLM/10483058 </v>
      </c>
    </row>
    <row r="24" spans="1:13" ht="60" x14ac:dyDescent="0.25">
      <c r="A24" s="7" t="s">
        <v>2787</v>
      </c>
      <c r="B24" s="2" t="s">
        <v>2785</v>
      </c>
      <c r="C24" s="4">
        <v>1</v>
      </c>
      <c r="D24" s="5">
        <v>31.28</v>
      </c>
      <c r="E24" s="5">
        <v>69.5</v>
      </c>
      <c r="F24" s="4">
        <v>322761651002</v>
      </c>
      <c r="G24" s="2" t="s">
        <v>657</v>
      </c>
      <c r="H24" s="7" t="s">
        <v>123</v>
      </c>
      <c r="I24" s="2" t="s">
        <v>700</v>
      </c>
      <c r="J24" s="2" t="s">
        <v>205</v>
      </c>
      <c r="K24" s="2" t="s">
        <v>2786</v>
      </c>
      <c r="L24" s="2" t="s">
        <v>87</v>
      </c>
      <c r="M24" s="8" t="str">
        <f>HYPERLINK("http://images.bloomingdales.com/is/image/BLM/10483058 ")</f>
        <v xml:space="preserve">http://images.bloomingdales.com/is/image/BLM/10483058 </v>
      </c>
    </row>
    <row r="25" spans="1:13" ht="84" x14ac:dyDescent="0.25">
      <c r="A25" s="7" t="s">
        <v>2788</v>
      </c>
      <c r="B25" s="2" t="s">
        <v>2789</v>
      </c>
      <c r="C25" s="4">
        <v>1</v>
      </c>
      <c r="D25" s="5">
        <v>29.5</v>
      </c>
      <c r="E25" s="5">
        <v>69.989999999999995</v>
      </c>
      <c r="F25" s="4" t="s">
        <v>2790</v>
      </c>
      <c r="G25" s="2" t="s">
        <v>28</v>
      </c>
      <c r="H25" s="7" t="s">
        <v>2791</v>
      </c>
      <c r="I25" s="2" t="s">
        <v>30</v>
      </c>
      <c r="J25" s="2" t="s">
        <v>1409</v>
      </c>
      <c r="K25" s="2" t="s">
        <v>304</v>
      </c>
      <c r="L25" s="2" t="s">
        <v>2792</v>
      </c>
      <c r="M25" s="8" t="str">
        <f>HYPERLINK("http://slimages.macys.com/is/image/MCY/9168316 ")</f>
        <v xml:space="preserve">http://slimages.macys.com/is/image/MCY/9168316 </v>
      </c>
    </row>
    <row r="26" spans="1:13" ht="108" x14ac:dyDescent="0.25">
      <c r="A26" s="7" t="s">
        <v>2793</v>
      </c>
      <c r="B26" s="2" t="s">
        <v>2794</v>
      </c>
      <c r="C26" s="4">
        <v>1</v>
      </c>
      <c r="D26" s="5">
        <v>29.25</v>
      </c>
      <c r="E26" s="5">
        <v>65</v>
      </c>
      <c r="F26" s="4">
        <v>320737524001</v>
      </c>
      <c r="G26" s="2" t="s">
        <v>28</v>
      </c>
      <c r="H26" s="7" t="s">
        <v>438</v>
      </c>
      <c r="I26" s="2" t="s">
        <v>676</v>
      </c>
      <c r="J26" s="2" t="s">
        <v>205</v>
      </c>
      <c r="K26" s="2" t="s">
        <v>304</v>
      </c>
      <c r="L26" s="2" t="s">
        <v>2795</v>
      </c>
      <c r="M26" s="8" t="str">
        <f>HYPERLINK("http://slimages.macys.com/is/image/MCY/12329870 ")</f>
        <v xml:space="preserve">http://slimages.macys.com/is/image/MCY/12329870 </v>
      </c>
    </row>
    <row r="27" spans="1:13" ht="60" x14ac:dyDescent="0.25">
      <c r="A27" s="7" t="s">
        <v>2796</v>
      </c>
      <c r="B27" s="2" t="s">
        <v>2797</v>
      </c>
      <c r="C27" s="4">
        <v>1</v>
      </c>
      <c r="D27" s="5">
        <v>29.25</v>
      </c>
      <c r="E27" s="5">
        <v>65</v>
      </c>
      <c r="F27" s="4">
        <v>323749995001</v>
      </c>
      <c r="G27" s="2" t="s">
        <v>310</v>
      </c>
      <c r="H27" s="7" t="s">
        <v>217</v>
      </c>
      <c r="I27" s="2" t="s">
        <v>204</v>
      </c>
      <c r="J27" s="2" t="s">
        <v>205</v>
      </c>
      <c r="K27" s="2" t="s">
        <v>304</v>
      </c>
      <c r="L27" s="2" t="s">
        <v>119</v>
      </c>
      <c r="M27" s="8" t="str">
        <f>HYPERLINK("http://slimages.macys.com/is/image/MCY/14592296 ")</f>
        <v xml:space="preserve">http://slimages.macys.com/is/image/MCY/14592296 </v>
      </c>
    </row>
    <row r="28" spans="1:13" ht="60" x14ac:dyDescent="0.25">
      <c r="A28" s="7" t="s">
        <v>2798</v>
      </c>
      <c r="B28" s="2" t="s">
        <v>2799</v>
      </c>
      <c r="C28" s="4">
        <v>2</v>
      </c>
      <c r="D28" s="5">
        <v>27.8</v>
      </c>
      <c r="E28" s="5">
        <v>69.5</v>
      </c>
      <c r="F28" s="4" t="s">
        <v>2800</v>
      </c>
      <c r="G28" s="2"/>
      <c r="H28" s="7"/>
      <c r="I28" s="2" t="s">
        <v>98</v>
      </c>
      <c r="J28" s="2" t="s">
        <v>99</v>
      </c>
      <c r="K28" s="2" t="s">
        <v>304</v>
      </c>
      <c r="L28" s="2" t="s">
        <v>596</v>
      </c>
      <c r="M28" s="8" t="str">
        <f>HYPERLINK("http://slimages.macys.com/is/image/MCY/11502889 ")</f>
        <v xml:space="preserve">http://slimages.macys.com/is/image/MCY/11502889 </v>
      </c>
    </row>
    <row r="29" spans="1:13" ht="60" x14ac:dyDescent="0.25">
      <c r="A29" s="7" t="s">
        <v>2801</v>
      </c>
      <c r="B29" s="2" t="s">
        <v>2799</v>
      </c>
      <c r="C29" s="4">
        <v>1</v>
      </c>
      <c r="D29" s="5">
        <v>27.8</v>
      </c>
      <c r="E29" s="5">
        <v>69.5</v>
      </c>
      <c r="F29" s="4" t="s">
        <v>2800</v>
      </c>
      <c r="G29" s="2"/>
      <c r="H29" s="7" t="s">
        <v>179</v>
      </c>
      <c r="I29" s="2" t="s">
        <v>98</v>
      </c>
      <c r="J29" s="2" t="s">
        <v>99</v>
      </c>
      <c r="K29" s="2" t="s">
        <v>304</v>
      </c>
      <c r="L29" s="2" t="s">
        <v>596</v>
      </c>
      <c r="M29" s="8" t="str">
        <f>HYPERLINK("http://slimages.macys.com/is/image/MCY/11502889 ")</f>
        <v xml:space="preserve">http://slimages.macys.com/is/image/MCY/11502889 </v>
      </c>
    </row>
    <row r="30" spans="1:13" ht="108" x14ac:dyDescent="0.25">
      <c r="A30" s="7" t="s">
        <v>2802</v>
      </c>
      <c r="B30" s="2" t="s">
        <v>2803</v>
      </c>
      <c r="C30" s="4">
        <v>1</v>
      </c>
      <c r="D30" s="5">
        <v>26</v>
      </c>
      <c r="E30" s="5">
        <v>58</v>
      </c>
      <c r="F30" s="4" t="s">
        <v>2804</v>
      </c>
      <c r="G30" s="2" t="s">
        <v>48</v>
      </c>
      <c r="H30" s="7" t="s">
        <v>233</v>
      </c>
      <c r="I30" s="2" t="s">
        <v>676</v>
      </c>
      <c r="J30" s="2" t="s">
        <v>2805</v>
      </c>
      <c r="K30" s="2" t="s">
        <v>2752</v>
      </c>
      <c r="L30" s="2" t="s">
        <v>2806</v>
      </c>
      <c r="M30" s="8" t="str">
        <f>HYPERLINK("http://images.bloomingdales.com/is/image/BLM/10089263 ")</f>
        <v xml:space="preserve">http://images.bloomingdales.com/is/image/BLM/10089263 </v>
      </c>
    </row>
    <row r="31" spans="1:13" ht="72" x14ac:dyDescent="0.25">
      <c r="A31" s="7" t="s">
        <v>2807</v>
      </c>
      <c r="B31" s="2" t="s">
        <v>2808</v>
      </c>
      <c r="C31" s="4">
        <v>1</v>
      </c>
      <c r="D31" s="5">
        <v>25.28</v>
      </c>
      <c r="E31" s="5">
        <v>79</v>
      </c>
      <c r="F31" s="4" t="s">
        <v>2809</v>
      </c>
      <c r="G31" s="2" t="s">
        <v>79</v>
      </c>
      <c r="H31" s="7" t="s">
        <v>166</v>
      </c>
      <c r="I31" s="2" t="s">
        <v>700</v>
      </c>
      <c r="J31" s="2" t="s">
        <v>2810</v>
      </c>
      <c r="K31" s="2" t="s">
        <v>2811</v>
      </c>
      <c r="L31" s="2" t="s">
        <v>2812</v>
      </c>
      <c r="M31" s="8" t="str">
        <f>HYPERLINK("http://images.bloomingdales.com/is/image/BLM/9546237 ")</f>
        <v xml:space="preserve">http://images.bloomingdales.com/is/image/BLM/9546237 </v>
      </c>
    </row>
    <row r="32" spans="1:13" ht="60" x14ac:dyDescent="0.25">
      <c r="A32" s="7" t="s">
        <v>2813</v>
      </c>
      <c r="B32" s="2" t="s">
        <v>2814</v>
      </c>
      <c r="C32" s="4">
        <v>1</v>
      </c>
      <c r="D32" s="5">
        <v>25.28</v>
      </c>
      <c r="E32" s="5">
        <v>79</v>
      </c>
      <c r="F32" s="4" t="s">
        <v>2815</v>
      </c>
      <c r="G32" s="2" t="s">
        <v>1302</v>
      </c>
      <c r="H32" s="7" t="s">
        <v>317</v>
      </c>
      <c r="I32" s="2" t="s">
        <v>700</v>
      </c>
      <c r="J32" s="2" t="s">
        <v>2810</v>
      </c>
      <c r="K32" s="2" t="s">
        <v>304</v>
      </c>
      <c r="L32" s="2" t="s">
        <v>596</v>
      </c>
      <c r="M32" s="8" t="str">
        <f>HYPERLINK("http://images.bloomingdales.com/is/image/BLM/8972571 ")</f>
        <v xml:space="preserve">http://images.bloomingdales.com/is/image/BLM/8972571 </v>
      </c>
    </row>
    <row r="33" spans="1:13" ht="60" x14ac:dyDescent="0.25">
      <c r="A33" s="7" t="s">
        <v>2816</v>
      </c>
      <c r="B33" s="2" t="s">
        <v>2817</v>
      </c>
      <c r="C33" s="4">
        <v>1</v>
      </c>
      <c r="D33" s="5">
        <v>25.28</v>
      </c>
      <c r="E33" s="5">
        <v>79</v>
      </c>
      <c r="F33" s="4" t="s">
        <v>2818</v>
      </c>
      <c r="G33" s="2" t="s">
        <v>1302</v>
      </c>
      <c r="H33" s="7" t="s">
        <v>179</v>
      </c>
      <c r="I33" s="2" t="s">
        <v>700</v>
      </c>
      <c r="J33" s="2" t="s">
        <v>2810</v>
      </c>
      <c r="K33" s="2" t="s">
        <v>304</v>
      </c>
      <c r="L33" s="2" t="s">
        <v>596</v>
      </c>
      <c r="M33" s="8" t="str">
        <f>HYPERLINK("http://images.bloomingdales.com/is/image/BLM/8972571 ")</f>
        <v xml:space="preserve">http://images.bloomingdales.com/is/image/BLM/8972571 </v>
      </c>
    </row>
    <row r="34" spans="1:13" ht="60" x14ac:dyDescent="0.25">
      <c r="A34" s="7" t="s">
        <v>2819</v>
      </c>
      <c r="B34" s="2" t="s">
        <v>2820</v>
      </c>
      <c r="C34" s="4">
        <v>1</v>
      </c>
      <c r="D34" s="5">
        <v>24.75</v>
      </c>
      <c r="E34" s="5">
        <v>49.5</v>
      </c>
      <c r="F34" s="4" t="s">
        <v>2821</v>
      </c>
      <c r="G34" s="2" t="s">
        <v>28</v>
      </c>
      <c r="H34" s="7" t="s">
        <v>37</v>
      </c>
      <c r="I34" s="2" t="s">
        <v>30</v>
      </c>
      <c r="J34" s="2" t="s">
        <v>658</v>
      </c>
      <c r="K34" s="2" t="s">
        <v>304</v>
      </c>
      <c r="L34" s="2" t="s">
        <v>2822</v>
      </c>
      <c r="M34" s="8" t="str">
        <f>HYPERLINK("http://slimages.macys.com/is/image/MCY/10031452 ")</f>
        <v xml:space="preserve">http://slimages.macys.com/is/image/MCY/10031452 </v>
      </c>
    </row>
    <row r="35" spans="1:13" ht="60" x14ac:dyDescent="0.25">
      <c r="A35" s="7" t="s">
        <v>2823</v>
      </c>
      <c r="B35" s="2" t="s">
        <v>2824</v>
      </c>
      <c r="C35" s="4">
        <v>1</v>
      </c>
      <c r="D35" s="5">
        <v>24.75</v>
      </c>
      <c r="E35" s="5">
        <v>55</v>
      </c>
      <c r="F35" s="4">
        <v>321749992001</v>
      </c>
      <c r="G35" s="2" t="s">
        <v>28</v>
      </c>
      <c r="H35" s="7" t="s">
        <v>68</v>
      </c>
      <c r="I35" s="2" t="s">
        <v>700</v>
      </c>
      <c r="J35" s="2" t="s">
        <v>205</v>
      </c>
      <c r="K35" s="2" t="s">
        <v>304</v>
      </c>
      <c r="L35" s="2" t="s">
        <v>206</v>
      </c>
      <c r="M35" s="8" t="str">
        <f>HYPERLINK("http://slimages.macys.com/is/image/MCY/14592343 ")</f>
        <v xml:space="preserve">http://slimages.macys.com/is/image/MCY/14592343 </v>
      </c>
    </row>
    <row r="36" spans="1:13" ht="60" x14ac:dyDescent="0.25">
      <c r="A36" s="7" t="s">
        <v>2825</v>
      </c>
      <c r="B36" s="2" t="s">
        <v>2824</v>
      </c>
      <c r="C36" s="4">
        <v>1</v>
      </c>
      <c r="D36" s="5">
        <v>24.75</v>
      </c>
      <c r="E36" s="5">
        <v>55</v>
      </c>
      <c r="F36" s="4">
        <v>322749992001</v>
      </c>
      <c r="G36" s="2" t="s">
        <v>28</v>
      </c>
      <c r="H36" s="7" t="s">
        <v>123</v>
      </c>
      <c r="I36" s="2" t="s">
        <v>700</v>
      </c>
      <c r="J36" s="2" t="s">
        <v>205</v>
      </c>
      <c r="K36" s="2" t="s">
        <v>304</v>
      </c>
      <c r="L36" s="2" t="s">
        <v>38</v>
      </c>
      <c r="M36" s="8" t="str">
        <f>HYPERLINK("http://slimages.macys.com/is/image/MCY/14592343 ")</f>
        <v xml:space="preserve">http://slimages.macys.com/is/image/MCY/14592343 </v>
      </c>
    </row>
    <row r="37" spans="1:13" ht="96" x14ac:dyDescent="0.25">
      <c r="A37" s="7" t="s">
        <v>2826</v>
      </c>
      <c r="B37" s="2" t="s">
        <v>2827</v>
      </c>
      <c r="C37" s="4">
        <v>1</v>
      </c>
      <c r="D37" s="5">
        <v>24</v>
      </c>
      <c r="E37" s="5">
        <v>48</v>
      </c>
      <c r="F37" s="4">
        <v>649039649</v>
      </c>
      <c r="G37" s="2" t="s">
        <v>41</v>
      </c>
      <c r="H37" s="7" t="s">
        <v>108</v>
      </c>
      <c r="I37" s="2" t="s">
        <v>50</v>
      </c>
      <c r="J37" s="2" t="s">
        <v>51</v>
      </c>
      <c r="K37" s="2" t="s">
        <v>304</v>
      </c>
      <c r="L37" s="2" t="s">
        <v>2828</v>
      </c>
      <c r="M37" s="8" t="str">
        <f>HYPERLINK("http://slimages.macys.com/is/image/MCY/8103937 ")</f>
        <v xml:space="preserve">http://slimages.macys.com/is/image/MCY/8103937 </v>
      </c>
    </row>
    <row r="38" spans="1:13" ht="60" x14ac:dyDescent="0.25">
      <c r="A38" s="7" t="s">
        <v>2829</v>
      </c>
      <c r="B38" s="2" t="s">
        <v>2830</v>
      </c>
      <c r="C38" s="4">
        <v>1</v>
      </c>
      <c r="D38" s="5">
        <v>23.6</v>
      </c>
      <c r="E38" s="5">
        <v>75</v>
      </c>
      <c r="F38" s="4" t="s">
        <v>2831</v>
      </c>
      <c r="G38" s="2" t="s">
        <v>657</v>
      </c>
      <c r="H38" s="7" t="s">
        <v>662</v>
      </c>
      <c r="I38" s="2" t="s">
        <v>700</v>
      </c>
      <c r="J38" s="2" t="s">
        <v>2832</v>
      </c>
      <c r="K38" s="2" t="s">
        <v>304</v>
      </c>
      <c r="L38" s="2" t="s">
        <v>2833</v>
      </c>
      <c r="M38" s="8" t="str">
        <f>HYPERLINK("http://images.bloomingdales.com/is/image/BLM/8609162 ")</f>
        <v xml:space="preserve">http://images.bloomingdales.com/is/image/BLM/8609162 </v>
      </c>
    </row>
    <row r="39" spans="1:13" ht="96" x14ac:dyDescent="0.25">
      <c r="A39" s="7" t="s">
        <v>2834</v>
      </c>
      <c r="B39" s="2" t="s">
        <v>2835</v>
      </c>
      <c r="C39" s="4">
        <v>1</v>
      </c>
      <c r="D39" s="5">
        <v>23</v>
      </c>
      <c r="E39" s="5">
        <v>52</v>
      </c>
      <c r="F39" s="4" t="s">
        <v>2836</v>
      </c>
      <c r="G39" s="2" t="s">
        <v>48</v>
      </c>
      <c r="H39" s="7" t="s">
        <v>91</v>
      </c>
      <c r="I39" s="2" t="s">
        <v>676</v>
      </c>
      <c r="J39" s="2" t="s">
        <v>2805</v>
      </c>
      <c r="K39" s="2" t="s">
        <v>2752</v>
      </c>
      <c r="L39" s="2" t="s">
        <v>2837</v>
      </c>
      <c r="M39" s="8" t="str">
        <f>HYPERLINK("http://images.bloomingdales.com/is/image/BLM/10026980 ")</f>
        <v xml:space="preserve">http://images.bloomingdales.com/is/image/BLM/10026980 </v>
      </c>
    </row>
    <row r="40" spans="1:13" ht="96" x14ac:dyDescent="0.25">
      <c r="A40" s="7" t="s">
        <v>2838</v>
      </c>
      <c r="B40" s="2" t="s">
        <v>2835</v>
      </c>
      <c r="C40" s="4">
        <v>1</v>
      </c>
      <c r="D40" s="5">
        <v>23</v>
      </c>
      <c r="E40" s="5">
        <v>52</v>
      </c>
      <c r="F40" s="4" t="s">
        <v>2836</v>
      </c>
      <c r="G40" s="2" t="s">
        <v>48</v>
      </c>
      <c r="H40" s="7" t="s">
        <v>442</v>
      </c>
      <c r="I40" s="2" t="s">
        <v>676</v>
      </c>
      <c r="J40" s="2" t="s">
        <v>2805</v>
      </c>
      <c r="K40" s="2" t="s">
        <v>2752</v>
      </c>
      <c r="L40" s="2" t="s">
        <v>2837</v>
      </c>
      <c r="M40" s="8" t="str">
        <f>HYPERLINK("http://images.bloomingdales.com/is/image/BLM/10026980 ")</f>
        <v xml:space="preserve">http://images.bloomingdales.com/is/image/BLM/10026980 </v>
      </c>
    </row>
    <row r="41" spans="1:13" ht="60" x14ac:dyDescent="0.25">
      <c r="A41" s="7" t="s">
        <v>2839</v>
      </c>
      <c r="B41" s="2" t="s">
        <v>2840</v>
      </c>
      <c r="C41" s="4">
        <v>3</v>
      </c>
      <c r="D41" s="5">
        <v>22.5</v>
      </c>
      <c r="E41" s="5">
        <v>59.99</v>
      </c>
      <c r="F41" s="4" t="s">
        <v>2841</v>
      </c>
      <c r="G41" s="2" t="s">
        <v>28</v>
      </c>
      <c r="H41" s="7"/>
      <c r="I41" s="2" t="s">
        <v>668</v>
      </c>
      <c r="J41" s="2" t="s">
        <v>1500</v>
      </c>
      <c r="K41" s="2" t="s">
        <v>304</v>
      </c>
      <c r="L41" s="2" t="s">
        <v>125</v>
      </c>
      <c r="M41" s="8" t="str">
        <f>HYPERLINK("http://slimages.macys.com/is/image/MCY/14750963 ")</f>
        <v xml:space="preserve">http://slimages.macys.com/is/image/MCY/14750963 </v>
      </c>
    </row>
    <row r="42" spans="1:13" ht="60" x14ac:dyDescent="0.25">
      <c r="A42" s="7" t="s">
        <v>2842</v>
      </c>
      <c r="B42" s="2" t="s">
        <v>2448</v>
      </c>
      <c r="C42" s="4">
        <v>1</v>
      </c>
      <c r="D42" s="5">
        <v>22.28</v>
      </c>
      <c r="E42" s="5">
        <v>49.5</v>
      </c>
      <c r="F42" s="4">
        <v>323767529001</v>
      </c>
      <c r="G42" s="2" t="s">
        <v>657</v>
      </c>
      <c r="H42" s="7" t="s">
        <v>159</v>
      </c>
      <c r="I42" s="2" t="s">
        <v>204</v>
      </c>
      <c r="J42" s="2" t="s">
        <v>205</v>
      </c>
      <c r="K42" s="2" t="s">
        <v>304</v>
      </c>
      <c r="L42" s="2" t="s">
        <v>119</v>
      </c>
      <c r="M42" s="8" t="str">
        <f>HYPERLINK("http://slimages.macys.com/is/image/MCY/13745321 ")</f>
        <v xml:space="preserve">http://slimages.macys.com/is/image/MCY/13745321 </v>
      </c>
    </row>
    <row r="43" spans="1:13" ht="72" x14ac:dyDescent="0.25">
      <c r="A43" s="7" t="s">
        <v>2843</v>
      </c>
      <c r="B43" s="2" t="s">
        <v>2844</v>
      </c>
      <c r="C43" s="4">
        <v>1</v>
      </c>
      <c r="D43" s="5">
        <v>22.05</v>
      </c>
      <c r="E43" s="5">
        <v>49.5</v>
      </c>
      <c r="F43" s="4" t="s">
        <v>2845</v>
      </c>
      <c r="G43" s="2" t="s">
        <v>814</v>
      </c>
      <c r="H43" s="7" t="s">
        <v>284</v>
      </c>
      <c r="I43" s="2" t="s">
        <v>700</v>
      </c>
      <c r="J43" s="2" t="s">
        <v>2846</v>
      </c>
      <c r="K43" s="2" t="s">
        <v>2783</v>
      </c>
      <c r="L43" s="2" t="s">
        <v>2847</v>
      </c>
      <c r="M43" s="8" t="str">
        <f>HYPERLINK("http://images.bloomingdales.com/is/image/BLM/10336587 ")</f>
        <v xml:space="preserve">http://images.bloomingdales.com/is/image/BLM/10336587 </v>
      </c>
    </row>
    <row r="44" spans="1:13" ht="60" x14ac:dyDescent="0.25">
      <c r="A44" s="7" t="s">
        <v>2848</v>
      </c>
      <c r="B44" s="2" t="s">
        <v>2849</v>
      </c>
      <c r="C44" s="4">
        <v>1</v>
      </c>
      <c r="D44" s="5">
        <v>22</v>
      </c>
      <c r="E44" s="5">
        <v>59.99</v>
      </c>
      <c r="F44" s="4" t="s">
        <v>2850</v>
      </c>
      <c r="G44" s="2"/>
      <c r="H44" s="7" t="s">
        <v>177</v>
      </c>
      <c r="I44" s="2" t="s">
        <v>668</v>
      </c>
      <c r="J44" s="2" t="s">
        <v>672</v>
      </c>
      <c r="K44" s="2" t="s">
        <v>304</v>
      </c>
      <c r="L44" s="2" t="s">
        <v>125</v>
      </c>
      <c r="M44" s="8" t="str">
        <f>HYPERLINK("http://slimages.macys.com/is/image/MCY/9003846 ")</f>
        <v xml:space="preserve">http://slimages.macys.com/is/image/MCY/9003846 </v>
      </c>
    </row>
    <row r="45" spans="1:13" ht="132" x14ac:dyDescent="0.25">
      <c r="A45" s="7" t="s">
        <v>2851</v>
      </c>
      <c r="B45" s="2" t="s">
        <v>2852</v>
      </c>
      <c r="C45" s="4">
        <v>1</v>
      </c>
      <c r="D45" s="5">
        <v>20.7</v>
      </c>
      <c r="E45" s="5">
        <v>46</v>
      </c>
      <c r="F45" s="4" t="s">
        <v>2853</v>
      </c>
      <c r="G45" s="2" t="s">
        <v>79</v>
      </c>
      <c r="H45" s="7"/>
      <c r="I45" s="2" t="s">
        <v>173</v>
      </c>
      <c r="J45" s="2" t="s">
        <v>2854</v>
      </c>
      <c r="K45" s="2" t="s">
        <v>2752</v>
      </c>
      <c r="L45" s="2" t="s">
        <v>2855</v>
      </c>
      <c r="M45" s="8" t="str">
        <f>HYPERLINK("http://images.bloomingdales.com/is/image/BLM/10236106 ")</f>
        <v xml:space="preserve">http://images.bloomingdales.com/is/image/BLM/10236106 </v>
      </c>
    </row>
    <row r="46" spans="1:13" ht="84" x14ac:dyDescent="0.25">
      <c r="A46" s="7" t="s">
        <v>2856</v>
      </c>
      <c r="B46" s="2" t="s">
        <v>2857</v>
      </c>
      <c r="C46" s="4">
        <v>1</v>
      </c>
      <c r="D46" s="5">
        <v>20.5</v>
      </c>
      <c r="E46" s="5">
        <v>42</v>
      </c>
      <c r="F46" s="4" t="s">
        <v>2858</v>
      </c>
      <c r="G46" s="2" t="s">
        <v>200</v>
      </c>
      <c r="H46" s="7" t="s">
        <v>2859</v>
      </c>
      <c r="I46" s="2" t="s">
        <v>50</v>
      </c>
      <c r="J46" s="2" t="s">
        <v>1447</v>
      </c>
      <c r="K46" s="2" t="s">
        <v>304</v>
      </c>
      <c r="L46" s="2" t="s">
        <v>2860</v>
      </c>
      <c r="M46" s="8" t="str">
        <f>HYPERLINK("http://slimages.macys.com/is/image/MCY/8292075 ")</f>
        <v xml:space="preserve">http://slimages.macys.com/is/image/MCY/8292075 </v>
      </c>
    </row>
    <row r="47" spans="1:13" ht="60" x14ac:dyDescent="0.25">
      <c r="A47" s="7" t="s">
        <v>2861</v>
      </c>
      <c r="B47" s="2" t="s">
        <v>2862</v>
      </c>
      <c r="C47" s="4">
        <v>1</v>
      </c>
      <c r="D47" s="5">
        <v>20.25</v>
      </c>
      <c r="E47" s="5">
        <v>45</v>
      </c>
      <c r="F47" s="4">
        <v>320750316001</v>
      </c>
      <c r="G47" s="2" t="s">
        <v>28</v>
      </c>
      <c r="H47" s="7" t="s">
        <v>233</v>
      </c>
      <c r="I47" s="2" t="s">
        <v>676</v>
      </c>
      <c r="J47" s="2" t="s">
        <v>677</v>
      </c>
      <c r="K47" s="2" t="s">
        <v>304</v>
      </c>
      <c r="L47" s="2" t="s">
        <v>38</v>
      </c>
      <c r="M47" s="8" t="str">
        <f>HYPERLINK("http://slimages.macys.com/is/image/MCY/14361871 ")</f>
        <v xml:space="preserve">http://slimages.macys.com/is/image/MCY/14361871 </v>
      </c>
    </row>
    <row r="48" spans="1:13" ht="60" x14ac:dyDescent="0.25">
      <c r="A48" s="7" t="s">
        <v>2863</v>
      </c>
      <c r="B48" s="2" t="s">
        <v>2864</v>
      </c>
      <c r="C48" s="4">
        <v>1</v>
      </c>
      <c r="D48" s="5">
        <v>20.170000000000002</v>
      </c>
      <c r="E48" s="5">
        <v>54.5</v>
      </c>
      <c r="F48" s="4" t="s">
        <v>2865</v>
      </c>
      <c r="G48" s="2" t="s">
        <v>79</v>
      </c>
      <c r="H48" s="7" t="s">
        <v>172</v>
      </c>
      <c r="I48" s="2" t="s">
        <v>880</v>
      </c>
      <c r="J48" s="2" t="s">
        <v>881</v>
      </c>
      <c r="K48" s="2" t="s">
        <v>304</v>
      </c>
      <c r="L48" s="2" t="s">
        <v>87</v>
      </c>
      <c r="M48" s="8" t="str">
        <f>HYPERLINK("http://slimages.macys.com/is/image/MCY/12049413 ")</f>
        <v xml:space="preserve">http://slimages.macys.com/is/image/MCY/12049413 </v>
      </c>
    </row>
    <row r="49" spans="1:13" ht="60" x14ac:dyDescent="0.25">
      <c r="A49" s="7" t="s">
        <v>2866</v>
      </c>
      <c r="B49" s="2" t="s">
        <v>2867</v>
      </c>
      <c r="C49" s="4">
        <v>1</v>
      </c>
      <c r="D49" s="5">
        <v>20</v>
      </c>
      <c r="E49" s="5">
        <v>44</v>
      </c>
      <c r="F49" s="4" t="s">
        <v>2868</v>
      </c>
      <c r="G49" s="2" t="s">
        <v>1265</v>
      </c>
      <c r="H49" s="7" t="s">
        <v>159</v>
      </c>
      <c r="I49" s="2" t="s">
        <v>700</v>
      </c>
      <c r="J49" s="2" t="s">
        <v>2805</v>
      </c>
      <c r="K49" s="2" t="s">
        <v>2752</v>
      </c>
      <c r="L49" s="2" t="s">
        <v>87</v>
      </c>
      <c r="M49" s="8" t="str">
        <f>HYPERLINK("http://images.bloomingdales.com/is/image/BLM/9740932 ")</f>
        <v xml:space="preserve">http://images.bloomingdales.com/is/image/BLM/9740932 </v>
      </c>
    </row>
    <row r="50" spans="1:13" ht="60" x14ac:dyDescent="0.25">
      <c r="A50" s="7" t="s">
        <v>2869</v>
      </c>
      <c r="B50" s="2" t="s">
        <v>2870</v>
      </c>
      <c r="C50" s="4">
        <v>1</v>
      </c>
      <c r="D50" s="5">
        <v>20</v>
      </c>
      <c r="E50" s="5">
        <v>44</v>
      </c>
      <c r="F50" s="4" t="s">
        <v>2871</v>
      </c>
      <c r="G50" s="2" t="s">
        <v>171</v>
      </c>
      <c r="H50" s="7" t="s">
        <v>2872</v>
      </c>
      <c r="I50" s="2" t="s">
        <v>700</v>
      </c>
      <c r="J50" s="2" t="s">
        <v>2805</v>
      </c>
      <c r="K50" s="2" t="s">
        <v>2752</v>
      </c>
      <c r="L50" s="2" t="s">
        <v>2873</v>
      </c>
      <c r="M50" s="8" t="str">
        <f>HYPERLINK("http://images.bloomingdales.com/is/image/BLM/10190379 ")</f>
        <v xml:space="preserve">http://images.bloomingdales.com/is/image/BLM/10190379 </v>
      </c>
    </row>
    <row r="51" spans="1:13" ht="60" x14ac:dyDescent="0.25">
      <c r="A51" s="7" t="s">
        <v>2874</v>
      </c>
      <c r="B51" s="2" t="s">
        <v>2870</v>
      </c>
      <c r="C51" s="4">
        <v>2</v>
      </c>
      <c r="D51" s="5">
        <v>20</v>
      </c>
      <c r="E51" s="5">
        <v>44</v>
      </c>
      <c r="F51" s="4" t="s">
        <v>2871</v>
      </c>
      <c r="G51" s="2" t="s">
        <v>171</v>
      </c>
      <c r="H51" s="7" t="s">
        <v>2740</v>
      </c>
      <c r="I51" s="2" t="s">
        <v>700</v>
      </c>
      <c r="J51" s="2" t="s">
        <v>2805</v>
      </c>
      <c r="K51" s="2" t="s">
        <v>2752</v>
      </c>
      <c r="L51" s="2" t="s">
        <v>2873</v>
      </c>
      <c r="M51" s="8" t="str">
        <f>HYPERLINK("http://images.bloomingdales.com/is/image/BLM/10190379 ")</f>
        <v xml:space="preserve">http://images.bloomingdales.com/is/image/BLM/10190379 </v>
      </c>
    </row>
    <row r="52" spans="1:13" ht="60" x14ac:dyDescent="0.25">
      <c r="A52" s="7" t="s">
        <v>2875</v>
      </c>
      <c r="B52" s="2" t="s">
        <v>2867</v>
      </c>
      <c r="C52" s="4">
        <v>1</v>
      </c>
      <c r="D52" s="5">
        <v>20</v>
      </c>
      <c r="E52" s="5">
        <v>44</v>
      </c>
      <c r="F52" s="4" t="s">
        <v>2868</v>
      </c>
      <c r="G52" s="2" t="s">
        <v>1265</v>
      </c>
      <c r="H52" s="7" t="s">
        <v>284</v>
      </c>
      <c r="I52" s="2" t="s">
        <v>700</v>
      </c>
      <c r="J52" s="2" t="s">
        <v>2805</v>
      </c>
      <c r="K52" s="2" t="s">
        <v>2752</v>
      </c>
      <c r="L52" s="2" t="s">
        <v>87</v>
      </c>
      <c r="M52" s="8" t="str">
        <f>HYPERLINK("http://images.bloomingdales.com/is/image/BLM/9740932 ")</f>
        <v xml:space="preserve">http://images.bloomingdales.com/is/image/BLM/9740932 </v>
      </c>
    </row>
    <row r="53" spans="1:13" ht="72" x14ac:dyDescent="0.25">
      <c r="A53" s="7" t="s">
        <v>2876</v>
      </c>
      <c r="B53" s="2" t="s">
        <v>2877</v>
      </c>
      <c r="C53" s="4">
        <v>1</v>
      </c>
      <c r="D53" s="5">
        <v>19.8</v>
      </c>
      <c r="E53" s="5">
        <v>49.5</v>
      </c>
      <c r="F53" s="4" t="s">
        <v>2878</v>
      </c>
      <c r="G53" s="2"/>
      <c r="H53" s="7" t="s">
        <v>228</v>
      </c>
      <c r="I53" s="2" t="s">
        <v>700</v>
      </c>
      <c r="J53" s="2" t="s">
        <v>2846</v>
      </c>
      <c r="K53" s="2" t="s">
        <v>2783</v>
      </c>
      <c r="L53" s="2" t="s">
        <v>2879</v>
      </c>
      <c r="M53" s="8" t="str">
        <f>HYPERLINK("http://images.bloomingdales.com/is/image/BLM/10243905 ")</f>
        <v xml:space="preserve">http://images.bloomingdales.com/is/image/BLM/10243905 </v>
      </c>
    </row>
    <row r="54" spans="1:13" ht="60" x14ac:dyDescent="0.25">
      <c r="A54" s="7" t="s">
        <v>2880</v>
      </c>
      <c r="B54" s="2" t="s">
        <v>2881</v>
      </c>
      <c r="C54" s="4">
        <v>1</v>
      </c>
      <c r="D54" s="5">
        <v>19.8</v>
      </c>
      <c r="E54" s="5">
        <v>49.5</v>
      </c>
      <c r="F54" s="4" t="s">
        <v>2882</v>
      </c>
      <c r="G54" s="2" t="s">
        <v>1160</v>
      </c>
      <c r="H54" s="7"/>
      <c r="I54" s="2" t="s">
        <v>57</v>
      </c>
      <c r="J54" s="2" t="s">
        <v>58</v>
      </c>
      <c r="K54" s="2" t="s">
        <v>304</v>
      </c>
      <c r="L54" s="2" t="s">
        <v>100</v>
      </c>
      <c r="M54" s="8" t="str">
        <f>HYPERLINK("http://slimages.macys.com/is/image/MCY/13787024 ")</f>
        <v xml:space="preserve">http://slimages.macys.com/is/image/MCY/13787024 </v>
      </c>
    </row>
    <row r="55" spans="1:13" ht="132" x14ac:dyDescent="0.25">
      <c r="A55" s="7" t="s">
        <v>2883</v>
      </c>
      <c r="B55" s="2" t="s">
        <v>60</v>
      </c>
      <c r="C55" s="4">
        <v>1</v>
      </c>
      <c r="D55" s="5">
        <v>19.5</v>
      </c>
      <c r="E55" s="5">
        <v>54.99</v>
      </c>
      <c r="F55" s="4" t="s">
        <v>61</v>
      </c>
      <c r="G55" s="2" t="s">
        <v>62</v>
      </c>
      <c r="H55" s="7" t="s">
        <v>123</v>
      </c>
      <c r="I55" s="2" t="s">
        <v>64</v>
      </c>
      <c r="J55" s="2" t="s">
        <v>65</v>
      </c>
      <c r="K55" s="2" t="s">
        <v>304</v>
      </c>
      <c r="L55" s="2" t="s">
        <v>66</v>
      </c>
      <c r="M55" s="8" t="str">
        <f>HYPERLINK("http://slimages.macys.com/is/image/MCY/14703249 ")</f>
        <v xml:space="preserve">http://slimages.macys.com/is/image/MCY/14703249 </v>
      </c>
    </row>
    <row r="56" spans="1:13" ht="60" x14ac:dyDescent="0.25">
      <c r="A56" s="7" t="s">
        <v>2884</v>
      </c>
      <c r="B56" s="2" t="s">
        <v>2885</v>
      </c>
      <c r="C56" s="4">
        <v>1</v>
      </c>
      <c r="D56" s="5">
        <v>19.04</v>
      </c>
      <c r="E56" s="5">
        <v>51</v>
      </c>
      <c r="F56" s="4" t="s">
        <v>2886</v>
      </c>
      <c r="G56" s="2"/>
      <c r="H56" s="7" t="s">
        <v>2531</v>
      </c>
      <c r="I56" s="2" t="s">
        <v>173</v>
      </c>
      <c r="J56" s="2" t="s">
        <v>2887</v>
      </c>
      <c r="K56" s="2" t="s">
        <v>2888</v>
      </c>
      <c r="L56" s="2" t="s">
        <v>2889</v>
      </c>
      <c r="M56" s="8" t="str">
        <f>HYPERLINK("http://images.bloomingdales.com/is/image/BLM/10240556 ")</f>
        <v xml:space="preserve">http://images.bloomingdales.com/is/image/BLM/10240556 </v>
      </c>
    </row>
    <row r="57" spans="1:13" ht="60" x14ac:dyDescent="0.25">
      <c r="A57" s="7" t="s">
        <v>2890</v>
      </c>
      <c r="B57" s="2" t="s">
        <v>2891</v>
      </c>
      <c r="C57" s="4">
        <v>1</v>
      </c>
      <c r="D57" s="5">
        <v>18.5</v>
      </c>
      <c r="E57" s="5">
        <v>41.99</v>
      </c>
      <c r="F57" s="4" t="s">
        <v>2892</v>
      </c>
      <c r="G57" s="2" t="s">
        <v>79</v>
      </c>
      <c r="H57" s="7" t="s">
        <v>228</v>
      </c>
      <c r="I57" s="2" t="s">
        <v>80</v>
      </c>
      <c r="J57" s="2" t="s">
        <v>694</v>
      </c>
      <c r="K57" s="2" t="s">
        <v>304</v>
      </c>
      <c r="L57" s="2" t="s">
        <v>119</v>
      </c>
      <c r="M57" s="8" t="str">
        <f>HYPERLINK("http://slimages.macys.com/is/image/MCY/10378972 ")</f>
        <v xml:space="preserve">http://slimages.macys.com/is/image/MCY/10378972 </v>
      </c>
    </row>
    <row r="58" spans="1:13" ht="60" x14ac:dyDescent="0.25">
      <c r="A58" s="7" t="s">
        <v>2893</v>
      </c>
      <c r="B58" s="2" t="s">
        <v>2894</v>
      </c>
      <c r="C58" s="4">
        <v>1</v>
      </c>
      <c r="D58" s="5">
        <v>18.25</v>
      </c>
      <c r="E58" s="5">
        <v>40</v>
      </c>
      <c r="F58" s="4" t="s">
        <v>2895</v>
      </c>
      <c r="G58" s="2" t="s">
        <v>667</v>
      </c>
      <c r="H58" s="7" t="s">
        <v>681</v>
      </c>
      <c r="I58" s="2" t="s">
        <v>815</v>
      </c>
      <c r="J58" s="2" t="s">
        <v>2896</v>
      </c>
      <c r="K58" s="2" t="s">
        <v>304</v>
      </c>
      <c r="L58" s="2" t="s">
        <v>2897</v>
      </c>
      <c r="M58" s="8" t="str">
        <f>HYPERLINK("http://slimages.macys.com/is/image/MCY/10033115 ")</f>
        <v xml:space="preserve">http://slimages.macys.com/is/image/MCY/10033115 </v>
      </c>
    </row>
    <row r="59" spans="1:13" ht="60" x14ac:dyDescent="0.25">
      <c r="A59" s="7" t="s">
        <v>2898</v>
      </c>
      <c r="B59" s="2" t="s">
        <v>2899</v>
      </c>
      <c r="C59" s="4">
        <v>1</v>
      </c>
      <c r="D59" s="5">
        <v>18</v>
      </c>
      <c r="E59" s="5">
        <v>40</v>
      </c>
      <c r="F59" s="4" t="s">
        <v>2900</v>
      </c>
      <c r="G59" s="2" t="s">
        <v>657</v>
      </c>
      <c r="H59" s="7" t="s">
        <v>2740</v>
      </c>
      <c r="I59" s="2" t="s">
        <v>700</v>
      </c>
      <c r="J59" s="2" t="s">
        <v>2805</v>
      </c>
      <c r="K59" s="2" t="s">
        <v>2752</v>
      </c>
      <c r="L59" s="2" t="s">
        <v>2873</v>
      </c>
      <c r="M59" s="8" t="str">
        <f>HYPERLINK("http://images.bloomingdales.com/is/image/BLM/10190441 ")</f>
        <v xml:space="preserve">http://images.bloomingdales.com/is/image/BLM/10190441 </v>
      </c>
    </row>
    <row r="60" spans="1:13" ht="60" x14ac:dyDescent="0.25">
      <c r="A60" s="7" t="s">
        <v>2901</v>
      </c>
      <c r="B60" s="2" t="s">
        <v>2450</v>
      </c>
      <c r="C60" s="4">
        <v>1</v>
      </c>
      <c r="D60" s="5">
        <v>18</v>
      </c>
      <c r="E60" s="5">
        <v>49.5</v>
      </c>
      <c r="F60" s="4" t="s">
        <v>2451</v>
      </c>
      <c r="G60" s="2"/>
      <c r="H60" s="7" t="s">
        <v>177</v>
      </c>
      <c r="I60" s="2" t="s">
        <v>98</v>
      </c>
      <c r="J60" s="2" t="s">
        <v>99</v>
      </c>
      <c r="K60" s="2" t="s">
        <v>304</v>
      </c>
      <c r="L60" s="2" t="s">
        <v>100</v>
      </c>
      <c r="M60" s="8" t="str">
        <f>HYPERLINK("http://slimages.macys.com/is/image/MCY/14883572 ")</f>
        <v xml:space="preserve">http://slimages.macys.com/is/image/MCY/14883572 </v>
      </c>
    </row>
    <row r="61" spans="1:13" ht="108" x14ac:dyDescent="0.25">
      <c r="A61" s="7" t="s">
        <v>2902</v>
      </c>
      <c r="B61" s="2" t="s">
        <v>2903</v>
      </c>
      <c r="C61" s="4">
        <v>2</v>
      </c>
      <c r="D61" s="5">
        <v>18</v>
      </c>
      <c r="E61" s="5">
        <v>40</v>
      </c>
      <c r="F61" s="4">
        <v>102863</v>
      </c>
      <c r="G61" s="2" t="s">
        <v>79</v>
      </c>
      <c r="H61" s="7" t="s">
        <v>179</v>
      </c>
      <c r="I61" s="2" t="s">
        <v>173</v>
      </c>
      <c r="J61" s="2" t="s">
        <v>2904</v>
      </c>
      <c r="K61" s="2" t="s">
        <v>2905</v>
      </c>
      <c r="L61" s="2" t="s">
        <v>2906</v>
      </c>
      <c r="M61" s="8" t="str">
        <f>HYPERLINK("http://images.bloomingdales.com/is/image/BLM/10317725 ")</f>
        <v xml:space="preserve">http://images.bloomingdales.com/is/image/BLM/10317725 </v>
      </c>
    </row>
    <row r="62" spans="1:13" ht="60" x14ac:dyDescent="0.25">
      <c r="A62" s="7" t="s">
        <v>2907</v>
      </c>
      <c r="B62" s="2" t="s">
        <v>2908</v>
      </c>
      <c r="C62" s="4">
        <v>1</v>
      </c>
      <c r="D62" s="5">
        <v>18</v>
      </c>
      <c r="E62" s="5">
        <v>45</v>
      </c>
      <c r="F62" s="4">
        <v>323552481002</v>
      </c>
      <c r="G62" s="2" t="s">
        <v>171</v>
      </c>
      <c r="H62" s="7" t="s">
        <v>177</v>
      </c>
      <c r="I62" s="2" t="s">
        <v>204</v>
      </c>
      <c r="J62" s="2" t="s">
        <v>205</v>
      </c>
      <c r="K62" s="2" t="s">
        <v>304</v>
      </c>
      <c r="L62" s="2" t="s">
        <v>87</v>
      </c>
      <c r="M62" s="8" t="str">
        <f>HYPERLINK("http://slimages.macys.com/is/image/MCY/8901468 ")</f>
        <v xml:space="preserve">http://slimages.macys.com/is/image/MCY/8901468 </v>
      </c>
    </row>
    <row r="63" spans="1:13" ht="60" x14ac:dyDescent="0.25">
      <c r="A63" s="7" t="s">
        <v>2909</v>
      </c>
      <c r="B63" s="2" t="s">
        <v>703</v>
      </c>
      <c r="C63" s="4">
        <v>1</v>
      </c>
      <c r="D63" s="5">
        <v>18</v>
      </c>
      <c r="E63" s="5">
        <v>49.99</v>
      </c>
      <c r="F63" s="4" t="s">
        <v>704</v>
      </c>
      <c r="G63" s="2" t="s">
        <v>41</v>
      </c>
      <c r="H63" s="7" t="s">
        <v>311</v>
      </c>
      <c r="I63" s="2" t="s">
        <v>64</v>
      </c>
      <c r="J63" s="2" t="s">
        <v>239</v>
      </c>
      <c r="K63" s="2" t="s">
        <v>304</v>
      </c>
      <c r="L63" s="2" t="s">
        <v>705</v>
      </c>
      <c r="M63" s="8" t="str">
        <f>HYPERLINK("http://slimages.macys.com/is/image/MCY/12830492 ")</f>
        <v xml:space="preserve">http://slimages.macys.com/is/image/MCY/12830492 </v>
      </c>
    </row>
    <row r="64" spans="1:13" ht="84" x14ac:dyDescent="0.25">
      <c r="A64" s="7" t="s">
        <v>2910</v>
      </c>
      <c r="B64" s="2" t="s">
        <v>60</v>
      </c>
      <c r="C64" s="4">
        <v>1</v>
      </c>
      <c r="D64" s="5">
        <v>18</v>
      </c>
      <c r="E64" s="5">
        <v>49.99</v>
      </c>
      <c r="F64" s="4" t="s">
        <v>2453</v>
      </c>
      <c r="G64" s="2" t="s">
        <v>62</v>
      </c>
      <c r="H64" s="7" t="s">
        <v>179</v>
      </c>
      <c r="I64" s="2" t="s">
        <v>668</v>
      </c>
      <c r="J64" s="2" t="s">
        <v>1500</v>
      </c>
      <c r="K64" s="2" t="s">
        <v>304</v>
      </c>
      <c r="L64" s="2" t="s">
        <v>2454</v>
      </c>
      <c r="M64" s="8" t="str">
        <f>HYPERLINK("http://slimages.macys.com/is/image/MCY/13327949 ")</f>
        <v xml:space="preserve">http://slimages.macys.com/is/image/MCY/13327949 </v>
      </c>
    </row>
    <row r="65" spans="1:13" ht="60" x14ac:dyDescent="0.25">
      <c r="A65" s="7" t="s">
        <v>702</v>
      </c>
      <c r="B65" s="2" t="s">
        <v>703</v>
      </c>
      <c r="C65" s="4">
        <v>1</v>
      </c>
      <c r="D65" s="5">
        <v>18</v>
      </c>
      <c r="E65" s="5">
        <v>49.99</v>
      </c>
      <c r="F65" s="4" t="s">
        <v>704</v>
      </c>
      <c r="G65" s="2" t="s">
        <v>41</v>
      </c>
      <c r="H65" s="7" t="s">
        <v>209</v>
      </c>
      <c r="I65" s="2" t="s">
        <v>64</v>
      </c>
      <c r="J65" s="2" t="s">
        <v>239</v>
      </c>
      <c r="K65" s="2" t="s">
        <v>304</v>
      </c>
      <c r="L65" s="2" t="s">
        <v>705</v>
      </c>
      <c r="M65" s="8" t="str">
        <f>HYPERLINK("http://slimages.macys.com/is/image/MCY/12830492 ")</f>
        <v xml:space="preserve">http://slimages.macys.com/is/image/MCY/12830492 </v>
      </c>
    </row>
    <row r="66" spans="1:13" ht="60" x14ac:dyDescent="0.25">
      <c r="A66" s="7" t="s">
        <v>2911</v>
      </c>
      <c r="B66" s="2" t="s">
        <v>2912</v>
      </c>
      <c r="C66" s="4">
        <v>1</v>
      </c>
      <c r="D66" s="5">
        <v>18</v>
      </c>
      <c r="E66" s="5">
        <v>45</v>
      </c>
      <c r="F66" s="4">
        <v>323132568233</v>
      </c>
      <c r="G66" s="2" t="s">
        <v>2913</v>
      </c>
      <c r="H66" s="7" t="s">
        <v>172</v>
      </c>
      <c r="I66" s="2" t="s">
        <v>204</v>
      </c>
      <c r="J66" s="2" t="s">
        <v>205</v>
      </c>
      <c r="K66" s="2" t="s">
        <v>304</v>
      </c>
      <c r="L66" s="2" t="s">
        <v>87</v>
      </c>
      <c r="M66" s="8" t="str">
        <f>HYPERLINK("http://slimages.macys.com/is/image/MCY/14621294 ")</f>
        <v xml:space="preserve">http://slimages.macys.com/is/image/MCY/14621294 </v>
      </c>
    </row>
    <row r="67" spans="1:13" ht="60" x14ac:dyDescent="0.25">
      <c r="A67" s="7" t="s">
        <v>2914</v>
      </c>
      <c r="B67" s="2" t="s">
        <v>2456</v>
      </c>
      <c r="C67" s="4">
        <v>2</v>
      </c>
      <c r="D67" s="5">
        <v>17.8</v>
      </c>
      <c r="E67" s="5">
        <v>38</v>
      </c>
      <c r="F67" s="4" t="s">
        <v>2457</v>
      </c>
      <c r="G67" s="2" t="s">
        <v>195</v>
      </c>
      <c r="H67" s="7" t="s">
        <v>228</v>
      </c>
      <c r="I67" s="2" t="s">
        <v>73</v>
      </c>
      <c r="J67" s="2" t="s">
        <v>160</v>
      </c>
      <c r="K67" s="2" t="s">
        <v>304</v>
      </c>
      <c r="L67" s="2" t="s">
        <v>38</v>
      </c>
      <c r="M67" s="8" t="str">
        <f>HYPERLINK("http://slimages.macys.com/is/image/MCY/13336251 ")</f>
        <v xml:space="preserve">http://slimages.macys.com/is/image/MCY/13336251 </v>
      </c>
    </row>
    <row r="68" spans="1:13" ht="60" x14ac:dyDescent="0.25">
      <c r="A68" s="7" t="s">
        <v>2915</v>
      </c>
      <c r="B68" s="2" t="s">
        <v>2456</v>
      </c>
      <c r="C68" s="4">
        <v>1</v>
      </c>
      <c r="D68" s="5">
        <v>17.8</v>
      </c>
      <c r="E68" s="5">
        <v>38</v>
      </c>
      <c r="F68" s="4" t="s">
        <v>2457</v>
      </c>
      <c r="G68" s="2" t="s">
        <v>195</v>
      </c>
      <c r="H68" s="7" t="s">
        <v>159</v>
      </c>
      <c r="I68" s="2" t="s">
        <v>73</v>
      </c>
      <c r="J68" s="2" t="s">
        <v>160</v>
      </c>
      <c r="K68" s="2" t="s">
        <v>304</v>
      </c>
      <c r="L68" s="2" t="s">
        <v>38</v>
      </c>
      <c r="M68" s="8" t="str">
        <f>HYPERLINK("http://slimages.macys.com/is/image/MCY/13336251 ")</f>
        <v xml:space="preserve">http://slimages.macys.com/is/image/MCY/13336251 </v>
      </c>
    </row>
    <row r="69" spans="1:13" ht="60" x14ac:dyDescent="0.25">
      <c r="A69" s="7" t="s">
        <v>2916</v>
      </c>
      <c r="B69" s="2" t="s">
        <v>2917</v>
      </c>
      <c r="C69" s="4">
        <v>1</v>
      </c>
      <c r="D69" s="5">
        <v>17.78</v>
      </c>
      <c r="E69" s="5">
        <v>39.5</v>
      </c>
      <c r="F69" s="4">
        <v>323736959003</v>
      </c>
      <c r="G69" s="2" t="s">
        <v>437</v>
      </c>
      <c r="H69" s="7" t="s">
        <v>1411</v>
      </c>
      <c r="I69" s="2" t="s">
        <v>204</v>
      </c>
      <c r="J69" s="2" t="s">
        <v>205</v>
      </c>
      <c r="K69" s="2" t="s">
        <v>304</v>
      </c>
      <c r="L69" s="2" t="s">
        <v>206</v>
      </c>
      <c r="M69" s="8" t="str">
        <f>HYPERLINK("http://slimages.macys.com/is/image/MCY/12084221 ")</f>
        <v xml:space="preserve">http://slimages.macys.com/is/image/MCY/12084221 </v>
      </c>
    </row>
    <row r="70" spans="1:13" ht="60" x14ac:dyDescent="0.25">
      <c r="A70" s="7" t="s">
        <v>2918</v>
      </c>
      <c r="B70" s="2" t="s">
        <v>2919</v>
      </c>
      <c r="C70" s="4">
        <v>1</v>
      </c>
      <c r="D70" s="5">
        <v>17.78</v>
      </c>
      <c r="E70" s="5">
        <v>39.5</v>
      </c>
      <c r="F70" s="4">
        <v>321750004003</v>
      </c>
      <c r="G70" s="2" t="s">
        <v>41</v>
      </c>
      <c r="H70" s="7" t="s">
        <v>209</v>
      </c>
      <c r="I70" s="2" t="s">
        <v>700</v>
      </c>
      <c r="J70" s="2" t="s">
        <v>205</v>
      </c>
      <c r="K70" s="2" t="s">
        <v>2905</v>
      </c>
      <c r="L70" s="2" t="s">
        <v>87</v>
      </c>
      <c r="M70" s="8" t="str">
        <f>HYPERLINK("http://images.bloomingdales.com/is/image/BLM/10467098 ")</f>
        <v xml:space="preserve">http://images.bloomingdales.com/is/image/BLM/10467098 </v>
      </c>
    </row>
    <row r="71" spans="1:13" ht="192" x14ac:dyDescent="0.25">
      <c r="A71" s="7" t="s">
        <v>2920</v>
      </c>
      <c r="B71" s="2" t="s">
        <v>2921</v>
      </c>
      <c r="C71" s="4">
        <v>1</v>
      </c>
      <c r="D71" s="5">
        <v>17.5</v>
      </c>
      <c r="E71" s="5">
        <v>49.99</v>
      </c>
      <c r="F71" s="4" t="s">
        <v>2922</v>
      </c>
      <c r="G71" s="2" t="s">
        <v>582</v>
      </c>
      <c r="H71" s="7" t="s">
        <v>144</v>
      </c>
      <c r="I71" s="2" t="s">
        <v>64</v>
      </c>
      <c r="J71" s="2" t="s">
        <v>2923</v>
      </c>
      <c r="K71" s="2" t="s">
        <v>304</v>
      </c>
      <c r="L71" s="2" t="s">
        <v>2924</v>
      </c>
      <c r="M71" s="8" t="str">
        <f>HYPERLINK("http://slimages.macys.com/is/image/MCY/13061459 ")</f>
        <v xml:space="preserve">http://slimages.macys.com/is/image/MCY/13061459 </v>
      </c>
    </row>
    <row r="72" spans="1:13" ht="108" x14ac:dyDescent="0.25">
      <c r="A72" s="7" t="s">
        <v>2460</v>
      </c>
      <c r="B72" s="2" t="s">
        <v>2461</v>
      </c>
      <c r="C72" s="4">
        <v>1</v>
      </c>
      <c r="D72" s="5">
        <v>17.25</v>
      </c>
      <c r="E72" s="5">
        <v>39.99</v>
      </c>
      <c r="F72" s="4" t="s">
        <v>2462</v>
      </c>
      <c r="G72" s="2" t="s">
        <v>129</v>
      </c>
      <c r="H72" s="7" t="s">
        <v>91</v>
      </c>
      <c r="I72" s="2" t="s">
        <v>92</v>
      </c>
      <c r="J72" s="2" t="s">
        <v>187</v>
      </c>
      <c r="K72" s="2" t="s">
        <v>304</v>
      </c>
      <c r="L72" s="2" t="s">
        <v>2463</v>
      </c>
      <c r="M72" s="8" t="str">
        <f>HYPERLINK("http://slimages.macys.com/is/image/MCY/14885619 ")</f>
        <v xml:space="preserve">http://slimages.macys.com/is/image/MCY/14885619 </v>
      </c>
    </row>
    <row r="73" spans="1:13" ht="132" x14ac:dyDescent="0.25">
      <c r="A73" s="7" t="s">
        <v>2925</v>
      </c>
      <c r="B73" s="2" t="s">
        <v>2926</v>
      </c>
      <c r="C73" s="4">
        <v>1</v>
      </c>
      <c r="D73" s="5">
        <v>17</v>
      </c>
      <c r="E73" s="5">
        <v>38</v>
      </c>
      <c r="F73" s="4">
        <v>102860</v>
      </c>
      <c r="G73" s="2" t="s">
        <v>28</v>
      </c>
      <c r="H73" s="7" t="s">
        <v>166</v>
      </c>
      <c r="I73" s="2" t="s">
        <v>173</v>
      </c>
      <c r="J73" s="2" t="s">
        <v>2904</v>
      </c>
      <c r="K73" s="2" t="s">
        <v>2905</v>
      </c>
      <c r="L73" s="2" t="s">
        <v>2927</v>
      </c>
      <c r="M73" s="8" t="str">
        <f>HYPERLINK("http://images.bloomingdales.com/is/image/BLM/10317740 ")</f>
        <v xml:space="preserve">http://images.bloomingdales.com/is/image/BLM/10317740 </v>
      </c>
    </row>
    <row r="74" spans="1:13" ht="132" x14ac:dyDescent="0.25">
      <c r="A74" s="7" t="s">
        <v>2928</v>
      </c>
      <c r="B74" s="2" t="s">
        <v>2929</v>
      </c>
      <c r="C74" s="4">
        <v>1</v>
      </c>
      <c r="D74" s="5">
        <v>17</v>
      </c>
      <c r="E74" s="5">
        <v>38</v>
      </c>
      <c r="F74" s="4">
        <v>102862</v>
      </c>
      <c r="G74" s="2" t="s">
        <v>28</v>
      </c>
      <c r="H74" s="7"/>
      <c r="I74" s="2" t="s">
        <v>173</v>
      </c>
      <c r="J74" s="2" t="s">
        <v>2904</v>
      </c>
      <c r="K74" s="2" t="s">
        <v>2905</v>
      </c>
      <c r="L74" s="2" t="s">
        <v>2927</v>
      </c>
      <c r="M74" s="8" t="str">
        <f>HYPERLINK("http://images.bloomingdales.com/is/image/BLM/10317726 ")</f>
        <v xml:space="preserve">http://images.bloomingdales.com/is/image/BLM/10317726 </v>
      </c>
    </row>
    <row r="75" spans="1:13" ht="132" x14ac:dyDescent="0.25">
      <c r="A75" s="7" t="s">
        <v>2930</v>
      </c>
      <c r="B75" s="2" t="s">
        <v>2929</v>
      </c>
      <c r="C75" s="4">
        <v>1</v>
      </c>
      <c r="D75" s="5">
        <v>17</v>
      </c>
      <c r="E75" s="5">
        <v>38</v>
      </c>
      <c r="F75" s="4">
        <v>102862</v>
      </c>
      <c r="G75" s="2" t="s">
        <v>28</v>
      </c>
      <c r="H75" s="7" t="s">
        <v>179</v>
      </c>
      <c r="I75" s="2" t="s">
        <v>173</v>
      </c>
      <c r="J75" s="2" t="s">
        <v>2904</v>
      </c>
      <c r="K75" s="2" t="s">
        <v>2905</v>
      </c>
      <c r="L75" s="2" t="s">
        <v>2927</v>
      </c>
      <c r="M75" s="8" t="str">
        <f>HYPERLINK("http://images.bloomingdales.com/is/image/BLM/10317726 ")</f>
        <v xml:space="preserve">http://images.bloomingdales.com/is/image/BLM/10317726 </v>
      </c>
    </row>
    <row r="76" spans="1:13" ht="120" x14ac:dyDescent="0.25">
      <c r="A76" s="7" t="s">
        <v>2931</v>
      </c>
      <c r="B76" s="2" t="s">
        <v>2932</v>
      </c>
      <c r="C76" s="4">
        <v>1</v>
      </c>
      <c r="D76" s="5">
        <v>17</v>
      </c>
      <c r="E76" s="5">
        <v>38</v>
      </c>
      <c r="F76" s="4">
        <v>102850</v>
      </c>
      <c r="G76" s="2"/>
      <c r="H76" s="7" t="s">
        <v>172</v>
      </c>
      <c r="I76" s="2" t="s">
        <v>173</v>
      </c>
      <c r="J76" s="2" t="s">
        <v>2904</v>
      </c>
      <c r="K76" s="2" t="s">
        <v>2905</v>
      </c>
      <c r="L76" s="2" t="s">
        <v>2933</v>
      </c>
      <c r="M76" s="8" t="str">
        <f>HYPERLINK("http://images.bloomingdales.com/is/image/BLM/10119900 ")</f>
        <v xml:space="preserve">http://images.bloomingdales.com/is/image/BLM/10119900 </v>
      </c>
    </row>
    <row r="77" spans="1:13" ht="60" x14ac:dyDescent="0.25">
      <c r="A77" s="7" t="s">
        <v>2934</v>
      </c>
      <c r="B77" s="2" t="s">
        <v>2935</v>
      </c>
      <c r="C77" s="4">
        <v>1</v>
      </c>
      <c r="D77" s="5">
        <v>17</v>
      </c>
      <c r="E77" s="5">
        <v>38</v>
      </c>
      <c r="F77" s="4" t="s">
        <v>2936</v>
      </c>
      <c r="G77" s="2" t="s">
        <v>28</v>
      </c>
      <c r="H77" s="7" t="s">
        <v>159</v>
      </c>
      <c r="I77" s="2" t="s">
        <v>700</v>
      </c>
      <c r="J77" s="2" t="s">
        <v>2805</v>
      </c>
      <c r="K77" s="2" t="s">
        <v>2752</v>
      </c>
      <c r="L77" s="2" t="s">
        <v>119</v>
      </c>
      <c r="M77" s="8" t="str">
        <f>HYPERLINK("http://images.bloomingdales.com/is/image/BLM/9686520 ")</f>
        <v xml:space="preserve">http://images.bloomingdales.com/is/image/BLM/9686520 </v>
      </c>
    </row>
    <row r="78" spans="1:13" ht="60" x14ac:dyDescent="0.25">
      <c r="A78" s="7" t="s">
        <v>2937</v>
      </c>
      <c r="B78" s="2" t="s">
        <v>2938</v>
      </c>
      <c r="C78" s="4">
        <v>1</v>
      </c>
      <c r="D78" s="5">
        <v>17</v>
      </c>
      <c r="E78" s="5">
        <v>38</v>
      </c>
      <c r="F78" s="4" t="s">
        <v>2939</v>
      </c>
      <c r="G78" s="2" t="s">
        <v>28</v>
      </c>
      <c r="H78" s="7" t="s">
        <v>159</v>
      </c>
      <c r="I78" s="2" t="s">
        <v>700</v>
      </c>
      <c r="J78" s="2" t="s">
        <v>2805</v>
      </c>
      <c r="K78" s="2" t="s">
        <v>2752</v>
      </c>
      <c r="L78" s="2" t="s">
        <v>119</v>
      </c>
      <c r="M78" s="8" t="str">
        <f>HYPERLINK("http://images.bloomingdales.com/is/image/BLM/10140512 ")</f>
        <v xml:space="preserve">http://images.bloomingdales.com/is/image/BLM/10140512 </v>
      </c>
    </row>
    <row r="79" spans="1:13" ht="60" x14ac:dyDescent="0.25">
      <c r="A79" s="7" t="s">
        <v>2940</v>
      </c>
      <c r="B79" s="2" t="s">
        <v>2938</v>
      </c>
      <c r="C79" s="4">
        <v>1</v>
      </c>
      <c r="D79" s="5">
        <v>17</v>
      </c>
      <c r="E79" s="5">
        <v>38</v>
      </c>
      <c r="F79" s="4" t="s">
        <v>2939</v>
      </c>
      <c r="G79" s="2" t="s">
        <v>28</v>
      </c>
      <c r="H79" s="7" t="s">
        <v>228</v>
      </c>
      <c r="I79" s="2" t="s">
        <v>700</v>
      </c>
      <c r="J79" s="2" t="s">
        <v>2805</v>
      </c>
      <c r="K79" s="2" t="s">
        <v>2752</v>
      </c>
      <c r="L79" s="2" t="s">
        <v>119</v>
      </c>
      <c r="M79" s="8" t="str">
        <f>HYPERLINK("http://images.bloomingdales.com/is/image/BLM/10140512 ")</f>
        <v xml:space="preserve">http://images.bloomingdales.com/is/image/BLM/10140512 </v>
      </c>
    </row>
    <row r="80" spans="1:13" ht="60" x14ac:dyDescent="0.25">
      <c r="A80" s="7" t="s">
        <v>718</v>
      </c>
      <c r="B80" s="2" t="s">
        <v>715</v>
      </c>
      <c r="C80" s="4">
        <v>1</v>
      </c>
      <c r="D80" s="5">
        <v>17</v>
      </c>
      <c r="E80" s="5">
        <v>42.5</v>
      </c>
      <c r="F80" s="4" t="s">
        <v>716</v>
      </c>
      <c r="G80" s="2"/>
      <c r="H80" s="7" t="s">
        <v>56</v>
      </c>
      <c r="I80" s="2" t="s">
        <v>98</v>
      </c>
      <c r="J80" s="2" t="s">
        <v>99</v>
      </c>
      <c r="K80" s="2" t="s">
        <v>304</v>
      </c>
      <c r="L80" s="2" t="s">
        <v>100</v>
      </c>
      <c r="M80" s="8" t="str">
        <f>HYPERLINK("http://slimages.macys.com/is/image/MCY/14883551 ")</f>
        <v xml:space="preserve">http://slimages.macys.com/is/image/MCY/14883551 </v>
      </c>
    </row>
    <row r="81" spans="1:13" ht="120" x14ac:dyDescent="0.25">
      <c r="A81" s="7" t="s">
        <v>2941</v>
      </c>
      <c r="B81" s="2" t="s">
        <v>2942</v>
      </c>
      <c r="C81" s="4">
        <v>1</v>
      </c>
      <c r="D81" s="5">
        <v>17</v>
      </c>
      <c r="E81" s="5">
        <v>38</v>
      </c>
      <c r="F81" s="4">
        <v>102831</v>
      </c>
      <c r="G81" s="2"/>
      <c r="H81" s="7" t="s">
        <v>177</v>
      </c>
      <c r="I81" s="2" t="s">
        <v>173</v>
      </c>
      <c r="J81" s="2" t="s">
        <v>2904</v>
      </c>
      <c r="K81" s="2" t="s">
        <v>2905</v>
      </c>
      <c r="L81" s="2" t="s">
        <v>2933</v>
      </c>
      <c r="M81" s="8" t="str">
        <f>HYPERLINK("http://images.bloomingdales.com/is/image/BLM/10119896 ")</f>
        <v xml:space="preserve">http://images.bloomingdales.com/is/image/BLM/10119896 </v>
      </c>
    </row>
    <row r="82" spans="1:13" ht="132" x14ac:dyDescent="0.25">
      <c r="A82" s="7" t="s">
        <v>2943</v>
      </c>
      <c r="B82" s="2" t="s">
        <v>2929</v>
      </c>
      <c r="C82" s="4">
        <v>1</v>
      </c>
      <c r="D82" s="5">
        <v>17</v>
      </c>
      <c r="E82" s="5">
        <v>38</v>
      </c>
      <c r="F82" s="4">
        <v>102862</v>
      </c>
      <c r="G82" s="2" t="s">
        <v>28</v>
      </c>
      <c r="H82" s="7" t="s">
        <v>166</v>
      </c>
      <c r="I82" s="2" t="s">
        <v>173</v>
      </c>
      <c r="J82" s="2" t="s">
        <v>2904</v>
      </c>
      <c r="K82" s="2" t="s">
        <v>2905</v>
      </c>
      <c r="L82" s="2" t="s">
        <v>2927</v>
      </c>
      <c r="M82" s="8" t="str">
        <f>HYPERLINK("http://images.bloomingdales.com/is/image/BLM/10317726 ")</f>
        <v xml:space="preserve">http://images.bloomingdales.com/is/image/BLM/10317726 </v>
      </c>
    </row>
    <row r="83" spans="1:13" ht="132" x14ac:dyDescent="0.25">
      <c r="A83" s="7" t="s">
        <v>2944</v>
      </c>
      <c r="B83" s="2" t="s">
        <v>2926</v>
      </c>
      <c r="C83" s="4">
        <v>2</v>
      </c>
      <c r="D83" s="5">
        <v>17</v>
      </c>
      <c r="E83" s="5">
        <v>38</v>
      </c>
      <c r="F83" s="4">
        <v>102860</v>
      </c>
      <c r="G83" s="2" t="s">
        <v>28</v>
      </c>
      <c r="H83" s="7"/>
      <c r="I83" s="2" t="s">
        <v>173</v>
      </c>
      <c r="J83" s="2" t="s">
        <v>2904</v>
      </c>
      <c r="K83" s="2" t="s">
        <v>2905</v>
      </c>
      <c r="L83" s="2" t="s">
        <v>2927</v>
      </c>
      <c r="M83" s="8" t="str">
        <f>HYPERLINK("http://images.bloomingdales.com/is/image/BLM/10317740 ")</f>
        <v xml:space="preserve">http://images.bloomingdales.com/is/image/BLM/10317740 </v>
      </c>
    </row>
    <row r="84" spans="1:13" ht="132" x14ac:dyDescent="0.25">
      <c r="A84" s="7" t="s">
        <v>2945</v>
      </c>
      <c r="B84" s="2" t="s">
        <v>2929</v>
      </c>
      <c r="C84" s="4">
        <v>2</v>
      </c>
      <c r="D84" s="5">
        <v>17</v>
      </c>
      <c r="E84" s="5">
        <v>38</v>
      </c>
      <c r="F84" s="4">
        <v>102862</v>
      </c>
      <c r="G84" s="2" t="s">
        <v>28</v>
      </c>
      <c r="H84" s="7" t="s">
        <v>177</v>
      </c>
      <c r="I84" s="2" t="s">
        <v>173</v>
      </c>
      <c r="J84" s="2" t="s">
        <v>2904</v>
      </c>
      <c r="K84" s="2" t="s">
        <v>2905</v>
      </c>
      <c r="L84" s="2" t="s">
        <v>2927</v>
      </c>
      <c r="M84" s="8" t="str">
        <f>HYPERLINK("http://images.bloomingdales.com/is/image/BLM/10317726 ")</f>
        <v xml:space="preserve">http://images.bloomingdales.com/is/image/BLM/10317726 </v>
      </c>
    </row>
    <row r="85" spans="1:13" ht="132" x14ac:dyDescent="0.25">
      <c r="A85" s="7" t="s">
        <v>2946</v>
      </c>
      <c r="B85" s="2" t="s">
        <v>2929</v>
      </c>
      <c r="C85" s="4">
        <v>2</v>
      </c>
      <c r="D85" s="5">
        <v>17</v>
      </c>
      <c r="E85" s="5">
        <v>38</v>
      </c>
      <c r="F85" s="4">
        <v>102862</v>
      </c>
      <c r="G85" s="2" t="s">
        <v>28</v>
      </c>
      <c r="H85" s="7" t="s">
        <v>97</v>
      </c>
      <c r="I85" s="2" t="s">
        <v>173</v>
      </c>
      <c r="J85" s="2" t="s">
        <v>2904</v>
      </c>
      <c r="K85" s="2" t="s">
        <v>2905</v>
      </c>
      <c r="L85" s="2" t="s">
        <v>2927</v>
      </c>
      <c r="M85" s="8" t="str">
        <f>HYPERLINK("http://images.bloomingdales.com/is/image/BLM/10317726 ")</f>
        <v xml:space="preserve">http://images.bloomingdales.com/is/image/BLM/10317726 </v>
      </c>
    </row>
    <row r="86" spans="1:13" ht="132" x14ac:dyDescent="0.25">
      <c r="A86" s="7" t="s">
        <v>2947</v>
      </c>
      <c r="B86" s="2" t="s">
        <v>2929</v>
      </c>
      <c r="C86" s="4">
        <v>1</v>
      </c>
      <c r="D86" s="5">
        <v>17</v>
      </c>
      <c r="E86" s="5">
        <v>38</v>
      </c>
      <c r="F86" s="4">
        <v>102862</v>
      </c>
      <c r="G86" s="2" t="s">
        <v>28</v>
      </c>
      <c r="H86" s="7" t="s">
        <v>172</v>
      </c>
      <c r="I86" s="2" t="s">
        <v>173</v>
      </c>
      <c r="J86" s="2" t="s">
        <v>2904</v>
      </c>
      <c r="K86" s="2" t="s">
        <v>2905</v>
      </c>
      <c r="L86" s="2" t="s">
        <v>2927</v>
      </c>
      <c r="M86" s="8" t="str">
        <f>HYPERLINK("http://images.bloomingdales.com/is/image/BLM/10317726 ")</f>
        <v xml:space="preserve">http://images.bloomingdales.com/is/image/BLM/10317726 </v>
      </c>
    </row>
    <row r="87" spans="1:13" ht="132" x14ac:dyDescent="0.25">
      <c r="A87" s="7" t="s">
        <v>2948</v>
      </c>
      <c r="B87" s="2" t="s">
        <v>2926</v>
      </c>
      <c r="C87" s="4">
        <v>1</v>
      </c>
      <c r="D87" s="5">
        <v>17</v>
      </c>
      <c r="E87" s="5">
        <v>38</v>
      </c>
      <c r="F87" s="4">
        <v>102860</v>
      </c>
      <c r="G87" s="2" t="s">
        <v>28</v>
      </c>
      <c r="H87" s="7" t="s">
        <v>172</v>
      </c>
      <c r="I87" s="2" t="s">
        <v>173</v>
      </c>
      <c r="J87" s="2" t="s">
        <v>2904</v>
      </c>
      <c r="K87" s="2" t="s">
        <v>2905</v>
      </c>
      <c r="L87" s="2" t="s">
        <v>2927</v>
      </c>
      <c r="M87" s="8" t="str">
        <f>HYPERLINK("http://images.bloomingdales.com/is/image/BLM/10317740 ")</f>
        <v xml:space="preserve">http://images.bloomingdales.com/is/image/BLM/10317740 </v>
      </c>
    </row>
    <row r="88" spans="1:13" ht="120" x14ac:dyDescent="0.25">
      <c r="A88" s="7" t="s">
        <v>2949</v>
      </c>
      <c r="B88" s="2" t="s">
        <v>2942</v>
      </c>
      <c r="C88" s="4">
        <v>1</v>
      </c>
      <c r="D88" s="5">
        <v>17</v>
      </c>
      <c r="E88" s="5">
        <v>38</v>
      </c>
      <c r="F88" s="4">
        <v>102831</v>
      </c>
      <c r="G88" s="2"/>
      <c r="H88" s="7" t="s">
        <v>172</v>
      </c>
      <c r="I88" s="2" t="s">
        <v>173</v>
      </c>
      <c r="J88" s="2" t="s">
        <v>2904</v>
      </c>
      <c r="K88" s="2" t="s">
        <v>2905</v>
      </c>
      <c r="L88" s="2" t="s">
        <v>2933</v>
      </c>
      <c r="M88" s="8" t="str">
        <f>HYPERLINK("http://images.bloomingdales.com/is/image/BLM/10119896 ")</f>
        <v xml:space="preserve">http://images.bloomingdales.com/is/image/BLM/10119896 </v>
      </c>
    </row>
    <row r="89" spans="1:13" ht="180" x14ac:dyDescent="0.25">
      <c r="A89" s="7" t="s">
        <v>2950</v>
      </c>
      <c r="B89" s="2" t="s">
        <v>1450</v>
      </c>
      <c r="C89" s="4">
        <v>1</v>
      </c>
      <c r="D89" s="5">
        <v>16.5</v>
      </c>
      <c r="E89" s="5">
        <v>39.99</v>
      </c>
      <c r="F89" s="4" t="s">
        <v>1451</v>
      </c>
      <c r="G89" s="2" t="s">
        <v>103</v>
      </c>
      <c r="H89" s="7" t="s">
        <v>42</v>
      </c>
      <c r="I89" s="2" t="s">
        <v>92</v>
      </c>
      <c r="J89" s="2" t="s">
        <v>239</v>
      </c>
      <c r="K89" s="2" t="s">
        <v>304</v>
      </c>
      <c r="L89" s="2" t="s">
        <v>1452</v>
      </c>
      <c r="M89" s="8" t="str">
        <f>HYPERLINK("http://slimages.macys.com/is/image/MCY/14989365 ")</f>
        <v xml:space="preserve">http://slimages.macys.com/is/image/MCY/14989365 </v>
      </c>
    </row>
    <row r="90" spans="1:13" ht="120" x14ac:dyDescent="0.25">
      <c r="A90" s="7" t="s">
        <v>2951</v>
      </c>
      <c r="B90" s="2" t="s">
        <v>1454</v>
      </c>
      <c r="C90" s="4">
        <v>1</v>
      </c>
      <c r="D90" s="5">
        <v>16.5</v>
      </c>
      <c r="E90" s="5">
        <v>39.99</v>
      </c>
      <c r="F90" s="4" t="s">
        <v>1455</v>
      </c>
      <c r="G90" s="2" t="s">
        <v>103</v>
      </c>
      <c r="H90" s="7" t="s">
        <v>91</v>
      </c>
      <c r="I90" s="2" t="s">
        <v>92</v>
      </c>
      <c r="J90" s="2" t="s">
        <v>65</v>
      </c>
      <c r="K90" s="2" t="s">
        <v>304</v>
      </c>
      <c r="L90" s="2" t="s">
        <v>1456</v>
      </c>
      <c r="M90" s="8" t="str">
        <f>HYPERLINK("http://slimages.macys.com/is/image/MCY/13965178 ")</f>
        <v xml:space="preserve">http://slimages.macys.com/is/image/MCY/13965178 </v>
      </c>
    </row>
    <row r="91" spans="1:13" ht="60" x14ac:dyDescent="0.25">
      <c r="A91" s="7" t="s">
        <v>2952</v>
      </c>
      <c r="B91" s="2" t="s">
        <v>2953</v>
      </c>
      <c r="C91" s="4">
        <v>1</v>
      </c>
      <c r="D91" s="5">
        <v>16.5</v>
      </c>
      <c r="E91" s="5">
        <v>26.99</v>
      </c>
      <c r="F91" s="4" t="s">
        <v>2954</v>
      </c>
      <c r="G91" s="2" t="s">
        <v>86</v>
      </c>
      <c r="H91" s="7" t="s">
        <v>179</v>
      </c>
      <c r="I91" s="2" t="s">
        <v>173</v>
      </c>
      <c r="J91" s="2" t="s">
        <v>174</v>
      </c>
      <c r="K91" s="2" t="s">
        <v>304</v>
      </c>
      <c r="L91" s="2" t="s">
        <v>263</v>
      </c>
      <c r="M91" s="8" t="str">
        <f>HYPERLINK("http://slimages.macys.com/is/image/MCY/9907887 ")</f>
        <v xml:space="preserve">http://slimages.macys.com/is/image/MCY/9907887 </v>
      </c>
    </row>
    <row r="92" spans="1:13" ht="180" x14ac:dyDescent="0.25">
      <c r="A92" s="7" t="s">
        <v>2955</v>
      </c>
      <c r="B92" s="2" t="s">
        <v>1450</v>
      </c>
      <c r="C92" s="4">
        <v>2</v>
      </c>
      <c r="D92" s="5">
        <v>16.5</v>
      </c>
      <c r="E92" s="5">
        <v>39.99</v>
      </c>
      <c r="F92" s="4" t="s">
        <v>1451</v>
      </c>
      <c r="G92" s="2" t="s">
        <v>103</v>
      </c>
      <c r="H92" s="7" t="s">
        <v>442</v>
      </c>
      <c r="I92" s="2" t="s">
        <v>92</v>
      </c>
      <c r="J92" s="2" t="s">
        <v>239</v>
      </c>
      <c r="K92" s="2" t="s">
        <v>304</v>
      </c>
      <c r="L92" s="2" t="s">
        <v>1452</v>
      </c>
      <c r="M92" s="8" t="str">
        <f>HYPERLINK("http://slimages.macys.com/is/image/MCY/14989365 ")</f>
        <v xml:space="preserve">http://slimages.macys.com/is/image/MCY/14989365 </v>
      </c>
    </row>
    <row r="93" spans="1:13" ht="60" x14ac:dyDescent="0.25">
      <c r="A93" s="7" t="s">
        <v>2956</v>
      </c>
      <c r="B93" s="2" t="s">
        <v>102</v>
      </c>
      <c r="C93" s="4">
        <v>1</v>
      </c>
      <c r="D93" s="5">
        <v>16.2</v>
      </c>
      <c r="E93" s="5">
        <v>54</v>
      </c>
      <c r="F93" s="4">
        <v>329354</v>
      </c>
      <c r="G93" s="2" t="s">
        <v>107</v>
      </c>
      <c r="H93" s="7" t="s">
        <v>49</v>
      </c>
      <c r="I93" s="2" t="s">
        <v>50</v>
      </c>
      <c r="J93" s="2" t="s">
        <v>105</v>
      </c>
      <c r="K93" s="2" t="s">
        <v>304</v>
      </c>
      <c r="L93" s="2"/>
      <c r="M93" s="8" t="str">
        <f>HYPERLINK("http://slimages.macys.com/is/image/MCY/10476758 ")</f>
        <v xml:space="preserve">http://slimages.macys.com/is/image/MCY/10476758 </v>
      </c>
    </row>
    <row r="94" spans="1:13" ht="108" x14ac:dyDescent="0.25">
      <c r="A94" s="7" t="s">
        <v>2957</v>
      </c>
      <c r="B94" s="2" t="s">
        <v>2958</v>
      </c>
      <c r="C94" s="4">
        <v>1</v>
      </c>
      <c r="D94" s="5">
        <v>16.2</v>
      </c>
      <c r="E94" s="5">
        <v>40</v>
      </c>
      <c r="F94" s="4">
        <v>102864</v>
      </c>
      <c r="G94" s="2" t="s">
        <v>79</v>
      </c>
      <c r="H94" s="7" t="s">
        <v>166</v>
      </c>
      <c r="I94" s="2" t="s">
        <v>173</v>
      </c>
      <c r="J94" s="2" t="s">
        <v>2904</v>
      </c>
      <c r="K94" s="2" t="s">
        <v>2905</v>
      </c>
      <c r="L94" s="2" t="s">
        <v>2906</v>
      </c>
      <c r="M94" s="8" t="str">
        <f>HYPERLINK("http://images.bloomingdales.com/is/image/BLM/10269928 ")</f>
        <v xml:space="preserve">http://images.bloomingdales.com/is/image/BLM/10269928 </v>
      </c>
    </row>
    <row r="95" spans="1:13" ht="84" x14ac:dyDescent="0.25">
      <c r="A95" s="7" t="s">
        <v>2959</v>
      </c>
      <c r="B95" s="2" t="s">
        <v>1458</v>
      </c>
      <c r="C95" s="4">
        <v>1</v>
      </c>
      <c r="D95" s="5">
        <v>16</v>
      </c>
      <c r="E95" s="5">
        <v>39.99</v>
      </c>
      <c r="F95" s="4" t="s">
        <v>1459</v>
      </c>
      <c r="G95" s="2" t="s">
        <v>129</v>
      </c>
      <c r="H95" s="7" t="s">
        <v>149</v>
      </c>
      <c r="I95" s="2" t="s">
        <v>92</v>
      </c>
      <c r="J95" s="2" t="s">
        <v>239</v>
      </c>
      <c r="K95" s="2" t="s">
        <v>304</v>
      </c>
      <c r="L95" s="2" t="s">
        <v>1460</v>
      </c>
      <c r="M95" s="8" t="str">
        <f>HYPERLINK("http://slimages.macys.com/is/image/MCY/14989246 ")</f>
        <v xml:space="preserve">http://slimages.macys.com/is/image/MCY/14989246 </v>
      </c>
    </row>
    <row r="96" spans="1:13" ht="168" x14ac:dyDescent="0.25">
      <c r="A96" s="7" t="s">
        <v>2960</v>
      </c>
      <c r="B96" s="2" t="s">
        <v>2961</v>
      </c>
      <c r="C96" s="4">
        <v>1</v>
      </c>
      <c r="D96" s="5">
        <v>16</v>
      </c>
      <c r="E96" s="5">
        <v>42</v>
      </c>
      <c r="F96" s="4" t="s">
        <v>2962</v>
      </c>
      <c r="G96" s="2" t="s">
        <v>36</v>
      </c>
      <c r="H96" s="7" t="s">
        <v>68</v>
      </c>
      <c r="I96" s="2" t="s">
        <v>173</v>
      </c>
      <c r="J96" s="2" t="s">
        <v>672</v>
      </c>
      <c r="K96" s="2" t="s">
        <v>2752</v>
      </c>
      <c r="L96" s="2" t="s">
        <v>2963</v>
      </c>
      <c r="M96" s="8" t="str">
        <f>HYPERLINK("http://images.bloomingdales.com/is/image/BLM/10262445 ")</f>
        <v xml:space="preserve">http://images.bloomingdales.com/is/image/BLM/10262445 </v>
      </c>
    </row>
    <row r="97" spans="1:13" ht="60" x14ac:dyDescent="0.25">
      <c r="A97" s="7" t="s">
        <v>2964</v>
      </c>
      <c r="B97" s="2" t="s">
        <v>2965</v>
      </c>
      <c r="C97" s="4">
        <v>1</v>
      </c>
      <c r="D97" s="5">
        <v>15.75</v>
      </c>
      <c r="E97" s="5">
        <v>36.99</v>
      </c>
      <c r="F97" s="4" t="s">
        <v>2966</v>
      </c>
      <c r="G97" s="2" t="s">
        <v>698</v>
      </c>
      <c r="H97" s="7" t="s">
        <v>284</v>
      </c>
      <c r="I97" s="2" t="s">
        <v>80</v>
      </c>
      <c r="J97" s="2" t="s">
        <v>2967</v>
      </c>
      <c r="K97" s="2" t="s">
        <v>304</v>
      </c>
      <c r="L97" s="2" t="s">
        <v>125</v>
      </c>
      <c r="M97" s="8" t="str">
        <f>HYPERLINK("http://slimages.macys.com/is/image/MCY/13759711 ")</f>
        <v xml:space="preserve">http://slimages.macys.com/is/image/MCY/13759711 </v>
      </c>
    </row>
    <row r="98" spans="1:13" ht="60" x14ac:dyDescent="0.25">
      <c r="A98" s="7" t="s">
        <v>2968</v>
      </c>
      <c r="B98" s="2" t="s">
        <v>2969</v>
      </c>
      <c r="C98" s="4">
        <v>1</v>
      </c>
      <c r="D98" s="5">
        <v>15.75</v>
      </c>
      <c r="E98" s="5">
        <v>35</v>
      </c>
      <c r="F98" s="4">
        <v>322752544001</v>
      </c>
      <c r="G98" s="2" t="s">
        <v>41</v>
      </c>
      <c r="H98" s="7" t="s">
        <v>166</v>
      </c>
      <c r="I98" s="2" t="s">
        <v>700</v>
      </c>
      <c r="J98" s="2" t="s">
        <v>205</v>
      </c>
      <c r="K98" s="2" t="s">
        <v>304</v>
      </c>
      <c r="L98" s="2" t="s">
        <v>38</v>
      </c>
      <c r="M98" s="8" t="str">
        <f>HYPERLINK("http://slimages.macys.com/is/image/MCY/13297669 ")</f>
        <v xml:space="preserve">http://slimages.macys.com/is/image/MCY/13297669 </v>
      </c>
    </row>
    <row r="99" spans="1:13" ht="60" x14ac:dyDescent="0.25">
      <c r="A99" s="7" t="s">
        <v>2970</v>
      </c>
      <c r="B99" s="2" t="s">
        <v>2969</v>
      </c>
      <c r="C99" s="4">
        <v>1</v>
      </c>
      <c r="D99" s="5">
        <v>15.75</v>
      </c>
      <c r="E99" s="5">
        <v>35</v>
      </c>
      <c r="F99" s="4">
        <v>322752545001</v>
      </c>
      <c r="G99" s="2" t="s">
        <v>41</v>
      </c>
      <c r="H99" s="7" t="s">
        <v>166</v>
      </c>
      <c r="I99" s="2" t="s">
        <v>700</v>
      </c>
      <c r="J99" s="2" t="s">
        <v>205</v>
      </c>
      <c r="K99" s="2" t="s">
        <v>2786</v>
      </c>
      <c r="L99" s="2" t="s">
        <v>87</v>
      </c>
      <c r="M99" s="8" t="str">
        <f>HYPERLINK("http://images.bloomingdales.com/is/image/BLM/10371666 ")</f>
        <v xml:space="preserve">http://images.bloomingdales.com/is/image/BLM/10371666 </v>
      </c>
    </row>
    <row r="100" spans="1:13" ht="60" x14ac:dyDescent="0.25">
      <c r="A100" s="7" t="s">
        <v>2971</v>
      </c>
      <c r="B100" s="2" t="s">
        <v>2972</v>
      </c>
      <c r="C100" s="4">
        <v>1</v>
      </c>
      <c r="D100" s="5">
        <v>15.6</v>
      </c>
      <c r="E100" s="5">
        <v>39</v>
      </c>
      <c r="F100" s="4" t="s">
        <v>2973</v>
      </c>
      <c r="G100" s="2" t="s">
        <v>28</v>
      </c>
      <c r="H100" s="7" t="s">
        <v>172</v>
      </c>
      <c r="I100" s="2" t="s">
        <v>700</v>
      </c>
      <c r="J100" s="2" t="s">
        <v>2974</v>
      </c>
      <c r="K100" s="2" t="s">
        <v>2752</v>
      </c>
      <c r="L100" s="2" t="s">
        <v>2975</v>
      </c>
      <c r="M100" s="8" t="str">
        <f>HYPERLINK("http://images.bloomingdales.com/is/image/BLM/10342878 ")</f>
        <v xml:space="preserve">http://images.bloomingdales.com/is/image/BLM/10342878 </v>
      </c>
    </row>
    <row r="101" spans="1:13" ht="60" x14ac:dyDescent="0.25">
      <c r="A101" s="7" t="s">
        <v>2976</v>
      </c>
      <c r="B101" s="2" t="s">
        <v>2977</v>
      </c>
      <c r="C101" s="4">
        <v>1</v>
      </c>
      <c r="D101" s="5">
        <v>15.4</v>
      </c>
      <c r="E101" s="5">
        <v>35</v>
      </c>
      <c r="F101" s="4">
        <v>1329029</v>
      </c>
      <c r="G101" s="2" t="s">
        <v>62</v>
      </c>
      <c r="H101" s="7" t="s">
        <v>284</v>
      </c>
      <c r="I101" s="2" t="s">
        <v>80</v>
      </c>
      <c r="J101" s="2" t="s">
        <v>280</v>
      </c>
      <c r="K101" s="2" t="s">
        <v>304</v>
      </c>
      <c r="L101" s="2" t="s">
        <v>125</v>
      </c>
      <c r="M101" s="8" t="str">
        <f>HYPERLINK("http://slimages.macys.com/is/image/MCY/11951087 ")</f>
        <v xml:space="preserve">http://slimages.macys.com/is/image/MCY/11951087 </v>
      </c>
    </row>
    <row r="102" spans="1:13" ht="60" x14ac:dyDescent="0.25">
      <c r="A102" s="7" t="s">
        <v>2978</v>
      </c>
      <c r="B102" s="2" t="s">
        <v>1477</v>
      </c>
      <c r="C102" s="4">
        <v>1</v>
      </c>
      <c r="D102" s="5">
        <v>15</v>
      </c>
      <c r="E102" s="5">
        <v>39.99</v>
      </c>
      <c r="F102" s="4" t="s">
        <v>1478</v>
      </c>
      <c r="G102" s="2" t="s">
        <v>36</v>
      </c>
      <c r="H102" s="7" t="s">
        <v>590</v>
      </c>
      <c r="I102" s="2" t="s">
        <v>92</v>
      </c>
      <c r="J102" s="2" t="s">
        <v>187</v>
      </c>
      <c r="K102" s="2" t="s">
        <v>304</v>
      </c>
      <c r="L102" s="2" t="s">
        <v>1479</v>
      </c>
      <c r="M102" s="8" t="str">
        <f>HYPERLINK("http://slimages.macys.com/is/image/MCY/13310887 ")</f>
        <v xml:space="preserve">http://slimages.macys.com/is/image/MCY/13310887 </v>
      </c>
    </row>
    <row r="103" spans="1:13" ht="60" x14ac:dyDescent="0.25">
      <c r="A103" s="7" t="s">
        <v>2979</v>
      </c>
      <c r="B103" s="2" t="s">
        <v>1481</v>
      </c>
      <c r="C103" s="4">
        <v>1</v>
      </c>
      <c r="D103" s="5">
        <v>15</v>
      </c>
      <c r="E103" s="5">
        <v>39.99</v>
      </c>
      <c r="F103" s="4" t="s">
        <v>1482</v>
      </c>
      <c r="G103" s="2" t="s">
        <v>103</v>
      </c>
      <c r="H103" s="7" t="s">
        <v>42</v>
      </c>
      <c r="I103" s="2" t="s">
        <v>92</v>
      </c>
      <c r="J103" s="2" t="s">
        <v>239</v>
      </c>
      <c r="K103" s="2" t="s">
        <v>304</v>
      </c>
      <c r="L103" s="2" t="s">
        <v>125</v>
      </c>
      <c r="M103" s="8" t="str">
        <f>HYPERLINK("http://slimages.macys.com/is/image/MCY/15071393 ")</f>
        <v xml:space="preserve">http://slimages.macys.com/is/image/MCY/15071393 </v>
      </c>
    </row>
    <row r="104" spans="1:13" ht="60" x14ac:dyDescent="0.25">
      <c r="A104" s="7" t="s">
        <v>2980</v>
      </c>
      <c r="B104" s="2" t="s">
        <v>2981</v>
      </c>
      <c r="C104" s="4">
        <v>1</v>
      </c>
      <c r="D104" s="5">
        <v>14.5</v>
      </c>
      <c r="E104" s="5">
        <v>27.99</v>
      </c>
      <c r="F104" s="4" t="s">
        <v>2982</v>
      </c>
      <c r="G104" s="2" t="s">
        <v>657</v>
      </c>
      <c r="H104" s="7" t="s">
        <v>29</v>
      </c>
      <c r="I104" s="2" t="s">
        <v>257</v>
      </c>
      <c r="J104" s="2" t="s">
        <v>258</v>
      </c>
      <c r="K104" s="2" t="s">
        <v>304</v>
      </c>
      <c r="L104" s="2" t="s">
        <v>263</v>
      </c>
      <c r="M104" s="8" t="str">
        <f>HYPERLINK("http://slimages.macys.com/is/image/MCY/8775229 ")</f>
        <v xml:space="preserve">http://slimages.macys.com/is/image/MCY/8775229 </v>
      </c>
    </row>
    <row r="105" spans="1:13" ht="60" x14ac:dyDescent="0.25">
      <c r="A105" s="7" t="s">
        <v>2983</v>
      </c>
      <c r="B105" s="2" t="s">
        <v>2984</v>
      </c>
      <c r="C105" s="4">
        <v>1</v>
      </c>
      <c r="D105" s="5">
        <v>14.5</v>
      </c>
      <c r="E105" s="5">
        <v>29.99</v>
      </c>
      <c r="F105" s="4" t="s">
        <v>2985</v>
      </c>
      <c r="G105" s="2" t="s">
        <v>262</v>
      </c>
      <c r="H105" s="7" t="s">
        <v>179</v>
      </c>
      <c r="I105" s="2" t="s">
        <v>30</v>
      </c>
      <c r="J105" s="2" t="s">
        <v>2986</v>
      </c>
      <c r="K105" s="2" t="s">
        <v>304</v>
      </c>
      <c r="L105" s="2" t="s">
        <v>712</v>
      </c>
      <c r="M105" s="8" t="str">
        <f>HYPERLINK("http://slimages.macys.com/is/image/MCY/11603525 ")</f>
        <v xml:space="preserve">http://slimages.macys.com/is/image/MCY/11603525 </v>
      </c>
    </row>
    <row r="106" spans="1:13" ht="60" x14ac:dyDescent="0.25">
      <c r="A106" s="7" t="s">
        <v>2987</v>
      </c>
      <c r="B106" s="2" t="s">
        <v>2988</v>
      </c>
      <c r="C106" s="4">
        <v>1</v>
      </c>
      <c r="D106" s="5">
        <v>14.5</v>
      </c>
      <c r="E106" s="5">
        <v>29.99</v>
      </c>
      <c r="F106" s="4" t="s">
        <v>2989</v>
      </c>
      <c r="G106" s="2" t="s">
        <v>698</v>
      </c>
      <c r="H106" s="7"/>
      <c r="I106" s="2" t="s">
        <v>30</v>
      </c>
      <c r="J106" s="2" t="s">
        <v>2986</v>
      </c>
      <c r="K106" s="2" t="s">
        <v>304</v>
      </c>
      <c r="L106" s="2" t="s">
        <v>2990</v>
      </c>
      <c r="M106" s="8" t="str">
        <f>HYPERLINK("http://slimages.macys.com/is/image/MCY/3727344 ")</f>
        <v xml:space="preserve">http://slimages.macys.com/is/image/MCY/3727344 </v>
      </c>
    </row>
    <row r="107" spans="1:13" ht="84" x14ac:dyDescent="0.25">
      <c r="A107" s="7" t="s">
        <v>2991</v>
      </c>
      <c r="B107" s="2" t="s">
        <v>2992</v>
      </c>
      <c r="C107" s="4">
        <v>2</v>
      </c>
      <c r="D107" s="5">
        <v>14.5</v>
      </c>
      <c r="E107" s="5">
        <v>32.99</v>
      </c>
      <c r="F107" s="4" t="s">
        <v>2993</v>
      </c>
      <c r="G107" s="2" t="s">
        <v>129</v>
      </c>
      <c r="H107" s="7" t="s">
        <v>97</v>
      </c>
      <c r="I107" s="2" t="s">
        <v>30</v>
      </c>
      <c r="J107" s="2" t="s">
        <v>1409</v>
      </c>
      <c r="K107" s="2" t="s">
        <v>304</v>
      </c>
      <c r="L107" s="2" t="s">
        <v>2994</v>
      </c>
      <c r="M107" s="8" t="str">
        <f>HYPERLINK("http://slimages.macys.com/is/image/MCY/11622773 ")</f>
        <v xml:space="preserve">http://slimages.macys.com/is/image/MCY/11622773 </v>
      </c>
    </row>
    <row r="108" spans="1:13" ht="96" x14ac:dyDescent="0.25">
      <c r="A108" s="7" t="s">
        <v>2995</v>
      </c>
      <c r="B108" s="2" t="s">
        <v>2996</v>
      </c>
      <c r="C108" s="4">
        <v>1</v>
      </c>
      <c r="D108" s="5">
        <v>14</v>
      </c>
      <c r="E108" s="5">
        <v>34.99</v>
      </c>
      <c r="F108" s="4" t="s">
        <v>2997</v>
      </c>
      <c r="G108" s="2" t="s">
        <v>752</v>
      </c>
      <c r="H108" s="7" t="s">
        <v>42</v>
      </c>
      <c r="I108" s="2" t="s">
        <v>135</v>
      </c>
      <c r="J108" s="2" t="s">
        <v>136</v>
      </c>
      <c r="K108" s="2" t="s">
        <v>304</v>
      </c>
      <c r="L108" s="2" t="s">
        <v>137</v>
      </c>
      <c r="M108" s="8" t="str">
        <f>HYPERLINK("http://slimages.macys.com/is/image/MCY/15364745 ")</f>
        <v xml:space="preserve">http://slimages.macys.com/is/image/MCY/15364745 </v>
      </c>
    </row>
    <row r="109" spans="1:13" ht="60" x14ac:dyDescent="0.25">
      <c r="A109" s="7" t="s">
        <v>2998</v>
      </c>
      <c r="B109" s="2" t="s">
        <v>2999</v>
      </c>
      <c r="C109" s="4">
        <v>1</v>
      </c>
      <c r="D109" s="5">
        <v>14</v>
      </c>
      <c r="E109" s="5">
        <v>35</v>
      </c>
      <c r="F109" s="4" t="s">
        <v>3000</v>
      </c>
      <c r="G109" s="2" t="s">
        <v>41</v>
      </c>
      <c r="H109" s="7" t="s">
        <v>3001</v>
      </c>
      <c r="I109" s="2" t="s">
        <v>700</v>
      </c>
      <c r="J109" s="2" t="s">
        <v>2810</v>
      </c>
      <c r="K109" s="2" t="s">
        <v>2752</v>
      </c>
      <c r="L109" s="2" t="s">
        <v>87</v>
      </c>
      <c r="M109" s="8" t="str">
        <f>HYPERLINK("http://images.bloomingdales.com/is/image/BLM/10236110 ")</f>
        <v xml:space="preserve">http://images.bloomingdales.com/is/image/BLM/10236110 </v>
      </c>
    </row>
    <row r="110" spans="1:13" ht="60" x14ac:dyDescent="0.25">
      <c r="A110" s="7" t="s">
        <v>3002</v>
      </c>
      <c r="B110" s="2" t="s">
        <v>3003</v>
      </c>
      <c r="C110" s="4">
        <v>1</v>
      </c>
      <c r="D110" s="5">
        <v>14</v>
      </c>
      <c r="E110" s="5">
        <v>35</v>
      </c>
      <c r="F110" s="4" t="s">
        <v>3004</v>
      </c>
      <c r="G110" s="2"/>
      <c r="H110" s="7"/>
      <c r="I110" s="2" t="s">
        <v>700</v>
      </c>
      <c r="J110" s="2" t="s">
        <v>2810</v>
      </c>
      <c r="K110" s="2" t="s">
        <v>2752</v>
      </c>
      <c r="L110" s="2" t="s">
        <v>38</v>
      </c>
      <c r="M110" s="8" t="str">
        <f>HYPERLINK("http://images.bloomingdales.com/is/image/BLM/10357985 ")</f>
        <v xml:space="preserve">http://images.bloomingdales.com/is/image/BLM/10357985 </v>
      </c>
    </row>
    <row r="111" spans="1:13" ht="60" x14ac:dyDescent="0.25">
      <c r="A111" s="7" t="s">
        <v>3005</v>
      </c>
      <c r="B111" s="2" t="s">
        <v>3006</v>
      </c>
      <c r="C111" s="4">
        <v>1</v>
      </c>
      <c r="D111" s="5">
        <v>14</v>
      </c>
      <c r="E111" s="5">
        <v>30</v>
      </c>
      <c r="F111" s="4" t="s">
        <v>3007</v>
      </c>
      <c r="G111" s="2" t="s">
        <v>28</v>
      </c>
      <c r="H111" s="7" t="s">
        <v>228</v>
      </c>
      <c r="I111" s="2" t="s">
        <v>700</v>
      </c>
      <c r="J111" s="2" t="s">
        <v>2805</v>
      </c>
      <c r="K111" s="2" t="s">
        <v>2752</v>
      </c>
      <c r="L111" s="2" t="s">
        <v>87</v>
      </c>
      <c r="M111" s="8" t="str">
        <f>HYPERLINK("http://images.bloomingdales.com/is/image/BLM/10140518 ")</f>
        <v xml:space="preserve">http://images.bloomingdales.com/is/image/BLM/10140518 </v>
      </c>
    </row>
    <row r="112" spans="1:13" ht="60" x14ac:dyDescent="0.25">
      <c r="A112" s="7" t="s">
        <v>3008</v>
      </c>
      <c r="B112" s="2" t="s">
        <v>3009</v>
      </c>
      <c r="C112" s="4">
        <v>1</v>
      </c>
      <c r="D112" s="5">
        <v>14</v>
      </c>
      <c r="E112" s="5">
        <v>30</v>
      </c>
      <c r="F112" s="4" t="s">
        <v>3010</v>
      </c>
      <c r="G112" s="2" t="s">
        <v>2107</v>
      </c>
      <c r="H112" s="7" t="s">
        <v>179</v>
      </c>
      <c r="I112" s="2" t="s">
        <v>700</v>
      </c>
      <c r="J112" s="2" t="s">
        <v>2805</v>
      </c>
      <c r="K112" s="2" t="s">
        <v>2752</v>
      </c>
      <c r="L112" s="2" t="s">
        <v>2873</v>
      </c>
      <c r="M112" s="8" t="str">
        <f>HYPERLINK("http://images.bloomingdales.com/is/image/BLM/10220876 ")</f>
        <v xml:space="preserve">http://images.bloomingdales.com/is/image/BLM/10220876 </v>
      </c>
    </row>
    <row r="113" spans="1:13" ht="96" x14ac:dyDescent="0.25">
      <c r="A113" s="7" t="s">
        <v>3011</v>
      </c>
      <c r="B113" s="2" t="s">
        <v>132</v>
      </c>
      <c r="C113" s="4">
        <v>1</v>
      </c>
      <c r="D113" s="5">
        <v>14</v>
      </c>
      <c r="E113" s="5">
        <v>34.99</v>
      </c>
      <c r="F113" s="4" t="s">
        <v>133</v>
      </c>
      <c r="G113" s="2" t="s">
        <v>134</v>
      </c>
      <c r="H113" s="7" t="s">
        <v>442</v>
      </c>
      <c r="I113" s="2" t="s">
        <v>135</v>
      </c>
      <c r="J113" s="2" t="s">
        <v>136</v>
      </c>
      <c r="K113" s="2" t="s">
        <v>304</v>
      </c>
      <c r="L113" s="2" t="s">
        <v>137</v>
      </c>
      <c r="M113" s="8" t="str">
        <f>HYPERLINK("http://slimages.macys.com/is/image/MCY/15365447 ")</f>
        <v xml:space="preserve">http://slimages.macys.com/is/image/MCY/15365447 </v>
      </c>
    </row>
    <row r="114" spans="1:13" ht="60" x14ac:dyDescent="0.25">
      <c r="A114" s="7" t="s">
        <v>3012</v>
      </c>
      <c r="B114" s="2" t="s">
        <v>3006</v>
      </c>
      <c r="C114" s="4">
        <v>1</v>
      </c>
      <c r="D114" s="5">
        <v>14</v>
      </c>
      <c r="E114" s="5">
        <v>30</v>
      </c>
      <c r="F114" s="4" t="s">
        <v>3007</v>
      </c>
      <c r="G114" s="2" t="s">
        <v>28</v>
      </c>
      <c r="H114" s="7" t="s">
        <v>68</v>
      </c>
      <c r="I114" s="2" t="s">
        <v>700</v>
      </c>
      <c r="J114" s="2" t="s">
        <v>2805</v>
      </c>
      <c r="K114" s="2" t="s">
        <v>2752</v>
      </c>
      <c r="L114" s="2" t="s">
        <v>87</v>
      </c>
      <c r="M114" s="8" t="str">
        <f>HYPERLINK("http://images.bloomingdales.com/is/image/BLM/10140518 ")</f>
        <v xml:space="preserve">http://images.bloomingdales.com/is/image/BLM/10140518 </v>
      </c>
    </row>
    <row r="115" spans="1:13" ht="144" x14ac:dyDescent="0.25">
      <c r="A115" s="7" t="s">
        <v>3013</v>
      </c>
      <c r="B115" s="2" t="s">
        <v>2493</v>
      </c>
      <c r="C115" s="4">
        <v>1</v>
      </c>
      <c r="D115" s="5">
        <v>13.75</v>
      </c>
      <c r="E115" s="5">
        <v>39.99</v>
      </c>
      <c r="F115" s="4" t="s">
        <v>2494</v>
      </c>
      <c r="G115" s="2" t="s">
        <v>752</v>
      </c>
      <c r="H115" s="7" t="s">
        <v>149</v>
      </c>
      <c r="I115" s="2" t="s">
        <v>92</v>
      </c>
      <c r="J115" s="2" t="s">
        <v>239</v>
      </c>
      <c r="K115" s="2" t="s">
        <v>304</v>
      </c>
      <c r="L115" s="2" t="s">
        <v>2495</v>
      </c>
      <c r="M115" s="8" t="str">
        <f>HYPERLINK("http://slimages.macys.com/is/image/MCY/14886820 ")</f>
        <v xml:space="preserve">http://slimages.macys.com/is/image/MCY/14886820 </v>
      </c>
    </row>
    <row r="116" spans="1:13" ht="168" x14ac:dyDescent="0.25">
      <c r="A116" s="7" t="s">
        <v>3014</v>
      </c>
      <c r="B116" s="2" t="s">
        <v>1522</v>
      </c>
      <c r="C116" s="4">
        <v>1</v>
      </c>
      <c r="D116" s="5">
        <v>13.75</v>
      </c>
      <c r="E116" s="5">
        <v>39.99</v>
      </c>
      <c r="F116" s="4" t="s">
        <v>1523</v>
      </c>
      <c r="G116" s="2" t="s">
        <v>62</v>
      </c>
      <c r="H116" s="7" t="s">
        <v>149</v>
      </c>
      <c r="I116" s="2" t="s">
        <v>92</v>
      </c>
      <c r="J116" s="2" t="s">
        <v>239</v>
      </c>
      <c r="K116" s="2" t="s">
        <v>304</v>
      </c>
      <c r="L116" s="2" t="s">
        <v>1524</v>
      </c>
      <c r="M116" s="8" t="str">
        <f>HYPERLINK("http://slimages.macys.com/is/image/MCY/14886823 ")</f>
        <v xml:space="preserve">http://slimages.macys.com/is/image/MCY/14886823 </v>
      </c>
    </row>
    <row r="117" spans="1:13" ht="168" x14ac:dyDescent="0.25">
      <c r="A117" s="7" t="s">
        <v>3015</v>
      </c>
      <c r="B117" s="2" t="s">
        <v>1522</v>
      </c>
      <c r="C117" s="4">
        <v>1</v>
      </c>
      <c r="D117" s="5">
        <v>13.75</v>
      </c>
      <c r="E117" s="5">
        <v>39.99</v>
      </c>
      <c r="F117" s="4" t="s">
        <v>1523</v>
      </c>
      <c r="G117" s="2" t="s">
        <v>62</v>
      </c>
      <c r="H117" s="7" t="s">
        <v>590</v>
      </c>
      <c r="I117" s="2" t="s">
        <v>92</v>
      </c>
      <c r="J117" s="2" t="s">
        <v>239</v>
      </c>
      <c r="K117" s="2" t="s">
        <v>304</v>
      </c>
      <c r="L117" s="2" t="s">
        <v>1524</v>
      </c>
      <c r="M117" s="8" t="str">
        <f>HYPERLINK("http://slimages.macys.com/is/image/MCY/14886823 ")</f>
        <v xml:space="preserve">http://slimages.macys.com/is/image/MCY/14886823 </v>
      </c>
    </row>
    <row r="118" spans="1:13" ht="168" x14ac:dyDescent="0.25">
      <c r="A118" s="7" t="s">
        <v>1521</v>
      </c>
      <c r="B118" s="2" t="s">
        <v>1522</v>
      </c>
      <c r="C118" s="4">
        <v>1</v>
      </c>
      <c r="D118" s="5">
        <v>13.75</v>
      </c>
      <c r="E118" s="5">
        <v>39.99</v>
      </c>
      <c r="F118" s="4" t="s">
        <v>1523</v>
      </c>
      <c r="G118" s="2" t="s">
        <v>62</v>
      </c>
      <c r="H118" s="7" t="s">
        <v>442</v>
      </c>
      <c r="I118" s="2" t="s">
        <v>92</v>
      </c>
      <c r="J118" s="2" t="s">
        <v>239</v>
      </c>
      <c r="K118" s="2" t="s">
        <v>304</v>
      </c>
      <c r="L118" s="2" t="s">
        <v>1524</v>
      </c>
      <c r="M118" s="8" t="str">
        <f>HYPERLINK("http://slimages.macys.com/is/image/MCY/14886823 ")</f>
        <v xml:space="preserve">http://slimages.macys.com/is/image/MCY/14886823 </v>
      </c>
    </row>
    <row r="119" spans="1:13" ht="144" x14ac:dyDescent="0.25">
      <c r="A119" s="7" t="s">
        <v>3016</v>
      </c>
      <c r="B119" s="2" t="s">
        <v>2493</v>
      </c>
      <c r="C119" s="4">
        <v>1</v>
      </c>
      <c r="D119" s="5">
        <v>13.75</v>
      </c>
      <c r="E119" s="5">
        <v>39.99</v>
      </c>
      <c r="F119" s="4" t="s">
        <v>2494</v>
      </c>
      <c r="G119" s="2" t="s">
        <v>752</v>
      </c>
      <c r="H119" s="7" t="s">
        <v>442</v>
      </c>
      <c r="I119" s="2" t="s">
        <v>92</v>
      </c>
      <c r="J119" s="2" t="s">
        <v>239</v>
      </c>
      <c r="K119" s="2" t="s">
        <v>304</v>
      </c>
      <c r="L119" s="2" t="s">
        <v>2495</v>
      </c>
      <c r="M119" s="8" t="str">
        <f>HYPERLINK("http://slimages.macys.com/is/image/MCY/14886820 ")</f>
        <v xml:space="preserve">http://slimages.macys.com/is/image/MCY/14886820 </v>
      </c>
    </row>
    <row r="120" spans="1:13" ht="204" x14ac:dyDescent="0.25">
      <c r="A120" s="7" t="s">
        <v>3017</v>
      </c>
      <c r="B120" s="2" t="s">
        <v>152</v>
      </c>
      <c r="C120" s="4">
        <v>10</v>
      </c>
      <c r="D120" s="5">
        <v>13.5</v>
      </c>
      <c r="E120" s="5">
        <v>30.7</v>
      </c>
      <c r="F120" s="4">
        <v>19320310</v>
      </c>
      <c r="G120" s="2"/>
      <c r="H120" s="7" t="s">
        <v>482</v>
      </c>
      <c r="I120" s="2" t="s">
        <v>153</v>
      </c>
      <c r="J120" s="2" t="s">
        <v>154</v>
      </c>
      <c r="K120" s="2" t="s">
        <v>304</v>
      </c>
      <c r="L120" s="2" t="s">
        <v>155</v>
      </c>
      <c r="M120" s="8" t="str">
        <f>HYPERLINK("http://slimages.macys.com/is/image/MCY/14608313 ")</f>
        <v xml:space="preserve">http://slimages.macys.com/is/image/MCY/14608313 </v>
      </c>
    </row>
    <row r="121" spans="1:13" ht="204" x14ac:dyDescent="0.25">
      <c r="A121" s="7" t="s">
        <v>151</v>
      </c>
      <c r="B121" s="2" t="s">
        <v>152</v>
      </c>
      <c r="C121" s="4">
        <v>1</v>
      </c>
      <c r="D121" s="5">
        <v>13.5</v>
      </c>
      <c r="E121" s="5">
        <v>30.7</v>
      </c>
      <c r="F121" s="4">
        <v>19320310</v>
      </c>
      <c r="G121" s="2"/>
      <c r="H121" s="7" t="s">
        <v>42</v>
      </c>
      <c r="I121" s="2" t="s">
        <v>153</v>
      </c>
      <c r="J121" s="2" t="s">
        <v>154</v>
      </c>
      <c r="K121" s="2" t="s">
        <v>304</v>
      </c>
      <c r="L121" s="2" t="s">
        <v>155</v>
      </c>
      <c r="M121" s="8" t="str">
        <f>HYPERLINK("http://slimages.macys.com/is/image/MCY/14608313 ")</f>
        <v xml:space="preserve">http://slimages.macys.com/is/image/MCY/14608313 </v>
      </c>
    </row>
    <row r="122" spans="1:13" ht="216" x14ac:dyDescent="0.25">
      <c r="A122" s="7" t="s">
        <v>146</v>
      </c>
      <c r="B122" s="2" t="s">
        <v>147</v>
      </c>
      <c r="C122" s="4">
        <v>1</v>
      </c>
      <c r="D122" s="5">
        <v>13.5</v>
      </c>
      <c r="E122" s="5">
        <v>34.99</v>
      </c>
      <c r="F122" s="4" t="s">
        <v>148</v>
      </c>
      <c r="G122" s="2" t="s">
        <v>107</v>
      </c>
      <c r="H122" s="7" t="s">
        <v>149</v>
      </c>
      <c r="I122" s="2" t="s">
        <v>92</v>
      </c>
      <c r="J122" s="2" t="s">
        <v>65</v>
      </c>
      <c r="K122" s="2" t="s">
        <v>304</v>
      </c>
      <c r="L122" s="2" t="s">
        <v>150</v>
      </c>
      <c r="M122" s="8" t="str">
        <f>HYPERLINK("http://slimages.macys.com/is/image/MCY/14815597 ")</f>
        <v xml:space="preserve">http://slimages.macys.com/is/image/MCY/14815597 </v>
      </c>
    </row>
    <row r="123" spans="1:13" ht="60" x14ac:dyDescent="0.25">
      <c r="A123" s="7" t="s">
        <v>3018</v>
      </c>
      <c r="B123" s="2" t="s">
        <v>3019</v>
      </c>
      <c r="C123" s="4">
        <v>1</v>
      </c>
      <c r="D123" s="5">
        <v>13.31</v>
      </c>
      <c r="E123" s="5">
        <v>34.99</v>
      </c>
      <c r="F123" s="4" t="s">
        <v>3020</v>
      </c>
      <c r="G123" s="2" t="s">
        <v>62</v>
      </c>
      <c r="H123" s="7" t="s">
        <v>284</v>
      </c>
      <c r="I123" s="2" t="s">
        <v>218</v>
      </c>
      <c r="J123" s="2" t="s">
        <v>219</v>
      </c>
      <c r="K123" s="2" t="s">
        <v>304</v>
      </c>
      <c r="L123" s="2" t="s">
        <v>125</v>
      </c>
      <c r="M123" s="8" t="str">
        <f>HYPERLINK("http://slimages.macys.com/is/image/MCY/11526458 ")</f>
        <v xml:space="preserve">http://slimages.macys.com/is/image/MCY/11526458 </v>
      </c>
    </row>
    <row r="124" spans="1:13" ht="60" x14ac:dyDescent="0.25">
      <c r="A124" s="7" t="s">
        <v>3021</v>
      </c>
      <c r="B124" s="2" t="s">
        <v>3019</v>
      </c>
      <c r="C124" s="4">
        <v>1</v>
      </c>
      <c r="D124" s="5">
        <v>13.31</v>
      </c>
      <c r="E124" s="5">
        <v>34.99</v>
      </c>
      <c r="F124" s="4" t="s">
        <v>3020</v>
      </c>
      <c r="G124" s="2" t="s">
        <v>62</v>
      </c>
      <c r="H124" s="7" t="s">
        <v>228</v>
      </c>
      <c r="I124" s="2" t="s">
        <v>218</v>
      </c>
      <c r="J124" s="2" t="s">
        <v>219</v>
      </c>
      <c r="K124" s="2" t="s">
        <v>304</v>
      </c>
      <c r="L124" s="2" t="s">
        <v>125</v>
      </c>
      <c r="M124" s="8" t="str">
        <f>HYPERLINK("http://slimages.macys.com/is/image/MCY/11526458 ")</f>
        <v xml:space="preserve">http://slimages.macys.com/is/image/MCY/11526458 </v>
      </c>
    </row>
    <row r="125" spans="1:13" ht="60" x14ac:dyDescent="0.25">
      <c r="A125" s="7" t="s">
        <v>3022</v>
      </c>
      <c r="B125" s="2" t="s">
        <v>3019</v>
      </c>
      <c r="C125" s="4">
        <v>1</v>
      </c>
      <c r="D125" s="5">
        <v>13.31</v>
      </c>
      <c r="E125" s="5">
        <v>34.99</v>
      </c>
      <c r="F125" s="4" t="s">
        <v>3020</v>
      </c>
      <c r="G125" s="2" t="s">
        <v>62</v>
      </c>
      <c r="H125" s="7" t="s">
        <v>217</v>
      </c>
      <c r="I125" s="2" t="s">
        <v>218</v>
      </c>
      <c r="J125" s="2" t="s">
        <v>219</v>
      </c>
      <c r="K125" s="2" t="s">
        <v>304</v>
      </c>
      <c r="L125" s="2" t="s">
        <v>125</v>
      </c>
      <c r="M125" s="8" t="str">
        <f>HYPERLINK("http://slimages.macys.com/is/image/MCY/11526458 ")</f>
        <v xml:space="preserve">http://slimages.macys.com/is/image/MCY/11526458 </v>
      </c>
    </row>
    <row r="126" spans="1:13" ht="60" x14ac:dyDescent="0.25">
      <c r="A126" s="7" t="s">
        <v>3023</v>
      </c>
      <c r="B126" s="2" t="s">
        <v>3024</v>
      </c>
      <c r="C126" s="4">
        <v>1</v>
      </c>
      <c r="D126" s="5">
        <v>13.3</v>
      </c>
      <c r="E126" s="5">
        <v>29.99</v>
      </c>
      <c r="F126" s="4" t="s">
        <v>3025</v>
      </c>
      <c r="G126" s="2" t="s">
        <v>165</v>
      </c>
      <c r="H126" s="7" t="s">
        <v>248</v>
      </c>
      <c r="I126" s="2" t="s">
        <v>73</v>
      </c>
      <c r="J126" s="2" t="s">
        <v>249</v>
      </c>
      <c r="K126" s="2" t="s">
        <v>304</v>
      </c>
      <c r="L126" s="2" t="s">
        <v>358</v>
      </c>
      <c r="M126" s="8" t="str">
        <f>HYPERLINK("http://slimages.macys.com/is/image/MCY/14804092 ")</f>
        <v xml:space="preserve">http://slimages.macys.com/is/image/MCY/14804092 </v>
      </c>
    </row>
    <row r="127" spans="1:13" ht="60" x14ac:dyDescent="0.25">
      <c r="A127" s="7" t="s">
        <v>3026</v>
      </c>
      <c r="B127" s="2" t="s">
        <v>3027</v>
      </c>
      <c r="C127" s="4">
        <v>1</v>
      </c>
      <c r="D127" s="5">
        <v>13.28</v>
      </c>
      <c r="E127" s="5">
        <v>29.5</v>
      </c>
      <c r="F127" s="4">
        <v>311750814005</v>
      </c>
      <c r="G127" s="2" t="s">
        <v>41</v>
      </c>
      <c r="H127" s="7" t="s">
        <v>68</v>
      </c>
      <c r="I127" s="2" t="s">
        <v>3028</v>
      </c>
      <c r="J127" s="2" t="s">
        <v>205</v>
      </c>
      <c r="K127" s="2" t="s">
        <v>304</v>
      </c>
      <c r="L127" s="2" t="s">
        <v>206</v>
      </c>
      <c r="M127" s="8" t="str">
        <f>HYPERLINK("http://slimages.macys.com/is/image/MCY/13745529 ")</f>
        <v xml:space="preserve">http://slimages.macys.com/is/image/MCY/13745529 </v>
      </c>
    </row>
    <row r="128" spans="1:13" ht="60" x14ac:dyDescent="0.25">
      <c r="A128" s="7" t="s">
        <v>3029</v>
      </c>
      <c r="B128" s="2" t="s">
        <v>3030</v>
      </c>
      <c r="C128" s="4">
        <v>1</v>
      </c>
      <c r="D128" s="5">
        <v>13.28</v>
      </c>
      <c r="E128" s="5">
        <v>29.5</v>
      </c>
      <c r="F128" s="4">
        <v>311736234001</v>
      </c>
      <c r="G128" s="2" t="s">
        <v>28</v>
      </c>
      <c r="H128" s="7" t="s">
        <v>209</v>
      </c>
      <c r="I128" s="2" t="s">
        <v>173</v>
      </c>
      <c r="J128" s="2" t="s">
        <v>205</v>
      </c>
      <c r="K128" s="2" t="s">
        <v>304</v>
      </c>
      <c r="L128" s="2" t="s">
        <v>38</v>
      </c>
      <c r="M128" s="8" t="str">
        <f>HYPERLINK("http://slimages.macys.com/is/image/MCY/12273986 ")</f>
        <v xml:space="preserve">http://slimages.macys.com/is/image/MCY/12273986 </v>
      </c>
    </row>
    <row r="129" spans="1:13" ht="60" x14ac:dyDescent="0.25">
      <c r="A129" s="7" t="s">
        <v>3031</v>
      </c>
      <c r="B129" s="2" t="s">
        <v>3032</v>
      </c>
      <c r="C129" s="4">
        <v>1</v>
      </c>
      <c r="D129" s="5">
        <v>13.28</v>
      </c>
      <c r="E129" s="5">
        <v>29.5</v>
      </c>
      <c r="F129" s="4">
        <v>320703635020</v>
      </c>
      <c r="G129" s="2" t="s">
        <v>28</v>
      </c>
      <c r="H129" s="7" t="s">
        <v>675</v>
      </c>
      <c r="I129" s="2" t="s">
        <v>676</v>
      </c>
      <c r="J129" s="2" t="s">
        <v>205</v>
      </c>
      <c r="K129" s="2" t="s">
        <v>2752</v>
      </c>
      <c r="L129" s="2" t="s">
        <v>87</v>
      </c>
      <c r="M129" s="8" t="str">
        <f>HYPERLINK("http://images.bloomingdales.com/is/image/BLM/10234851 ")</f>
        <v xml:space="preserve">http://images.bloomingdales.com/is/image/BLM/10234851 </v>
      </c>
    </row>
    <row r="130" spans="1:13" ht="60" x14ac:dyDescent="0.25">
      <c r="A130" s="7" t="s">
        <v>3033</v>
      </c>
      <c r="B130" s="2" t="s">
        <v>3034</v>
      </c>
      <c r="C130" s="4">
        <v>1</v>
      </c>
      <c r="D130" s="5">
        <v>13</v>
      </c>
      <c r="E130" s="5">
        <v>24.99</v>
      </c>
      <c r="F130" s="4" t="s">
        <v>3035</v>
      </c>
      <c r="G130" s="2" t="s">
        <v>79</v>
      </c>
      <c r="H130" s="7" t="s">
        <v>3036</v>
      </c>
      <c r="I130" s="2" t="s">
        <v>257</v>
      </c>
      <c r="J130" s="2" t="s">
        <v>258</v>
      </c>
      <c r="K130" s="2" t="s">
        <v>304</v>
      </c>
      <c r="L130" s="2" t="s">
        <v>87</v>
      </c>
      <c r="M130" s="8" t="str">
        <f>HYPERLINK("http://slimages.macys.com/is/image/MCY/2964863 ")</f>
        <v xml:space="preserve">http://slimages.macys.com/is/image/MCY/2964863 </v>
      </c>
    </row>
    <row r="131" spans="1:13" ht="144" x14ac:dyDescent="0.25">
      <c r="A131" s="7" t="s">
        <v>3037</v>
      </c>
      <c r="B131" s="2" t="s">
        <v>3038</v>
      </c>
      <c r="C131" s="4">
        <v>1</v>
      </c>
      <c r="D131" s="5">
        <v>13</v>
      </c>
      <c r="E131" s="5">
        <v>29.57</v>
      </c>
      <c r="F131" s="4">
        <v>19319910</v>
      </c>
      <c r="G131" s="2"/>
      <c r="H131" s="7" t="s">
        <v>442</v>
      </c>
      <c r="I131" s="2" t="s">
        <v>153</v>
      </c>
      <c r="J131" s="2" t="s">
        <v>154</v>
      </c>
      <c r="K131" s="2" t="s">
        <v>304</v>
      </c>
      <c r="L131" s="2" t="s">
        <v>3039</v>
      </c>
      <c r="M131" s="8" t="str">
        <f>HYPERLINK("http://slimages.macys.com/is/image/MCY/14608320 ")</f>
        <v xml:space="preserve">http://slimages.macys.com/is/image/MCY/14608320 </v>
      </c>
    </row>
    <row r="132" spans="1:13" ht="60" x14ac:dyDescent="0.25">
      <c r="A132" s="7" t="s">
        <v>3040</v>
      </c>
      <c r="B132" s="2" t="s">
        <v>3041</v>
      </c>
      <c r="C132" s="4">
        <v>1</v>
      </c>
      <c r="D132" s="5">
        <v>13</v>
      </c>
      <c r="E132" s="5">
        <v>28.99</v>
      </c>
      <c r="F132" s="4" t="s">
        <v>3042</v>
      </c>
      <c r="G132" s="2" t="s">
        <v>86</v>
      </c>
      <c r="H132" s="7" t="s">
        <v>3043</v>
      </c>
      <c r="I132" s="2" t="s">
        <v>173</v>
      </c>
      <c r="J132" s="2" t="s">
        <v>174</v>
      </c>
      <c r="K132" s="2" t="s">
        <v>304</v>
      </c>
      <c r="L132" s="2" t="s">
        <v>100</v>
      </c>
      <c r="M132" s="8" t="str">
        <f>HYPERLINK("http://slimages.macys.com/is/image/MCY/2156089 ")</f>
        <v xml:space="preserve">http://slimages.macys.com/is/image/MCY/2156089 </v>
      </c>
    </row>
    <row r="133" spans="1:13" ht="144" x14ac:dyDescent="0.25">
      <c r="A133" s="7" t="s">
        <v>3044</v>
      </c>
      <c r="B133" s="2" t="s">
        <v>3038</v>
      </c>
      <c r="C133" s="4">
        <v>5</v>
      </c>
      <c r="D133" s="5">
        <v>13</v>
      </c>
      <c r="E133" s="5">
        <v>29.57</v>
      </c>
      <c r="F133" s="4">
        <v>19319910</v>
      </c>
      <c r="G133" s="2"/>
      <c r="H133" s="7" t="s">
        <v>482</v>
      </c>
      <c r="I133" s="2" t="s">
        <v>153</v>
      </c>
      <c r="J133" s="2" t="s">
        <v>154</v>
      </c>
      <c r="K133" s="2" t="s">
        <v>304</v>
      </c>
      <c r="L133" s="2" t="s">
        <v>3039</v>
      </c>
      <c r="M133" s="8" t="str">
        <f>HYPERLINK("http://slimages.macys.com/is/image/MCY/14608320 ")</f>
        <v xml:space="preserve">http://slimages.macys.com/is/image/MCY/14608320 </v>
      </c>
    </row>
    <row r="134" spans="1:13" ht="60" x14ac:dyDescent="0.25">
      <c r="A134" s="7" t="s">
        <v>3045</v>
      </c>
      <c r="B134" s="2" t="s">
        <v>3046</v>
      </c>
      <c r="C134" s="4">
        <v>1</v>
      </c>
      <c r="D134" s="5">
        <v>12.75</v>
      </c>
      <c r="E134" s="5">
        <v>34.5</v>
      </c>
      <c r="F134" s="4" t="s">
        <v>3047</v>
      </c>
      <c r="G134" s="2" t="s">
        <v>62</v>
      </c>
      <c r="H134" s="7" t="s">
        <v>179</v>
      </c>
      <c r="I134" s="2" t="s">
        <v>98</v>
      </c>
      <c r="J134" s="2" t="s">
        <v>99</v>
      </c>
      <c r="K134" s="2" t="s">
        <v>304</v>
      </c>
      <c r="L134" s="2" t="s">
        <v>119</v>
      </c>
      <c r="M134" s="8" t="str">
        <f>HYPERLINK("http://slimages.macys.com/is/image/MCY/14883513 ")</f>
        <v xml:space="preserve">http://slimages.macys.com/is/image/MCY/14883513 </v>
      </c>
    </row>
    <row r="135" spans="1:13" ht="60" x14ac:dyDescent="0.25">
      <c r="A135" s="7" t="s">
        <v>3048</v>
      </c>
      <c r="B135" s="2" t="s">
        <v>3049</v>
      </c>
      <c r="C135" s="4">
        <v>1</v>
      </c>
      <c r="D135" s="5">
        <v>12.5</v>
      </c>
      <c r="E135" s="5">
        <v>35</v>
      </c>
      <c r="F135" s="4" t="s">
        <v>3050</v>
      </c>
      <c r="G135" s="2" t="s">
        <v>62</v>
      </c>
      <c r="H135" s="7"/>
      <c r="I135" s="2" t="s">
        <v>700</v>
      </c>
      <c r="J135" s="2" t="s">
        <v>2832</v>
      </c>
      <c r="K135" s="2" t="s">
        <v>2752</v>
      </c>
      <c r="L135" s="2" t="s">
        <v>3051</v>
      </c>
      <c r="M135" s="8" t="str">
        <f>HYPERLINK("http://images.bloomingdales.com/is/image/BLM/10176179 ")</f>
        <v xml:space="preserve">http://images.bloomingdales.com/is/image/BLM/10176179 </v>
      </c>
    </row>
    <row r="136" spans="1:13" ht="120" x14ac:dyDescent="0.25">
      <c r="A136" s="7" t="s">
        <v>3052</v>
      </c>
      <c r="B136" s="2" t="s">
        <v>3053</v>
      </c>
      <c r="C136" s="4">
        <v>2</v>
      </c>
      <c r="D136" s="5">
        <v>12.5</v>
      </c>
      <c r="E136" s="5">
        <v>34.99</v>
      </c>
      <c r="F136" s="4" t="s">
        <v>3054</v>
      </c>
      <c r="G136" s="2" t="s">
        <v>62</v>
      </c>
      <c r="H136" s="7" t="s">
        <v>149</v>
      </c>
      <c r="I136" s="2" t="s">
        <v>92</v>
      </c>
      <c r="J136" s="2" t="s">
        <v>65</v>
      </c>
      <c r="K136" s="2" t="s">
        <v>304</v>
      </c>
      <c r="L136" s="2" t="s">
        <v>3055</v>
      </c>
      <c r="M136" s="8" t="str">
        <f>HYPERLINK("http://slimages.macys.com/is/image/MCY/14815658 ")</f>
        <v xml:space="preserve">http://slimages.macys.com/is/image/MCY/14815658 </v>
      </c>
    </row>
    <row r="137" spans="1:13" ht="180" x14ac:dyDescent="0.25">
      <c r="A137" s="7" t="s">
        <v>3056</v>
      </c>
      <c r="B137" s="2" t="s">
        <v>3057</v>
      </c>
      <c r="C137" s="4">
        <v>1</v>
      </c>
      <c r="D137" s="5">
        <v>12.5</v>
      </c>
      <c r="E137" s="5">
        <v>34.99</v>
      </c>
      <c r="F137" s="4" t="s">
        <v>3058</v>
      </c>
      <c r="G137" s="2" t="s">
        <v>41</v>
      </c>
      <c r="H137" s="7" t="s">
        <v>590</v>
      </c>
      <c r="I137" s="2" t="s">
        <v>92</v>
      </c>
      <c r="J137" s="2" t="s">
        <v>65</v>
      </c>
      <c r="K137" s="2" t="s">
        <v>304</v>
      </c>
      <c r="L137" s="2" t="s">
        <v>3059</v>
      </c>
      <c r="M137" s="8" t="str">
        <f>HYPERLINK("http://slimages.macys.com/is/image/MCY/14815481 ")</f>
        <v xml:space="preserve">http://slimages.macys.com/is/image/MCY/14815481 </v>
      </c>
    </row>
    <row r="138" spans="1:13" ht="204" x14ac:dyDescent="0.25">
      <c r="A138" s="7" t="s">
        <v>3060</v>
      </c>
      <c r="B138" s="2" t="s">
        <v>1558</v>
      </c>
      <c r="C138" s="4">
        <v>1</v>
      </c>
      <c r="D138" s="5">
        <v>12.5</v>
      </c>
      <c r="E138" s="5">
        <v>34.99</v>
      </c>
      <c r="F138" s="4" t="s">
        <v>1559</v>
      </c>
      <c r="G138" s="2" t="s">
        <v>129</v>
      </c>
      <c r="H138" s="7" t="s">
        <v>149</v>
      </c>
      <c r="I138" s="2" t="s">
        <v>92</v>
      </c>
      <c r="J138" s="2" t="s">
        <v>65</v>
      </c>
      <c r="K138" s="2" t="s">
        <v>304</v>
      </c>
      <c r="L138" s="2" t="s">
        <v>1560</v>
      </c>
      <c r="M138" s="8" t="str">
        <f>HYPERLINK("http://slimages.macys.com/is/image/MCY/14815688 ")</f>
        <v xml:space="preserve">http://slimages.macys.com/is/image/MCY/14815688 </v>
      </c>
    </row>
    <row r="139" spans="1:13" ht="168" x14ac:dyDescent="0.25">
      <c r="A139" s="7" t="s">
        <v>2510</v>
      </c>
      <c r="B139" s="2" t="s">
        <v>189</v>
      </c>
      <c r="C139" s="4">
        <v>1</v>
      </c>
      <c r="D139" s="5">
        <v>12.5</v>
      </c>
      <c r="E139" s="5">
        <v>34.99</v>
      </c>
      <c r="F139" s="4" t="s">
        <v>190</v>
      </c>
      <c r="G139" s="2" t="s">
        <v>129</v>
      </c>
      <c r="H139" s="7" t="s">
        <v>42</v>
      </c>
      <c r="I139" s="2" t="s">
        <v>92</v>
      </c>
      <c r="J139" s="2" t="s">
        <v>65</v>
      </c>
      <c r="K139" s="2" t="s">
        <v>304</v>
      </c>
      <c r="L139" s="2" t="s">
        <v>191</v>
      </c>
      <c r="M139" s="8" t="str">
        <f>HYPERLINK("http://slimages.macys.com/is/image/MCY/14815686 ")</f>
        <v xml:space="preserve">http://slimages.macys.com/is/image/MCY/14815686 </v>
      </c>
    </row>
    <row r="140" spans="1:13" ht="168" x14ac:dyDescent="0.25">
      <c r="A140" s="7" t="s">
        <v>3061</v>
      </c>
      <c r="B140" s="2" t="s">
        <v>189</v>
      </c>
      <c r="C140" s="4">
        <v>1</v>
      </c>
      <c r="D140" s="5">
        <v>12.5</v>
      </c>
      <c r="E140" s="5">
        <v>34.99</v>
      </c>
      <c r="F140" s="4" t="s">
        <v>190</v>
      </c>
      <c r="G140" s="2" t="s">
        <v>129</v>
      </c>
      <c r="H140" s="7" t="s">
        <v>590</v>
      </c>
      <c r="I140" s="2" t="s">
        <v>92</v>
      </c>
      <c r="J140" s="2" t="s">
        <v>65</v>
      </c>
      <c r="K140" s="2" t="s">
        <v>304</v>
      </c>
      <c r="L140" s="2" t="s">
        <v>191</v>
      </c>
      <c r="M140" s="8" t="str">
        <f>HYPERLINK("http://slimages.macys.com/is/image/MCY/14815686 ")</f>
        <v xml:space="preserve">http://slimages.macys.com/is/image/MCY/14815686 </v>
      </c>
    </row>
    <row r="141" spans="1:13" ht="120" x14ac:dyDescent="0.25">
      <c r="A141" s="7" t="s">
        <v>3062</v>
      </c>
      <c r="B141" s="2" t="s">
        <v>3053</v>
      </c>
      <c r="C141" s="4">
        <v>1</v>
      </c>
      <c r="D141" s="5">
        <v>12.5</v>
      </c>
      <c r="E141" s="5">
        <v>34.99</v>
      </c>
      <c r="F141" s="4" t="s">
        <v>3054</v>
      </c>
      <c r="G141" s="2" t="s">
        <v>62</v>
      </c>
      <c r="H141" s="7" t="s">
        <v>91</v>
      </c>
      <c r="I141" s="2" t="s">
        <v>92</v>
      </c>
      <c r="J141" s="2" t="s">
        <v>65</v>
      </c>
      <c r="K141" s="2" t="s">
        <v>304</v>
      </c>
      <c r="L141" s="2" t="s">
        <v>3055</v>
      </c>
      <c r="M141" s="8" t="str">
        <f>HYPERLINK("http://slimages.macys.com/is/image/MCY/14815658 ")</f>
        <v xml:space="preserve">http://slimages.macys.com/is/image/MCY/14815658 </v>
      </c>
    </row>
    <row r="142" spans="1:13" ht="168" x14ac:dyDescent="0.25">
      <c r="A142" s="7" t="s">
        <v>188</v>
      </c>
      <c r="B142" s="2" t="s">
        <v>189</v>
      </c>
      <c r="C142" s="4">
        <v>1</v>
      </c>
      <c r="D142" s="5">
        <v>12.5</v>
      </c>
      <c r="E142" s="5">
        <v>34.99</v>
      </c>
      <c r="F142" s="4" t="s">
        <v>190</v>
      </c>
      <c r="G142" s="2" t="s">
        <v>129</v>
      </c>
      <c r="H142" s="7" t="s">
        <v>149</v>
      </c>
      <c r="I142" s="2" t="s">
        <v>92</v>
      </c>
      <c r="J142" s="2" t="s">
        <v>65</v>
      </c>
      <c r="K142" s="2" t="s">
        <v>304</v>
      </c>
      <c r="L142" s="2" t="s">
        <v>191</v>
      </c>
      <c r="M142" s="8" t="str">
        <f>HYPERLINK("http://slimages.macys.com/is/image/MCY/14815686 ")</f>
        <v xml:space="preserve">http://slimages.macys.com/is/image/MCY/14815686 </v>
      </c>
    </row>
    <row r="143" spans="1:13" ht="120" x14ac:dyDescent="0.25">
      <c r="A143" s="7" t="s">
        <v>3063</v>
      </c>
      <c r="B143" s="2" t="s">
        <v>3053</v>
      </c>
      <c r="C143" s="4">
        <v>2</v>
      </c>
      <c r="D143" s="5">
        <v>12.5</v>
      </c>
      <c r="E143" s="5">
        <v>34.99</v>
      </c>
      <c r="F143" s="4" t="s">
        <v>3054</v>
      </c>
      <c r="G143" s="2" t="s">
        <v>62</v>
      </c>
      <c r="H143" s="7" t="s">
        <v>42</v>
      </c>
      <c r="I143" s="2" t="s">
        <v>92</v>
      </c>
      <c r="J143" s="2" t="s">
        <v>65</v>
      </c>
      <c r="K143" s="2" t="s">
        <v>304</v>
      </c>
      <c r="L143" s="2" t="s">
        <v>3055</v>
      </c>
      <c r="M143" s="8" t="str">
        <f>HYPERLINK("http://slimages.macys.com/is/image/MCY/14815658 ")</f>
        <v xml:space="preserve">http://slimages.macys.com/is/image/MCY/14815658 </v>
      </c>
    </row>
    <row r="144" spans="1:13" ht="60" x14ac:dyDescent="0.25">
      <c r="A144" s="7" t="s">
        <v>3064</v>
      </c>
      <c r="B144" s="2" t="s">
        <v>3065</v>
      </c>
      <c r="C144" s="4">
        <v>2</v>
      </c>
      <c r="D144" s="5">
        <v>12.5</v>
      </c>
      <c r="E144" s="5">
        <v>35</v>
      </c>
      <c r="F144" s="4" t="s">
        <v>3066</v>
      </c>
      <c r="G144" s="2" t="s">
        <v>36</v>
      </c>
      <c r="H144" s="7"/>
      <c r="I144" s="2" t="s">
        <v>700</v>
      </c>
      <c r="J144" s="2" t="s">
        <v>2832</v>
      </c>
      <c r="K144" s="2" t="s">
        <v>2752</v>
      </c>
      <c r="L144" s="2" t="s">
        <v>3051</v>
      </c>
      <c r="M144" s="8" t="str">
        <f>HYPERLINK("http://images.bloomingdales.com/is/image/BLM/10176178 ")</f>
        <v xml:space="preserve">http://images.bloomingdales.com/is/image/BLM/10176178 </v>
      </c>
    </row>
    <row r="145" spans="1:13" ht="60" x14ac:dyDescent="0.25">
      <c r="A145" s="7" t="s">
        <v>3067</v>
      </c>
      <c r="B145" s="2" t="s">
        <v>3068</v>
      </c>
      <c r="C145" s="4">
        <v>3</v>
      </c>
      <c r="D145" s="5">
        <v>12.5</v>
      </c>
      <c r="E145" s="5">
        <v>35</v>
      </c>
      <c r="F145" s="4" t="s">
        <v>3069</v>
      </c>
      <c r="G145" s="2" t="s">
        <v>892</v>
      </c>
      <c r="H145" s="7"/>
      <c r="I145" s="2" t="s">
        <v>700</v>
      </c>
      <c r="J145" s="2" t="s">
        <v>2832</v>
      </c>
      <c r="K145" s="2" t="s">
        <v>2752</v>
      </c>
      <c r="L145" s="2" t="s">
        <v>3051</v>
      </c>
      <c r="M145" s="8" t="str">
        <f>HYPERLINK("http://images.bloomingdales.com/is/image/BLM/10213708 ")</f>
        <v xml:space="preserve">http://images.bloomingdales.com/is/image/BLM/10213708 </v>
      </c>
    </row>
    <row r="146" spans="1:13" ht="60" x14ac:dyDescent="0.25">
      <c r="A146" s="7" t="s">
        <v>3070</v>
      </c>
      <c r="B146" s="2" t="s">
        <v>3071</v>
      </c>
      <c r="C146" s="4">
        <v>1</v>
      </c>
      <c r="D146" s="5">
        <v>12.5</v>
      </c>
      <c r="E146" s="5">
        <v>35</v>
      </c>
      <c r="F146" s="4" t="s">
        <v>3072</v>
      </c>
      <c r="G146" s="2" t="s">
        <v>476</v>
      </c>
      <c r="H146" s="7"/>
      <c r="I146" s="2" t="s">
        <v>700</v>
      </c>
      <c r="J146" s="2" t="s">
        <v>2832</v>
      </c>
      <c r="K146" s="2" t="s">
        <v>2752</v>
      </c>
      <c r="L146" s="2" t="s">
        <v>3073</v>
      </c>
      <c r="M146" s="8" t="str">
        <f>HYPERLINK("http://images.bloomingdales.com/is/image/BLM/10249368 ")</f>
        <v xml:space="preserve">http://images.bloomingdales.com/is/image/BLM/10249368 </v>
      </c>
    </row>
    <row r="147" spans="1:13" ht="168" x14ac:dyDescent="0.25">
      <c r="A147" s="7" t="s">
        <v>3074</v>
      </c>
      <c r="B147" s="2" t="s">
        <v>189</v>
      </c>
      <c r="C147" s="4">
        <v>1</v>
      </c>
      <c r="D147" s="5">
        <v>12.5</v>
      </c>
      <c r="E147" s="5">
        <v>34.99</v>
      </c>
      <c r="F147" s="4" t="s">
        <v>190</v>
      </c>
      <c r="G147" s="2" t="s">
        <v>129</v>
      </c>
      <c r="H147" s="7" t="s">
        <v>91</v>
      </c>
      <c r="I147" s="2" t="s">
        <v>92</v>
      </c>
      <c r="J147" s="2" t="s">
        <v>65</v>
      </c>
      <c r="K147" s="2" t="s">
        <v>304</v>
      </c>
      <c r="L147" s="2" t="s">
        <v>191</v>
      </c>
      <c r="M147" s="8" t="str">
        <f>HYPERLINK("http://slimages.macys.com/is/image/MCY/14815686 ")</f>
        <v xml:space="preserve">http://slimages.macys.com/is/image/MCY/14815686 </v>
      </c>
    </row>
    <row r="148" spans="1:13" ht="60" x14ac:dyDescent="0.25">
      <c r="A148" s="7" t="s">
        <v>779</v>
      </c>
      <c r="B148" s="2" t="s">
        <v>198</v>
      </c>
      <c r="C148" s="4">
        <v>1</v>
      </c>
      <c r="D148" s="5">
        <v>12.39</v>
      </c>
      <c r="E148" s="5">
        <v>29.5</v>
      </c>
      <c r="F148" s="4" t="s">
        <v>199</v>
      </c>
      <c r="G148" s="2" t="s">
        <v>200</v>
      </c>
      <c r="H148" s="7" t="s">
        <v>442</v>
      </c>
      <c r="I148" s="2" t="s">
        <v>135</v>
      </c>
      <c r="J148" s="2" t="s">
        <v>201</v>
      </c>
      <c r="K148" s="2" t="s">
        <v>304</v>
      </c>
      <c r="L148" s="2" t="s">
        <v>87</v>
      </c>
      <c r="M148" s="8" t="str">
        <f>HYPERLINK("http://slimages.macys.com/is/image/MCY/1477012 ")</f>
        <v xml:space="preserve">http://slimages.macys.com/is/image/MCY/1477012 </v>
      </c>
    </row>
    <row r="149" spans="1:13" ht="60" x14ac:dyDescent="0.25">
      <c r="A149" s="7" t="s">
        <v>3075</v>
      </c>
      <c r="B149" s="2" t="s">
        <v>3076</v>
      </c>
      <c r="C149" s="4">
        <v>1</v>
      </c>
      <c r="D149" s="5">
        <v>12.38</v>
      </c>
      <c r="E149" s="5">
        <v>27.5</v>
      </c>
      <c r="F149" s="4">
        <v>322742505001</v>
      </c>
      <c r="G149" s="2" t="s">
        <v>28</v>
      </c>
      <c r="H149" s="7" t="s">
        <v>123</v>
      </c>
      <c r="I149" s="2" t="s">
        <v>700</v>
      </c>
      <c r="J149" s="2" t="s">
        <v>205</v>
      </c>
      <c r="K149" s="2" t="s">
        <v>304</v>
      </c>
      <c r="L149" s="2" t="s">
        <v>38</v>
      </c>
      <c r="M149" s="8" t="str">
        <f>HYPERLINK("http://slimages.macys.com/is/image/MCY/12794805 ")</f>
        <v xml:space="preserve">http://slimages.macys.com/is/image/MCY/12794805 </v>
      </c>
    </row>
    <row r="150" spans="1:13" ht="228" x14ac:dyDescent="0.25">
      <c r="A150" s="7" t="s">
        <v>3077</v>
      </c>
      <c r="B150" s="2" t="s">
        <v>1571</v>
      </c>
      <c r="C150" s="4">
        <v>1</v>
      </c>
      <c r="D150" s="5">
        <v>12.32</v>
      </c>
      <c r="E150" s="5">
        <v>35.99</v>
      </c>
      <c r="F150" s="4" t="s">
        <v>1572</v>
      </c>
      <c r="G150" s="2" t="s">
        <v>297</v>
      </c>
      <c r="H150" s="7" t="s">
        <v>442</v>
      </c>
      <c r="I150" s="2" t="s">
        <v>483</v>
      </c>
      <c r="J150" s="2" t="s">
        <v>536</v>
      </c>
      <c r="K150" s="2" t="s">
        <v>304</v>
      </c>
      <c r="L150" s="2" t="s">
        <v>1573</v>
      </c>
      <c r="M150" s="8" t="str">
        <f>HYPERLINK("http://slimages.macys.com/is/image/MCY/14384815 ")</f>
        <v xml:space="preserve">http://slimages.macys.com/is/image/MCY/14384815 </v>
      </c>
    </row>
    <row r="151" spans="1:13" ht="228" x14ac:dyDescent="0.25">
      <c r="A151" s="7" t="s">
        <v>3078</v>
      </c>
      <c r="B151" s="2" t="s">
        <v>1571</v>
      </c>
      <c r="C151" s="4">
        <v>1</v>
      </c>
      <c r="D151" s="5">
        <v>12.32</v>
      </c>
      <c r="E151" s="5">
        <v>35.99</v>
      </c>
      <c r="F151" s="4" t="s">
        <v>1572</v>
      </c>
      <c r="G151" s="2" t="s">
        <v>297</v>
      </c>
      <c r="H151" s="7" t="s">
        <v>149</v>
      </c>
      <c r="I151" s="2" t="s">
        <v>483</v>
      </c>
      <c r="J151" s="2" t="s">
        <v>536</v>
      </c>
      <c r="K151" s="2" t="s">
        <v>304</v>
      </c>
      <c r="L151" s="2" t="s">
        <v>1573</v>
      </c>
      <c r="M151" s="8" t="str">
        <f>HYPERLINK("http://slimages.macys.com/is/image/MCY/14384815 ")</f>
        <v xml:space="preserve">http://slimages.macys.com/is/image/MCY/14384815 </v>
      </c>
    </row>
    <row r="152" spans="1:13" ht="60" x14ac:dyDescent="0.25">
      <c r="A152" s="7" t="s">
        <v>3079</v>
      </c>
      <c r="B152" s="2" t="s">
        <v>3080</v>
      </c>
      <c r="C152" s="4">
        <v>1</v>
      </c>
      <c r="D152" s="5">
        <v>12.16</v>
      </c>
      <c r="E152" s="5">
        <v>32</v>
      </c>
      <c r="F152" s="4" t="s">
        <v>3081</v>
      </c>
      <c r="G152" s="2" t="s">
        <v>698</v>
      </c>
      <c r="H152" s="7" t="s">
        <v>3001</v>
      </c>
      <c r="I152" s="2" t="s">
        <v>700</v>
      </c>
      <c r="J152" s="2" t="s">
        <v>3082</v>
      </c>
      <c r="K152" s="2" t="s">
        <v>2752</v>
      </c>
      <c r="L152" s="2" t="s">
        <v>38</v>
      </c>
      <c r="M152" s="8" t="str">
        <f>HYPERLINK("http://images.bloomingdales.com/is/image/BLM/10190377 ")</f>
        <v xml:space="preserve">http://images.bloomingdales.com/is/image/BLM/10190377 </v>
      </c>
    </row>
    <row r="153" spans="1:13" ht="60" x14ac:dyDescent="0.25">
      <c r="A153" s="7" t="s">
        <v>3083</v>
      </c>
      <c r="B153" s="2" t="s">
        <v>3084</v>
      </c>
      <c r="C153" s="4">
        <v>1</v>
      </c>
      <c r="D153" s="5">
        <v>12</v>
      </c>
      <c r="E153" s="5">
        <v>31.99</v>
      </c>
      <c r="F153" s="4" t="s">
        <v>3085</v>
      </c>
      <c r="G153" s="2" t="s">
        <v>310</v>
      </c>
      <c r="H153" s="7" t="s">
        <v>149</v>
      </c>
      <c r="I153" s="2" t="s">
        <v>92</v>
      </c>
      <c r="J153" s="2" t="s">
        <v>3086</v>
      </c>
      <c r="K153" s="2" t="s">
        <v>304</v>
      </c>
      <c r="L153" s="2" t="s">
        <v>3087</v>
      </c>
      <c r="M153" s="8" t="str">
        <f>HYPERLINK("http://slimages.macys.com/is/image/MCY/14812314 ")</f>
        <v xml:space="preserve">http://slimages.macys.com/is/image/MCY/14812314 </v>
      </c>
    </row>
    <row r="154" spans="1:13" ht="60" x14ac:dyDescent="0.25">
      <c r="A154" s="7" t="s">
        <v>3088</v>
      </c>
      <c r="B154" s="2" t="s">
        <v>3084</v>
      </c>
      <c r="C154" s="4">
        <v>1</v>
      </c>
      <c r="D154" s="5">
        <v>12</v>
      </c>
      <c r="E154" s="5">
        <v>31.99</v>
      </c>
      <c r="F154" s="4" t="s">
        <v>3085</v>
      </c>
      <c r="G154" s="2" t="s">
        <v>310</v>
      </c>
      <c r="H154" s="7" t="s">
        <v>42</v>
      </c>
      <c r="I154" s="2" t="s">
        <v>92</v>
      </c>
      <c r="J154" s="2" t="s">
        <v>3086</v>
      </c>
      <c r="K154" s="2" t="s">
        <v>304</v>
      </c>
      <c r="L154" s="2" t="s">
        <v>3087</v>
      </c>
      <c r="M154" s="8" t="str">
        <f>HYPERLINK("http://slimages.macys.com/is/image/MCY/14812314 ")</f>
        <v xml:space="preserve">http://slimages.macys.com/is/image/MCY/14812314 </v>
      </c>
    </row>
    <row r="155" spans="1:13" ht="60" x14ac:dyDescent="0.25">
      <c r="A155" s="7" t="s">
        <v>3089</v>
      </c>
      <c r="B155" s="2" t="s">
        <v>3090</v>
      </c>
      <c r="C155" s="4">
        <v>1</v>
      </c>
      <c r="D155" s="5">
        <v>12</v>
      </c>
      <c r="E155" s="5">
        <v>32</v>
      </c>
      <c r="F155" s="4" t="s">
        <v>3091</v>
      </c>
      <c r="G155" s="2" t="s">
        <v>171</v>
      </c>
      <c r="H155" s="7" t="s">
        <v>482</v>
      </c>
      <c r="I155" s="2" t="s">
        <v>676</v>
      </c>
      <c r="J155" s="2" t="s">
        <v>497</v>
      </c>
      <c r="K155" s="2" t="s">
        <v>2752</v>
      </c>
      <c r="L155" s="2" t="s">
        <v>38</v>
      </c>
      <c r="M155" s="8" t="str">
        <f>HYPERLINK("http://images.bloomingdales.com/is/image/BLM/10436654 ")</f>
        <v xml:space="preserve">http://images.bloomingdales.com/is/image/BLM/10436654 </v>
      </c>
    </row>
    <row r="156" spans="1:13" ht="60" x14ac:dyDescent="0.25">
      <c r="A156" s="7" t="s">
        <v>3092</v>
      </c>
      <c r="B156" s="2" t="s">
        <v>3093</v>
      </c>
      <c r="C156" s="4">
        <v>1</v>
      </c>
      <c r="D156" s="5">
        <v>12</v>
      </c>
      <c r="E156" s="5">
        <v>32</v>
      </c>
      <c r="F156" s="4" t="s">
        <v>3094</v>
      </c>
      <c r="G156" s="2" t="s">
        <v>667</v>
      </c>
      <c r="H156" s="7" t="s">
        <v>233</v>
      </c>
      <c r="I156" s="2" t="s">
        <v>676</v>
      </c>
      <c r="J156" s="2" t="s">
        <v>497</v>
      </c>
      <c r="K156" s="2" t="s">
        <v>2752</v>
      </c>
      <c r="L156" s="2" t="s">
        <v>38</v>
      </c>
      <c r="M156" s="8" t="str">
        <f>HYPERLINK("http://images.bloomingdales.com/is/image/BLM/10436655 ")</f>
        <v xml:space="preserve">http://images.bloomingdales.com/is/image/BLM/10436655 </v>
      </c>
    </row>
    <row r="157" spans="1:13" ht="60" x14ac:dyDescent="0.25">
      <c r="A157" s="7" t="s">
        <v>3095</v>
      </c>
      <c r="B157" s="2" t="s">
        <v>211</v>
      </c>
      <c r="C157" s="4">
        <v>1</v>
      </c>
      <c r="D157" s="5">
        <v>11.76</v>
      </c>
      <c r="E157" s="5">
        <v>28</v>
      </c>
      <c r="F157" s="4" t="s">
        <v>212</v>
      </c>
      <c r="G157" s="2" t="s">
        <v>62</v>
      </c>
      <c r="H157" s="7" t="s">
        <v>764</v>
      </c>
      <c r="I157" s="2" t="s">
        <v>73</v>
      </c>
      <c r="J157" s="2" t="s">
        <v>74</v>
      </c>
      <c r="K157" s="2" t="s">
        <v>304</v>
      </c>
      <c r="L157" s="2" t="s">
        <v>87</v>
      </c>
      <c r="M157" s="8" t="str">
        <f>HYPERLINK("http://slimages.macys.com/is/image/MCY/13941644 ")</f>
        <v xml:space="preserve">http://slimages.macys.com/is/image/MCY/13941644 </v>
      </c>
    </row>
    <row r="158" spans="1:13" ht="60" x14ac:dyDescent="0.25">
      <c r="A158" s="7" t="s">
        <v>3096</v>
      </c>
      <c r="B158" s="2" t="s">
        <v>3097</v>
      </c>
      <c r="C158" s="4">
        <v>1</v>
      </c>
      <c r="D158" s="5">
        <v>11.75</v>
      </c>
      <c r="E158" s="5">
        <v>28.99</v>
      </c>
      <c r="F158" s="4" t="s">
        <v>3098</v>
      </c>
      <c r="G158" s="2" t="s">
        <v>1747</v>
      </c>
      <c r="H158" s="7" t="s">
        <v>228</v>
      </c>
      <c r="I158" s="2" t="s">
        <v>321</v>
      </c>
      <c r="J158" s="2" t="s">
        <v>3099</v>
      </c>
      <c r="K158" s="2" t="s">
        <v>304</v>
      </c>
      <c r="L158" s="2" t="s">
        <v>125</v>
      </c>
      <c r="M158" s="8" t="str">
        <f>HYPERLINK("http://slimages.macys.com/is/image/MCY/11641610 ")</f>
        <v xml:space="preserve">http://slimages.macys.com/is/image/MCY/11641610 </v>
      </c>
    </row>
    <row r="159" spans="1:13" ht="60" x14ac:dyDescent="0.25">
      <c r="A159" s="7" t="s">
        <v>214</v>
      </c>
      <c r="B159" s="2" t="s">
        <v>215</v>
      </c>
      <c r="C159" s="4">
        <v>1</v>
      </c>
      <c r="D159" s="5">
        <v>11.73</v>
      </c>
      <c r="E159" s="5">
        <v>32.99</v>
      </c>
      <c r="F159" s="4" t="s">
        <v>216</v>
      </c>
      <c r="G159" s="2" t="s">
        <v>62</v>
      </c>
      <c r="H159" s="7" t="s">
        <v>217</v>
      </c>
      <c r="I159" s="2" t="s">
        <v>218</v>
      </c>
      <c r="J159" s="2" t="s">
        <v>219</v>
      </c>
      <c r="K159" s="2" t="s">
        <v>304</v>
      </c>
      <c r="L159" s="2" t="s">
        <v>125</v>
      </c>
      <c r="M159" s="8" t="str">
        <f>HYPERLINK("http://slimages.macys.com/is/image/MCY/11526462 ")</f>
        <v xml:space="preserve">http://slimages.macys.com/is/image/MCY/11526462 </v>
      </c>
    </row>
    <row r="160" spans="1:13" ht="60" x14ac:dyDescent="0.25">
      <c r="A160" s="7" t="s">
        <v>3100</v>
      </c>
      <c r="B160" s="2" t="s">
        <v>215</v>
      </c>
      <c r="C160" s="4">
        <v>1</v>
      </c>
      <c r="D160" s="5">
        <v>11.73</v>
      </c>
      <c r="E160" s="5">
        <v>32.99</v>
      </c>
      <c r="F160" s="4" t="s">
        <v>216</v>
      </c>
      <c r="G160" s="2" t="s">
        <v>62</v>
      </c>
      <c r="H160" s="7" t="s">
        <v>284</v>
      </c>
      <c r="I160" s="2" t="s">
        <v>218</v>
      </c>
      <c r="J160" s="2" t="s">
        <v>219</v>
      </c>
      <c r="K160" s="2" t="s">
        <v>304</v>
      </c>
      <c r="L160" s="2" t="s">
        <v>125</v>
      </c>
      <c r="M160" s="8" t="str">
        <f>HYPERLINK("http://slimages.macys.com/is/image/MCY/11526462 ")</f>
        <v xml:space="preserve">http://slimages.macys.com/is/image/MCY/11526462 </v>
      </c>
    </row>
    <row r="161" spans="1:13" ht="60" x14ac:dyDescent="0.25">
      <c r="A161" s="7" t="s">
        <v>3101</v>
      </c>
      <c r="B161" s="2" t="s">
        <v>215</v>
      </c>
      <c r="C161" s="4">
        <v>1</v>
      </c>
      <c r="D161" s="5">
        <v>11.73</v>
      </c>
      <c r="E161" s="5">
        <v>32.99</v>
      </c>
      <c r="F161" s="4" t="s">
        <v>216</v>
      </c>
      <c r="G161" s="2" t="s">
        <v>62</v>
      </c>
      <c r="H161" s="7" t="s">
        <v>228</v>
      </c>
      <c r="I161" s="2" t="s">
        <v>218</v>
      </c>
      <c r="J161" s="2" t="s">
        <v>219</v>
      </c>
      <c r="K161" s="2" t="s">
        <v>304</v>
      </c>
      <c r="L161" s="2" t="s">
        <v>125</v>
      </c>
      <c r="M161" s="8" t="str">
        <f>HYPERLINK("http://slimages.macys.com/is/image/MCY/11526462 ")</f>
        <v xml:space="preserve">http://slimages.macys.com/is/image/MCY/11526462 </v>
      </c>
    </row>
    <row r="162" spans="1:13" ht="120" x14ac:dyDescent="0.25">
      <c r="A162" s="7" t="s">
        <v>3102</v>
      </c>
      <c r="B162" s="2" t="s">
        <v>3103</v>
      </c>
      <c r="C162" s="4">
        <v>1</v>
      </c>
      <c r="D162" s="5">
        <v>11.5</v>
      </c>
      <c r="E162" s="5">
        <v>29.99</v>
      </c>
      <c r="F162" s="4" t="s">
        <v>3104</v>
      </c>
      <c r="G162" s="2" t="s">
        <v>793</v>
      </c>
      <c r="H162" s="7" t="s">
        <v>149</v>
      </c>
      <c r="I162" s="2" t="s">
        <v>92</v>
      </c>
      <c r="J162" s="2" t="s">
        <v>239</v>
      </c>
      <c r="K162" s="2" t="s">
        <v>304</v>
      </c>
      <c r="L162" s="2" t="s">
        <v>3105</v>
      </c>
      <c r="M162" s="8" t="str">
        <f>HYPERLINK("http://slimages.macys.com/is/image/MCY/15196296 ")</f>
        <v xml:space="preserve">http://slimages.macys.com/is/image/MCY/15196296 </v>
      </c>
    </row>
    <row r="163" spans="1:13" ht="60" x14ac:dyDescent="0.25">
      <c r="A163" s="7" t="s">
        <v>3106</v>
      </c>
      <c r="B163" s="2" t="s">
        <v>221</v>
      </c>
      <c r="C163" s="4">
        <v>1</v>
      </c>
      <c r="D163" s="5">
        <v>11.5</v>
      </c>
      <c r="E163" s="5">
        <v>25.99</v>
      </c>
      <c r="F163" s="4" t="s">
        <v>222</v>
      </c>
      <c r="G163" s="2" t="s">
        <v>165</v>
      </c>
      <c r="H163" s="7" t="s">
        <v>228</v>
      </c>
      <c r="I163" s="2" t="s">
        <v>73</v>
      </c>
      <c r="J163" s="2" t="s">
        <v>223</v>
      </c>
      <c r="K163" s="2" t="s">
        <v>304</v>
      </c>
      <c r="L163" s="2" t="s">
        <v>224</v>
      </c>
      <c r="M163" s="8" t="str">
        <f>HYPERLINK("http://slimages.macys.com/is/image/MCY/15736005 ")</f>
        <v xml:space="preserve">http://slimages.macys.com/is/image/MCY/15736005 </v>
      </c>
    </row>
    <row r="164" spans="1:13" ht="108" x14ac:dyDescent="0.25">
      <c r="A164" s="7" t="s">
        <v>3107</v>
      </c>
      <c r="B164" s="2" t="s">
        <v>3108</v>
      </c>
      <c r="C164" s="4">
        <v>1</v>
      </c>
      <c r="D164" s="5">
        <v>11.5</v>
      </c>
      <c r="E164" s="5">
        <v>26.15</v>
      </c>
      <c r="F164" s="4">
        <v>19321110</v>
      </c>
      <c r="G164" s="2" t="s">
        <v>262</v>
      </c>
      <c r="H164" s="7" t="s">
        <v>482</v>
      </c>
      <c r="I164" s="2" t="s">
        <v>153</v>
      </c>
      <c r="J164" s="2" t="s">
        <v>154</v>
      </c>
      <c r="K164" s="2" t="s">
        <v>304</v>
      </c>
      <c r="L164" s="2" t="s">
        <v>3109</v>
      </c>
      <c r="M164" s="8" t="str">
        <f>HYPERLINK("http://slimages.macys.com/is/image/MCY/14608316 ")</f>
        <v xml:space="preserve">http://slimages.macys.com/is/image/MCY/14608316 </v>
      </c>
    </row>
    <row r="165" spans="1:13" ht="60" x14ac:dyDescent="0.25">
      <c r="A165" s="7" t="s">
        <v>794</v>
      </c>
      <c r="B165" s="2" t="s">
        <v>795</v>
      </c>
      <c r="C165" s="4">
        <v>1</v>
      </c>
      <c r="D165" s="5">
        <v>11.4</v>
      </c>
      <c r="E165" s="5">
        <v>28.5</v>
      </c>
      <c r="F165" s="4" t="s">
        <v>796</v>
      </c>
      <c r="G165" s="2" t="s">
        <v>86</v>
      </c>
      <c r="H165" s="7"/>
      <c r="I165" s="2" t="s">
        <v>98</v>
      </c>
      <c r="J165" s="2" t="s">
        <v>99</v>
      </c>
      <c r="K165" s="2" t="s">
        <v>304</v>
      </c>
      <c r="L165" s="2" t="s">
        <v>119</v>
      </c>
      <c r="M165" s="8" t="str">
        <f>HYPERLINK("http://slimages.macys.com/is/image/MCY/14384600 ")</f>
        <v xml:space="preserve">http://slimages.macys.com/is/image/MCY/14384600 </v>
      </c>
    </row>
    <row r="166" spans="1:13" ht="60" x14ac:dyDescent="0.25">
      <c r="A166" s="7" t="s">
        <v>3110</v>
      </c>
      <c r="B166" s="2" t="s">
        <v>3111</v>
      </c>
      <c r="C166" s="4">
        <v>1</v>
      </c>
      <c r="D166" s="5">
        <v>11.33</v>
      </c>
      <c r="E166" s="5">
        <v>29.99</v>
      </c>
      <c r="F166" s="4" t="s">
        <v>3112</v>
      </c>
      <c r="G166" s="2" t="s">
        <v>28</v>
      </c>
      <c r="H166" s="7" t="s">
        <v>217</v>
      </c>
      <c r="I166" s="2" t="s">
        <v>292</v>
      </c>
      <c r="J166" s="2" t="s">
        <v>293</v>
      </c>
      <c r="K166" s="2" t="s">
        <v>304</v>
      </c>
      <c r="L166" s="2" t="s">
        <v>119</v>
      </c>
      <c r="M166" s="8" t="str">
        <f>HYPERLINK("http://slimages.macys.com/is/image/MCY/12000967 ")</f>
        <v xml:space="preserve">http://slimages.macys.com/is/image/MCY/12000967 </v>
      </c>
    </row>
    <row r="167" spans="1:13" ht="60" x14ac:dyDescent="0.25">
      <c r="A167" s="7" t="s">
        <v>3113</v>
      </c>
      <c r="B167" s="2" t="s">
        <v>3114</v>
      </c>
      <c r="C167" s="4">
        <v>1</v>
      </c>
      <c r="D167" s="5">
        <v>11.33</v>
      </c>
      <c r="E167" s="5">
        <v>22.67</v>
      </c>
      <c r="F167" s="4">
        <v>26416710</v>
      </c>
      <c r="G167" s="2"/>
      <c r="H167" s="7" t="s">
        <v>209</v>
      </c>
      <c r="I167" s="2" t="s">
        <v>487</v>
      </c>
      <c r="J167" s="2" t="s">
        <v>2424</v>
      </c>
      <c r="K167" s="2" t="s">
        <v>304</v>
      </c>
      <c r="L167" s="2" t="s">
        <v>206</v>
      </c>
      <c r="M167" s="8" t="str">
        <f>HYPERLINK("http://slimages.macys.com/is/image/MCY/12284798 ")</f>
        <v xml:space="preserve">http://slimages.macys.com/is/image/MCY/12284798 </v>
      </c>
    </row>
    <row r="168" spans="1:13" ht="60" x14ac:dyDescent="0.25">
      <c r="A168" s="7" t="s">
        <v>3115</v>
      </c>
      <c r="B168" s="2" t="s">
        <v>3116</v>
      </c>
      <c r="C168" s="4">
        <v>1</v>
      </c>
      <c r="D168" s="5">
        <v>11.25</v>
      </c>
      <c r="E168" s="5">
        <v>25</v>
      </c>
      <c r="F168" s="4">
        <v>1354020</v>
      </c>
      <c r="G168" s="2" t="s">
        <v>62</v>
      </c>
      <c r="H168" s="7" t="s">
        <v>159</v>
      </c>
      <c r="I168" s="2" t="s">
        <v>73</v>
      </c>
      <c r="J168" s="2" t="s">
        <v>280</v>
      </c>
      <c r="K168" s="2" t="s">
        <v>304</v>
      </c>
      <c r="L168" s="2" t="s">
        <v>119</v>
      </c>
      <c r="M168" s="8" t="str">
        <f>HYPERLINK("http://slimages.macys.com/is/image/MCY/12282731 ")</f>
        <v xml:space="preserve">http://slimages.macys.com/is/image/MCY/12282731 </v>
      </c>
    </row>
    <row r="169" spans="1:13" ht="60" x14ac:dyDescent="0.25">
      <c r="A169" s="7" t="s">
        <v>3117</v>
      </c>
      <c r="B169" s="2" t="s">
        <v>3118</v>
      </c>
      <c r="C169" s="4">
        <v>1</v>
      </c>
      <c r="D169" s="5">
        <v>11.25</v>
      </c>
      <c r="E169" s="5">
        <v>25</v>
      </c>
      <c r="F169" s="4">
        <v>312735894002</v>
      </c>
      <c r="G169" s="2" t="s">
        <v>476</v>
      </c>
      <c r="H169" s="7" t="s">
        <v>311</v>
      </c>
      <c r="I169" s="2" t="s">
        <v>173</v>
      </c>
      <c r="J169" s="2" t="s">
        <v>205</v>
      </c>
      <c r="K169" s="2" t="s">
        <v>304</v>
      </c>
      <c r="L169" s="2" t="s">
        <v>75</v>
      </c>
      <c r="M169" s="8" t="str">
        <f>HYPERLINK("http://slimages.macys.com/is/image/MCY/11644534 ")</f>
        <v xml:space="preserve">http://slimages.macys.com/is/image/MCY/11644534 </v>
      </c>
    </row>
    <row r="170" spans="1:13" ht="60" x14ac:dyDescent="0.25">
      <c r="A170" s="7" t="s">
        <v>3119</v>
      </c>
      <c r="B170" s="2" t="s">
        <v>3120</v>
      </c>
      <c r="C170" s="4">
        <v>1</v>
      </c>
      <c r="D170" s="5">
        <v>11.25</v>
      </c>
      <c r="E170" s="5">
        <v>25</v>
      </c>
      <c r="F170" s="4">
        <v>1305697</v>
      </c>
      <c r="G170" s="2"/>
      <c r="H170" s="7" t="s">
        <v>159</v>
      </c>
      <c r="I170" s="2" t="s">
        <v>73</v>
      </c>
      <c r="J170" s="2" t="s">
        <v>280</v>
      </c>
      <c r="K170" s="2" t="s">
        <v>304</v>
      </c>
      <c r="L170" s="2" t="s">
        <v>125</v>
      </c>
      <c r="M170" s="8" t="str">
        <f>HYPERLINK("http://slimages.macys.com/is/image/MCY/9665586 ")</f>
        <v xml:space="preserve">http://slimages.macys.com/is/image/MCY/9665586 </v>
      </c>
    </row>
    <row r="171" spans="1:13" ht="60" x14ac:dyDescent="0.25">
      <c r="A171" s="7" t="s">
        <v>3121</v>
      </c>
      <c r="B171" s="2" t="s">
        <v>3122</v>
      </c>
      <c r="C171" s="4">
        <v>1</v>
      </c>
      <c r="D171" s="5">
        <v>11.25</v>
      </c>
      <c r="E171" s="5">
        <v>30</v>
      </c>
      <c r="F171" s="4" t="s">
        <v>3123</v>
      </c>
      <c r="G171" s="2" t="s">
        <v>28</v>
      </c>
      <c r="H171" s="7"/>
      <c r="I171" s="2" t="s">
        <v>700</v>
      </c>
      <c r="J171" s="2" t="s">
        <v>2832</v>
      </c>
      <c r="K171" s="2" t="s">
        <v>2752</v>
      </c>
      <c r="L171" s="2" t="s">
        <v>3051</v>
      </c>
      <c r="M171" s="8" t="str">
        <f>HYPERLINK("http://images.bloomingdales.com/is/image/BLM/10378505 ")</f>
        <v xml:space="preserve">http://images.bloomingdales.com/is/image/BLM/10378505 </v>
      </c>
    </row>
    <row r="172" spans="1:13" ht="60" x14ac:dyDescent="0.25">
      <c r="A172" s="7" t="s">
        <v>3124</v>
      </c>
      <c r="B172" s="2" t="s">
        <v>3125</v>
      </c>
      <c r="C172" s="4">
        <v>1</v>
      </c>
      <c r="D172" s="5">
        <v>11.25</v>
      </c>
      <c r="E172" s="5">
        <v>25</v>
      </c>
      <c r="F172" s="4">
        <v>321750970001</v>
      </c>
      <c r="G172" s="2" t="s">
        <v>129</v>
      </c>
      <c r="H172" s="7" t="s">
        <v>68</v>
      </c>
      <c r="I172" s="2" t="s">
        <v>700</v>
      </c>
      <c r="J172" s="2" t="s">
        <v>205</v>
      </c>
      <c r="K172" s="2" t="s">
        <v>304</v>
      </c>
      <c r="L172" s="2" t="s">
        <v>87</v>
      </c>
      <c r="M172" s="8" t="str">
        <f>HYPERLINK("http://images.bloomingdales.com/is/image/BLM/10521396 ")</f>
        <v xml:space="preserve">http://images.bloomingdales.com/is/image/BLM/10521396 </v>
      </c>
    </row>
    <row r="173" spans="1:13" ht="216" x14ac:dyDescent="0.25">
      <c r="A173" s="7" t="s">
        <v>241</v>
      </c>
      <c r="B173" s="2" t="s">
        <v>242</v>
      </c>
      <c r="C173" s="4">
        <v>1</v>
      </c>
      <c r="D173" s="5">
        <v>11</v>
      </c>
      <c r="E173" s="5">
        <v>32.99</v>
      </c>
      <c r="F173" s="4" t="s">
        <v>243</v>
      </c>
      <c r="G173" s="2" t="s">
        <v>195</v>
      </c>
      <c r="H173" s="7" t="s">
        <v>149</v>
      </c>
      <c r="I173" s="2" t="s">
        <v>92</v>
      </c>
      <c r="J173" s="2" t="s">
        <v>239</v>
      </c>
      <c r="K173" s="2" t="s">
        <v>304</v>
      </c>
      <c r="L173" s="2" t="s">
        <v>244</v>
      </c>
      <c r="M173" s="8" t="str">
        <f>HYPERLINK("http://slimages.macys.com/is/image/MCY/14542923 ")</f>
        <v xml:space="preserve">http://slimages.macys.com/is/image/MCY/14542923 </v>
      </c>
    </row>
    <row r="174" spans="1:13" ht="60" x14ac:dyDescent="0.25">
      <c r="A174" s="7" t="s">
        <v>3126</v>
      </c>
      <c r="B174" s="2" t="s">
        <v>3127</v>
      </c>
      <c r="C174" s="4">
        <v>1</v>
      </c>
      <c r="D174" s="5">
        <v>11</v>
      </c>
      <c r="E174" s="5">
        <v>38</v>
      </c>
      <c r="F174" s="4" t="s">
        <v>3128</v>
      </c>
      <c r="G174" s="2" t="s">
        <v>86</v>
      </c>
      <c r="H174" s="7" t="s">
        <v>179</v>
      </c>
      <c r="I174" s="2" t="s">
        <v>3129</v>
      </c>
      <c r="J174" s="2" t="s">
        <v>3130</v>
      </c>
      <c r="K174" s="2" t="s">
        <v>2752</v>
      </c>
      <c r="L174" s="2" t="s">
        <v>3131</v>
      </c>
      <c r="M174" s="8" t="str">
        <f>HYPERLINK("http://images.bloomingdales.com/is/image/BLM/10033280 ")</f>
        <v xml:space="preserve">http://images.bloomingdales.com/is/image/BLM/10033280 </v>
      </c>
    </row>
    <row r="175" spans="1:13" ht="108" x14ac:dyDescent="0.25">
      <c r="A175" s="7" t="s">
        <v>3132</v>
      </c>
      <c r="B175" s="2" t="s">
        <v>2515</v>
      </c>
      <c r="C175" s="4">
        <v>1</v>
      </c>
      <c r="D175" s="5">
        <v>10.75</v>
      </c>
      <c r="E175" s="5">
        <v>27.99</v>
      </c>
      <c r="F175" s="4" t="s">
        <v>2516</v>
      </c>
      <c r="G175" s="2" t="s">
        <v>165</v>
      </c>
      <c r="H175" s="7" t="s">
        <v>123</v>
      </c>
      <c r="I175" s="2" t="s">
        <v>73</v>
      </c>
      <c r="J175" s="2" t="s">
        <v>778</v>
      </c>
      <c r="K175" s="2" t="s">
        <v>304</v>
      </c>
      <c r="L175" s="2" t="s">
        <v>2517</v>
      </c>
      <c r="M175" s="8" t="str">
        <f>HYPERLINK("http://slimages.macys.com/is/image/MCY/12793385 ")</f>
        <v xml:space="preserve">http://slimages.macys.com/is/image/MCY/12793385 </v>
      </c>
    </row>
    <row r="176" spans="1:13" ht="108" x14ac:dyDescent="0.25">
      <c r="A176" s="7" t="s">
        <v>2514</v>
      </c>
      <c r="B176" s="2" t="s">
        <v>2515</v>
      </c>
      <c r="C176" s="4">
        <v>1</v>
      </c>
      <c r="D176" s="5">
        <v>10.75</v>
      </c>
      <c r="E176" s="5">
        <v>27.99</v>
      </c>
      <c r="F176" s="4" t="s">
        <v>2516</v>
      </c>
      <c r="G176" s="2" t="s">
        <v>165</v>
      </c>
      <c r="H176" s="7" t="s">
        <v>63</v>
      </c>
      <c r="I176" s="2" t="s">
        <v>73</v>
      </c>
      <c r="J176" s="2" t="s">
        <v>778</v>
      </c>
      <c r="K176" s="2" t="s">
        <v>304</v>
      </c>
      <c r="L176" s="2" t="s">
        <v>2517</v>
      </c>
      <c r="M176" s="8" t="str">
        <f>HYPERLINK("http://slimages.macys.com/is/image/MCY/12793385 ")</f>
        <v xml:space="preserve">http://slimages.macys.com/is/image/MCY/12793385 </v>
      </c>
    </row>
    <row r="177" spans="1:13" ht="60" x14ac:dyDescent="0.25">
      <c r="A177" s="7" t="s">
        <v>3133</v>
      </c>
      <c r="B177" s="2" t="s">
        <v>3134</v>
      </c>
      <c r="C177" s="4">
        <v>1</v>
      </c>
      <c r="D177" s="5">
        <v>10.5</v>
      </c>
      <c r="E177" s="5">
        <v>21.99</v>
      </c>
      <c r="F177" s="4" t="s">
        <v>3135</v>
      </c>
      <c r="G177" s="2" t="s">
        <v>643</v>
      </c>
      <c r="H177" s="7" t="s">
        <v>123</v>
      </c>
      <c r="I177" s="2" t="s">
        <v>173</v>
      </c>
      <c r="J177" s="2" t="s">
        <v>1967</v>
      </c>
      <c r="K177" s="2" t="s">
        <v>304</v>
      </c>
      <c r="L177" s="2" t="s">
        <v>100</v>
      </c>
      <c r="M177" s="8" t="str">
        <f>HYPERLINK("http://slimages.macys.com/is/image/MCY/1632702 ")</f>
        <v xml:space="preserve">http://slimages.macys.com/is/image/MCY/1632702 </v>
      </c>
    </row>
    <row r="178" spans="1:13" ht="120" x14ac:dyDescent="0.25">
      <c r="A178" s="7" t="s">
        <v>267</v>
      </c>
      <c r="B178" s="2" t="s">
        <v>268</v>
      </c>
      <c r="C178" s="4">
        <v>1</v>
      </c>
      <c r="D178" s="5">
        <v>10.5</v>
      </c>
      <c r="E178" s="5">
        <v>25.25</v>
      </c>
      <c r="F178" s="4">
        <v>19319310</v>
      </c>
      <c r="G178" s="2" t="s">
        <v>129</v>
      </c>
      <c r="H178" s="7" t="s">
        <v>233</v>
      </c>
      <c r="I178" s="2" t="s">
        <v>153</v>
      </c>
      <c r="J178" s="2" t="s">
        <v>154</v>
      </c>
      <c r="K178" s="2" t="s">
        <v>304</v>
      </c>
      <c r="L178" s="2" t="s">
        <v>269</v>
      </c>
      <c r="M178" s="8" t="str">
        <f>HYPERLINK("http://slimages.macys.com/is/image/MCY/14662011 ")</f>
        <v xml:space="preserve">http://slimages.macys.com/is/image/MCY/14662011 </v>
      </c>
    </row>
    <row r="179" spans="1:13" ht="120" x14ac:dyDescent="0.25">
      <c r="A179" s="7" t="s">
        <v>3136</v>
      </c>
      <c r="B179" s="2" t="s">
        <v>268</v>
      </c>
      <c r="C179" s="4">
        <v>1</v>
      </c>
      <c r="D179" s="5">
        <v>10.5</v>
      </c>
      <c r="E179" s="5">
        <v>25.25</v>
      </c>
      <c r="F179" s="4">
        <v>19319310</v>
      </c>
      <c r="G179" s="2" t="s">
        <v>129</v>
      </c>
      <c r="H179" s="7" t="s">
        <v>442</v>
      </c>
      <c r="I179" s="2" t="s">
        <v>153</v>
      </c>
      <c r="J179" s="2" t="s">
        <v>154</v>
      </c>
      <c r="K179" s="2" t="s">
        <v>304</v>
      </c>
      <c r="L179" s="2" t="s">
        <v>269</v>
      </c>
      <c r="M179" s="8" t="str">
        <f>HYPERLINK("http://slimages.macys.com/is/image/MCY/14662011 ")</f>
        <v xml:space="preserve">http://slimages.macys.com/is/image/MCY/14662011 </v>
      </c>
    </row>
    <row r="180" spans="1:13" ht="120" x14ac:dyDescent="0.25">
      <c r="A180" s="7" t="s">
        <v>3137</v>
      </c>
      <c r="B180" s="2" t="s">
        <v>268</v>
      </c>
      <c r="C180" s="4">
        <v>1</v>
      </c>
      <c r="D180" s="5">
        <v>10.5</v>
      </c>
      <c r="E180" s="5">
        <v>25.25</v>
      </c>
      <c r="F180" s="4">
        <v>19319310</v>
      </c>
      <c r="G180" s="2" t="s">
        <v>129</v>
      </c>
      <c r="H180" s="7" t="s">
        <v>91</v>
      </c>
      <c r="I180" s="2" t="s">
        <v>153</v>
      </c>
      <c r="J180" s="2" t="s">
        <v>154</v>
      </c>
      <c r="K180" s="2" t="s">
        <v>304</v>
      </c>
      <c r="L180" s="2" t="s">
        <v>269</v>
      </c>
      <c r="M180" s="8" t="str">
        <f>HYPERLINK("http://slimages.macys.com/is/image/MCY/14662011 ")</f>
        <v xml:space="preserve">http://slimages.macys.com/is/image/MCY/14662011 </v>
      </c>
    </row>
    <row r="181" spans="1:13" ht="120" x14ac:dyDescent="0.25">
      <c r="A181" s="7" t="s">
        <v>3138</v>
      </c>
      <c r="B181" s="2" t="s">
        <v>268</v>
      </c>
      <c r="C181" s="4">
        <v>7</v>
      </c>
      <c r="D181" s="5">
        <v>10.5</v>
      </c>
      <c r="E181" s="5">
        <v>25.25</v>
      </c>
      <c r="F181" s="4">
        <v>19319310</v>
      </c>
      <c r="G181" s="2" t="s">
        <v>129</v>
      </c>
      <c r="H181" s="7" t="s">
        <v>482</v>
      </c>
      <c r="I181" s="2" t="s">
        <v>153</v>
      </c>
      <c r="J181" s="2" t="s">
        <v>154</v>
      </c>
      <c r="K181" s="2" t="s">
        <v>304</v>
      </c>
      <c r="L181" s="2" t="s">
        <v>269</v>
      </c>
      <c r="M181" s="8" t="str">
        <f>HYPERLINK("http://slimages.macys.com/is/image/MCY/14662011 ")</f>
        <v xml:space="preserve">http://slimages.macys.com/is/image/MCY/14662011 </v>
      </c>
    </row>
    <row r="182" spans="1:13" ht="60" x14ac:dyDescent="0.25">
      <c r="A182" s="7" t="s">
        <v>2522</v>
      </c>
      <c r="B182" s="2" t="s">
        <v>255</v>
      </c>
      <c r="C182" s="4">
        <v>4</v>
      </c>
      <c r="D182" s="5">
        <v>10.5</v>
      </c>
      <c r="E182" s="5">
        <v>24.99</v>
      </c>
      <c r="F182" s="4" t="s">
        <v>256</v>
      </c>
      <c r="G182" s="2" t="s">
        <v>86</v>
      </c>
      <c r="H182" s="7" t="s">
        <v>172</v>
      </c>
      <c r="I182" s="2" t="s">
        <v>257</v>
      </c>
      <c r="J182" s="2" t="s">
        <v>258</v>
      </c>
      <c r="K182" s="2" t="s">
        <v>304</v>
      </c>
      <c r="L182" s="2" t="s">
        <v>206</v>
      </c>
      <c r="M182" s="8" t="str">
        <f>HYPERLINK("http://slimages.macys.com/is/image/MCY/11722980 ")</f>
        <v xml:space="preserve">http://slimages.macys.com/is/image/MCY/11722980 </v>
      </c>
    </row>
    <row r="183" spans="1:13" ht="60" x14ac:dyDescent="0.25">
      <c r="A183" s="7" t="s">
        <v>264</v>
      </c>
      <c r="B183" s="2" t="s">
        <v>255</v>
      </c>
      <c r="C183" s="4">
        <v>2</v>
      </c>
      <c r="D183" s="5">
        <v>10.5</v>
      </c>
      <c r="E183" s="5">
        <v>24.99</v>
      </c>
      <c r="F183" s="4" t="s">
        <v>256</v>
      </c>
      <c r="G183" s="2" t="s">
        <v>86</v>
      </c>
      <c r="H183" s="7" t="s">
        <v>177</v>
      </c>
      <c r="I183" s="2" t="s">
        <v>257</v>
      </c>
      <c r="J183" s="2" t="s">
        <v>258</v>
      </c>
      <c r="K183" s="2" t="s">
        <v>304</v>
      </c>
      <c r="L183" s="2" t="s">
        <v>206</v>
      </c>
      <c r="M183" s="8" t="str">
        <f>HYPERLINK("http://slimages.macys.com/is/image/MCY/11722980 ")</f>
        <v xml:space="preserve">http://slimages.macys.com/is/image/MCY/11722980 </v>
      </c>
    </row>
    <row r="184" spans="1:13" ht="60" x14ac:dyDescent="0.25">
      <c r="A184" s="7" t="s">
        <v>254</v>
      </c>
      <c r="B184" s="2" t="s">
        <v>255</v>
      </c>
      <c r="C184" s="4">
        <v>2</v>
      </c>
      <c r="D184" s="5">
        <v>10.5</v>
      </c>
      <c r="E184" s="5">
        <v>24.99</v>
      </c>
      <c r="F184" s="4" t="s">
        <v>256</v>
      </c>
      <c r="G184" s="2" t="s">
        <v>86</v>
      </c>
      <c r="H184" s="7" t="s">
        <v>56</v>
      </c>
      <c r="I184" s="2" t="s">
        <v>257</v>
      </c>
      <c r="J184" s="2" t="s">
        <v>258</v>
      </c>
      <c r="K184" s="2" t="s">
        <v>304</v>
      </c>
      <c r="L184" s="2" t="s">
        <v>206</v>
      </c>
      <c r="M184" s="8" t="str">
        <f>HYPERLINK("http://slimages.macys.com/is/image/MCY/11722980 ")</f>
        <v xml:space="preserve">http://slimages.macys.com/is/image/MCY/11722980 </v>
      </c>
    </row>
    <row r="185" spans="1:13" ht="72" x14ac:dyDescent="0.25">
      <c r="A185" s="7" t="s">
        <v>3139</v>
      </c>
      <c r="B185" s="2" t="s">
        <v>3140</v>
      </c>
      <c r="C185" s="4">
        <v>1</v>
      </c>
      <c r="D185" s="5">
        <v>10.47</v>
      </c>
      <c r="E185" s="5">
        <v>29.99</v>
      </c>
      <c r="F185" s="4" t="s">
        <v>3141</v>
      </c>
      <c r="G185" s="2" t="s">
        <v>28</v>
      </c>
      <c r="H185" s="7" t="s">
        <v>166</v>
      </c>
      <c r="I185" s="2" t="s">
        <v>389</v>
      </c>
      <c r="J185" s="2" t="s">
        <v>354</v>
      </c>
      <c r="K185" s="2" t="s">
        <v>304</v>
      </c>
      <c r="L185" s="2" t="s">
        <v>3142</v>
      </c>
      <c r="M185" s="8" t="str">
        <f>HYPERLINK("http://slimages.macys.com/is/image/MCY/9875269 ")</f>
        <v xml:space="preserve">http://slimages.macys.com/is/image/MCY/9875269 </v>
      </c>
    </row>
    <row r="186" spans="1:13" ht="60" x14ac:dyDescent="0.25">
      <c r="A186" s="7" t="s">
        <v>3143</v>
      </c>
      <c r="B186" s="2" t="s">
        <v>3144</v>
      </c>
      <c r="C186" s="4">
        <v>1</v>
      </c>
      <c r="D186" s="5">
        <v>10.44</v>
      </c>
      <c r="E186" s="5">
        <v>24.99</v>
      </c>
      <c r="F186" s="4" t="s">
        <v>3145</v>
      </c>
      <c r="G186" s="2" t="s">
        <v>62</v>
      </c>
      <c r="H186" s="7" t="s">
        <v>196</v>
      </c>
      <c r="I186" s="2" t="s">
        <v>515</v>
      </c>
      <c r="J186" s="2" t="s">
        <v>827</v>
      </c>
      <c r="K186" s="2" t="s">
        <v>304</v>
      </c>
      <c r="L186" s="2" t="s">
        <v>358</v>
      </c>
      <c r="M186" s="8" t="str">
        <f>HYPERLINK("http://slimages.macys.com/is/image/MCY/10131101 ")</f>
        <v xml:space="preserve">http://slimages.macys.com/is/image/MCY/10131101 </v>
      </c>
    </row>
    <row r="187" spans="1:13" ht="60" x14ac:dyDescent="0.25">
      <c r="A187" s="7" t="s">
        <v>1608</v>
      </c>
      <c r="B187" s="2" t="s">
        <v>1605</v>
      </c>
      <c r="C187" s="4">
        <v>1</v>
      </c>
      <c r="D187" s="5">
        <v>10.35</v>
      </c>
      <c r="E187" s="5">
        <v>24.99</v>
      </c>
      <c r="F187" s="4" t="s">
        <v>1606</v>
      </c>
      <c r="G187" s="2" t="s">
        <v>28</v>
      </c>
      <c r="H187" s="7" t="s">
        <v>228</v>
      </c>
      <c r="I187" s="2" t="s">
        <v>389</v>
      </c>
      <c r="J187" s="2" t="s">
        <v>354</v>
      </c>
      <c r="K187" s="2" t="s">
        <v>304</v>
      </c>
      <c r="L187" s="2" t="s">
        <v>1607</v>
      </c>
      <c r="M187" s="8" t="str">
        <f>HYPERLINK("http://slimages.macys.com/is/image/MCY/12000846 ")</f>
        <v xml:space="preserve">http://slimages.macys.com/is/image/MCY/12000846 </v>
      </c>
    </row>
    <row r="188" spans="1:13" ht="60" x14ac:dyDescent="0.25">
      <c r="A188" s="7" t="s">
        <v>3146</v>
      </c>
      <c r="B188" s="2" t="s">
        <v>3147</v>
      </c>
      <c r="C188" s="4">
        <v>1</v>
      </c>
      <c r="D188" s="5">
        <v>10.25</v>
      </c>
      <c r="E188" s="5">
        <v>34</v>
      </c>
      <c r="F188" s="4" t="s">
        <v>3148</v>
      </c>
      <c r="G188" s="2" t="s">
        <v>62</v>
      </c>
      <c r="H188" s="7"/>
      <c r="I188" s="2" t="s">
        <v>700</v>
      </c>
      <c r="J188" s="2" t="s">
        <v>3149</v>
      </c>
      <c r="K188" s="2" t="s">
        <v>2752</v>
      </c>
      <c r="L188" s="2" t="s">
        <v>3073</v>
      </c>
      <c r="M188" s="8" t="str">
        <f>HYPERLINK("http://images.bloomingdales.com/is/image/BLM/10019460 ")</f>
        <v xml:space="preserve">http://images.bloomingdales.com/is/image/BLM/10019460 </v>
      </c>
    </row>
    <row r="189" spans="1:13" ht="60" x14ac:dyDescent="0.25">
      <c r="A189" s="7" t="s">
        <v>3150</v>
      </c>
      <c r="B189" s="2" t="s">
        <v>3151</v>
      </c>
      <c r="C189" s="4">
        <v>5</v>
      </c>
      <c r="D189" s="5">
        <v>10.199999999999999</v>
      </c>
      <c r="E189" s="5">
        <v>34</v>
      </c>
      <c r="F189" s="4" t="s">
        <v>3152</v>
      </c>
      <c r="G189" s="2" t="s">
        <v>752</v>
      </c>
      <c r="H189" s="7"/>
      <c r="I189" s="2" t="s">
        <v>700</v>
      </c>
      <c r="J189" s="2" t="s">
        <v>3149</v>
      </c>
      <c r="K189" s="2" t="s">
        <v>2752</v>
      </c>
      <c r="L189" s="2" t="s">
        <v>3073</v>
      </c>
      <c r="M189" s="8" t="str">
        <f>HYPERLINK("http://images.bloomingdales.com/is/image/BLM/9492033 ")</f>
        <v xml:space="preserve">http://images.bloomingdales.com/is/image/BLM/9492033 </v>
      </c>
    </row>
    <row r="190" spans="1:13" ht="60" x14ac:dyDescent="0.25">
      <c r="A190" s="7" t="s">
        <v>828</v>
      </c>
      <c r="B190" s="2" t="s">
        <v>276</v>
      </c>
      <c r="C190" s="4">
        <v>2</v>
      </c>
      <c r="D190" s="5">
        <v>10.01</v>
      </c>
      <c r="E190" s="5">
        <v>22.99</v>
      </c>
      <c r="F190" s="4" t="s">
        <v>277</v>
      </c>
      <c r="G190" s="2" t="s">
        <v>103</v>
      </c>
      <c r="H190" s="7" t="s">
        <v>159</v>
      </c>
      <c r="I190" s="2" t="s">
        <v>80</v>
      </c>
      <c r="J190" s="2" t="s">
        <v>160</v>
      </c>
      <c r="K190" s="2" t="s">
        <v>304</v>
      </c>
      <c r="L190" s="2" t="s">
        <v>87</v>
      </c>
      <c r="M190" s="8" t="str">
        <f>HYPERLINK("http://slimages.macys.com/is/image/MCY/13758282 ")</f>
        <v xml:space="preserve">http://slimages.macys.com/is/image/MCY/13758282 </v>
      </c>
    </row>
    <row r="191" spans="1:13" ht="60" x14ac:dyDescent="0.25">
      <c r="A191" s="7" t="s">
        <v>3153</v>
      </c>
      <c r="B191" s="2" t="s">
        <v>3154</v>
      </c>
      <c r="C191" s="4">
        <v>1</v>
      </c>
      <c r="D191" s="5">
        <v>10</v>
      </c>
      <c r="E191" s="5">
        <v>28</v>
      </c>
      <c r="F191" s="4" t="s">
        <v>3155</v>
      </c>
      <c r="G191" s="2" t="s">
        <v>28</v>
      </c>
      <c r="H191" s="7" t="s">
        <v>284</v>
      </c>
      <c r="I191" s="2" t="s">
        <v>700</v>
      </c>
      <c r="J191" s="2" t="s">
        <v>3156</v>
      </c>
      <c r="K191" s="2" t="s">
        <v>3157</v>
      </c>
      <c r="L191" s="2" t="s">
        <v>87</v>
      </c>
      <c r="M191" s="8" t="str">
        <f>HYPERLINK("http://images.bloomingdales.com/is/image/BLM/10081077 ")</f>
        <v xml:space="preserve">http://images.bloomingdales.com/is/image/BLM/10081077 </v>
      </c>
    </row>
    <row r="192" spans="1:13" ht="60" x14ac:dyDescent="0.25">
      <c r="A192" s="7" t="s">
        <v>278</v>
      </c>
      <c r="B192" s="2" t="s">
        <v>279</v>
      </c>
      <c r="C192" s="4">
        <v>6</v>
      </c>
      <c r="D192" s="5">
        <v>10</v>
      </c>
      <c r="E192" s="5">
        <v>25</v>
      </c>
      <c r="F192" s="4">
        <v>1341126</v>
      </c>
      <c r="G192" s="2" t="s">
        <v>62</v>
      </c>
      <c r="H192" s="7" t="s">
        <v>159</v>
      </c>
      <c r="I192" s="2" t="s">
        <v>73</v>
      </c>
      <c r="J192" s="2" t="s">
        <v>280</v>
      </c>
      <c r="K192" s="2" t="s">
        <v>304</v>
      </c>
      <c r="L192" s="2" t="s">
        <v>125</v>
      </c>
      <c r="M192" s="8" t="str">
        <f>HYPERLINK("http://slimages.macys.com/is/image/MCY/15867619 ")</f>
        <v xml:space="preserve">http://slimages.macys.com/is/image/MCY/15867619 </v>
      </c>
    </row>
    <row r="193" spans="1:13" ht="60" x14ac:dyDescent="0.25">
      <c r="A193" s="7" t="s">
        <v>288</v>
      </c>
      <c r="B193" s="2" t="s">
        <v>279</v>
      </c>
      <c r="C193" s="4">
        <v>1</v>
      </c>
      <c r="D193" s="5">
        <v>10</v>
      </c>
      <c r="E193" s="5">
        <v>25</v>
      </c>
      <c r="F193" s="4">
        <v>1341126</v>
      </c>
      <c r="G193" s="2" t="s">
        <v>62</v>
      </c>
      <c r="H193" s="7" t="s">
        <v>284</v>
      </c>
      <c r="I193" s="2" t="s">
        <v>73</v>
      </c>
      <c r="J193" s="2" t="s">
        <v>280</v>
      </c>
      <c r="K193" s="2" t="s">
        <v>304</v>
      </c>
      <c r="L193" s="2" t="s">
        <v>125</v>
      </c>
      <c r="M193" s="8" t="str">
        <f>HYPERLINK("http://slimages.macys.com/is/image/MCY/15867619 ")</f>
        <v xml:space="preserve">http://slimages.macys.com/is/image/MCY/15867619 </v>
      </c>
    </row>
    <row r="194" spans="1:13" ht="60" x14ac:dyDescent="0.25">
      <c r="A194" s="7" t="s">
        <v>3158</v>
      </c>
      <c r="B194" s="2" t="s">
        <v>279</v>
      </c>
      <c r="C194" s="4">
        <v>5</v>
      </c>
      <c r="D194" s="5">
        <v>10</v>
      </c>
      <c r="E194" s="5">
        <v>25</v>
      </c>
      <c r="F194" s="4">
        <v>1341126</v>
      </c>
      <c r="G194" s="2" t="s">
        <v>62</v>
      </c>
      <c r="H194" s="7" t="s">
        <v>228</v>
      </c>
      <c r="I194" s="2" t="s">
        <v>73</v>
      </c>
      <c r="J194" s="2" t="s">
        <v>280</v>
      </c>
      <c r="K194" s="2" t="s">
        <v>304</v>
      </c>
      <c r="L194" s="2" t="s">
        <v>125</v>
      </c>
      <c r="M194" s="8" t="str">
        <f>HYPERLINK("http://slimages.macys.com/is/image/MCY/15867619 ")</f>
        <v xml:space="preserve">http://slimages.macys.com/is/image/MCY/15867619 </v>
      </c>
    </row>
    <row r="195" spans="1:13" ht="156" x14ac:dyDescent="0.25">
      <c r="A195" s="7" t="s">
        <v>3159</v>
      </c>
      <c r="B195" s="2" t="s">
        <v>3160</v>
      </c>
      <c r="C195" s="4">
        <v>1</v>
      </c>
      <c r="D195" s="5">
        <v>10</v>
      </c>
      <c r="E195" s="5">
        <v>29.99</v>
      </c>
      <c r="F195" s="4" t="s">
        <v>3161</v>
      </c>
      <c r="G195" s="2" t="s">
        <v>36</v>
      </c>
      <c r="H195" s="7" t="s">
        <v>149</v>
      </c>
      <c r="I195" s="2" t="s">
        <v>92</v>
      </c>
      <c r="J195" s="2" t="s">
        <v>239</v>
      </c>
      <c r="K195" s="2" t="s">
        <v>304</v>
      </c>
      <c r="L195" s="2" t="s">
        <v>3162</v>
      </c>
      <c r="M195" s="8" t="str">
        <f>HYPERLINK("http://slimages.macys.com/is/image/MCY/14542905 ")</f>
        <v xml:space="preserve">http://slimages.macys.com/is/image/MCY/14542905 </v>
      </c>
    </row>
    <row r="196" spans="1:13" ht="96" x14ac:dyDescent="0.25">
      <c r="A196" s="7" t="s">
        <v>3163</v>
      </c>
      <c r="B196" s="2" t="s">
        <v>3164</v>
      </c>
      <c r="C196" s="4">
        <v>1</v>
      </c>
      <c r="D196" s="5">
        <v>10</v>
      </c>
      <c r="E196" s="5">
        <v>29.99</v>
      </c>
      <c r="F196" s="4" t="s">
        <v>3165</v>
      </c>
      <c r="G196" s="2" t="s">
        <v>283</v>
      </c>
      <c r="H196" s="7" t="s">
        <v>209</v>
      </c>
      <c r="I196" s="2" t="s">
        <v>64</v>
      </c>
      <c r="J196" s="2" t="s">
        <v>65</v>
      </c>
      <c r="K196" s="2" t="s">
        <v>304</v>
      </c>
      <c r="L196" s="2" t="s">
        <v>3166</v>
      </c>
      <c r="M196" s="8" t="str">
        <f>HYPERLINK("http://slimages.macys.com/is/image/MCY/13531620 ")</f>
        <v xml:space="preserve">http://slimages.macys.com/is/image/MCY/13531620 </v>
      </c>
    </row>
    <row r="197" spans="1:13" ht="60" x14ac:dyDescent="0.25">
      <c r="A197" s="7" t="s">
        <v>287</v>
      </c>
      <c r="B197" s="2" t="s">
        <v>279</v>
      </c>
      <c r="C197" s="4">
        <v>3</v>
      </c>
      <c r="D197" s="5">
        <v>10</v>
      </c>
      <c r="E197" s="5">
        <v>25</v>
      </c>
      <c r="F197" s="4">
        <v>1341126</v>
      </c>
      <c r="G197" s="2" t="s">
        <v>62</v>
      </c>
      <c r="H197" s="7" t="s">
        <v>196</v>
      </c>
      <c r="I197" s="2" t="s">
        <v>73</v>
      </c>
      <c r="J197" s="2" t="s">
        <v>280</v>
      </c>
      <c r="K197" s="2" t="s">
        <v>304</v>
      </c>
      <c r="L197" s="2" t="s">
        <v>125</v>
      </c>
      <c r="M197" s="8" t="str">
        <f>HYPERLINK("http://slimages.macys.com/is/image/MCY/15867619 ")</f>
        <v xml:space="preserve">http://slimages.macys.com/is/image/MCY/15867619 </v>
      </c>
    </row>
    <row r="198" spans="1:13" ht="96" x14ac:dyDescent="0.25">
      <c r="A198" s="7" t="s">
        <v>3167</v>
      </c>
      <c r="B198" s="2" t="s">
        <v>3168</v>
      </c>
      <c r="C198" s="4">
        <v>1</v>
      </c>
      <c r="D198" s="5">
        <v>10</v>
      </c>
      <c r="E198" s="5">
        <v>22.99</v>
      </c>
      <c r="F198" s="4" t="s">
        <v>3169</v>
      </c>
      <c r="G198" s="2" t="s">
        <v>62</v>
      </c>
      <c r="H198" s="7" t="s">
        <v>159</v>
      </c>
      <c r="I198" s="2" t="s">
        <v>73</v>
      </c>
      <c r="J198" s="2" t="s">
        <v>223</v>
      </c>
      <c r="K198" s="2" t="s">
        <v>304</v>
      </c>
      <c r="L198" s="2" t="s">
        <v>3170</v>
      </c>
      <c r="M198" s="8" t="str">
        <f>HYPERLINK("http://slimages.macys.com/is/image/MCY/9275400 ")</f>
        <v xml:space="preserve">http://slimages.macys.com/is/image/MCY/9275400 </v>
      </c>
    </row>
    <row r="199" spans="1:13" ht="60" x14ac:dyDescent="0.25">
      <c r="A199" s="7" t="s">
        <v>3171</v>
      </c>
      <c r="B199" s="2" t="s">
        <v>301</v>
      </c>
      <c r="C199" s="4">
        <v>1</v>
      </c>
      <c r="D199" s="5">
        <v>9.8000000000000007</v>
      </c>
      <c r="E199" s="5">
        <v>21.99</v>
      </c>
      <c r="F199" s="4" t="s">
        <v>3172</v>
      </c>
      <c r="G199" s="2" t="s">
        <v>752</v>
      </c>
      <c r="H199" s="7" t="s">
        <v>248</v>
      </c>
      <c r="I199" s="2" t="s">
        <v>73</v>
      </c>
      <c r="J199" s="2" t="s">
        <v>249</v>
      </c>
      <c r="K199" s="2" t="s">
        <v>304</v>
      </c>
      <c r="L199" s="2" t="s">
        <v>125</v>
      </c>
      <c r="M199" s="8" t="str">
        <f>HYPERLINK("http://slimages.macys.com/is/image/MCY/14661401 ")</f>
        <v xml:space="preserve">http://slimages.macys.com/is/image/MCY/14661401 </v>
      </c>
    </row>
    <row r="200" spans="1:13" ht="60" x14ac:dyDescent="0.25">
      <c r="A200" s="7" t="s">
        <v>3173</v>
      </c>
      <c r="B200" s="2" t="s">
        <v>3174</v>
      </c>
      <c r="C200" s="4">
        <v>1</v>
      </c>
      <c r="D200" s="5">
        <v>9.8000000000000007</v>
      </c>
      <c r="E200" s="5">
        <v>24.5</v>
      </c>
      <c r="F200" s="4" t="s">
        <v>3175</v>
      </c>
      <c r="G200" s="2" t="s">
        <v>353</v>
      </c>
      <c r="H200" s="7"/>
      <c r="I200" s="2" t="s">
        <v>98</v>
      </c>
      <c r="J200" s="2" t="s">
        <v>99</v>
      </c>
      <c r="K200" s="2" t="s">
        <v>304</v>
      </c>
      <c r="L200" s="2" t="s">
        <v>119</v>
      </c>
      <c r="M200" s="8" t="str">
        <f>HYPERLINK("http://slimages.macys.com/is/image/MCY/11682594 ")</f>
        <v xml:space="preserve">http://slimages.macys.com/is/image/MCY/11682594 </v>
      </c>
    </row>
    <row r="201" spans="1:13" ht="60" x14ac:dyDescent="0.25">
      <c r="A201" s="7" t="s">
        <v>3176</v>
      </c>
      <c r="B201" s="2" t="s">
        <v>301</v>
      </c>
      <c r="C201" s="4">
        <v>2</v>
      </c>
      <c r="D201" s="5">
        <v>9.8000000000000007</v>
      </c>
      <c r="E201" s="5">
        <v>21.99</v>
      </c>
      <c r="F201" s="4" t="s">
        <v>3177</v>
      </c>
      <c r="G201" s="2" t="s">
        <v>41</v>
      </c>
      <c r="H201" s="7" t="s">
        <v>166</v>
      </c>
      <c r="I201" s="2" t="s">
        <v>73</v>
      </c>
      <c r="J201" s="2" t="s">
        <v>249</v>
      </c>
      <c r="K201" s="2" t="s">
        <v>304</v>
      </c>
      <c r="L201" s="2" t="s">
        <v>125</v>
      </c>
      <c r="M201" s="8" t="str">
        <f>HYPERLINK("http://slimages.macys.com/is/image/MCY/14661401 ")</f>
        <v xml:space="preserve">http://slimages.macys.com/is/image/MCY/14661401 </v>
      </c>
    </row>
    <row r="202" spans="1:13" ht="228" x14ac:dyDescent="0.25">
      <c r="A202" s="7" t="s">
        <v>3178</v>
      </c>
      <c r="B202" s="2" t="s">
        <v>3179</v>
      </c>
      <c r="C202" s="4">
        <v>1</v>
      </c>
      <c r="D202" s="5">
        <v>9.66</v>
      </c>
      <c r="E202" s="5">
        <v>24.99</v>
      </c>
      <c r="F202" s="4" t="s">
        <v>3180</v>
      </c>
      <c r="G202" s="2" t="s">
        <v>36</v>
      </c>
      <c r="H202" s="7" t="s">
        <v>149</v>
      </c>
      <c r="I202" s="2" t="s">
        <v>92</v>
      </c>
      <c r="J202" s="2" t="s">
        <v>187</v>
      </c>
      <c r="K202" s="2" t="s">
        <v>304</v>
      </c>
      <c r="L202" s="2" t="s">
        <v>3181</v>
      </c>
      <c r="M202" s="8" t="str">
        <f>HYPERLINK("http://slimages.macys.com/is/image/MCY/13782952 ")</f>
        <v xml:space="preserve">http://slimages.macys.com/is/image/MCY/13782952 </v>
      </c>
    </row>
    <row r="203" spans="1:13" ht="60" x14ac:dyDescent="0.25">
      <c r="A203" s="7" t="s">
        <v>3182</v>
      </c>
      <c r="B203" s="2" t="s">
        <v>3183</v>
      </c>
      <c r="C203" s="4">
        <v>1</v>
      </c>
      <c r="D203" s="5">
        <v>9.6</v>
      </c>
      <c r="E203" s="5">
        <v>24</v>
      </c>
      <c r="F203" s="4">
        <v>329564</v>
      </c>
      <c r="G203" s="2" t="s">
        <v>62</v>
      </c>
      <c r="H203" s="7" t="s">
        <v>708</v>
      </c>
      <c r="I203" s="2" t="s">
        <v>50</v>
      </c>
      <c r="J203" s="2" t="s">
        <v>51</v>
      </c>
      <c r="K203" s="2" t="s">
        <v>304</v>
      </c>
      <c r="L203" s="2" t="s">
        <v>328</v>
      </c>
      <c r="M203" s="8" t="str">
        <f>HYPERLINK("http://slimages.macys.com/is/image/MCY/11234691 ")</f>
        <v xml:space="preserve">http://slimages.macys.com/is/image/MCY/11234691 </v>
      </c>
    </row>
    <row r="204" spans="1:13" ht="60" x14ac:dyDescent="0.25">
      <c r="A204" s="7" t="s">
        <v>3184</v>
      </c>
      <c r="B204" s="2" t="s">
        <v>3185</v>
      </c>
      <c r="C204" s="4">
        <v>1</v>
      </c>
      <c r="D204" s="5">
        <v>9.6</v>
      </c>
      <c r="E204" s="5">
        <v>23.99</v>
      </c>
      <c r="F204" s="4" t="s">
        <v>3186</v>
      </c>
      <c r="G204" s="2" t="s">
        <v>165</v>
      </c>
      <c r="H204" s="7" t="s">
        <v>172</v>
      </c>
      <c r="I204" s="2" t="s">
        <v>173</v>
      </c>
      <c r="J204" s="2" t="s">
        <v>174</v>
      </c>
      <c r="K204" s="2" t="s">
        <v>304</v>
      </c>
      <c r="L204" s="2" t="s">
        <v>206</v>
      </c>
      <c r="M204" s="8" t="str">
        <f>HYPERLINK("http://slimages.macys.com/is/image/MCY/9357303 ")</f>
        <v xml:space="preserve">http://slimages.macys.com/is/image/MCY/9357303 </v>
      </c>
    </row>
    <row r="205" spans="1:13" ht="60" x14ac:dyDescent="0.25">
      <c r="A205" s="7" t="s">
        <v>3187</v>
      </c>
      <c r="B205" s="2" t="s">
        <v>315</v>
      </c>
      <c r="C205" s="4">
        <v>1</v>
      </c>
      <c r="D205" s="5">
        <v>9.5</v>
      </c>
      <c r="E205" s="5">
        <v>22.99</v>
      </c>
      <c r="F205" s="4" t="s">
        <v>316</v>
      </c>
      <c r="G205" s="2" t="s">
        <v>62</v>
      </c>
      <c r="H205" s="7" t="s">
        <v>144</v>
      </c>
      <c r="I205" s="2" t="s">
        <v>80</v>
      </c>
      <c r="J205" s="2" t="s">
        <v>124</v>
      </c>
      <c r="K205" s="2" t="s">
        <v>304</v>
      </c>
      <c r="L205" s="2" t="s">
        <v>125</v>
      </c>
      <c r="M205" s="8" t="str">
        <f>HYPERLINK("http://slimages.macys.com/is/image/MCY/9278387 ")</f>
        <v xml:space="preserve">http://slimages.macys.com/is/image/MCY/9278387 </v>
      </c>
    </row>
    <row r="206" spans="1:13" ht="60" x14ac:dyDescent="0.25">
      <c r="A206" s="7" t="s">
        <v>3188</v>
      </c>
      <c r="B206" s="2" t="s">
        <v>3189</v>
      </c>
      <c r="C206" s="4">
        <v>1</v>
      </c>
      <c r="D206" s="5">
        <v>9.5</v>
      </c>
      <c r="E206" s="5">
        <v>22.99</v>
      </c>
      <c r="F206" s="4" t="s">
        <v>3190</v>
      </c>
      <c r="G206" s="2" t="s">
        <v>793</v>
      </c>
      <c r="H206" s="7" t="s">
        <v>123</v>
      </c>
      <c r="I206" s="2" t="s">
        <v>80</v>
      </c>
      <c r="J206" s="2" t="s">
        <v>124</v>
      </c>
      <c r="K206" s="2" t="s">
        <v>304</v>
      </c>
      <c r="L206" s="2" t="s">
        <v>125</v>
      </c>
      <c r="M206" s="8" t="str">
        <f>HYPERLINK("http://slimages.macys.com/is/image/MCY/8271019 ")</f>
        <v xml:space="preserve">http://slimages.macys.com/is/image/MCY/8271019 </v>
      </c>
    </row>
    <row r="207" spans="1:13" ht="96" x14ac:dyDescent="0.25">
      <c r="A207" s="7" t="s">
        <v>3191</v>
      </c>
      <c r="B207" s="2" t="s">
        <v>3192</v>
      </c>
      <c r="C207" s="4">
        <v>1</v>
      </c>
      <c r="D207" s="5">
        <v>9.41</v>
      </c>
      <c r="E207" s="5">
        <v>22.99</v>
      </c>
      <c r="F207" s="4" t="s">
        <v>3193</v>
      </c>
      <c r="G207" s="2" t="s">
        <v>1091</v>
      </c>
      <c r="H207" s="7" t="s">
        <v>590</v>
      </c>
      <c r="I207" s="2" t="s">
        <v>483</v>
      </c>
      <c r="J207" s="2" t="s">
        <v>536</v>
      </c>
      <c r="K207" s="2" t="s">
        <v>304</v>
      </c>
      <c r="L207" s="2" t="s">
        <v>3194</v>
      </c>
      <c r="M207" s="8" t="str">
        <f>HYPERLINK("http://slimages.macys.com/is/image/MCY/14385247 ")</f>
        <v xml:space="preserve">http://slimages.macys.com/is/image/MCY/14385247 </v>
      </c>
    </row>
    <row r="208" spans="1:13" ht="240" x14ac:dyDescent="0.25">
      <c r="A208" s="7" t="s">
        <v>3195</v>
      </c>
      <c r="B208" s="2" t="s">
        <v>3196</v>
      </c>
      <c r="C208" s="4">
        <v>2</v>
      </c>
      <c r="D208" s="5">
        <v>9.32</v>
      </c>
      <c r="E208" s="5">
        <v>33.99</v>
      </c>
      <c r="F208" s="4" t="s">
        <v>3197</v>
      </c>
      <c r="G208" s="2" t="s">
        <v>1091</v>
      </c>
      <c r="H208" s="7" t="s">
        <v>91</v>
      </c>
      <c r="I208" s="2" t="s">
        <v>483</v>
      </c>
      <c r="J208" s="2" t="s">
        <v>536</v>
      </c>
      <c r="K208" s="2" t="s">
        <v>304</v>
      </c>
      <c r="L208" s="2" t="s">
        <v>3198</v>
      </c>
      <c r="M208" s="8" t="str">
        <f>HYPERLINK("http://slimages.macys.com/is/image/MCY/16226458 ")</f>
        <v xml:space="preserve">http://slimages.macys.com/is/image/MCY/16226458 </v>
      </c>
    </row>
    <row r="209" spans="1:13" ht="60" x14ac:dyDescent="0.25">
      <c r="A209" s="7" t="s">
        <v>3199</v>
      </c>
      <c r="B209" s="2" t="s">
        <v>3200</v>
      </c>
      <c r="C209" s="4">
        <v>1</v>
      </c>
      <c r="D209" s="5">
        <v>9.25</v>
      </c>
      <c r="E209" s="5">
        <v>28</v>
      </c>
      <c r="F209" s="4" t="s">
        <v>3201</v>
      </c>
      <c r="G209" s="2" t="s">
        <v>667</v>
      </c>
      <c r="H209" s="7" t="s">
        <v>438</v>
      </c>
      <c r="I209" s="2" t="s">
        <v>676</v>
      </c>
      <c r="J209" s="2" t="s">
        <v>497</v>
      </c>
      <c r="K209" s="2" t="s">
        <v>2752</v>
      </c>
      <c r="L209" s="2" t="s">
        <v>38</v>
      </c>
      <c r="M209" s="8" t="str">
        <f>HYPERLINK("http://images.bloomingdales.com/is/image/BLM/10436649 ")</f>
        <v xml:space="preserve">http://images.bloomingdales.com/is/image/BLM/10436649 </v>
      </c>
    </row>
    <row r="210" spans="1:13" ht="60" x14ac:dyDescent="0.25">
      <c r="A210" s="7" t="s">
        <v>3202</v>
      </c>
      <c r="B210" s="2" t="s">
        <v>3203</v>
      </c>
      <c r="C210" s="4">
        <v>1</v>
      </c>
      <c r="D210" s="5">
        <v>9.25</v>
      </c>
      <c r="E210" s="5">
        <v>28</v>
      </c>
      <c r="F210" s="4" t="s">
        <v>3204</v>
      </c>
      <c r="G210" s="2" t="s">
        <v>134</v>
      </c>
      <c r="H210" s="7" t="s">
        <v>675</v>
      </c>
      <c r="I210" s="2" t="s">
        <v>676</v>
      </c>
      <c r="J210" s="2" t="s">
        <v>497</v>
      </c>
      <c r="K210" s="2" t="s">
        <v>304</v>
      </c>
      <c r="L210" s="2" t="s">
        <v>38</v>
      </c>
      <c r="M210" s="8" t="str">
        <f>HYPERLINK("http://slimages.macys.com/is/image/MCY/12875192 ")</f>
        <v xml:space="preserve">http://slimages.macys.com/is/image/MCY/12875192 </v>
      </c>
    </row>
    <row r="211" spans="1:13" ht="60" x14ac:dyDescent="0.25">
      <c r="A211" s="7" t="s">
        <v>3205</v>
      </c>
      <c r="B211" s="2" t="s">
        <v>3206</v>
      </c>
      <c r="C211" s="4">
        <v>1</v>
      </c>
      <c r="D211" s="5">
        <v>9.25</v>
      </c>
      <c r="E211" s="5">
        <v>28</v>
      </c>
      <c r="F211" s="4" t="s">
        <v>3207</v>
      </c>
      <c r="G211" s="2" t="s">
        <v>134</v>
      </c>
      <c r="H211" s="7" t="s">
        <v>675</v>
      </c>
      <c r="I211" s="2" t="s">
        <v>676</v>
      </c>
      <c r="J211" s="2" t="s">
        <v>497</v>
      </c>
      <c r="K211" s="2" t="s">
        <v>2752</v>
      </c>
      <c r="L211" s="2" t="s">
        <v>87</v>
      </c>
      <c r="M211" s="8" t="str">
        <f>HYPERLINK("http://images.bloomingdales.com/is/image/BLM/10205477 ")</f>
        <v xml:space="preserve">http://images.bloomingdales.com/is/image/BLM/10205477 </v>
      </c>
    </row>
    <row r="212" spans="1:13" ht="60" x14ac:dyDescent="0.25">
      <c r="A212" s="7" t="s">
        <v>3208</v>
      </c>
      <c r="B212" s="2" t="s">
        <v>3209</v>
      </c>
      <c r="C212" s="4">
        <v>1</v>
      </c>
      <c r="D212" s="5">
        <v>9.25</v>
      </c>
      <c r="E212" s="5">
        <v>19.989999999999998</v>
      </c>
      <c r="F212" s="4" t="s">
        <v>3210</v>
      </c>
      <c r="G212" s="2" t="s">
        <v>353</v>
      </c>
      <c r="H212" s="7" t="s">
        <v>531</v>
      </c>
      <c r="I212" s="2" t="s">
        <v>815</v>
      </c>
      <c r="J212" s="2" t="s">
        <v>3211</v>
      </c>
      <c r="K212" s="2" t="s">
        <v>304</v>
      </c>
      <c r="L212" s="2" t="s">
        <v>3212</v>
      </c>
      <c r="M212" s="8" t="str">
        <f>HYPERLINK("http://slimages.macys.com/is/image/MCY/13054653 ")</f>
        <v xml:space="preserve">http://slimages.macys.com/is/image/MCY/13054653 </v>
      </c>
    </row>
    <row r="213" spans="1:13" ht="84" x14ac:dyDescent="0.25">
      <c r="A213" s="7" t="s">
        <v>3213</v>
      </c>
      <c r="B213" s="2" t="s">
        <v>3214</v>
      </c>
      <c r="C213" s="4">
        <v>1</v>
      </c>
      <c r="D213" s="5">
        <v>9.1999999999999993</v>
      </c>
      <c r="E213" s="5">
        <v>21.99</v>
      </c>
      <c r="F213" s="4">
        <v>16485911</v>
      </c>
      <c r="G213" s="2" t="s">
        <v>657</v>
      </c>
      <c r="H213" s="7" t="s">
        <v>675</v>
      </c>
      <c r="I213" s="2" t="s">
        <v>153</v>
      </c>
      <c r="J213" s="2" t="s">
        <v>154</v>
      </c>
      <c r="K213" s="2" t="s">
        <v>304</v>
      </c>
      <c r="L213" s="2" t="s">
        <v>3215</v>
      </c>
      <c r="M213" s="8" t="str">
        <f>HYPERLINK("http://slimages.macys.com/is/image/MCY/11186666 ")</f>
        <v xml:space="preserve">http://slimages.macys.com/is/image/MCY/11186666 </v>
      </c>
    </row>
    <row r="214" spans="1:13" ht="84" x14ac:dyDescent="0.25">
      <c r="A214" s="7" t="s">
        <v>3216</v>
      </c>
      <c r="B214" s="2" t="s">
        <v>3217</v>
      </c>
      <c r="C214" s="4">
        <v>1</v>
      </c>
      <c r="D214" s="5">
        <v>9.1999999999999993</v>
      </c>
      <c r="E214" s="5">
        <v>21.99</v>
      </c>
      <c r="F214" s="4">
        <v>16486310</v>
      </c>
      <c r="G214" s="2" t="s">
        <v>48</v>
      </c>
      <c r="H214" s="7" t="s">
        <v>233</v>
      </c>
      <c r="I214" s="2" t="s">
        <v>153</v>
      </c>
      <c r="J214" s="2" t="s">
        <v>154</v>
      </c>
      <c r="K214" s="2" t="s">
        <v>304</v>
      </c>
      <c r="L214" s="2" t="s">
        <v>3215</v>
      </c>
      <c r="M214" s="8" t="str">
        <f>HYPERLINK("http://slimages.macys.com/is/image/MCY/11186665 ")</f>
        <v xml:space="preserve">http://slimages.macys.com/is/image/MCY/11186665 </v>
      </c>
    </row>
    <row r="215" spans="1:13" ht="72" x14ac:dyDescent="0.25">
      <c r="A215" s="7" t="s">
        <v>3218</v>
      </c>
      <c r="B215" s="2" t="s">
        <v>3219</v>
      </c>
      <c r="C215" s="4">
        <v>1</v>
      </c>
      <c r="D215" s="5">
        <v>9</v>
      </c>
      <c r="E215" s="5">
        <v>20.99</v>
      </c>
      <c r="F215" s="4" t="s">
        <v>3220</v>
      </c>
      <c r="G215" s="2" t="s">
        <v>171</v>
      </c>
      <c r="H215" s="7" t="s">
        <v>209</v>
      </c>
      <c r="I215" s="2" t="s">
        <v>173</v>
      </c>
      <c r="J215" s="2" t="s">
        <v>1967</v>
      </c>
      <c r="K215" s="2" t="s">
        <v>304</v>
      </c>
      <c r="L215" s="2" t="s">
        <v>2540</v>
      </c>
      <c r="M215" s="8" t="str">
        <f>HYPERLINK("http://slimages.macys.com/is/image/MCY/12726096 ")</f>
        <v xml:space="preserve">http://slimages.macys.com/is/image/MCY/12726096 </v>
      </c>
    </row>
    <row r="216" spans="1:13" ht="60" x14ac:dyDescent="0.25">
      <c r="A216" s="7" t="s">
        <v>3221</v>
      </c>
      <c r="B216" s="2" t="s">
        <v>3219</v>
      </c>
      <c r="C216" s="4">
        <v>1</v>
      </c>
      <c r="D216" s="5">
        <v>9</v>
      </c>
      <c r="E216" s="5">
        <v>20.99</v>
      </c>
      <c r="F216" s="4" t="s">
        <v>3222</v>
      </c>
      <c r="G216" s="2" t="s">
        <v>171</v>
      </c>
      <c r="H216" s="7" t="s">
        <v>317</v>
      </c>
      <c r="I216" s="2" t="s">
        <v>173</v>
      </c>
      <c r="J216" s="2" t="s">
        <v>1967</v>
      </c>
      <c r="K216" s="2" t="s">
        <v>304</v>
      </c>
      <c r="L216" s="2" t="s">
        <v>3223</v>
      </c>
      <c r="M216" s="8" t="str">
        <f>HYPERLINK("http://slimages.macys.com/is/image/MCY/12726096 ")</f>
        <v xml:space="preserve">http://slimages.macys.com/is/image/MCY/12726096 </v>
      </c>
    </row>
    <row r="217" spans="1:13" ht="60" x14ac:dyDescent="0.25">
      <c r="A217" s="7" t="s">
        <v>3224</v>
      </c>
      <c r="B217" s="2" t="s">
        <v>3225</v>
      </c>
      <c r="C217" s="4">
        <v>1</v>
      </c>
      <c r="D217" s="5">
        <v>9</v>
      </c>
      <c r="E217" s="5">
        <v>21.99</v>
      </c>
      <c r="F217" s="4" t="s">
        <v>3226</v>
      </c>
      <c r="G217" s="2" t="s">
        <v>262</v>
      </c>
      <c r="H217" s="7" t="s">
        <v>311</v>
      </c>
      <c r="I217" s="2" t="s">
        <v>342</v>
      </c>
      <c r="J217" s="2" t="s">
        <v>1613</v>
      </c>
      <c r="K217" s="2" t="s">
        <v>304</v>
      </c>
      <c r="L217" s="2" t="s">
        <v>119</v>
      </c>
      <c r="M217" s="8" t="str">
        <f>HYPERLINK("http://slimages.macys.com/is/image/MCY/12237612 ")</f>
        <v xml:space="preserve">http://slimages.macys.com/is/image/MCY/12237612 </v>
      </c>
    </row>
    <row r="218" spans="1:13" ht="60" x14ac:dyDescent="0.25">
      <c r="A218" s="7" t="s">
        <v>2548</v>
      </c>
      <c r="B218" s="2" t="s">
        <v>2549</v>
      </c>
      <c r="C218" s="4">
        <v>1</v>
      </c>
      <c r="D218" s="5">
        <v>8.9</v>
      </c>
      <c r="E218" s="5">
        <v>17.989999999999998</v>
      </c>
      <c r="F218" s="4">
        <v>939655</v>
      </c>
      <c r="G218" s="2" t="s">
        <v>785</v>
      </c>
      <c r="H218" s="7" t="s">
        <v>228</v>
      </c>
      <c r="I218" s="2" t="s">
        <v>80</v>
      </c>
      <c r="J218" s="2" t="s">
        <v>160</v>
      </c>
      <c r="K218" s="2" t="s">
        <v>304</v>
      </c>
      <c r="L218" s="2" t="s">
        <v>125</v>
      </c>
      <c r="M218" s="8" t="str">
        <f>HYPERLINK("http://slimages.macys.com/is/image/MCY/13726416 ")</f>
        <v xml:space="preserve">http://slimages.macys.com/is/image/MCY/13726416 </v>
      </c>
    </row>
    <row r="219" spans="1:13" ht="60" x14ac:dyDescent="0.25">
      <c r="A219" s="7" t="s">
        <v>3227</v>
      </c>
      <c r="B219" s="2" t="s">
        <v>2549</v>
      </c>
      <c r="C219" s="4">
        <v>1</v>
      </c>
      <c r="D219" s="5">
        <v>8.9</v>
      </c>
      <c r="E219" s="5">
        <v>17.989999999999998</v>
      </c>
      <c r="F219" s="4">
        <v>939655</v>
      </c>
      <c r="G219" s="2" t="s">
        <v>28</v>
      </c>
      <c r="H219" s="7" t="s">
        <v>159</v>
      </c>
      <c r="I219" s="2" t="s">
        <v>80</v>
      </c>
      <c r="J219" s="2" t="s">
        <v>160</v>
      </c>
      <c r="K219" s="2" t="s">
        <v>304</v>
      </c>
      <c r="L219" s="2" t="s">
        <v>125</v>
      </c>
      <c r="M219" s="8" t="str">
        <f>HYPERLINK("http://slimages.macys.com/is/image/MCY/13726416 ")</f>
        <v xml:space="preserve">http://slimages.macys.com/is/image/MCY/13726416 </v>
      </c>
    </row>
    <row r="220" spans="1:13" ht="60" x14ac:dyDescent="0.25">
      <c r="A220" s="7" t="s">
        <v>3228</v>
      </c>
      <c r="B220" s="2" t="s">
        <v>2549</v>
      </c>
      <c r="C220" s="4">
        <v>1</v>
      </c>
      <c r="D220" s="5">
        <v>8.9</v>
      </c>
      <c r="E220" s="5">
        <v>17.989999999999998</v>
      </c>
      <c r="F220" s="4">
        <v>939655</v>
      </c>
      <c r="G220" s="2" t="s">
        <v>28</v>
      </c>
      <c r="H220" s="7" t="s">
        <v>228</v>
      </c>
      <c r="I220" s="2" t="s">
        <v>80</v>
      </c>
      <c r="J220" s="2" t="s">
        <v>160</v>
      </c>
      <c r="K220" s="2" t="s">
        <v>304</v>
      </c>
      <c r="L220" s="2" t="s">
        <v>125</v>
      </c>
      <c r="M220" s="8" t="str">
        <f>HYPERLINK("http://slimages.macys.com/is/image/MCY/13726416 ")</f>
        <v xml:space="preserve">http://slimages.macys.com/is/image/MCY/13726416 </v>
      </c>
    </row>
    <row r="221" spans="1:13" ht="60" x14ac:dyDescent="0.25">
      <c r="A221" s="7" t="s">
        <v>3229</v>
      </c>
      <c r="B221" s="2" t="s">
        <v>3230</v>
      </c>
      <c r="C221" s="4">
        <v>1</v>
      </c>
      <c r="D221" s="5">
        <v>8.8000000000000007</v>
      </c>
      <c r="E221" s="5">
        <v>20</v>
      </c>
      <c r="F221" s="4">
        <v>1323931</v>
      </c>
      <c r="G221" s="2" t="s">
        <v>134</v>
      </c>
      <c r="H221" s="7" t="s">
        <v>217</v>
      </c>
      <c r="I221" s="2" t="s">
        <v>80</v>
      </c>
      <c r="J221" s="2" t="s">
        <v>280</v>
      </c>
      <c r="K221" s="2" t="s">
        <v>304</v>
      </c>
      <c r="L221" s="2" t="s">
        <v>125</v>
      </c>
      <c r="M221" s="8" t="str">
        <f>HYPERLINK("http://slimages.macys.com/is/image/MCY/9511882 ")</f>
        <v xml:space="preserve">http://slimages.macys.com/is/image/MCY/9511882 </v>
      </c>
    </row>
    <row r="222" spans="1:13" ht="60" x14ac:dyDescent="0.25">
      <c r="A222" s="7" t="s">
        <v>3231</v>
      </c>
      <c r="B222" s="2" t="s">
        <v>3232</v>
      </c>
      <c r="C222" s="4">
        <v>1</v>
      </c>
      <c r="D222" s="5">
        <v>8.7799999999999994</v>
      </c>
      <c r="E222" s="5">
        <v>19.5</v>
      </c>
      <c r="F222" s="4">
        <v>323703644008</v>
      </c>
      <c r="G222" s="2" t="s">
        <v>28</v>
      </c>
      <c r="H222" s="7" t="s">
        <v>284</v>
      </c>
      <c r="I222" s="2" t="s">
        <v>204</v>
      </c>
      <c r="J222" s="2" t="s">
        <v>205</v>
      </c>
      <c r="K222" s="2" t="s">
        <v>304</v>
      </c>
      <c r="L222" s="2" t="s">
        <v>206</v>
      </c>
      <c r="M222" s="8" t="str">
        <f>HYPERLINK("http://slimages.macys.com/is/image/MCY/13746507 ")</f>
        <v xml:space="preserve">http://slimages.macys.com/is/image/MCY/13746507 </v>
      </c>
    </row>
    <row r="223" spans="1:13" ht="60" x14ac:dyDescent="0.25">
      <c r="A223" s="7" t="s">
        <v>3233</v>
      </c>
      <c r="B223" s="2" t="s">
        <v>3234</v>
      </c>
      <c r="C223" s="4">
        <v>1</v>
      </c>
      <c r="D223" s="5">
        <v>8.7799999999999994</v>
      </c>
      <c r="E223" s="5">
        <v>19.5</v>
      </c>
      <c r="F223" s="4">
        <v>320703646014</v>
      </c>
      <c r="G223" s="2" t="s">
        <v>28</v>
      </c>
      <c r="H223" s="7" t="s">
        <v>675</v>
      </c>
      <c r="I223" s="2" t="s">
        <v>676</v>
      </c>
      <c r="J223" s="2" t="s">
        <v>205</v>
      </c>
      <c r="K223" s="2" t="s">
        <v>304</v>
      </c>
      <c r="L223" s="2" t="s">
        <v>87</v>
      </c>
      <c r="M223" s="8" t="str">
        <f>HYPERLINK("http://slimages.macys.com/is/image/MCY/11432915 ")</f>
        <v xml:space="preserve">http://slimages.macys.com/is/image/MCY/11432915 </v>
      </c>
    </row>
    <row r="224" spans="1:13" ht="84" x14ac:dyDescent="0.25">
      <c r="A224" s="7" t="s">
        <v>3235</v>
      </c>
      <c r="B224" s="2" t="s">
        <v>3236</v>
      </c>
      <c r="C224" s="4">
        <v>1</v>
      </c>
      <c r="D224" s="5">
        <v>8.75</v>
      </c>
      <c r="E224" s="5">
        <v>20.99</v>
      </c>
      <c r="F224" s="4" t="s">
        <v>3237</v>
      </c>
      <c r="G224" s="2" t="s">
        <v>310</v>
      </c>
      <c r="H224" s="7" t="s">
        <v>311</v>
      </c>
      <c r="I224" s="2" t="s">
        <v>380</v>
      </c>
      <c r="J224" s="2" t="s">
        <v>896</v>
      </c>
      <c r="K224" s="2" t="s">
        <v>304</v>
      </c>
      <c r="L224" s="2" t="s">
        <v>3238</v>
      </c>
      <c r="M224" s="8" t="str">
        <f>HYPERLINK("http://slimages.macys.com/is/image/MCY/11446391 ")</f>
        <v xml:space="preserve">http://slimages.macys.com/is/image/MCY/11446391 </v>
      </c>
    </row>
    <row r="225" spans="1:13" ht="120" x14ac:dyDescent="0.25">
      <c r="A225" s="7" t="s">
        <v>1656</v>
      </c>
      <c r="B225" s="2" t="s">
        <v>360</v>
      </c>
      <c r="C225" s="4">
        <v>1</v>
      </c>
      <c r="D225" s="5">
        <v>8.75</v>
      </c>
      <c r="E225" s="5">
        <v>24.99</v>
      </c>
      <c r="F225" s="4" t="s">
        <v>361</v>
      </c>
      <c r="G225" s="2" t="s">
        <v>310</v>
      </c>
      <c r="H225" s="7" t="s">
        <v>63</v>
      </c>
      <c r="I225" s="2" t="s">
        <v>342</v>
      </c>
      <c r="J225" s="2" t="s">
        <v>362</v>
      </c>
      <c r="K225" s="2" t="s">
        <v>304</v>
      </c>
      <c r="L225" s="2" t="s">
        <v>1657</v>
      </c>
      <c r="M225" s="8" t="str">
        <f>HYPERLINK("http://slimages.macys.com/is/image/MCY/14399757 ")</f>
        <v xml:space="preserve">http://slimages.macys.com/is/image/MCY/14399757 </v>
      </c>
    </row>
    <row r="226" spans="1:13" ht="60" x14ac:dyDescent="0.25">
      <c r="A226" s="7" t="s">
        <v>3239</v>
      </c>
      <c r="B226" s="2" t="s">
        <v>3240</v>
      </c>
      <c r="C226" s="4">
        <v>1</v>
      </c>
      <c r="D226" s="5">
        <v>8.75</v>
      </c>
      <c r="E226" s="5">
        <v>36</v>
      </c>
      <c r="F226" s="4" t="s">
        <v>3241</v>
      </c>
      <c r="G226" s="2" t="s">
        <v>297</v>
      </c>
      <c r="H226" s="7" t="s">
        <v>123</v>
      </c>
      <c r="I226" s="2" t="s">
        <v>173</v>
      </c>
      <c r="J226" s="2" t="s">
        <v>3242</v>
      </c>
      <c r="K226" s="2" t="s">
        <v>2752</v>
      </c>
      <c r="L226" s="2" t="s">
        <v>3243</v>
      </c>
      <c r="M226" s="8" t="str">
        <f>HYPERLINK("http://images.bloomingdales.com/is/image/BLM/10248501 ")</f>
        <v xml:space="preserve">http://images.bloomingdales.com/is/image/BLM/10248501 </v>
      </c>
    </row>
    <row r="227" spans="1:13" ht="60" x14ac:dyDescent="0.25">
      <c r="A227" s="7" t="s">
        <v>3244</v>
      </c>
      <c r="B227" s="2" t="s">
        <v>3245</v>
      </c>
      <c r="C227" s="4">
        <v>1</v>
      </c>
      <c r="D227" s="5">
        <v>8.75</v>
      </c>
      <c r="E227" s="5">
        <v>25</v>
      </c>
      <c r="F227" s="4" t="s">
        <v>3246</v>
      </c>
      <c r="G227" s="2" t="s">
        <v>129</v>
      </c>
      <c r="H227" s="7" t="s">
        <v>317</v>
      </c>
      <c r="I227" s="2" t="s">
        <v>700</v>
      </c>
      <c r="J227" s="2" t="s">
        <v>3247</v>
      </c>
      <c r="K227" s="2" t="s">
        <v>304</v>
      </c>
      <c r="L227" s="2" t="s">
        <v>119</v>
      </c>
      <c r="M227" s="8" t="str">
        <f>HYPERLINK("http://slimages.macys.com/is/image/MCY/11964758 ")</f>
        <v xml:space="preserve">http://slimages.macys.com/is/image/MCY/11964758 </v>
      </c>
    </row>
    <row r="228" spans="1:13" ht="60" x14ac:dyDescent="0.25">
      <c r="A228" s="7" t="s">
        <v>3248</v>
      </c>
      <c r="B228" s="2" t="s">
        <v>3249</v>
      </c>
      <c r="C228" s="4">
        <v>2</v>
      </c>
      <c r="D228" s="5">
        <v>8.65</v>
      </c>
      <c r="E228" s="5">
        <v>17.3</v>
      </c>
      <c r="F228" s="4">
        <v>27878810</v>
      </c>
      <c r="G228" s="2"/>
      <c r="H228" s="7" t="s">
        <v>68</v>
      </c>
      <c r="I228" s="2" t="s">
        <v>487</v>
      </c>
      <c r="J228" s="2" t="s">
        <v>488</v>
      </c>
      <c r="K228" s="2" t="s">
        <v>304</v>
      </c>
      <c r="L228" s="2" t="s">
        <v>38</v>
      </c>
      <c r="M228" s="8" t="str">
        <f>HYPERLINK("http://slimages.macys.com/is/image/MCY/13852827 ")</f>
        <v xml:space="preserve">http://slimages.macys.com/is/image/MCY/13852827 </v>
      </c>
    </row>
    <row r="229" spans="1:13" ht="60" x14ac:dyDescent="0.25">
      <c r="A229" s="7" t="s">
        <v>3250</v>
      </c>
      <c r="B229" s="2" t="s">
        <v>3249</v>
      </c>
      <c r="C229" s="4">
        <v>2</v>
      </c>
      <c r="D229" s="5">
        <v>8.65</v>
      </c>
      <c r="E229" s="5">
        <v>17.3</v>
      </c>
      <c r="F229" s="4">
        <v>27878810</v>
      </c>
      <c r="G229" s="2"/>
      <c r="H229" s="7" t="s">
        <v>144</v>
      </c>
      <c r="I229" s="2" t="s">
        <v>487</v>
      </c>
      <c r="J229" s="2" t="s">
        <v>488</v>
      </c>
      <c r="K229" s="2" t="s">
        <v>304</v>
      </c>
      <c r="L229" s="2" t="s">
        <v>38</v>
      </c>
      <c r="M229" s="8" t="str">
        <f>HYPERLINK("http://slimages.macys.com/is/image/MCY/13852827 ")</f>
        <v xml:space="preserve">http://slimages.macys.com/is/image/MCY/13852827 </v>
      </c>
    </row>
    <row r="230" spans="1:13" ht="60" x14ac:dyDescent="0.25">
      <c r="A230" s="7" t="s">
        <v>3251</v>
      </c>
      <c r="B230" s="2" t="s">
        <v>3249</v>
      </c>
      <c r="C230" s="4">
        <v>2</v>
      </c>
      <c r="D230" s="5">
        <v>8.65</v>
      </c>
      <c r="E230" s="5">
        <v>17.3</v>
      </c>
      <c r="F230" s="4">
        <v>27878810</v>
      </c>
      <c r="G230" s="2"/>
      <c r="H230" s="7" t="s">
        <v>209</v>
      </c>
      <c r="I230" s="2" t="s">
        <v>487</v>
      </c>
      <c r="J230" s="2" t="s">
        <v>488</v>
      </c>
      <c r="K230" s="2" t="s">
        <v>304</v>
      </c>
      <c r="L230" s="2" t="s">
        <v>38</v>
      </c>
      <c r="M230" s="8" t="str">
        <f>HYPERLINK("http://slimages.macys.com/is/image/MCY/13852827 ")</f>
        <v xml:space="preserve">http://slimages.macys.com/is/image/MCY/13852827 </v>
      </c>
    </row>
    <row r="231" spans="1:13" ht="84" x14ac:dyDescent="0.25">
      <c r="A231" s="7" t="s">
        <v>3252</v>
      </c>
      <c r="B231" s="2" t="s">
        <v>1665</v>
      </c>
      <c r="C231" s="4">
        <v>1</v>
      </c>
      <c r="D231" s="5">
        <v>8.65</v>
      </c>
      <c r="E231" s="5">
        <v>22.99</v>
      </c>
      <c r="F231" s="4">
        <v>103402</v>
      </c>
      <c r="G231" s="2" t="s">
        <v>892</v>
      </c>
      <c r="H231" s="7" t="s">
        <v>172</v>
      </c>
      <c r="I231" s="2" t="s">
        <v>321</v>
      </c>
      <c r="J231" s="2" t="s">
        <v>322</v>
      </c>
      <c r="K231" s="2" t="s">
        <v>304</v>
      </c>
      <c r="L231" s="2" t="s">
        <v>1460</v>
      </c>
      <c r="M231" s="8" t="str">
        <f>HYPERLINK("http://slimages.macys.com/is/image/MCY/12045191 ")</f>
        <v xml:space="preserve">http://slimages.macys.com/is/image/MCY/12045191 </v>
      </c>
    </row>
    <row r="232" spans="1:13" ht="96" x14ac:dyDescent="0.25">
      <c r="A232" s="7" t="s">
        <v>3253</v>
      </c>
      <c r="B232" s="2" t="s">
        <v>3254</v>
      </c>
      <c r="C232" s="4">
        <v>1</v>
      </c>
      <c r="D232" s="5">
        <v>8.5399999999999991</v>
      </c>
      <c r="E232" s="5">
        <v>21.99</v>
      </c>
      <c r="F232" s="4" t="s">
        <v>3255</v>
      </c>
      <c r="G232" s="2" t="s">
        <v>62</v>
      </c>
      <c r="H232" s="7" t="s">
        <v>209</v>
      </c>
      <c r="I232" s="2" t="s">
        <v>218</v>
      </c>
      <c r="J232" s="2" t="s">
        <v>2008</v>
      </c>
      <c r="K232" s="2" t="s">
        <v>304</v>
      </c>
      <c r="L232" s="2" t="s">
        <v>3256</v>
      </c>
      <c r="M232" s="8" t="str">
        <f>HYPERLINK("http://slimages.macys.com/is/image/MCY/12742405 ")</f>
        <v xml:space="preserve">http://slimages.macys.com/is/image/MCY/12742405 </v>
      </c>
    </row>
    <row r="233" spans="1:13" ht="84" x14ac:dyDescent="0.25">
      <c r="A233" s="7" t="s">
        <v>3257</v>
      </c>
      <c r="B233" s="2" t="s">
        <v>3258</v>
      </c>
      <c r="C233" s="4">
        <v>1</v>
      </c>
      <c r="D233" s="5">
        <v>8.32</v>
      </c>
      <c r="E233" s="5">
        <v>22</v>
      </c>
      <c r="F233" s="4" t="s">
        <v>3259</v>
      </c>
      <c r="G233" s="2" t="s">
        <v>297</v>
      </c>
      <c r="H233" s="7" t="s">
        <v>317</v>
      </c>
      <c r="I233" s="2" t="s">
        <v>700</v>
      </c>
      <c r="J233" s="2" t="s">
        <v>3260</v>
      </c>
      <c r="K233" s="2" t="s">
        <v>2752</v>
      </c>
      <c r="L233" s="2" t="s">
        <v>3261</v>
      </c>
      <c r="M233" s="8" t="str">
        <f>HYPERLINK("http://images.bloomingdales.com/is/image/BLM/10236053 ")</f>
        <v xml:space="preserve">http://images.bloomingdales.com/is/image/BLM/10236053 </v>
      </c>
    </row>
    <row r="234" spans="1:13" ht="60" x14ac:dyDescent="0.25">
      <c r="A234" s="7" t="s">
        <v>3262</v>
      </c>
      <c r="B234" s="2" t="s">
        <v>2564</v>
      </c>
      <c r="C234" s="4">
        <v>1</v>
      </c>
      <c r="D234" s="5">
        <v>8.25</v>
      </c>
      <c r="E234" s="5">
        <v>22.99</v>
      </c>
      <c r="F234" s="4" t="s">
        <v>2565</v>
      </c>
      <c r="G234" s="2" t="s">
        <v>62</v>
      </c>
      <c r="H234" s="7" t="s">
        <v>217</v>
      </c>
      <c r="I234" s="2" t="s">
        <v>468</v>
      </c>
      <c r="J234" s="2" t="s">
        <v>544</v>
      </c>
      <c r="K234" s="2" t="s">
        <v>304</v>
      </c>
      <c r="L234" s="2" t="s">
        <v>119</v>
      </c>
      <c r="M234" s="8" t="str">
        <f>HYPERLINK("http://slimages.macys.com/is/image/MCY/15447987 ")</f>
        <v xml:space="preserve">http://slimages.macys.com/is/image/MCY/15447987 </v>
      </c>
    </row>
    <row r="235" spans="1:13" ht="60" x14ac:dyDescent="0.25">
      <c r="A235" s="7" t="s">
        <v>3263</v>
      </c>
      <c r="B235" s="2" t="s">
        <v>1633</v>
      </c>
      <c r="C235" s="4">
        <v>1</v>
      </c>
      <c r="D235" s="5">
        <v>8.1</v>
      </c>
      <c r="E235" s="5">
        <v>16.989999999999998</v>
      </c>
      <c r="F235" s="4" t="s">
        <v>3264</v>
      </c>
      <c r="G235" s="2" t="s">
        <v>28</v>
      </c>
      <c r="H235" s="7" t="s">
        <v>123</v>
      </c>
      <c r="I235" s="2" t="s">
        <v>292</v>
      </c>
      <c r="J235" s="2" t="s">
        <v>354</v>
      </c>
      <c r="K235" s="2" t="s">
        <v>304</v>
      </c>
      <c r="L235" s="2" t="s">
        <v>38</v>
      </c>
      <c r="M235" s="8" t="str">
        <f>HYPERLINK("http://slimages.macys.com/is/image/MCY/11776316 ")</f>
        <v xml:space="preserve">http://slimages.macys.com/is/image/MCY/11776316 </v>
      </c>
    </row>
    <row r="236" spans="1:13" ht="240" x14ac:dyDescent="0.25">
      <c r="A236" s="7" t="s">
        <v>3265</v>
      </c>
      <c r="B236" s="2" t="s">
        <v>3266</v>
      </c>
      <c r="C236" s="4">
        <v>1</v>
      </c>
      <c r="D236" s="5">
        <v>8.0500000000000007</v>
      </c>
      <c r="E236" s="5">
        <v>25</v>
      </c>
      <c r="F236" s="4" t="s">
        <v>3267</v>
      </c>
      <c r="G236" s="2"/>
      <c r="H236" s="7" t="s">
        <v>3268</v>
      </c>
      <c r="I236" s="2" t="s">
        <v>3129</v>
      </c>
      <c r="J236" s="2" t="s">
        <v>3269</v>
      </c>
      <c r="K236" s="2" t="s">
        <v>2746</v>
      </c>
      <c r="L236" s="2" t="s">
        <v>3270</v>
      </c>
      <c r="M236" s="8" t="str">
        <f>HYPERLINK("http://images.bloomingdales.com/is/image/BLM/10272996 ")</f>
        <v xml:space="preserve">http://images.bloomingdales.com/is/image/BLM/10272996 </v>
      </c>
    </row>
    <row r="237" spans="1:13" ht="60" x14ac:dyDescent="0.25">
      <c r="A237" s="7" t="s">
        <v>396</v>
      </c>
      <c r="B237" s="2" t="s">
        <v>397</v>
      </c>
      <c r="C237" s="4">
        <v>1</v>
      </c>
      <c r="D237" s="5">
        <v>8.01</v>
      </c>
      <c r="E237" s="5">
        <v>19</v>
      </c>
      <c r="F237" s="4" t="s">
        <v>398</v>
      </c>
      <c r="G237" s="2" t="s">
        <v>41</v>
      </c>
      <c r="H237" s="7" t="s">
        <v>284</v>
      </c>
      <c r="I237" s="2" t="s">
        <v>73</v>
      </c>
      <c r="J237" s="2" t="s">
        <v>160</v>
      </c>
      <c r="K237" s="2" t="s">
        <v>304</v>
      </c>
      <c r="L237" s="2" t="s">
        <v>206</v>
      </c>
      <c r="M237" s="8" t="str">
        <f>HYPERLINK("http://slimages.macys.com/is/image/MCY/14724089 ")</f>
        <v xml:space="preserve">http://slimages.macys.com/is/image/MCY/14724089 </v>
      </c>
    </row>
    <row r="238" spans="1:13" ht="60" x14ac:dyDescent="0.25">
      <c r="A238" s="7" t="s">
        <v>3271</v>
      </c>
      <c r="B238" s="2" t="s">
        <v>402</v>
      </c>
      <c r="C238" s="4">
        <v>1</v>
      </c>
      <c r="D238" s="5">
        <v>8.01</v>
      </c>
      <c r="E238" s="5">
        <v>17.989999999999998</v>
      </c>
      <c r="F238" s="4" t="s">
        <v>403</v>
      </c>
      <c r="G238" s="2" t="s">
        <v>41</v>
      </c>
      <c r="H238" s="7" t="s">
        <v>159</v>
      </c>
      <c r="I238" s="2" t="s">
        <v>80</v>
      </c>
      <c r="J238" s="2" t="s">
        <v>160</v>
      </c>
      <c r="K238" s="2" t="s">
        <v>304</v>
      </c>
      <c r="L238" s="2" t="s">
        <v>206</v>
      </c>
      <c r="M238" s="8" t="str">
        <f>HYPERLINK("http://slimages.macys.com/is/image/MCY/14716448 ")</f>
        <v xml:space="preserve">http://slimages.macys.com/is/image/MCY/14716448 </v>
      </c>
    </row>
    <row r="239" spans="1:13" ht="60" x14ac:dyDescent="0.25">
      <c r="A239" s="7" t="s">
        <v>399</v>
      </c>
      <c r="B239" s="2" t="s">
        <v>397</v>
      </c>
      <c r="C239" s="4">
        <v>1</v>
      </c>
      <c r="D239" s="5">
        <v>8.01</v>
      </c>
      <c r="E239" s="5">
        <v>19</v>
      </c>
      <c r="F239" s="4" t="s">
        <v>398</v>
      </c>
      <c r="G239" s="2" t="s">
        <v>41</v>
      </c>
      <c r="H239" s="7" t="s">
        <v>159</v>
      </c>
      <c r="I239" s="2" t="s">
        <v>73</v>
      </c>
      <c r="J239" s="2" t="s">
        <v>160</v>
      </c>
      <c r="K239" s="2" t="s">
        <v>304</v>
      </c>
      <c r="L239" s="2" t="s">
        <v>206</v>
      </c>
      <c r="M239" s="8" t="str">
        <f>HYPERLINK("http://slimages.macys.com/is/image/MCY/14724089 ")</f>
        <v xml:space="preserve">http://slimages.macys.com/is/image/MCY/14724089 </v>
      </c>
    </row>
    <row r="240" spans="1:13" ht="60" x14ac:dyDescent="0.25">
      <c r="A240" s="7" t="s">
        <v>3272</v>
      </c>
      <c r="B240" s="2" t="s">
        <v>3273</v>
      </c>
      <c r="C240" s="4">
        <v>1</v>
      </c>
      <c r="D240" s="5">
        <v>8.01</v>
      </c>
      <c r="E240" s="5">
        <v>17.989999999999998</v>
      </c>
      <c r="F240" s="4" t="s">
        <v>3274</v>
      </c>
      <c r="G240" s="2" t="s">
        <v>165</v>
      </c>
      <c r="H240" s="7" t="s">
        <v>159</v>
      </c>
      <c r="I240" s="2" t="s">
        <v>73</v>
      </c>
      <c r="J240" s="2" t="s">
        <v>160</v>
      </c>
      <c r="K240" s="2" t="s">
        <v>304</v>
      </c>
      <c r="L240" s="2" t="s">
        <v>206</v>
      </c>
      <c r="M240" s="8" t="str">
        <f>HYPERLINK("http://slimages.macys.com/is/image/MCY/12337176 ")</f>
        <v xml:space="preserve">http://slimages.macys.com/is/image/MCY/12337176 </v>
      </c>
    </row>
    <row r="241" spans="1:13" ht="60" x14ac:dyDescent="0.25">
      <c r="A241" s="7" t="s">
        <v>401</v>
      </c>
      <c r="B241" s="2" t="s">
        <v>402</v>
      </c>
      <c r="C241" s="4">
        <v>1</v>
      </c>
      <c r="D241" s="5">
        <v>8.01</v>
      </c>
      <c r="E241" s="5">
        <v>17.989999999999998</v>
      </c>
      <c r="F241" s="4" t="s">
        <v>403</v>
      </c>
      <c r="G241" s="2" t="s">
        <v>41</v>
      </c>
      <c r="H241" s="7" t="s">
        <v>228</v>
      </c>
      <c r="I241" s="2" t="s">
        <v>80</v>
      </c>
      <c r="J241" s="2" t="s">
        <v>160</v>
      </c>
      <c r="K241" s="2" t="s">
        <v>304</v>
      </c>
      <c r="L241" s="2" t="s">
        <v>206</v>
      </c>
      <c r="M241" s="8" t="str">
        <f>HYPERLINK("http://slimages.macys.com/is/image/MCY/14716448 ")</f>
        <v xml:space="preserve">http://slimages.macys.com/is/image/MCY/14716448 </v>
      </c>
    </row>
    <row r="242" spans="1:13" ht="60" x14ac:dyDescent="0.25">
      <c r="A242" s="7" t="s">
        <v>3275</v>
      </c>
      <c r="B242" s="2" t="s">
        <v>405</v>
      </c>
      <c r="C242" s="4">
        <v>1</v>
      </c>
      <c r="D242" s="5">
        <v>8.01</v>
      </c>
      <c r="E242" s="5">
        <v>17.989999999999998</v>
      </c>
      <c r="F242" s="4" t="s">
        <v>406</v>
      </c>
      <c r="G242" s="2" t="s">
        <v>165</v>
      </c>
      <c r="H242" s="7" t="s">
        <v>217</v>
      </c>
      <c r="I242" s="2" t="s">
        <v>80</v>
      </c>
      <c r="J242" s="2" t="s">
        <v>160</v>
      </c>
      <c r="K242" s="2" t="s">
        <v>304</v>
      </c>
      <c r="L242" s="2" t="s">
        <v>206</v>
      </c>
      <c r="M242" s="8" t="str">
        <f>HYPERLINK("http://slimages.macys.com/is/image/MCY/13758788 ")</f>
        <v xml:space="preserve">http://slimages.macys.com/is/image/MCY/13758788 </v>
      </c>
    </row>
    <row r="243" spans="1:13" ht="60" x14ac:dyDescent="0.25">
      <c r="A243" s="7" t="s">
        <v>3276</v>
      </c>
      <c r="B243" s="2" t="s">
        <v>402</v>
      </c>
      <c r="C243" s="4">
        <v>4</v>
      </c>
      <c r="D243" s="5">
        <v>8.01</v>
      </c>
      <c r="E243" s="5">
        <v>17.989999999999998</v>
      </c>
      <c r="F243" s="4" t="s">
        <v>403</v>
      </c>
      <c r="G243" s="2" t="s">
        <v>41</v>
      </c>
      <c r="H243" s="7" t="s">
        <v>217</v>
      </c>
      <c r="I243" s="2" t="s">
        <v>80</v>
      </c>
      <c r="J243" s="2" t="s">
        <v>160</v>
      </c>
      <c r="K243" s="2" t="s">
        <v>304</v>
      </c>
      <c r="L243" s="2" t="s">
        <v>206</v>
      </c>
      <c r="M243" s="8" t="str">
        <f>HYPERLINK("http://slimages.macys.com/is/image/MCY/14716448 ")</f>
        <v xml:space="preserve">http://slimages.macys.com/is/image/MCY/14716448 </v>
      </c>
    </row>
    <row r="244" spans="1:13" ht="60" x14ac:dyDescent="0.25">
      <c r="A244" s="7" t="s">
        <v>1707</v>
      </c>
      <c r="B244" s="2" t="s">
        <v>887</v>
      </c>
      <c r="C244" s="4">
        <v>1</v>
      </c>
      <c r="D244" s="5">
        <v>8.01</v>
      </c>
      <c r="E244" s="5">
        <v>17.989999999999998</v>
      </c>
      <c r="F244" s="4" t="s">
        <v>888</v>
      </c>
      <c r="G244" s="2" t="s">
        <v>103</v>
      </c>
      <c r="H244" s="7" t="s">
        <v>228</v>
      </c>
      <c r="I244" s="2" t="s">
        <v>80</v>
      </c>
      <c r="J244" s="2" t="s">
        <v>160</v>
      </c>
      <c r="K244" s="2" t="s">
        <v>304</v>
      </c>
      <c r="L244" s="2" t="s">
        <v>206</v>
      </c>
      <c r="M244" s="8" t="str">
        <f>HYPERLINK("http://slimages.macys.com/is/image/MCY/13758779 ")</f>
        <v xml:space="preserve">http://slimages.macys.com/is/image/MCY/13758779 </v>
      </c>
    </row>
    <row r="245" spans="1:13" ht="60" x14ac:dyDescent="0.25">
      <c r="A245" s="7" t="s">
        <v>3277</v>
      </c>
      <c r="B245" s="2" t="s">
        <v>421</v>
      </c>
      <c r="C245" s="4">
        <v>1</v>
      </c>
      <c r="D245" s="5">
        <v>8</v>
      </c>
      <c r="E245" s="5">
        <v>17.989999999999998</v>
      </c>
      <c r="F245" s="4" t="s">
        <v>422</v>
      </c>
      <c r="G245" s="2" t="s">
        <v>195</v>
      </c>
      <c r="H245" s="7" t="s">
        <v>284</v>
      </c>
      <c r="I245" s="2" t="s">
        <v>73</v>
      </c>
      <c r="J245" s="2" t="s">
        <v>223</v>
      </c>
      <c r="K245" s="2" t="s">
        <v>304</v>
      </c>
      <c r="L245" s="2" t="s">
        <v>119</v>
      </c>
      <c r="M245" s="8" t="str">
        <f>HYPERLINK("http://slimages.macys.com/is/image/MCY/13581725 ")</f>
        <v xml:space="preserve">http://slimages.macys.com/is/image/MCY/13581725 </v>
      </c>
    </row>
    <row r="246" spans="1:13" ht="60" x14ac:dyDescent="0.25">
      <c r="A246" s="7" t="s">
        <v>3278</v>
      </c>
      <c r="B246" s="2" t="s">
        <v>425</v>
      </c>
      <c r="C246" s="4">
        <v>1</v>
      </c>
      <c r="D246" s="5">
        <v>8</v>
      </c>
      <c r="E246" s="5">
        <v>20</v>
      </c>
      <c r="F246" s="4">
        <v>1331684</v>
      </c>
      <c r="G246" s="2" t="s">
        <v>283</v>
      </c>
      <c r="H246" s="7" t="s">
        <v>228</v>
      </c>
      <c r="I246" s="2" t="s">
        <v>80</v>
      </c>
      <c r="J246" s="2" t="s">
        <v>280</v>
      </c>
      <c r="K246" s="2" t="s">
        <v>304</v>
      </c>
      <c r="L246" s="2" t="s">
        <v>125</v>
      </c>
      <c r="M246" s="8" t="str">
        <f>HYPERLINK("http://slimages.macys.com/is/image/MCY/15868210 ")</f>
        <v xml:space="preserve">http://slimages.macys.com/is/image/MCY/15868210 </v>
      </c>
    </row>
    <row r="247" spans="1:13" ht="60" x14ac:dyDescent="0.25">
      <c r="A247" s="7" t="s">
        <v>424</v>
      </c>
      <c r="B247" s="2" t="s">
        <v>425</v>
      </c>
      <c r="C247" s="4">
        <v>1</v>
      </c>
      <c r="D247" s="5">
        <v>8</v>
      </c>
      <c r="E247" s="5">
        <v>20</v>
      </c>
      <c r="F247" s="4">
        <v>1331684</v>
      </c>
      <c r="G247" s="2" t="s">
        <v>283</v>
      </c>
      <c r="H247" s="7" t="s">
        <v>284</v>
      </c>
      <c r="I247" s="2" t="s">
        <v>80</v>
      </c>
      <c r="J247" s="2" t="s">
        <v>280</v>
      </c>
      <c r="K247" s="2" t="s">
        <v>304</v>
      </c>
      <c r="L247" s="2" t="s">
        <v>125</v>
      </c>
      <c r="M247" s="8" t="str">
        <f>HYPERLINK("http://slimages.macys.com/is/image/MCY/15868210 ")</f>
        <v xml:space="preserve">http://slimages.macys.com/is/image/MCY/15868210 </v>
      </c>
    </row>
    <row r="248" spans="1:13" ht="60" x14ac:dyDescent="0.25">
      <c r="A248" s="7" t="s">
        <v>420</v>
      </c>
      <c r="B248" s="2" t="s">
        <v>421</v>
      </c>
      <c r="C248" s="4">
        <v>1</v>
      </c>
      <c r="D248" s="5">
        <v>8</v>
      </c>
      <c r="E248" s="5">
        <v>17.989999999999998</v>
      </c>
      <c r="F248" s="4" t="s">
        <v>422</v>
      </c>
      <c r="G248" s="2" t="s">
        <v>195</v>
      </c>
      <c r="H248" s="7" t="s">
        <v>228</v>
      </c>
      <c r="I248" s="2" t="s">
        <v>73</v>
      </c>
      <c r="J248" s="2" t="s">
        <v>223</v>
      </c>
      <c r="K248" s="2" t="s">
        <v>304</v>
      </c>
      <c r="L248" s="2" t="s">
        <v>119</v>
      </c>
      <c r="M248" s="8" t="str">
        <f>HYPERLINK("http://slimages.macys.com/is/image/MCY/13581725 ")</f>
        <v xml:space="preserve">http://slimages.macys.com/is/image/MCY/13581725 </v>
      </c>
    </row>
    <row r="249" spans="1:13" ht="60" x14ac:dyDescent="0.25">
      <c r="A249" s="7" t="s">
        <v>3279</v>
      </c>
      <c r="B249" s="2" t="s">
        <v>3280</v>
      </c>
      <c r="C249" s="4">
        <v>2</v>
      </c>
      <c r="D249" s="5">
        <v>7.88</v>
      </c>
      <c r="E249" s="5">
        <v>16.989999999999998</v>
      </c>
      <c r="F249" s="4" t="s">
        <v>3281</v>
      </c>
      <c r="G249" s="2" t="s">
        <v>1265</v>
      </c>
      <c r="H249" s="7" t="s">
        <v>531</v>
      </c>
      <c r="I249" s="2" t="s">
        <v>483</v>
      </c>
      <c r="J249" s="2" t="s">
        <v>484</v>
      </c>
      <c r="K249" s="2" t="s">
        <v>304</v>
      </c>
      <c r="L249" s="2" t="s">
        <v>3282</v>
      </c>
      <c r="M249" s="8" t="str">
        <f>HYPERLINK("http://slimages.macys.com/is/image/MCY/12818419 ")</f>
        <v xml:space="preserve">http://slimages.macys.com/is/image/MCY/12818419 </v>
      </c>
    </row>
    <row r="250" spans="1:13" ht="168" x14ac:dyDescent="0.25">
      <c r="A250" s="7" t="s">
        <v>3283</v>
      </c>
      <c r="B250" s="2" t="s">
        <v>3284</v>
      </c>
      <c r="C250" s="4">
        <v>1</v>
      </c>
      <c r="D250" s="5">
        <v>7.75</v>
      </c>
      <c r="E250" s="5">
        <v>19.989999999999998</v>
      </c>
      <c r="F250" s="4" t="s">
        <v>3285</v>
      </c>
      <c r="G250" s="2" t="s">
        <v>310</v>
      </c>
      <c r="H250" s="7" t="s">
        <v>42</v>
      </c>
      <c r="I250" s="2" t="s">
        <v>92</v>
      </c>
      <c r="J250" s="2" t="s">
        <v>430</v>
      </c>
      <c r="K250" s="2" t="s">
        <v>304</v>
      </c>
      <c r="L250" s="2" t="s">
        <v>3286</v>
      </c>
      <c r="M250" s="8" t="str">
        <f>HYPERLINK("http://slimages.macys.com/is/image/MCY/14379326 ")</f>
        <v xml:space="preserve">http://slimages.macys.com/is/image/MCY/14379326 </v>
      </c>
    </row>
    <row r="251" spans="1:13" ht="180" x14ac:dyDescent="0.25">
      <c r="A251" s="7" t="s">
        <v>3287</v>
      </c>
      <c r="B251" s="2" t="s">
        <v>3288</v>
      </c>
      <c r="C251" s="4">
        <v>1</v>
      </c>
      <c r="D251" s="5">
        <v>7.75</v>
      </c>
      <c r="E251" s="5">
        <v>19.989999999999998</v>
      </c>
      <c r="F251" s="4" t="s">
        <v>3289</v>
      </c>
      <c r="G251" s="2" t="s">
        <v>310</v>
      </c>
      <c r="H251" s="7" t="s">
        <v>42</v>
      </c>
      <c r="I251" s="2" t="s">
        <v>92</v>
      </c>
      <c r="J251" s="2" t="s">
        <v>430</v>
      </c>
      <c r="K251" s="2" t="s">
        <v>304</v>
      </c>
      <c r="L251" s="2" t="s">
        <v>3290</v>
      </c>
      <c r="M251" s="8" t="str">
        <f>HYPERLINK("http://slimages.macys.com/is/image/MCY/10352799 ")</f>
        <v xml:space="preserve">http://slimages.macys.com/is/image/MCY/10352799 </v>
      </c>
    </row>
    <row r="252" spans="1:13" ht="132" x14ac:dyDescent="0.25">
      <c r="A252" s="7" t="s">
        <v>3291</v>
      </c>
      <c r="B252" s="2" t="s">
        <v>3292</v>
      </c>
      <c r="C252" s="4">
        <v>1</v>
      </c>
      <c r="D252" s="5">
        <v>7.75</v>
      </c>
      <c r="E252" s="5">
        <v>19.989999999999998</v>
      </c>
      <c r="F252" s="4" t="s">
        <v>3293</v>
      </c>
      <c r="G252" s="2" t="s">
        <v>310</v>
      </c>
      <c r="H252" s="7" t="s">
        <v>149</v>
      </c>
      <c r="I252" s="2" t="s">
        <v>92</v>
      </c>
      <c r="J252" s="2" t="s">
        <v>430</v>
      </c>
      <c r="K252" s="2" t="s">
        <v>304</v>
      </c>
      <c r="L252" s="2" t="s">
        <v>957</v>
      </c>
      <c r="M252" s="8" t="str">
        <f>HYPERLINK("http://slimages.macys.com/is/image/MCY/14379356 ")</f>
        <v xml:space="preserve">http://slimages.macys.com/is/image/MCY/14379356 </v>
      </c>
    </row>
    <row r="253" spans="1:13" ht="60" x14ac:dyDescent="0.25">
      <c r="A253" s="7" t="s">
        <v>3294</v>
      </c>
      <c r="B253" s="2" t="s">
        <v>3295</v>
      </c>
      <c r="C253" s="4">
        <v>1</v>
      </c>
      <c r="D253" s="5">
        <v>7.7</v>
      </c>
      <c r="E253" s="5">
        <v>22</v>
      </c>
      <c r="F253" s="4" t="s">
        <v>3296</v>
      </c>
      <c r="G253" s="2" t="s">
        <v>41</v>
      </c>
      <c r="H253" s="7" t="s">
        <v>438</v>
      </c>
      <c r="I253" s="2" t="s">
        <v>676</v>
      </c>
      <c r="J253" s="2" t="s">
        <v>497</v>
      </c>
      <c r="K253" s="2" t="s">
        <v>2752</v>
      </c>
      <c r="L253" s="2" t="s">
        <v>38</v>
      </c>
      <c r="M253" s="8" t="str">
        <f>HYPERLINK("http://images.bloomingdales.com/is/image/BLM/10205492 ")</f>
        <v xml:space="preserve">http://images.bloomingdales.com/is/image/BLM/10205492 </v>
      </c>
    </row>
    <row r="254" spans="1:13" ht="60" x14ac:dyDescent="0.25">
      <c r="A254" s="7" t="s">
        <v>3297</v>
      </c>
      <c r="B254" s="2" t="s">
        <v>3298</v>
      </c>
      <c r="C254" s="4">
        <v>1</v>
      </c>
      <c r="D254" s="5">
        <v>7.68</v>
      </c>
      <c r="E254" s="5">
        <v>24</v>
      </c>
      <c r="F254" s="4" t="s">
        <v>3299</v>
      </c>
      <c r="G254" s="2" t="s">
        <v>28</v>
      </c>
      <c r="H254" s="7" t="s">
        <v>379</v>
      </c>
      <c r="I254" s="2" t="s">
        <v>173</v>
      </c>
      <c r="J254" s="2" t="s">
        <v>3300</v>
      </c>
      <c r="K254" s="2" t="s">
        <v>2752</v>
      </c>
      <c r="L254" s="2" t="s">
        <v>3301</v>
      </c>
      <c r="M254" s="8" t="str">
        <f>HYPERLINK("http://images.bloomingdales.com/is/image/BLM/10279021 ")</f>
        <v xml:space="preserve">http://images.bloomingdales.com/is/image/BLM/10279021 </v>
      </c>
    </row>
    <row r="255" spans="1:13" ht="60" x14ac:dyDescent="0.25">
      <c r="A255" s="7" t="s">
        <v>3302</v>
      </c>
      <c r="B255" s="2" t="s">
        <v>3303</v>
      </c>
      <c r="C255" s="4">
        <v>1</v>
      </c>
      <c r="D255" s="5">
        <v>7.62</v>
      </c>
      <c r="E255" s="5">
        <v>17.989999999999998</v>
      </c>
      <c r="F255" s="4" t="s">
        <v>3304</v>
      </c>
      <c r="G255" s="2" t="s">
        <v>28</v>
      </c>
      <c r="H255" s="7" t="s">
        <v>166</v>
      </c>
      <c r="I255" s="2" t="s">
        <v>292</v>
      </c>
      <c r="J255" s="2" t="s">
        <v>354</v>
      </c>
      <c r="K255" s="2" t="s">
        <v>304</v>
      </c>
      <c r="L255" s="2" t="s">
        <v>206</v>
      </c>
      <c r="M255" s="8" t="str">
        <f>HYPERLINK("http://slimages.macys.com/is/image/MCY/9757723 ")</f>
        <v xml:space="preserve">http://slimages.macys.com/is/image/MCY/9757723 </v>
      </c>
    </row>
    <row r="256" spans="1:13" ht="96" x14ac:dyDescent="0.25">
      <c r="A256" s="7" t="s">
        <v>3305</v>
      </c>
      <c r="B256" s="2" t="s">
        <v>3306</v>
      </c>
      <c r="C256" s="4">
        <v>1</v>
      </c>
      <c r="D256" s="5">
        <v>7.6</v>
      </c>
      <c r="E256" s="5">
        <v>17.28</v>
      </c>
      <c r="F256" s="4">
        <v>18015210</v>
      </c>
      <c r="G256" s="2"/>
      <c r="H256" s="7" t="s">
        <v>42</v>
      </c>
      <c r="I256" s="2" t="s">
        <v>153</v>
      </c>
      <c r="J256" s="2" t="s">
        <v>154</v>
      </c>
      <c r="K256" s="2" t="s">
        <v>304</v>
      </c>
      <c r="L256" s="2" t="s">
        <v>439</v>
      </c>
      <c r="M256" s="8" t="str">
        <f>HYPERLINK("http://slimages.macys.com/is/image/MCY/13382570 ")</f>
        <v xml:space="preserve">http://slimages.macys.com/is/image/MCY/13382570 </v>
      </c>
    </row>
    <row r="257" spans="1:13" ht="96" x14ac:dyDescent="0.25">
      <c r="A257" s="7" t="s">
        <v>3307</v>
      </c>
      <c r="B257" s="2" t="s">
        <v>436</v>
      </c>
      <c r="C257" s="4">
        <v>1</v>
      </c>
      <c r="D257" s="5">
        <v>7.6</v>
      </c>
      <c r="E257" s="5">
        <v>17.28</v>
      </c>
      <c r="F257" s="4">
        <v>18372810</v>
      </c>
      <c r="G257" s="2" t="s">
        <v>437</v>
      </c>
      <c r="H257" s="7" t="s">
        <v>42</v>
      </c>
      <c r="I257" s="2" t="s">
        <v>153</v>
      </c>
      <c r="J257" s="2" t="s">
        <v>154</v>
      </c>
      <c r="K257" s="2" t="s">
        <v>304</v>
      </c>
      <c r="L257" s="2" t="s">
        <v>439</v>
      </c>
      <c r="M257" s="8" t="str">
        <f>HYPERLINK("http://slimages.macys.com/is/image/MCY/14608281 ")</f>
        <v xml:space="preserve">http://slimages.macys.com/is/image/MCY/14608281 </v>
      </c>
    </row>
    <row r="258" spans="1:13" ht="60" x14ac:dyDescent="0.25">
      <c r="A258" s="7" t="s">
        <v>3308</v>
      </c>
      <c r="B258" s="2" t="s">
        <v>3309</v>
      </c>
      <c r="C258" s="4">
        <v>1</v>
      </c>
      <c r="D258" s="5">
        <v>7.56</v>
      </c>
      <c r="E258" s="5">
        <v>18</v>
      </c>
      <c r="F258" s="4" t="s">
        <v>3310</v>
      </c>
      <c r="G258" s="2" t="s">
        <v>353</v>
      </c>
      <c r="H258" s="7" t="s">
        <v>317</v>
      </c>
      <c r="I258" s="2" t="s">
        <v>700</v>
      </c>
      <c r="J258" s="2" t="s">
        <v>3247</v>
      </c>
      <c r="K258" s="2" t="s">
        <v>3311</v>
      </c>
      <c r="L258" s="2" t="s">
        <v>3312</v>
      </c>
      <c r="M258" s="8" t="str">
        <f>HYPERLINK("http://images.bloomingdales.com/is/image/BLM/10292402 ")</f>
        <v xml:space="preserve">http://images.bloomingdales.com/is/image/BLM/10292402 </v>
      </c>
    </row>
    <row r="259" spans="1:13" ht="84" x14ac:dyDescent="0.25">
      <c r="A259" s="7" t="s">
        <v>3313</v>
      </c>
      <c r="B259" s="2" t="s">
        <v>3314</v>
      </c>
      <c r="C259" s="4">
        <v>2</v>
      </c>
      <c r="D259" s="5">
        <v>7.5</v>
      </c>
      <c r="E259" s="5">
        <v>16.989999999999998</v>
      </c>
      <c r="F259" s="4" t="s">
        <v>3315</v>
      </c>
      <c r="G259" s="2" t="s">
        <v>455</v>
      </c>
      <c r="H259" s="7" t="s">
        <v>159</v>
      </c>
      <c r="I259" s="2" t="s">
        <v>30</v>
      </c>
      <c r="J259" s="2" t="s">
        <v>446</v>
      </c>
      <c r="K259" s="2" t="s">
        <v>304</v>
      </c>
      <c r="L259" s="2" t="s">
        <v>3316</v>
      </c>
      <c r="M259" s="8" t="str">
        <f>HYPERLINK("http://slimages.macys.com/is/image/MCY/10031506 ")</f>
        <v xml:space="preserve">http://slimages.macys.com/is/image/MCY/10031506 </v>
      </c>
    </row>
    <row r="260" spans="1:13" ht="72" x14ac:dyDescent="0.25">
      <c r="A260" s="7" t="s">
        <v>1736</v>
      </c>
      <c r="B260" s="2" t="s">
        <v>1731</v>
      </c>
      <c r="C260" s="4">
        <v>3</v>
      </c>
      <c r="D260" s="5">
        <v>7.5</v>
      </c>
      <c r="E260" s="5">
        <v>16.989999999999998</v>
      </c>
      <c r="F260" s="4" t="s">
        <v>1732</v>
      </c>
      <c r="G260" s="2" t="s">
        <v>347</v>
      </c>
      <c r="H260" s="7" t="s">
        <v>159</v>
      </c>
      <c r="I260" s="2" t="s">
        <v>30</v>
      </c>
      <c r="J260" s="2" t="s">
        <v>446</v>
      </c>
      <c r="K260" s="2" t="s">
        <v>304</v>
      </c>
      <c r="L260" s="2" t="s">
        <v>1733</v>
      </c>
      <c r="M260" s="8" t="str">
        <f>HYPERLINK("http://slimages.macys.com/is/image/MCY/12071765 ")</f>
        <v xml:space="preserve">http://slimages.macys.com/is/image/MCY/12071765 </v>
      </c>
    </row>
    <row r="261" spans="1:13" ht="60" x14ac:dyDescent="0.25">
      <c r="A261" s="7" t="s">
        <v>3317</v>
      </c>
      <c r="B261" s="2" t="s">
        <v>3318</v>
      </c>
      <c r="C261" s="4">
        <v>1</v>
      </c>
      <c r="D261" s="5">
        <v>7.45</v>
      </c>
      <c r="E261" s="5">
        <v>16.989999999999998</v>
      </c>
      <c r="F261" s="4" t="s">
        <v>3319</v>
      </c>
      <c r="G261" s="2" t="s">
        <v>62</v>
      </c>
      <c r="H261" s="7" t="s">
        <v>228</v>
      </c>
      <c r="I261" s="2" t="s">
        <v>218</v>
      </c>
      <c r="J261" s="2" t="s">
        <v>1740</v>
      </c>
      <c r="K261" s="2" t="s">
        <v>304</v>
      </c>
      <c r="L261" s="2" t="s">
        <v>125</v>
      </c>
      <c r="M261" s="8" t="str">
        <f>HYPERLINK("http://slimages.macys.com/is/image/MCY/11483765 ")</f>
        <v xml:space="preserve">http://slimages.macys.com/is/image/MCY/11483765 </v>
      </c>
    </row>
    <row r="262" spans="1:13" ht="60" x14ac:dyDescent="0.25">
      <c r="A262" s="7" t="s">
        <v>3320</v>
      </c>
      <c r="B262" s="2" t="s">
        <v>968</v>
      </c>
      <c r="C262" s="4">
        <v>1</v>
      </c>
      <c r="D262" s="5">
        <v>7</v>
      </c>
      <c r="E262" s="5">
        <v>14.99</v>
      </c>
      <c r="F262" s="4">
        <v>7135</v>
      </c>
      <c r="G262" s="2" t="s">
        <v>36</v>
      </c>
      <c r="H262" s="7" t="s">
        <v>196</v>
      </c>
      <c r="I262" s="2" t="s">
        <v>523</v>
      </c>
      <c r="J262" s="2" t="s">
        <v>969</v>
      </c>
      <c r="K262" s="2" t="s">
        <v>304</v>
      </c>
      <c r="L262" s="2" t="s">
        <v>970</v>
      </c>
      <c r="M262" s="8" t="str">
        <f>HYPERLINK("http://slimages.macys.com/is/image/MCY/13040275 ")</f>
        <v xml:space="preserve">http://slimages.macys.com/is/image/MCY/13040275 </v>
      </c>
    </row>
    <row r="263" spans="1:13" ht="60" x14ac:dyDescent="0.25">
      <c r="A263" s="7" t="s">
        <v>978</v>
      </c>
      <c r="B263" s="2" t="s">
        <v>968</v>
      </c>
      <c r="C263" s="4">
        <v>1</v>
      </c>
      <c r="D263" s="5">
        <v>7</v>
      </c>
      <c r="E263" s="5">
        <v>14.99</v>
      </c>
      <c r="F263" s="4">
        <v>7135</v>
      </c>
      <c r="G263" s="2" t="s">
        <v>36</v>
      </c>
      <c r="H263" s="7" t="s">
        <v>228</v>
      </c>
      <c r="I263" s="2" t="s">
        <v>523</v>
      </c>
      <c r="J263" s="2" t="s">
        <v>969</v>
      </c>
      <c r="K263" s="2" t="s">
        <v>304</v>
      </c>
      <c r="L263" s="2" t="s">
        <v>970</v>
      </c>
      <c r="M263" s="8" t="str">
        <f>HYPERLINK("http://slimages.macys.com/is/image/MCY/13040275 ")</f>
        <v xml:space="preserve">http://slimages.macys.com/is/image/MCY/13040275 </v>
      </c>
    </row>
    <row r="264" spans="1:13" ht="60" x14ac:dyDescent="0.25">
      <c r="A264" s="7" t="s">
        <v>3321</v>
      </c>
      <c r="B264" s="2" t="s">
        <v>3322</v>
      </c>
      <c r="C264" s="4">
        <v>1</v>
      </c>
      <c r="D264" s="5">
        <v>6.95</v>
      </c>
      <c r="E264" s="5">
        <v>19.989999999999998</v>
      </c>
      <c r="F264" s="4" t="s">
        <v>3323</v>
      </c>
      <c r="G264" s="2" t="s">
        <v>310</v>
      </c>
      <c r="H264" s="7" t="s">
        <v>144</v>
      </c>
      <c r="I264" s="2" t="s">
        <v>312</v>
      </c>
      <c r="J264" s="2" t="s">
        <v>1618</v>
      </c>
      <c r="K264" s="2" t="s">
        <v>304</v>
      </c>
      <c r="L264" s="2" t="s">
        <v>125</v>
      </c>
      <c r="M264" s="8" t="str">
        <f>HYPERLINK("http://slimages.macys.com/is/image/MCY/14540238 ")</f>
        <v xml:space="preserve">http://slimages.macys.com/is/image/MCY/14540238 </v>
      </c>
    </row>
    <row r="265" spans="1:13" ht="60" x14ac:dyDescent="0.25">
      <c r="A265" s="7" t="s">
        <v>3324</v>
      </c>
      <c r="B265" s="2" t="s">
        <v>3325</v>
      </c>
      <c r="C265" s="4">
        <v>1</v>
      </c>
      <c r="D265" s="5">
        <v>6.9</v>
      </c>
      <c r="E265" s="5">
        <v>16.989999999999998</v>
      </c>
      <c r="F265" s="4" t="s">
        <v>3326</v>
      </c>
      <c r="G265" s="2" t="s">
        <v>62</v>
      </c>
      <c r="H265" s="7" t="s">
        <v>618</v>
      </c>
      <c r="I265" s="2" t="s">
        <v>292</v>
      </c>
      <c r="J265" s="2" t="s">
        <v>354</v>
      </c>
      <c r="K265" s="2" t="s">
        <v>304</v>
      </c>
      <c r="L265" s="2" t="s">
        <v>596</v>
      </c>
      <c r="M265" s="8" t="str">
        <f>HYPERLINK("http://slimages.macys.com/is/image/MCY/13893132 ")</f>
        <v xml:space="preserve">http://slimages.macys.com/is/image/MCY/13893132 </v>
      </c>
    </row>
    <row r="266" spans="1:13" ht="60" x14ac:dyDescent="0.25">
      <c r="A266" s="7" t="s">
        <v>3327</v>
      </c>
      <c r="B266" s="2" t="s">
        <v>3325</v>
      </c>
      <c r="C266" s="4">
        <v>1</v>
      </c>
      <c r="D266" s="5">
        <v>6.9</v>
      </c>
      <c r="E266" s="5">
        <v>16.989999999999998</v>
      </c>
      <c r="F266" s="4" t="s">
        <v>3326</v>
      </c>
      <c r="G266" s="2" t="s">
        <v>62</v>
      </c>
      <c r="H266" s="7" t="s">
        <v>379</v>
      </c>
      <c r="I266" s="2" t="s">
        <v>292</v>
      </c>
      <c r="J266" s="2" t="s">
        <v>354</v>
      </c>
      <c r="K266" s="2" t="s">
        <v>304</v>
      </c>
      <c r="L266" s="2" t="s">
        <v>596</v>
      </c>
      <c r="M266" s="8" t="str">
        <f>HYPERLINK("http://slimages.macys.com/is/image/MCY/13893132 ")</f>
        <v xml:space="preserve">http://slimages.macys.com/is/image/MCY/13893132 </v>
      </c>
    </row>
    <row r="267" spans="1:13" ht="60" x14ac:dyDescent="0.25">
      <c r="A267" s="7" t="s">
        <v>3328</v>
      </c>
      <c r="B267" s="2" t="s">
        <v>3325</v>
      </c>
      <c r="C267" s="4">
        <v>1</v>
      </c>
      <c r="D267" s="5">
        <v>6.9</v>
      </c>
      <c r="E267" s="5">
        <v>16.989999999999998</v>
      </c>
      <c r="F267" s="4" t="s">
        <v>3326</v>
      </c>
      <c r="G267" s="2" t="s">
        <v>62</v>
      </c>
      <c r="H267" s="7" t="s">
        <v>311</v>
      </c>
      <c r="I267" s="2" t="s">
        <v>292</v>
      </c>
      <c r="J267" s="2" t="s">
        <v>354</v>
      </c>
      <c r="K267" s="2" t="s">
        <v>304</v>
      </c>
      <c r="L267" s="2" t="s">
        <v>596</v>
      </c>
      <c r="M267" s="8" t="str">
        <f>HYPERLINK("http://slimages.macys.com/is/image/MCY/13893132 ")</f>
        <v xml:space="preserve">http://slimages.macys.com/is/image/MCY/13893132 </v>
      </c>
    </row>
    <row r="268" spans="1:13" ht="60" x14ac:dyDescent="0.25">
      <c r="A268" s="7" t="s">
        <v>3329</v>
      </c>
      <c r="B268" s="2" t="s">
        <v>1776</v>
      </c>
      <c r="C268" s="4">
        <v>1</v>
      </c>
      <c r="D268" s="5">
        <v>6.84</v>
      </c>
      <c r="E268" s="5">
        <v>19.989999999999998</v>
      </c>
      <c r="F268" s="4" t="s">
        <v>1777</v>
      </c>
      <c r="G268" s="2" t="s">
        <v>388</v>
      </c>
      <c r="H268" s="7" t="s">
        <v>63</v>
      </c>
      <c r="I268" s="2" t="s">
        <v>1689</v>
      </c>
      <c r="J268" s="2" t="s">
        <v>354</v>
      </c>
      <c r="K268" s="2" t="s">
        <v>304</v>
      </c>
      <c r="L268" s="2" t="s">
        <v>390</v>
      </c>
      <c r="M268" s="8" t="str">
        <f>HYPERLINK("http://slimages.macys.com/is/image/MCY/12890114 ")</f>
        <v xml:space="preserve">http://slimages.macys.com/is/image/MCY/12890114 </v>
      </c>
    </row>
    <row r="269" spans="1:13" ht="60" x14ac:dyDescent="0.25">
      <c r="A269" s="7" t="s">
        <v>3330</v>
      </c>
      <c r="B269" s="2" t="s">
        <v>3331</v>
      </c>
      <c r="C269" s="4">
        <v>1</v>
      </c>
      <c r="D269" s="5">
        <v>6.84</v>
      </c>
      <c r="E269" s="5">
        <v>19.989999999999998</v>
      </c>
      <c r="F269" s="4" t="s">
        <v>3332</v>
      </c>
      <c r="G269" s="2" t="s">
        <v>171</v>
      </c>
      <c r="H269" s="7" t="s">
        <v>284</v>
      </c>
      <c r="I269" s="2" t="s">
        <v>515</v>
      </c>
      <c r="J269" s="2" t="s">
        <v>1971</v>
      </c>
      <c r="K269" s="2" t="s">
        <v>304</v>
      </c>
      <c r="L269" s="2" t="s">
        <v>358</v>
      </c>
      <c r="M269" s="8" t="str">
        <f>HYPERLINK("http://slimages.macys.com/is/image/MCY/11639715 ")</f>
        <v xml:space="preserve">http://slimages.macys.com/is/image/MCY/11639715 </v>
      </c>
    </row>
    <row r="270" spans="1:13" ht="60" x14ac:dyDescent="0.25">
      <c r="A270" s="7" t="s">
        <v>3333</v>
      </c>
      <c r="B270" s="2" t="s">
        <v>3334</v>
      </c>
      <c r="C270" s="4">
        <v>1</v>
      </c>
      <c r="D270" s="5">
        <v>6.8</v>
      </c>
      <c r="E270" s="5">
        <v>17</v>
      </c>
      <c r="F270" s="4" t="s">
        <v>3335</v>
      </c>
      <c r="G270" s="2" t="s">
        <v>62</v>
      </c>
      <c r="H270" s="7"/>
      <c r="I270" s="2" t="s">
        <v>815</v>
      </c>
      <c r="J270" s="2" t="s">
        <v>3336</v>
      </c>
      <c r="K270" s="2" t="s">
        <v>304</v>
      </c>
      <c r="L270" s="2" t="s">
        <v>3337</v>
      </c>
      <c r="M270" s="8" t="str">
        <f>HYPERLINK("http://slimages.macys.com/is/image/MCY/9909102 ")</f>
        <v xml:space="preserve">http://slimages.macys.com/is/image/MCY/9909102 </v>
      </c>
    </row>
    <row r="271" spans="1:13" ht="60" x14ac:dyDescent="0.25">
      <c r="A271" s="7" t="s">
        <v>3338</v>
      </c>
      <c r="B271" s="2" t="s">
        <v>1787</v>
      </c>
      <c r="C271" s="4">
        <v>1</v>
      </c>
      <c r="D271" s="5">
        <v>6.75</v>
      </c>
      <c r="E271" s="5">
        <v>16.989999999999998</v>
      </c>
      <c r="F271" s="4" t="s">
        <v>1788</v>
      </c>
      <c r="G271" s="2" t="s">
        <v>62</v>
      </c>
      <c r="H271" s="7" t="s">
        <v>159</v>
      </c>
      <c r="I271" s="2" t="s">
        <v>342</v>
      </c>
      <c r="J271" s="2" t="s">
        <v>1789</v>
      </c>
      <c r="K271" s="2" t="s">
        <v>304</v>
      </c>
      <c r="L271" s="2" t="s">
        <v>712</v>
      </c>
      <c r="M271" s="8" t="str">
        <f>HYPERLINK("http://slimages.macys.com/is/image/MCY/13339420 ")</f>
        <v xml:space="preserve">http://slimages.macys.com/is/image/MCY/13339420 </v>
      </c>
    </row>
    <row r="272" spans="1:13" ht="60" x14ac:dyDescent="0.25">
      <c r="A272" s="7" t="s">
        <v>2598</v>
      </c>
      <c r="B272" s="2" t="s">
        <v>2592</v>
      </c>
      <c r="C272" s="4">
        <v>1</v>
      </c>
      <c r="D272" s="5">
        <v>6.75</v>
      </c>
      <c r="E272" s="5">
        <v>16.989999999999998</v>
      </c>
      <c r="F272" s="4" t="s">
        <v>2593</v>
      </c>
      <c r="G272" s="2" t="s">
        <v>129</v>
      </c>
      <c r="H272" s="7" t="s">
        <v>144</v>
      </c>
      <c r="I272" s="2" t="s">
        <v>135</v>
      </c>
      <c r="J272" s="2" t="s">
        <v>1076</v>
      </c>
      <c r="K272" s="2" t="s">
        <v>304</v>
      </c>
      <c r="L272" s="2" t="s">
        <v>125</v>
      </c>
      <c r="M272" s="8" t="str">
        <f>HYPERLINK("http://slimages.macys.com/is/image/MCY/15654559 ")</f>
        <v xml:space="preserve">http://slimages.macys.com/is/image/MCY/15654559 </v>
      </c>
    </row>
    <row r="273" spans="1:13" ht="60" x14ac:dyDescent="0.25">
      <c r="A273" s="7" t="s">
        <v>3339</v>
      </c>
      <c r="B273" s="2" t="s">
        <v>1002</v>
      </c>
      <c r="C273" s="4">
        <v>1</v>
      </c>
      <c r="D273" s="5">
        <v>6.75</v>
      </c>
      <c r="E273" s="5">
        <v>16.989999999999998</v>
      </c>
      <c r="F273" s="4" t="s">
        <v>1003</v>
      </c>
      <c r="G273" s="2" t="s">
        <v>107</v>
      </c>
      <c r="H273" s="7" t="s">
        <v>42</v>
      </c>
      <c r="I273" s="2" t="s">
        <v>92</v>
      </c>
      <c r="J273" s="2" t="s">
        <v>65</v>
      </c>
      <c r="K273" s="2" t="s">
        <v>304</v>
      </c>
      <c r="L273" s="2" t="s">
        <v>1004</v>
      </c>
      <c r="M273" s="8" t="str">
        <f>HYPERLINK("http://slimages.macys.com/is/image/MCY/14803429 ")</f>
        <v xml:space="preserve">http://slimages.macys.com/is/image/MCY/14803429 </v>
      </c>
    </row>
    <row r="274" spans="1:13" ht="60" x14ac:dyDescent="0.25">
      <c r="A274" s="7" t="s">
        <v>3340</v>
      </c>
      <c r="B274" s="2" t="s">
        <v>1787</v>
      </c>
      <c r="C274" s="4">
        <v>1</v>
      </c>
      <c r="D274" s="5">
        <v>6.75</v>
      </c>
      <c r="E274" s="5">
        <v>16.989999999999998</v>
      </c>
      <c r="F274" s="4" t="s">
        <v>1788</v>
      </c>
      <c r="G274" s="2" t="s">
        <v>36</v>
      </c>
      <c r="H274" s="7" t="s">
        <v>284</v>
      </c>
      <c r="I274" s="2" t="s">
        <v>342</v>
      </c>
      <c r="J274" s="2" t="s">
        <v>1789</v>
      </c>
      <c r="K274" s="2" t="s">
        <v>304</v>
      </c>
      <c r="L274" s="2" t="s">
        <v>712</v>
      </c>
      <c r="M274" s="8" t="str">
        <f>HYPERLINK("http://slimages.macys.com/is/image/MCY/13339420 ")</f>
        <v xml:space="preserve">http://slimages.macys.com/is/image/MCY/13339420 </v>
      </c>
    </row>
    <row r="275" spans="1:13" ht="84" x14ac:dyDescent="0.25">
      <c r="A275" s="7" t="s">
        <v>3341</v>
      </c>
      <c r="B275" s="2" t="s">
        <v>2600</v>
      </c>
      <c r="C275" s="4">
        <v>1</v>
      </c>
      <c r="D275" s="5">
        <v>6.72</v>
      </c>
      <c r="E275" s="5">
        <v>17.989999999999998</v>
      </c>
      <c r="F275" s="4" t="s">
        <v>2601</v>
      </c>
      <c r="G275" s="2" t="s">
        <v>171</v>
      </c>
      <c r="H275" s="7" t="s">
        <v>284</v>
      </c>
      <c r="I275" s="2" t="s">
        <v>515</v>
      </c>
      <c r="J275" s="2" t="s">
        <v>827</v>
      </c>
      <c r="K275" s="2" t="s">
        <v>304</v>
      </c>
      <c r="L275" s="2" t="s">
        <v>1117</v>
      </c>
      <c r="M275" s="8" t="str">
        <f>HYPERLINK("http://slimages.macys.com/is/image/MCY/11605968 ")</f>
        <v xml:space="preserve">http://slimages.macys.com/is/image/MCY/11605968 </v>
      </c>
    </row>
    <row r="276" spans="1:13" ht="60" x14ac:dyDescent="0.25">
      <c r="A276" s="7" t="s">
        <v>3342</v>
      </c>
      <c r="B276" s="2" t="s">
        <v>3343</v>
      </c>
      <c r="C276" s="4">
        <v>1</v>
      </c>
      <c r="D276" s="5">
        <v>6.72</v>
      </c>
      <c r="E276" s="5">
        <v>16</v>
      </c>
      <c r="F276" s="4" t="s">
        <v>3344</v>
      </c>
      <c r="G276" s="2" t="s">
        <v>62</v>
      </c>
      <c r="H276" s="7" t="s">
        <v>159</v>
      </c>
      <c r="I276" s="2" t="s">
        <v>3129</v>
      </c>
      <c r="J276" s="2" t="s">
        <v>3345</v>
      </c>
      <c r="K276" s="2" t="s">
        <v>304</v>
      </c>
      <c r="L276" s="2" t="s">
        <v>100</v>
      </c>
      <c r="M276" s="8" t="str">
        <f>HYPERLINK("http://images.bloomingdales.com/is/image/BLM/8827909 ")</f>
        <v xml:space="preserve">http://images.bloomingdales.com/is/image/BLM/8827909 </v>
      </c>
    </row>
    <row r="277" spans="1:13" ht="60" x14ac:dyDescent="0.25">
      <c r="A277" s="7" t="s">
        <v>3346</v>
      </c>
      <c r="B277" s="2" t="s">
        <v>3347</v>
      </c>
      <c r="C277" s="4">
        <v>2</v>
      </c>
      <c r="D277" s="5">
        <v>6.7</v>
      </c>
      <c r="E277" s="5">
        <v>11.99</v>
      </c>
      <c r="F277" s="4" t="s">
        <v>3348</v>
      </c>
      <c r="G277" s="2" t="s">
        <v>48</v>
      </c>
      <c r="H277" s="7" t="s">
        <v>123</v>
      </c>
      <c r="I277" s="2" t="s">
        <v>73</v>
      </c>
      <c r="J277" s="2" t="s">
        <v>1963</v>
      </c>
      <c r="K277" s="2" t="s">
        <v>304</v>
      </c>
      <c r="L277" s="2" t="s">
        <v>100</v>
      </c>
      <c r="M277" s="8" t="str">
        <f>HYPERLINK("http://slimages.macys.com/is/image/MCY/11229110 ")</f>
        <v xml:space="preserve">http://slimages.macys.com/is/image/MCY/11229110 </v>
      </c>
    </row>
    <row r="278" spans="1:13" ht="60" x14ac:dyDescent="0.25">
      <c r="A278" s="7" t="s">
        <v>3349</v>
      </c>
      <c r="B278" s="2" t="s">
        <v>3347</v>
      </c>
      <c r="C278" s="4">
        <v>1</v>
      </c>
      <c r="D278" s="5">
        <v>6.7</v>
      </c>
      <c r="E278" s="5">
        <v>11.99</v>
      </c>
      <c r="F278" s="4" t="s">
        <v>3348</v>
      </c>
      <c r="G278" s="2" t="s">
        <v>48</v>
      </c>
      <c r="H278" s="7" t="s">
        <v>68</v>
      </c>
      <c r="I278" s="2" t="s">
        <v>73</v>
      </c>
      <c r="J278" s="2" t="s">
        <v>1963</v>
      </c>
      <c r="K278" s="2" t="s">
        <v>304</v>
      </c>
      <c r="L278" s="2" t="s">
        <v>100</v>
      </c>
      <c r="M278" s="8" t="str">
        <f>HYPERLINK("http://slimages.macys.com/is/image/MCY/11229110 ")</f>
        <v xml:space="preserve">http://slimages.macys.com/is/image/MCY/11229110 </v>
      </c>
    </row>
    <row r="279" spans="1:13" ht="60" x14ac:dyDescent="0.25">
      <c r="A279" s="7" t="s">
        <v>3350</v>
      </c>
      <c r="B279" s="2" t="s">
        <v>3347</v>
      </c>
      <c r="C279" s="4">
        <v>1</v>
      </c>
      <c r="D279" s="5">
        <v>6.7</v>
      </c>
      <c r="E279" s="5">
        <v>11.99</v>
      </c>
      <c r="F279" s="4" t="s">
        <v>3348</v>
      </c>
      <c r="G279" s="2" t="s">
        <v>48</v>
      </c>
      <c r="H279" s="7" t="s">
        <v>311</v>
      </c>
      <c r="I279" s="2" t="s">
        <v>73</v>
      </c>
      <c r="J279" s="2" t="s">
        <v>1963</v>
      </c>
      <c r="K279" s="2" t="s">
        <v>304</v>
      </c>
      <c r="L279" s="2" t="s">
        <v>100</v>
      </c>
      <c r="M279" s="8" t="str">
        <f>HYPERLINK("http://slimages.macys.com/is/image/MCY/11229110 ")</f>
        <v xml:space="preserve">http://slimages.macys.com/is/image/MCY/11229110 </v>
      </c>
    </row>
    <row r="280" spans="1:13" ht="60" x14ac:dyDescent="0.25">
      <c r="A280" s="7" t="s">
        <v>3351</v>
      </c>
      <c r="B280" s="2" t="s">
        <v>3352</v>
      </c>
      <c r="C280" s="4">
        <v>1</v>
      </c>
      <c r="D280" s="5">
        <v>6.7</v>
      </c>
      <c r="E280" s="5">
        <v>30</v>
      </c>
      <c r="F280" s="4" t="s">
        <v>3353</v>
      </c>
      <c r="G280" s="2" t="s">
        <v>129</v>
      </c>
      <c r="H280" s="7"/>
      <c r="I280" s="2" t="s">
        <v>700</v>
      </c>
      <c r="J280" s="2" t="s">
        <v>3149</v>
      </c>
      <c r="K280" s="2" t="s">
        <v>2752</v>
      </c>
      <c r="L280" s="2" t="s">
        <v>125</v>
      </c>
      <c r="M280" s="8" t="str">
        <f>HYPERLINK("http://images.bloomingdales.com/is/image/BLM/10078644 ")</f>
        <v xml:space="preserve">http://images.bloomingdales.com/is/image/BLM/10078644 </v>
      </c>
    </row>
    <row r="281" spans="1:13" ht="60" x14ac:dyDescent="0.25">
      <c r="A281" s="7" t="s">
        <v>3354</v>
      </c>
      <c r="B281" s="2" t="s">
        <v>3355</v>
      </c>
      <c r="C281" s="4">
        <v>1</v>
      </c>
      <c r="D281" s="5">
        <v>6.7</v>
      </c>
      <c r="E281" s="5">
        <v>30</v>
      </c>
      <c r="F281" s="4" t="s">
        <v>3356</v>
      </c>
      <c r="G281" s="2" t="s">
        <v>28</v>
      </c>
      <c r="H281" s="7"/>
      <c r="I281" s="2" t="s">
        <v>700</v>
      </c>
      <c r="J281" s="2" t="s">
        <v>3149</v>
      </c>
      <c r="K281" s="2" t="s">
        <v>2752</v>
      </c>
      <c r="L281" s="2" t="s">
        <v>125</v>
      </c>
      <c r="M281" s="8" t="str">
        <f>HYPERLINK("http://images.bloomingdales.com/is/image/BLM/10078648 ")</f>
        <v xml:space="preserve">http://images.bloomingdales.com/is/image/BLM/10078648 </v>
      </c>
    </row>
    <row r="282" spans="1:13" ht="60" x14ac:dyDescent="0.25">
      <c r="A282" s="7" t="s">
        <v>3357</v>
      </c>
      <c r="B282" s="2" t="s">
        <v>3358</v>
      </c>
      <c r="C282" s="4">
        <v>1</v>
      </c>
      <c r="D282" s="5">
        <v>6.54</v>
      </c>
      <c r="E282" s="5">
        <v>11.99</v>
      </c>
      <c r="F282" s="4">
        <v>50443</v>
      </c>
      <c r="G282" s="2" t="s">
        <v>393</v>
      </c>
      <c r="H282" s="7" t="s">
        <v>394</v>
      </c>
      <c r="I282" s="2" t="s">
        <v>43</v>
      </c>
      <c r="J282" s="2" t="s">
        <v>2434</v>
      </c>
      <c r="K282" s="2" t="s">
        <v>304</v>
      </c>
      <c r="L282" s="2" t="s">
        <v>125</v>
      </c>
      <c r="M282" s="8" t="str">
        <f>HYPERLINK("http://slimages.macys.com/is/image/MCY/1972438 ")</f>
        <v xml:space="preserve">http://slimages.macys.com/is/image/MCY/1972438 </v>
      </c>
    </row>
    <row r="283" spans="1:13" ht="60" x14ac:dyDescent="0.25">
      <c r="A283" s="7" t="s">
        <v>3359</v>
      </c>
      <c r="B283" s="2" t="s">
        <v>3360</v>
      </c>
      <c r="C283" s="4">
        <v>1</v>
      </c>
      <c r="D283" s="5">
        <v>6.52</v>
      </c>
      <c r="E283" s="5">
        <v>16.989999999999998</v>
      </c>
      <c r="F283" s="4" t="s">
        <v>3361</v>
      </c>
      <c r="G283" s="2" t="s">
        <v>353</v>
      </c>
      <c r="H283" s="7" t="s">
        <v>228</v>
      </c>
      <c r="I283" s="2" t="s">
        <v>218</v>
      </c>
      <c r="J283" s="2" t="s">
        <v>1740</v>
      </c>
      <c r="K283" s="2" t="s">
        <v>304</v>
      </c>
      <c r="L283" s="2" t="s">
        <v>125</v>
      </c>
      <c r="M283" s="8" t="str">
        <f>HYPERLINK("http://slimages.macys.com/is/image/MCY/12688507 ")</f>
        <v xml:space="preserve">http://slimages.macys.com/is/image/MCY/12688507 </v>
      </c>
    </row>
    <row r="284" spans="1:13" ht="60" x14ac:dyDescent="0.25">
      <c r="A284" s="7" t="s">
        <v>3362</v>
      </c>
      <c r="B284" s="2" t="s">
        <v>3360</v>
      </c>
      <c r="C284" s="4">
        <v>1</v>
      </c>
      <c r="D284" s="5">
        <v>6.52</v>
      </c>
      <c r="E284" s="5">
        <v>16.989999999999998</v>
      </c>
      <c r="F284" s="4" t="s">
        <v>3361</v>
      </c>
      <c r="G284" s="2" t="s">
        <v>28</v>
      </c>
      <c r="H284" s="7" t="s">
        <v>228</v>
      </c>
      <c r="I284" s="2" t="s">
        <v>218</v>
      </c>
      <c r="J284" s="2" t="s">
        <v>1740</v>
      </c>
      <c r="K284" s="2" t="s">
        <v>304</v>
      </c>
      <c r="L284" s="2" t="s">
        <v>125</v>
      </c>
      <c r="M284" s="8" t="str">
        <f>HYPERLINK("http://slimages.macys.com/is/image/MCY/12688507 ")</f>
        <v xml:space="preserve">http://slimages.macys.com/is/image/MCY/12688507 </v>
      </c>
    </row>
    <row r="285" spans="1:13" ht="72" x14ac:dyDescent="0.25">
      <c r="A285" s="7" t="s">
        <v>3363</v>
      </c>
      <c r="B285" s="2" t="s">
        <v>3364</v>
      </c>
      <c r="C285" s="4">
        <v>1</v>
      </c>
      <c r="D285" s="5">
        <v>6.5</v>
      </c>
      <c r="E285" s="5">
        <v>38</v>
      </c>
      <c r="F285" s="4" t="s">
        <v>3364</v>
      </c>
      <c r="G285" s="2" t="s">
        <v>36</v>
      </c>
      <c r="H285" s="7" t="s">
        <v>166</v>
      </c>
      <c r="I285" s="2" t="s">
        <v>50</v>
      </c>
      <c r="J285" s="2" t="s">
        <v>650</v>
      </c>
      <c r="K285" s="2" t="s">
        <v>304</v>
      </c>
      <c r="L285" s="2" t="s">
        <v>3365</v>
      </c>
      <c r="M285" s="8" t="str">
        <f>HYPERLINK("http://slimages.macys.com/is/image/MCY/12042412 ")</f>
        <v xml:space="preserve">http://slimages.macys.com/is/image/MCY/12042412 </v>
      </c>
    </row>
    <row r="286" spans="1:13" ht="72" x14ac:dyDescent="0.25">
      <c r="A286" s="7" t="s">
        <v>3366</v>
      </c>
      <c r="B286" s="2" t="s">
        <v>3367</v>
      </c>
      <c r="C286" s="4">
        <v>1</v>
      </c>
      <c r="D286" s="5">
        <v>6.4</v>
      </c>
      <c r="E286" s="5">
        <v>14.55</v>
      </c>
      <c r="F286" s="4">
        <v>17959910</v>
      </c>
      <c r="G286" s="2" t="s">
        <v>129</v>
      </c>
      <c r="H286" s="7" t="s">
        <v>438</v>
      </c>
      <c r="I286" s="2" t="s">
        <v>153</v>
      </c>
      <c r="J286" s="2" t="s">
        <v>154</v>
      </c>
      <c r="K286" s="2" t="s">
        <v>304</v>
      </c>
      <c r="L286" s="2" t="s">
        <v>3368</v>
      </c>
      <c r="M286" s="8" t="str">
        <f>HYPERLINK("http://slimages.macys.com/is/image/MCY/13341454 ")</f>
        <v xml:space="preserve">http://slimages.macys.com/is/image/MCY/13341454 </v>
      </c>
    </row>
    <row r="287" spans="1:13" ht="60" x14ac:dyDescent="0.25">
      <c r="A287" s="7" t="s">
        <v>3369</v>
      </c>
      <c r="B287" s="2" t="s">
        <v>3370</v>
      </c>
      <c r="C287" s="4">
        <v>1</v>
      </c>
      <c r="D287" s="5">
        <v>6.35</v>
      </c>
      <c r="E287" s="5">
        <v>16.989999999999998</v>
      </c>
      <c r="F287" s="4" t="s">
        <v>3371</v>
      </c>
      <c r="G287" s="2" t="s">
        <v>62</v>
      </c>
      <c r="H287" s="7" t="s">
        <v>284</v>
      </c>
      <c r="I287" s="2" t="s">
        <v>218</v>
      </c>
      <c r="J287" s="2" t="s">
        <v>1740</v>
      </c>
      <c r="K287" s="2" t="s">
        <v>304</v>
      </c>
      <c r="L287" s="2" t="s">
        <v>125</v>
      </c>
      <c r="M287" s="8" t="str">
        <f>HYPERLINK("http://slimages.macys.com/is/image/MCY/12688060 ")</f>
        <v xml:space="preserve">http://slimages.macys.com/is/image/MCY/12688060 </v>
      </c>
    </row>
    <row r="288" spans="1:13" ht="60" x14ac:dyDescent="0.25">
      <c r="A288" s="7" t="s">
        <v>3372</v>
      </c>
      <c r="B288" s="2" t="s">
        <v>1018</v>
      </c>
      <c r="C288" s="4">
        <v>1</v>
      </c>
      <c r="D288" s="5">
        <v>6.34</v>
      </c>
      <c r="E288" s="5">
        <v>16.989999999999998</v>
      </c>
      <c r="F288" s="4" t="s">
        <v>1019</v>
      </c>
      <c r="G288" s="2" t="s">
        <v>86</v>
      </c>
      <c r="H288" s="7" t="s">
        <v>172</v>
      </c>
      <c r="I288" s="2" t="s">
        <v>389</v>
      </c>
      <c r="J288" s="2" t="s">
        <v>354</v>
      </c>
      <c r="K288" s="2" t="s">
        <v>304</v>
      </c>
      <c r="L288" s="2" t="s">
        <v>596</v>
      </c>
      <c r="M288" s="8" t="str">
        <f>HYPERLINK("http://slimages.macys.com/is/image/MCY/13296511 ")</f>
        <v xml:space="preserve">http://slimages.macys.com/is/image/MCY/13296511 </v>
      </c>
    </row>
    <row r="289" spans="1:13" ht="60" x14ac:dyDescent="0.25">
      <c r="A289" s="7" t="s">
        <v>3373</v>
      </c>
      <c r="B289" s="2" t="s">
        <v>3374</v>
      </c>
      <c r="C289" s="4">
        <v>1</v>
      </c>
      <c r="D289" s="5">
        <v>6.25</v>
      </c>
      <c r="E289" s="5">
        <v>12.99</v>
      </c>
      <c r="F289" s="4" t="s">
        <v>3375</v>
      </c>
      <c r="G289" s="2" t="s">
        <v>36</v>
      </c>
      <c r="H289" s="7" t="s">
        <v>159</v>
      </c>
      <c r="I289" s="2" t="s">
        <v>523</v>
      </c>
      <c r="J289" s="2" t="s">
        <v>969</v>
      </c>
      <c r="K289" s="2" t="s">
        <v>304</v>
      </c>
      <c r="L289" s="2" t="s">
        <v>1036</v>
      </c>
      <c r="M289" s="8" t="str">
        <f>HYPERLINK("http://slimages.macys.com/is/image/MCY/11646735 ")</f>
        <v xml:space="preserve">http://slimages.macys.com/is/image/MCY/11646735 </v>
      </c>
    </row>
    <row r="290" spans="1:13" ht="60" x14ac:dyDescent="0.25">
      <c r="A290" s="7" t="s">
        <v>3376</v>
      </c>
      <c r="B290" s="2" t="s">
        <v>480</v>
      </c>
      <c r="C290" s="4">
        <v>2</v>
      </c>
      <c r="D290" s="5">
        <v>6.25</v>
      </c>
      <c r="E290" s="5">
        <v>11.99</v>
      </c>
      <c r="F290" s="4" t="s">
        <v>481</v>
      </c>
      <c r="G290" s="2" t="s">
        <v>62</v>
      </c>
      <c r="H290" s="7" t="s">
        <v>149</v>
      </c>
      <c r="I290" s="2" t="s">
        <v>483</v>
      </c>
      <c r="J290" s="2" t="s">
        <v>484</v>
      </c>
      <c r="K290" s="2" t="s">
        <v>304</v>
      </c>
      <c r="L290" s="2" t="s">
        <v>206</v>
      </c>
      <c r="M290" s="8" t="str">
        <f>HYPERLINK("http://slimages.macys.com/is/image/MCY/8550083 ")</f>
        <v xml:space="preserve">http://slimages.macys.com/is/image/MCY/8550083 </v>
      </c>
    </row>
    <row r="291" spans="1:13" ht="72" x14ac:dyDescent="0.25">
      <c r="A291" s="7" t="s">
        <v>3377</v>
      </c>
      <c r="B291" s="2" t="s">
        <v>3378</v>
      </c>
      <c r="C291" s="4">
        <v>1</v>
      </c>
      <c r="D291" s="5">
        <v>6</v>
      </c>
      <c r="E291" s="5">
        <v>11.98</v>
      </c>
      <c r="F291" s="4" t="s">
        <v>3379</v>
      </c>
      <c r="G291" s="2" t="s">
        <v>41</v>
      </c>
      <c r="H291" s="7" t="s">
        <v>482</v>
      </c>
      <c r="I291" s="2" t="s">
        <v>43</v>
      </c>
      <c r="J291" s="2" t="s">
        <v>497</v>
      </c>
      <c r="K291" s="2" t="s">
        <v>304</v>
      </c>
      <c r="L291" s="2" t="s">
        <v>3380</v>
      </c>
      <c r="M291" s="8" t="str">
        <f>HYPERLINK("http://slimages.macys.com/is/image/MCY/2946656 ")</f>
        <v xml:space="preserve">http://slimages.macys.com/is/image/MCY/2946656 </v>
      </c>
    </row>
    <row r="292" spans="1:13" ht="60" x14ac:dyDescent="0.25">
      <c r="A292" s="7" t="s">
        <v>3381</v>
      </c>
      <c r="B292" s="2" t="s">
        <v>3382</v>
      </c>
      <c r="C292" s="4">
        <v>1</v>
      </c>
      <c r="D292" s="5">
        <v>6</v>
      </c>
      <c r="E292" s="5">
        <v>10.99</v>
      </c>
      <c r="F292" s="4" t="s">
        <v>3383</v>
      </c>
      <c r="G292" s="2" t="s">
        <v>48</v>
      </c>
      <c r="H292" s="7" t="s">
        <v>144</v>
      </c>
      <c r="I292" s="2" t="s">
        <v>80</v>
      </c>
      <c r="J292" s="2" t="s">
        <v>1857</v>
      </c>
      <c r="K292" s="2" t="s">
        <v>304</v>
      </c>
      <c r="L292" s="2" t="s">
        <v>119</v>
      </c>
      <c r="M292" s="8" t="str">
        <f>HYPERLINK("http://slimages.macys.com/is/image/MCY/12742372 ")</f>
        <v xml:space="preserve">http://slimages.macys.com/is/image/MCY/12742372 </v>
      </c>
    </row>
    <row r="293" spans="1:13" ht="60" x14ac:dyDescent="0.25">
      <c r="A293" s="7" t="s">
        <v>3384</v>
      </c>
      <c r="B293" s="2" t="s">
        <v>3385</v>
      </c>
      <c r="C293" s="4">
        <v>1</v>
      </c>
      <c r="D293" s="5">
        <v>6</v>
      </c>
      <c r="E293" s="5">
        <v>11.98</v>
      </c>
      <c r="F293" s="4" t="s">
        <v>3386</v>
      </c>
      <c r="G293" s="2" t="s">
        <v>28</v>
      </c>
      <c r="H293" s="7" t="s">
        <v>438</v>
      </c>
      <c r="I293" s="2" t="s">
        <v>43</v>
      </c>
      <c r="J293" s="2" t="s">
        <v>497</v>
      </c>
      <c r="K293" s="2" t="s">
        <v>304</v>
      </c>
      <c r="L293" s="2" t="s">
        <v>87</v>
      </c>
      <c r="M293" s="8" t="str">
        <f>HYPERLINK("http://slimages.macys.com/is/image/MCY/2666350 ")</f>
        <v xml:space="preserve">http://slimages.macys.com/is/image/MCY/2666350 </v>
      </c>
    </row>
    <row r="294" spans="1:13" ht="60" x14ac:dyDescent="0.25">
      <c r="A294" s="7" t="s">
        <v>3387</v>
      </c>
      <c r="B294" s="2" t="s">
        <v>3382</v>
      </c>
      <c r="C294" s="4">
        <v>1</v>
      </c>
      <c r="D294" s="5">
        <v>6</v>
      </c>
      <c r="E294" s="5">
        <v>10.99</v>
      </c>
      <c r="F294" s="4" t="s">
        <v>3383</v>
      </c>
      <c r="G294" s="2" t="s">
        <v>134</v>
      </c>
      <c r="H294" s="7" t="s">
        <v>317</v>
      </c>
      <c r="I294" s="2" t="s">
        <v>80</v>
      </c>
      <c r="J294" s="2" t="s">
        <v>1857</v>
      </c>
      <c r="K294" s="2" t="s">
        <v>304</v>
      </c>
      <c r="L294" s="2" t="s">
        <v>119</v>
      </c>
      <c r="M294" s="8" t="str">
        <f>HYPERLINK("http://slimages.macys.com/is/image/MCY/12742372 ")</f>
        <v xml:space="preserve">http://slimages.macys.com/is/image/MCY/12742372 </v>
      </c>
    </row>
    <row r="295" spans="1:13" ht="60" x14ac:dyDescent="0.25">
      <c r="A295" s="7" t="s">
        <v>3388</v>
      </c>
      <c r="B295" s="2" t="s">
        <v>3389</v>
      </c>
      <c r="C295" s="4">
        <v>1</v>
      </c>
      <c r="D295" s="5">
        <v>5.8</v>
      </c>
      <c r="E295" s="5">
        <v>13.19</v>
      </c>
      <c r="F295" s="4">
        <v>17892410</v>
      </c>
      <c r="G295" s="2" t="s">
        <v>48</v>
      </c>
      <c r="H295" s="7" t="s">
        <v>42</v>
      </c>
      <c r="I295" s="2" t="s">
        <v>153</v>
      </c>
      <c r="J295" s="2" t="s">
        <v>154</v>
      </c>
      <c r="K295" s="2" t="s">
        <v>304</v>
      </c>
      <c r="L295" s="2" t="s">
        <v>38</v>
      </c>
      <c r="M295" s="8" t="str">
        <f>HYPERLINK("http://slimages.macys.com/is/image/MCY/13341369 ")</f>
        <v xml:space="preserve">http://slimages.macys.com/is/image/MCY/13341369 </v>
      </c>
    </row>
    <row r="296" spans="1:13" ht="60" x14ac:dyDescent="0.25">
      <c r="A296" s="7" t="s">
        <v>3390</v>
      </c>
      <c r="B296" s="2" t="s">
        <v>3391</v>
      </c>
      <c r="C296" s="4">
        <v>1</v>
      </c>
      <c r="D296" s="5">
        <v>5.8</v>
      </c>
      <c r="E296" s="5">
        <v>13.19</v>
      </c>
      <c r="F296" s="4">
        <v>17893010</v>
      </c>
      <c r="G296" s="2" t="s">
        <v>262</v>
      </c>
      <c r="H296" s="7" t="s">
        <v>675</v>
      </c>
      <c r="I296" s="2" t="s">
        <v>153</v>
      </c>
      <c r="J296" s="2" t="s">
        <v>154</v>
      </c>
      <c r="K296" s="2" t="s">
        <v>304</v>
      </c>
      <c r="L296" s="2" t="s">
        <v>38</v>
      </c>
      <c r="M296" s="8" t="str">
        <f>HYPERLINK("http://slimages.macys.com/is/image/MCY/13341153 ")</f>
        <v xml:space="preserve">http://slimages.macys.com/is/image/MCY/13341153 </v>
      </c>
    </row>
    <row r="297" spans="1:13" ht="60" x14ac:dyDescent="0.25">
      <c r="A297" s="7" t="s">
        <v>3392</v>
      </c>
      <c r="B297" s="2" t="s">
        <v>3393</v>
      </c>
      <c r="C297" s="4">
        <v>2</v>
      </c>
      <c r="D297" s="5">
        <v>5.8</v>
      </c>
      <c r="E297" s="5">
        <v>13.19</v>
      </c>
      <c r="F297" s="4">
        <v>17892010</v>
      </c>
      <c r="G297" s="2"/>
      <c r="H297" s="7" t="s">
        <v>233</v>
      </c>
      <c r="I297" s="2" t="s">
        <v>153</v>
      </c>
      <c r="J297" s="2" t="s">
        <v>154</v>
      </c>
      <c r="K297" s="2" t="s">
        <v>304</v>
      </c>
      <c r="L297" s="2" t="s">
        <v>38</v>
      </c>
      <c r="M297" s="8" t="str">
        <f>HYPERLINK("http://slimages.macys.com/is/image/MCY/13341121 ")</f>
        <v xml:space="preserve">http://slimages.macys.com/is/image/MCY/13341121 </v>
      </c>
    </row>
    <row r="298" spans="1:13" ht="60" x14ac:dyDescent="0.25">
      <c r="A298" s="7" t="s">
        <v>3394</v>
      </c>
      <c r="B298" s="2" t="s">
        <v>3389</v>
      </c>
      <c r="C298" s="4">
        <v>1</v>
      </c>
      <c r="D298" s="5">
        <v>5.8</v>
      </c>
      <c r="E298" s="5">
        <v>13.19</v>
      </c>
      <c r="F298" s="4">
        <v>17892410</v>
      </c>
      <c r="G298" s="2" t="s">
        <v>48</v>
      </c>
      <c r="H298" s="7" t="s">
        <v>438</v>
      </c>
      <c r="I298" s="2" t="s">
        <v>153</v>
      </c>
      <c r="J298" s="2" t="s">
        <v>154</v>
      </c>
      <c r="K298" s="2" t="s">
        <v>304</v>
      </c>
      <c r="L298" s="2" t="s">
        <v>38</v>
      </c>
      <c r="M298" s="8" t="str">
        <f>HYPERLINK("http://slimages.macys.com/is/image/MCY/13341369 ")</f>
        <v xml:space="preserve">http://slimages.macys.com/is/image/MCY/13341369 </v>
      </c>
    </row>
    <row r="299" spans="1:13" ht="60" x14ac:dyDescent="0.25">
      <c r="A299" s="7" t="s">
        <v>1049</v>
      </c>
      <c r="B299" s="2" t="s">
        <v>1050</v>
      </c>
      <c r="C299" s="4">
        <v>1</v>
      </c>
      <c r="D299" s="5">
        <v>5.75</v>
      </c>
      <c r="E299" s="5">
        <v>11.99</v>
      </c>
      <c r="F299" s="4">
        <v>2581</v>
      </c>
      <c r="G299" s="2" t="s">
        <v>36</v>
      </c>
      <c r="H299" s="7" t="s">
        <v>284</v>
      </c>
      <c r="I299" s="2" t="s">
        <v>523</v>
      </c>
      <c r="J299" s="2" t="s">
        <v>921</v>
      </c>
      <c r="K299" s="2" t="s">
        <v>304</v>
      </c>
      <c r="L299" s="2" t="s">
        <v>323</v>
      </c>
      <c r="M299" s="8" t="str">
        <f>HYPERLINK("http://slimages.macys.com/is/image/MCY/13050177 ")</f>
        <v xml:space="preserve">http://slimages.macys.com/is/image/MCY/13050177 </v>
      </c>
    </row>
    <row r="300" spans="1:13" ht="60" x14ac:dyDescent="0.25">
      <c r="A300" s="7" t="s">
        <v>1053</v>
      </c>
      <c r="B300" s="2" t="s">
        <v>1050</v>
      </c>
      <c r="C300" s="4">
        <v>1</v>
      </c>
      <c r="D300" s="5">
        <v>5.75</v>
      </c>
      <c r="E300" s="5">
        <v>11.99</v>
      </c>
      <c r="F300" s="4">
        <v>2581</v>
      </c>
      <c r="G300" s="2" t="s">
        <v>36</v>
      </c>
      <c r="H300" s="7" t="s">
        <v>196</v>
      </c>
      <c r="I300" s="2" t="s">
        <v>523</v>
      </c>
      <c r="J300" s="2" t="s">
        <v>921</v>
      </c>
      <c r="K300" s="2" t="s">
        <v>304</v>
      </c>
      <c r="L300" s="2" t="s">
        <v>323</v>
      </c>
      <c r="M300" s="8" t="str">
        <f>HYPERLINK("http://slimages.macys.com/is/image/MCY/13050177 ")</f>
        <v xml:space="preserve">http://slimages.macys.com/is/image/MCY/13050177 </v>
      </c>
    </row>
    <row r="301" spans="1:13" ht="60" x14ac:dyDescent="0.25">
      <c r="A301" s="7" t="s">
        <v>3395</v>
      </c>
      <c r="B301" s="2" t="s">
        <v>3396</v>
      </c>
      <c r="C301" s="4">
        <v>1</v>
      </c>
      <c r="D301" s="5">
        <v>5.75</v>
      </c>
      <c r="E301" s="5">
        <v>16.989999999999998</v>
      </c>
      <c r="F301" s="4" t="s">
        <v>3397</v>
      </c>
      <c r="G301" s="2" t="s">
        <v>28</v>
      </c>
      <c r="H301" s="7" t="s">
        <v>196</v>
      </c>
      <c r="I301" s="2" t="s">
        <v>342</v>
      </c>
      <c r="J301" s="2" t="s">
        <v>1834</v>
      </c>
      <c r="K301" s="2" t="s">
        <v>304</v>
      </c>
      <c r="L301" s="2" t="s">
        <v>335</v>
      </c>
      <c r="M301" s="8" t="str">
        <f>HYPERLINK("http://slimages.macys.com/is/image/MCY/13294340 ")</f>
        <v xml:space="preserve">http://slimages.macys.com/is/image/MCY/13294340 </v>
      </c>
    </row>
    <row r="302" spans="1:13" ht="60" x14ac:dyDescent="0.25">
      <c r="A302" s="7" t="s">
        <v>3398</v>
      </c>
      <c r="B302" s="2" t="s">
        <v>3399</v>
      </c>
      <c r="C302" s="4">
        <v>1</v>
      </c>
      <c r="D302" s="5">
        <v>5.75</v>
      </c>
      <c r="E302" s="5">
        <v>14.99</v>
      </c>
      <c r="F302" s="4" t="s">
        <v>3400</v>
      </c>
      <c r="G302" s="2" t="s">
        <v>28</v>
      </c>
      <c r="H302" s="7"/>
      <c r="I302" s="2" t="s">
        <v>30</v>
      </c>
      <c r="J302" s="2" t="s">
        <v>1890</v>
      </c>
      <c r="K302" s="2" t="s">
        <v>304</v>
      </c>
      <c r="L302" s="2" t="s">
        <v>416</v>
      </c>
      <c r="M302" s="8" t="str">
        <f>HYPERLINK("http://slimages.macys.com/is/image/MCY/12224316 ")</f>
        <v xml:space="preserve">http://slimages.macys.com/is/image/MCY/12224316 </v>
      </c>
    </row>
    <row r="303" spans="1:13" ht="60" x14ac:dyDescent="0.25">
      <c r="A303" s="7" t="s">
        <v>3401</v>
      </c>
      <c r="B303" s="2" t="s">
        <v>3402</v>
      </c>
      <c r="C303" s="4">
        <v>1</v>
      </c>
      <c r="D303" s="5">
        <v>5.75</v>
      </c>
      <c r="E303" s="5">
        <v>11.5</v>
      </c>
      <c r="F303" s="4">
        <v>38822910</v>
      </c>
      <c r="G303" s="2" t="s">
        <v>2107</v>
      </c>
      <c r="H303" s="7"/>
      <c r="I303" s="2" t="s">
        <v>487</v>
      </c>
      <c r="J303" s="2" t="s">
        <v>488</v>
      </c>
      <c r="K303" s="2" t="s">
        <v>304</v>
      </c>
      <c r="L303" s="2" t="s">
        <v>119</v>
      </c>
      <c r="M303" s="8" t="str">
        <f>HYPERLINK("http://slimages.macys.com/is/image/MCY/13852877 ")</f>
        <v xml:space="preserve">http://slimages.macys.com/is/image/MCY/13852877 </v>
      </c>
    </row>
    <row r="304" spans="1:13" ht="60" x14ac:dyDescent="0.25">
      <c r="A304" s="7" t="s">
        <v>3403</v>
      </c>
      <c r="B304" s="2" t="s">
        <v>3404</v>
      </c>
      <c r="C304" s="4">
        <v>1</v>
      </c>
      <c r="D304" s="5">
        <v>5.75</v>
      </c>
      <c r="E304" s="5">
        <v>11.5</v>
      </c>
      <c r="F304" s="4">
        <v>27876010</v>
      </c>
      <c r="G304" s="2"/>
      <c r="H304" s="7"/>
      <c r="I304" s="2" t="s">
        <v>487</v>
      </c>
      <c r="J304" s="2" t="s">
        <v>488</v>
      </c>
      <c r="K304" s="2" t="s">
        <v>304</v>
      </c>
      <c r="L304" s="2" t="s">
        <v>119</v>
      </c>
      <c r="M304" s="8" t="str">
        <f>HYPERLINK("http://slimages.macys.com/is/image/MCY/13852783 ")</f>
        <v xml:space="preserve">http://slimages.macys.com/is/image/MCY/13852783 </v>
      </c>
    </row>
    <row r="305" spans="1:13" ht="60" x14ac:dyDescent="0.25">
      <c r="A305" s="7" t="s">
        <v>1052</v>
      </c>
      <c r="B305" s="2" t="s">
        <v>1050</v>
      </c>
      <c r="C305" s="4">
        <v>3</v>
      </c>
      <c r="D305" s="5">
        <v>5.75</v>
      </c>
      <c r="E305" s="5">
        <v>11.99</v>
      </c>
      <c r="F305" s="4">
        <v>2581</v>
      </c>
      <c r="G305" s="2" t="s">
        <v>36</v>
      </c>
      <c r="H305" s="7" t="s">
        <v>228</v>
      </c>
      <c r="I305" s="2" t="s">
        <v>523</v>
      </c>
      <c r="J305" s="2" t="s">
        <v>921</v>
      </c>
      <c r="K305" s="2" t="s">
        <v>304</v>
      </c>
      <c r="L305" s="2" t="s">
        <v>323</v>
      </c>
      <c r="M305" s="8" t="str">
        <f>HYPERLINK("http://slimages.macys.com/is/image/MCY/13050177 ")</f>
        <v xml:space="preserve">http://slimages.macys.com/is/image/MCY/13050177 </v>
      </c>
    </row>
    <row r="306" spans="1:13" ht="60" x14ac:dyDescent="0.25">
      <c r="A306" s="7" t="s">
        <v>3405</v>
      </c>
      <c r="B306" s="2" t="s">
        <v>2639</v>
      </c>
      <c r="C306" s="4">
        <v>3</v>
      </c>
      <c r="D306" s="5">
        <v>5.6</v>
      </c>
      <c r="E306" s="5">
        <v>13.99</v>
      </c>
      <c r="F306" s="4" t="s">
        <v>2640</v>
      </c>
      <c r="G306" s="2" t="s">
        <v>874</v>
      </c>
      <c r="H306" s="7" t="s">
        <v>590</v>
      </c>
      <c r="I306" s="2" t="s">
        <v>483</v>
      </c>
      <c r="J306" s="2" t="s">
        <v>536</v>
      </c>
      <c r="K306" s="2" t="s">
        <v>304</v>
      </c>
      <c r="L306" s="2" t="s">
        <v>125</v>
      </c>
      <c r="M306" s="8" t="str">
        <f>HYPERLINK("http://slimages.macys.com/is/image/MCY/14446785 ")</f>
        <v xml:space="preserve">http://slimages.macys.com/is/image/MCY/14446785 </v>
      </c>
    </row>
    <row r="307" spans="1:13" ht="60" x14ac:dyDescent="0.25">
      <c r="A307" s="7" t="s">
        <v>3406</v>
      </c>
      <c r="B307" s="2" t="s">
        <v>3407</v>
      </c>
      <c r="C307" s="4">
        <v>1</v>
      </c>
      <c r="D307" s="5">
        <v>5.6</v>
      </c>
      <c r="E307" s="5">
        <v>10.99</v>
      </c>
      <c r="F307" s="4" t="s">
        <v>3408</v>
      </c>
      <c r="G307" s="2" t="s">
        <v>36</v>
      </c>
      <c r="H307" s="7" t="s">
        <v>284</v>
      </c>
      <c r="I307" s="2" t="s">
        <v>523</v>
      </c>
      <c r="J307" s="2" t="s">
        <v>921</v>
      </c>
      <c r="K307" s="2" t="s">
        <v>304</v>
      </c>
      <c r="L307" s="2" t="s">
        <v>1334</v>
      </c>
      <c r="M307" s="8" t="str">
        <f>HYPERLINK("http://slimages.macys.com/is/image/MCY/11722357 ")</f>
        <v xml:space="preserve">http://slimages.macys.com/is/image/MCY/11722357 </v>
      </c>
    </row>
    <row r="308" spans="1:13" ht="60" x14ac:dyDescent="0.25">
      <c r="A308" s="7" t="s">
        <v>2642</v>
      </c>
      <c r="B308" s="2" t="s">
        <v>2639</v>
      </c>
      <c r="C308" s="4">
        <v>4</v>
      </c>
      <c r="D308" s="5">
        <v>5.6</v>
      </c>
      <c r="E308" s="5">
        <v>13.99</v>
      </c>
      <c r="F308" s="4" t="s">
        <v>2640</v>
      </c>
      <c r="G308" s="2" t="s">
        <v>874</v>
      </c>
      <c r="H308" s="7" t="s">
        <v>442</v>
      </c>
      <c r="I308" s="2" t="s">
        <v>483</v>
      </c>
      <c r="J308" s="2" t="s">
        <v>536</v>
      </c>
      <c r="K308" s="2" t="s">
        <v>304</v>
      </c>
      <c r="L308" s="2" t="s">
        <v>125</v>
      </c>
      <c r="M308" s="8" t="str">
        <f>HYPERLINK("http://slimages.macys.com/is/image/MCY/14446785 ")</f>
        <v xml:space="preserve">http://slimages.macys.com/is/image/MCY/14446785 </v>
      </c>
    </row>
    <row r="309" spans="1:13" ht="60" x14ac:dyDescent="0.25">
      <c r="A309" s="7" t="s">
        <v>2641</v>
      </c>
      <c r="B309" s="2" t="s">
        <v>2639</v>
      </c>
      <c r="C309" s="4">
        <v>6</v>
      </c>
      <c r="D309" s="5">
        <v>5.6</v>
      </c>
      <c r="E309" s="5">
        <v>13.99</v>
      </c>
      <c r="F309" s="4" t="s">
        <v>2640</v>
      </c>
      <c r="G309" s="2" t="s">
        <v>874</v>
      </c>
      <c r="H309" s="7" t="s">
        <v>42</v>
      </c>
      <c r="I309" s="2" t="s">
        <v>483</v>
      </c>
      <c r="J309" s="2" t="s">
        <v>536</v>
      </c>
      <c r="K309" s="2" t="s">
        <v>304</v>
      </c>
      <c r="L309" s="2" t="s">
        <v>125</v>
      </c>
      <c r="M309" s="8" t="str">
        <f>HYPERLINK("http://slimages.macys.com/is/image/MCY/14446785 ")</f>
        <v xml:space="preserve">http://slimages.macys.com/is/image/MCY/14446785 </v>
      </c>
    </row>
    <row r="310" spans="1:13" ht="60" x14ac:dyDescent="0.25">
      <c r="A310" s="7" t="s">
        <v>2638</v>
      </c>
      <c r="B310" s="2" t="s">
        <v>2639</v>
      </c>
      <c r="C310" s="4">
        <v>4</v>
      </c>
      <c r="D310" s="5">
        <v>5.6</v>
      </c>
      <c r="E310" s="5">
        <v>13.99</v>
      </c>
      <c r="F310" s="4" t="s">
        <v>2640</v>
      </c>
      <c r="G310" s="2" t="s">
        <v>874</v>
      </c>
      <c r="H310" s="7" t="s">
        <v>91</v>
      </c>
      <c r="I310" s="2" t="s">
        <v>483</v>
      </c>
      <c r="J310" s="2" t="s">
        <v>536</v>
      </c>
      <c r="K310" s="2" t="s">
        <v>304</v>
      </c>
      <c r="L310" s="2" t="s">
        <v>125</v>
      </c>
      <c r="M310" s="8" t="str">
        <f>HYPERLINK("http://slimages.macys.com/is/image/MCY/14446785 ")</f>
        <v xml:space="preserve">http://slimages.macys.com/is/image/MCY/14446785 </v>
      </c>
    </row>
    <row r="311" spans="1:13" ht="60" x14ac:dyDescent="0.25">
      <c r="A311" s="7" t="s">
        <v>3409</v>
      </c>
      <c r="B311" s="2" t="s">
        <v>3410</v>
      </c>
      <c r="C311" s="4">
        <v>1</v>
      </c>
      <c r="D311" s="5">
        <v>5.52</v>
      </c>
      <c r="E311" s="5">
        <v>13.99</v>
      </c>
      <c r="F311" s="4" t="s">
        <v>3411</v>
      </c>
      <c r="G311" s="2" t="s">
        <v>62</v>
      </c>
      <c r="H311" s="7" t="s">
        <v>149</v>
      </c>
      <c r="I311" s="2" t="s">
        <v>483</v>
      </c>
      <c r="J311" s="2" t="s">
        <v>536</v>
      </c>
      <c r="K311" s="2" t="s">
        <v>304</v>
      </c>
      <c r="L311" s="2" t="s">
        <v>596</v>
      </c>
      <c r="M311" s="8" t="str">
        <f>HYPERLINK("http://slimages.macys.com/is/image/MCY/14630640 ")</f>
        <v xml:space="preserve">http://slimages.macys.com/is/image/MCY/14630640 </v>
      </c>
    </row>
    <row r="312" spans="1:13" ht="60" x14ac:dyDescent="0.25">
      <c r="A312" s="7" t="s">
        <v>3412</v>
      </c>
      <c r="B312" s="2" t="s">
        <v>521</v>
      </c>
      <c r="C312" s="4">
        <v>1</v>
      </c>
      <c r="D312" s="5">
        <v>5.5</v>
      </c>
      <c r="E312" s="5">
        <v>14</v>
      </c>
      <c r="F312" s="4" t="s">
        <v>522</v>
      </c>
      <c r="G312" s="2" t="s">
        <v>41</v>
      </c>
      <c r="H312" s="7"/>
      <c r="I312" s="2" t="s">
        <v>523</v>
      </c>
      <c r="J312" s="2" t="s">
        <v>524</v>
      </c>
      <c r="K312" s="2" t="s">
        <v>304</v>
      </c>
      <c r="L312" s="2" t="s">
        <v>224</v>
      </c>
      <c r="M312" s="8" t="str">
        <f>HYPERLINK("http://slimages.macys.com/is/image/MCY/11797079 ")</f>
        <v xml:space="preserve">http://slimages.macys.com/is/image/MCY/11797079 </v>
      </c>
    </row>
    <row r="313" spans="1:13" ht="192" x14ac:dyDescent="0.25">
      <c r="A313" s="7" t="s">
        <v>2644</v>
      </c>
      <c r="B313" s="2" t="s">
        <v>2645</v>
      </c>
      <c r="C313" s="4">
        <v>1</v>
      </c>
      <c r="D313" s="5">
        <v>5.5</v>
      </c>
      <c r="E313" s="5">
        <v>12.99</v>
      </c>
      <c r="F313" s="4" t="s">
        <v>2646</v>
      </c>
      <c r="G313" s="2" t="s">
        <v>41</v>
      </c>
      <c r="H313" s="7" t="s">
        <v>91</v>
      </c>
      <c r="I313" s="2" t="s">
        <v>135</v>
      </c>
      <c r="J313" s="2" t="s">
        <v>1076</v>
      </c>
      <c r="K313" s="2" t="s">
        <v>304</v>
      </c>
      <c r="L313" s="2" t="s">
        <v>2647</v>
      </c>
      <c r="M313" s="8" t="str">
        <f>HYPERLINK("http://slimages.macys.com/is/image/MCY/15654567 ")</f>
        <v xml:space="preserve">http://slimages.macys.com/is/image/MCY/15654567 </v>
      </c>
    </row>
    <row r="314" spans="1:13" ht="84" x14ac:dyDescent="0.25">
      <c r="A314" s="7" t="s">
        <v>3413</v>
      </c>
      <c r="B314" s="2" t="s">
        <v>1924</v>
      </c>
      <c r="C314" s="4">
        <v>1</v>
      </c>
      <c r="D314" s="5">
        <v>5.41</v>
      </c>
      <c r="E314" s="5">
        <v>16.989999999999998</v>
      </c>
      <c r="F314" s="4" t="s">
        <v>1925</v>
      </c>
      <c r="G314" s="2" t="s">
        <v>86</v>
      </c>
      <c r="H314" s="7" t="s">
        <v>284</v>
      </c>
      <c r="I314" s="2" t="s">
        <v>515</v>
      </c>
      <c r="J314" s="2" t="s">
        <v>827</v>
      </c>
      <c r="K314" s="2" t="s">
        <v>304</v>
      </c>
      <c r="L314" s="2" t="s">
        <v>1117</v>
      </c>
      <c r="M314" s="8" t="str">
        <f>HYPERLINK("http://slimages.macys.com/is/image/MCY/11605918 ")</f>
        <v xml:space="preserve">http://slimages.macys.com/is/image/MCY/11605918 </v>
      </c>
    </row>
    <row r="315" spans="1:13" ht="96" x14ac:dyDescent="0.25">
      <c r="A315" s="7" t="s">
        <v>3414</v>
      </c>
      <c r="B315" s="2" t="s">
        <v>2654</v>
      </c>
      <c r="C315" s="4">
        <v>1</v>
      </c>
      <c r="D315" s="5">
        <v>5.25</v>
      </c>
      <c r="E315" s="5">
        <v>14.99</v>
      </c>
      <c r="F315" s="4" t="s">
        <v>2655</v>
      </c>
      <c r="G315" s="2" t="s">
        <v>48</v>
      </c>
      <c r="H315" s="7" t="s">
        <v>442</v>
      </c>
      <c r="I315" s="2" t="s">
        <v>135</v>
      </c>
      <c r="J315" s="2" t="s">
        <v>1076</v>
      </c>
      <c r="K315" s="2" t="s">
        <v>304</v>
      </c>
      <c r="L315" s="2" t="s">
        <v>1948</v>
      </c>
      <c r="M315" s="8" t="str">
        <f>HYPERLINK("http://slimages.macys.com/is/image/MCY/15654520 ")</f>
        <v xml:space="preserve">http://slimages.macys.com/is/image/MCY/15654520 </v>
      </c>
    </row>
    <row r="316" spans="1:13" ht="60" x14ac:dyDescent="0.25">
      <c r="A316" s="7" t="s">
        <v>1087</v>
      </c>
      <c r="B316" s="2" t="s">
        <v>1086</v>
      </c>
      <c r="C316" s="4">
        <v>1</v>
      </c>
      <c r="D316" s="5">
        <v>5.15</v>
      </c>
      <c r="E316" s="5">
        <v>11.99</v>
      </c>
      <c r="F316" s="4">
        <v>4217</v>
      </c>
      <c r="G316" s="2" t="s">
        <v>653</v>
      </c>
      <c r="H316" s="7" t="s">
        <v>228</v>
      </c>
      <c r="I316" s="2" t="s">
        <v>523</v>
      </c>
      <c r="J316" s="2" t="s">
        <v>921</v>
      </c>
      <c r="K316" s="2" t="s">
        <v>304</v>
      </c>
      <c r="L316" s="2" t="s">
        <v>323</v>
      </c>
      <c r="M316" s="8" t="str">
        <f>HYPERLINK("http://slimages.macys.com/is/image/MCY/13050187 ")</f>
        <v xml:space="preserve">http://slimages.macys.com/is/image/MCY/13050187 </v>
      </c>
    </row>
    <row r="317" spans="1:13" ht="60" x14ac:dyDescent="0.25">
      <c r="A317" s="7" t="s">
        <v>3415</v>
      </c>
      <c r="B317" s="2" t="s">
        <v>534</v>
      </c>
      <c r="C317" s="4">
        <v>1</v>
      </c>
      <c r="D317" s="5">
        <v>5.0999999999999996</v>
      </c>
      <c r="E317" s="5">
        <v>13.5</v>
      </c>
      <c r="F317" s="4" t="s">
        <v>535</v>
      </c>
      <c r="G317" s="2" t="s">
        <v>86</v>
      </c>
      <c r="H317" s="7" t="s">
        <v>91</v>
      </c>
      <c r="I317" s="2" t="s">
        <v>483</v>
      </c>
      <c r="J317" s="2" t="s">
        <v>536</v>
      </c>
      <c r="K317" s="2" t="s">
        <v>304</v>
      </c>
      <c r="L317" s="2" t="s">
        <v>537</v>
      </c>
      <c r="M317" s="8" t="str">
        <f>HYPERLINK("http://slimages.macys.com/is/image/MCY/9157948 ")</f>
        <v xml:space="preserve">http://slimages.macys.com/is/image/MCY/9157948 </v>
      </c>
    </row>
    <row r="318" spans="1:13" ht="60" x14ac:dyDescent="0.25">
      <c r="A318" s="7" t="s">
        <v>3416</v>
      </c>
      <c r="B318" s="2" t="s">
        <v>534</v>
      </c>
      <c r="C318" s="4">
        <v>1</v>
      </c>
      <c r="D318" s="5">
        <v>5.0999999999999996</v>
      </c>
      <c r="E318" s="5">
        <v>13.5</v>
      </c>
      <c r="F318" s="4" t="s">
        <v>535</v>
      </c>
      <c r="G318" s="2" t="s">
        <v>297</v>
      </c>
      <c r="H318" s="7"/>
      <c r="I318" s="2" t="s">
        <v>483</v>
      </c>
      <c r="J318" s="2" t="s">
        <v>536</v>
      </c>
      <c r="K318" s="2" t="s">
        <v>304</v>
      </c>
      <c r="L318" s="2" t="s">
        <v>537</v>
      </c>
      <c r="M318" s="8" t="str">
        <f>HYPERLINK("http://slimages.macys.com/is/image/MCY/9157948 ")</f>
        <v xml:space="preserve">http://slimages.macys.com/is/image/MCY/9157948 </v>
      </c>
    </row>
    <row r="319" spans="1:13" ht="60" x14ac:dyDescent="0.25">
      <c r="A319" s="7" t="s">
        <v>3417</v>
      </c>
      <c r="B319" s="2" t="s">
        <v>534</v>
      </c>
      <c r="C319" s="4">
        <v>1</v>
      </c>
      <c r="D319" s="5">
        <v>5.0999999999999996</v>
      </c>
      <c r="E319" s="5">
        <v>13.5</v>
      </c>
      <c r="F319" s="4">
        <v>100006338</v>
      </c>
      <c r="G319" s="2" t="s">
        <v>297</v>
      </c>
      <c r="H319" s="7" t="s">
        <v>590</v>
      </c>
      <c r="I319" s="2" t="s">
        <v>483</v>
      </c>
      <c r="J319" s="2" t="s">
        <v>536</v>
      </c>
      <c r="K319" s="2" t="s">
        <v>304</v>
      </c>
      <c r="L319" s="2" t="s">
        <v>537</v>
      </c>
      <c r="M319" s="8" t="str">
        <f>HYPERLINK("http://slimages.macys.com/is/image/MCY/9157948 ")</f>
        <v xml:space="preserve">http://slimages.macys.com/is/image/MCY/9157948 </v>
      </c>
    </row>
    <row r="320" spans="1:13" ht="60" x14ac:dyDescent="0.25">
      <c r="A320" s="7" t="s">
        <v>3418</v>
      </c>
      <c r="B320" s="2" t="s">
        <v>534</v>
      </c>
      <c r="C320" s="4">
        <v>1</v>
      </c>
      <c r="D320" s="5">
        <v>5.0999999999999996</v>
      </c>
      <c r="E320" s="5">
        <v>13.5</v>
      </c>
      <c r="F320" s="4">
        <v>100006338</v>
      </c>
      <c r="G320" s="2" t="s">
        <v>86</v>
      </c>
      <c r="H320" s="7" t="s">
        <v>590</v>
      </c>
      <c r="I320" s="2" t="s">
        <v>483</v>
      </c>
      <c r="J320" s="2" t="s">
        <v>536</v>
      </c>
      <c r="K320" s="2" t="s">
        <v>304</v>
      </c>
      <c r="L320" s="2" t="s">
        <v>537</v>
      </c>
      <c r="M320" s="8" t="str">
        <f>HYPERLINK("http://slimages.macys.com/is/image/MCY/9157948 ")</f>
        <v xml:space="preserve">http://slimages.macys.com/is/image/MCY/9157948 </v>
      </c>
    </row>
    <row r="321" spans="1:13" ht="60" x14ac:dyDescent="0.25">
      <c r="A321" s="7" t="s">
        <v>533</v>
      </c>
      <c r="B321" s="2" t="s">
        <v>534</v>
      </c>
      <c r="C321" s="4">
        <v>2</v>
      </c>
      <c r="D321" s="5">
        <v>5.0999999999999996</v>
      </c>
      <c r="E321" s="5">
        <v>13.5</v>
      </c>
      <c r="F321" s="4" t="s">
        <v>535</v>
      </c>
      <c r="G321" s="2" t="s">
        <v>86</v>
      </c>
      <c r="H321" s="7"/>
      <c r="I321" s="2" t="s">
        <v>483</v>
      </c>
      <c r="J321" s="2" t="s">
        <v>536</v>
      </c>
      <c r="K321" s="2" t="s">
        <v>304</v>
      </c>
      <c r="L321" s="2" t="s">
        <v>537</v>
      </c>
      <c r="M321" s="8" t="str">
        <f>HYPERLINK("http://slimages.macys.com/is/image/MCY/9157948 ")</f>
        <v xml:space="preserve">http://slimages.macys.com/is/image/MCY/9157948 </v>
      </c>
    </row>
    <row r="322" spans="1:13" ht="60" x14ac:dyDescent="0.25">
      <c r="A322" s="7" t="s">
        <v>3419</v>
      </c>
      <c r="B322" s="2" t="s">
        <v>3420</v>
      </c>
      <c r="C322" s="4">
        <v>1</v>
      </c>
      <c r="D322" s="5">
        <v>5.0999999999999996</v>
      </c>
      <c r="E322" s="5">
        <v>10.199999999999999</v>
      </c>
      <c r="F322" s="4">
        <v>28379610</v>
      </c>
      <c r="G322" s="2" t="s">
        <v>643</v>
      </c>
      <c r="H322" s="7" t="s">
        <v>144</v>
      </c>
      <c r="I322" s="2" t="s">
        <v>487</v>
      </c>
      <c r="J322" s="2" t="s">
        <v>488</v>
      </c>
      <c r="K322" s="2" t="s">
        <v>304</v>
      </c>
      <c r="L322" s="2" t="s">
        <v>206</v>
      </c>
      <c r="M322" s="8" t="str">
        <f>HYPERLINK("http://slimages.macys.com/is/image/MCY/13743113 ")</f>
        <v xml:space="preserve">http://slimages.macys.com/is/image/MCY/13743113 </v>
      </c>
    </row>
    <row r="323" spans="1:13" ht="60" x14ac:dyDescent="0.25">
      <c r="A323" s="7" t="s">
        <v>3421</v>
      </c>
      <c r="B323" s="2" t="s">
        <v>3420</v>
      </c>
      <c r="C323" s="4">
        <v>1</v>
      </c>
      <c r="D323" s="5">
        <v>5.0999999999999996</v>
      </c>
      <c r="E323" s="5">
        <v>10.199999999999999</v>
      </c>
      <c r="F323" s="4">
        <v>28379610</v>
      </c>
      <c r="G323" s="2" t="s">
        <v>643</v>
      </c>
      <c r="H323" s="7"/>
      <c r="I323" s="2" t="s">
        <v>487</v>
      </c>
      <c r="J323" s="2" t="s">
        <v>488</v>
      </c>
      <c r="K323" s="2" t="s">
        <v>304</v>
      </c>
      <c r="L323" s="2" t="s">
        <v>206</v>
      </c>
      <c r="M323" s="8" t="str">
        <f>HYPERLINK("http://slimages.macys.com/is/image/MCY/13743113 ")</f>
        <v xml:space="preserve">http://slimages.macys.com/is/image/MCY/13743113 </v>
      </c>
    </row>
    <row r="324" spans="1:13" ht="60" x14ac:dyDescent="0.25">
      <c r="A324" s="7" t="s">
        <v>3422</v>
      </c>
      <c r="B324" s="2" t="s">
        <v>3420</v>
      </c>
      <c r="C324" s="4">
        <v>3</v>
      </c>
      <c r="D324" s="5">
        <v>5.0999999999999996</v>
      </c>
      <c r="E324" s="5">
        <v>10.199999999999999</v>
      </c>
      <c r="F324" s="4">
        <v>28379610</v>
      </c>
      <c r="G324" s="2" t="s">
        <v>643</v>
      </c>
      <c r="H324" s="7" t="s">
        <v>209</v>
      </c>
      <c r="I324" s="2" t="s">
        <v>487</v>
      </c>
      <c r="J324" s="2" t="s">
        <v>488</v>
      </c>
      <c r="K324" s="2" t="s">
        <v>304</v>
      </c>
      <c r="L324" s="2" t="s">
        <v>206</v>
      </c>
      <c r="M324" s="8" t="str">
        <f>HYPERLINK("http://slimages.macys.com/is/image/MCY/13743113 ")</f>
        <v xml:space="preserve">http://slimages.macys.com/is/image/MCY/13743113 </v>
      </c>
    </row>
    <row r="325" spans="1:13" ht="60" x14ac:dyDescent="0.25">
      <c r="A325" s="7" t="s">
        <v>3423</v>
      </c>
      <c r="B325" s="2" t="s">
        <v>534</v>
      </c>
      <c r="C325" s="4">
        <v>1</v>
      </c>
      <c r="D325" s="5">
        <v>5.0999999999999996</v>
      </c>
      <c r="E325" s="5">
        <v>13.5</v>
      </c>
      <c r="F325" s="4" t="s">
        <v>535</v>
      </c>
      <c r="G325" s="2" t="s">
        <v>86</v>
      </c>
      <c r="H325" s="7" t="s">
        <v>590</v>
      </c>
      <c r="I325" s="2" t="s">
        <v>483</v>
      </c>
      <c r="J325" s="2" t="s">
        <v>536</v>
      </c>
      <c r="K325" s="2" t="s">
        <v>304</v>
      </c>
      <c r="L325" s="2" t="s">
        <v>537</v>
      </c>
      <c r="M325" s="8" t="str">
        <f>HYPERLINK("http://slimages.macys.com/is/image/MCY/9157948 ")</f>
        <v xml:space="preserve">http://slimages.macys.com/is/image/MCY/9157948 </v>
      </c>
    </row>
    <row r="326" spans="1:13" ht="60" x14ac:dyDescent="0.25">
      <c r="A326" s="7" t="s">
        <v>1957</v>
      </c>
      <c r="B326" s="2" t="s">
        <v>534</v>
      </c>
      <c r="C326" s="4">
        <v>1</v>
      </c>
      <c r="D326" s="5">
        <v>5.0999999999999996</v>
      </c>
      <c r="E326" s="5">
        <v>13.5</v>
      </c>
      <c r="F326" s="4">
        <v>100006338</v>
      </c>
      <c r="G326" s="2" t="s">
        <v>86</v>
      </c>
      <c r="H326" s="7" t="s">
        <v>149</v>
      </c>
      <c r="I326" s="2" t="s">
        <v>483</v>
      </c>
      <c r="J326" s="2" t="s">
        <v>536</v>
      </c>
      <c r="K326" s="2" t="s">
        <v>304</v>
      </c>
      <c r="L326" s="2" t="s">
        <v>537</v>
      </c>
      <c r="M326" s="8" t="str">
        <f>HYPERLINK("http://slimages.macys.com/is/image/MCY/9157948 ")</f>
        <v xml:space="preserve">http://slimages.macys.com/is/image/MCY/9157948 </v>
      </c>
    </row>
    <row r="327" spans="1:13" ht="60" x14ac:dyDescent="0.25">
      <c r="A327" s="7" t="s">
        <v>3424</v>
      </c>
      <c r="B327" s="2" t="s">
        <v>534</v>
      </c>
      <c r="C327" s="4">
        <v>1</v>
      </c>
      <c r="D327" s="5">
        <v>5.0999999999999996</v>
      </c>
      <c r="E327" s="5">
        <v>13.5</v>
      </c>
      <c r="F327" s="4">
        <v>100006338</v>
      </c>
      <c r="G327" s="2" t="s">
        <v>86</v>
      </c>
      <c r="H327" s="7" t="s">
        <v>442</v>
      </c>
      <c r="I327" s="2" t="s">
        <v>483</v>
      </c>
      <c r="J327" s="2" t="s">
        <v>536</v>
      </c>
      <c r="K327" s="2" t="s">
        <v>304</v>
      </c>
      <c r="L327" s="2" t="s">
        <v>537</v>
      </c>
      <c r="M327" s="8" t="str">
        <f>HYPERLINK("http://slimages.macys.com/is/image/MCY/9157948 ")</f>
        <v xml:space="preserve">http://slimages.macys.com/is/image/MCY/9157948 </v>
      </c>
    </row>
    <row r="328" spans="1:13" ht="60" x14ac:dyDescent="0.25">
      <c r="A328" s="7" t="s">
        <v>3425</v>
      </c>
      <c r="B328" s="2" t="s">
        <v>534</v>
      </c>
      <c r="C328" s="4">
        <v>1</v>
      </c>
      <c r="D328" s="5">
        <v>5.0999999999999996</v>
      </c>
      <c r="E328" s="5">
        <v>13.5</v>
      </c>
      <c r="F328" s="4" t="s">
        <v>535</v>
      </c>
      <c r="G328" s="2" t="s">
        <v>297</v>
      </c>
      <c r="H328" s="7" t="s">
        <v>149</v>
      </c>
      <c r="I328" s="2" t="s">
        <v>483</v>
      </c>
      <c r="J328" s="2" t="s">
        <v>536</v>
      </c>
      <c r="K328" s="2" t="s">
        <v>304</v>
      </c>
      <c r="L328" s="2" t="s">
        <v>537</v>
      </c>
      <c r="M328" s="8" t="str">
        <f>HYPERLINK("http://slimages.macys.com/is/image/MCY/9157948 ")</f>
        <v xml:space="preserve">http://slimages.macys.com/is/image/MCY/9157948 </v>
      </c>
    </row>
    <row r="329" spans="1:13" ht="60" x14ac:dyDescent="0.25">
      <c r="A329" s="7" t="s">
        <v>3426</v>
      </c>
      <c r="B329" s="2" t="s">
        <v>3427</v>
      </c>
      <c r="C329" s="4">
        <v>1</v>
      </c>
      <c r="D329" s="5">
        <v>5.0999999999999996</v>
      </c>
      <c r="E329" s="5">
        <v>10.199999999999999</v>
      </c>
      <c r="F329" s="4">
        <v>28379810</v>
      </c>
      <c r="G329" s="2" t="s">
        <v>62</v>
      </c>
      <c r="H329" s="7" t="s">
        <v>68</v>
      </c>
      <c r="I329" s="2" t="s">
        <v>487</v>
      </c>
      <c r="J329" s="2" t="s">
        <v>488</v>
      </c>
      <c r="K329" s="2" t="s">
        <v>304</v>
      </c>
      <c r="L329" s="2" t="s">
        <v>206</v>
      </c>
      <c r="M329" s="8" t="str">
        <f>HYPERLINK("http://slimages.macys.com/is/image/MCY/13743118 ")</f>
        <v xml:space="preserve">http://slimages.macys.com/is/image/MCY/13743118 </v>
      </c>
    </row>
    <row r="330" spans="1:13" ht="84" x14ac:dyDescent="0.25">
      <c r="A330" s="7" t="s">
        <v>3428</v>
      </c>
      <c r="B330" s="2" t="s">
        <v>3429</v>
      </c>
      <c r="C330" s="4">
        <v>1</v>
      </c>
      <c r="D330" s="5">
        <v>5.08</v>
      </c>
      <c r="E330" s="5">
        <v>12.99</v>
      </c>
      <c r="F330" s="4" t="s">
        <v>3430</v>
      </c>
      <c r="G330" s="2" t="s">
        <v>28</v>
      </c>
      <c r="H330" s="7" t="s">
        <v>284</v>
      </c>
      <c r="I330" s="2" t="s">
        <v>515</v>
      </c>
      <c r="J330" s="2" t="s">
        <v>827</v>
      </c>
      <c r="K330" s="2" t="s">
        <v>304</v>
      </c>
      <c r="L330" s="2" t="s">
        <v>1117</v>
      </c>
      <c r="M330" s="8" t="str">
        <f>HYPERLINK("http://slimages.macys.com/is/image/MCY/11605984 ")</f>
        <v xml:space="preserve">http://slimages.macys.com/is/image/MCY/11605984 </v>
      </c>
    </row>
    <row r="331" spans="1:13" ht="60" x14ac:dyDescent="0.25">
      <c r="A331" s="7" t="s">
        <v>3431</v>
      </c>
      <c r="B331" s="2" t="s">
        <v>3432</v>
      </c>
      <c r="C331" s="4">
        <v>1</v>
      </c>
      <c r="D331" s="5">
        <v>5</v>
      </c>
      <c r="E331" s="5">
        <v>9.9499999999999993</v>
      </c>
      <c r="F331" s="4" t="s">
        <v>3433</v>
      </c>
      <c r="G331" s="2" t="s">
        <v>134</v>
      </c>
      <c r="H331" s="7" t="s">
        <v>394</v>
      </c>
      <c r="I331" s="2" t="s">
        <v>43</v>
      </c>
      <c r="J331" s="2" t="s">
        <v>3434</v>
      </c>
      <c r="K331" s="2" t="s">
        <v>2752</v>
      </c>
      <c r="L331" s="2" t="s">
        <v>3435</v>
      </c>
      <c r="M331" s="8" t="str">
        <f>HYPERLINK("http://images.bloomingdales.com/is/image/BLM/9835368 ")</f>
        <v xml:space="preserve">http://images.bloomingdales.com/is/image/BLM/9835368 </v>
      </c>
    </row>
    <row r="332" spans="1:13" ht="60" x14ac:dyDescent="0.25">
      <c r="A332" s="7" t="s">
        <v>3436</v>
      </c>
      <c r="B332" s="2" t="s">
        <v>3437</v>
      </c>
      <c r="C332" s="4">
        <v>1</v>
      </c>
      <c r="D332" s="5">
        <v>5</v>
      </c>
      <c r="E332" s="5">
        <v>19.5</v>
      </c>
      <c r="F332" s="4" t="s">
        <v>3438</v>
      </c>
      <c r="G332" s="2" t="s">
        <v>262</v>
      </c>
      <c r="H332" s="7"/>
      <c r="I332" s="2" t="s">
        <v>57</v>
      </c>
      <c r="J332" s="2" t="s">
        <v>58</v>
      </c>
      <c r="K332" s="2" t="s">
        <v>304</v>
      </c>
      <c r="L332" s="2" t="s">
        <v>206</v>
      </c>
      <c r="M332" s="8" t="str">
        <f>HYPERLINK("http://slimages.macys.com/is/image/MCY/11692538 ")</f>
        <v xml:space="preserve">http://slimages.macys.com/is/image/MCY/11692538 </v>
      </c>
    </row>
    <row r="333" spans="1:13" ht="60" x14ac:dyDescent="0.25">
      <c r="A333" s="7" t="s">
        <v>2660</v>
      </c>
      <c r="B333" s="2" t="s">
        <v>2661</v>
      </c>
      <c r="C333" s="4">
        <v>4</v>
      </c>
      <c r="D333" s="5">
        <v>4.88</v>
      </c>
      <c r="E333" s="5">
        <v>12.99</v>
      </c>
      <c r="F333" s="4" t="s">
        <v>2662</v>
      </c>
      <c r="G333" s="2" t="s">
        <v>134</v>
      </c>
      <c r="H333" s="7" t="s">
        <v>91</v>
      </c>
      <c r="I333" s="2" t="s">
        <v>483</v>
      </c>
      <c r="J333" s="2" t="s">
        <v>536</v>
      </c>
      <c r="K333" s="2" t="s">
        <v>304</v>
      </c>
      <c r="L333" s="2" t="s">
        <v>38</v>
      </c>
      <c r="M333" s="8" t="str">
        <f>HYPERLINK("http://slimages.macys.com/is/image/MCY/14517553 ")</f>
        <v xml:space="preserve">http://slimages.macys.com/is/image/MCY/14517553 </v>
      </c>
    </row>
    <row r="334" spans="1:13" ht="60" x14ac:dyDescent="0.25">
      <c r="A334" s="7" t="s">
        <v>3439</v>
      </c>
      <c r="B334" s="2" t="s">
        <v>2661</v>
      </c>
      <c r="C334" s="4">
        <v>2</v>
      </c>
      <c r="D334" s="5">
        <v>4.88</v>
      </c>
      <c r="E334" s="5">
        <v>12.99</v>
      </c>
      <c r="F334" s="4" t="s">
        <v>2662</v>
      </c>
      <c r="G334" s="2" t="s">
        <v>134</v>
      </c>
      <c r="H334" s="7" t="s">
        <v>42</v>
      </c>
      <c r="I334" s="2" t="s">
        <v>483</v>
      </c>
      <c r="J334" s="2" t="s">
        <v>536</v>
      </c>
      <c r="K334" s="2" t="s">
        <v>304</v>
      </c>
      <c r="L334" s="2" t="s">
        <v>38</v>
      </c>
      <c r="M334" s="8" t="str">
        <f>HYPERLINK("http://slimages.macys.com/is/image/MCY/14517553 ")</f>
        <v xml:space="preserve">http://slimages.macys.com/is/image/MCY/14517553 </v>
      </c>
    </row>
    <row r="335" spans="1:13" ht="60" x14ac:dyDescent="0.25">
      <c r="A335" s="7" t="s">
        <v>3440</v>
      </c>
      <c r="B335" s="2" t="s">
        <v>2661</v>
      </c>
      <c r="C335" s="4">
        <v>1</v>
      </c>
      <c r="D335" s="5">
        <v>4.88</v>
      </c>
      <c r="E335" s="5">
        <v>12.99</v>
      </c>
      <c r="F335" s="4" t="s">
        <v>2662</v>
      </c>
      <c r="G335" s="2" t="s">
        <v>134</v>
      </c>
      <c r="H335" s="7" t="s">
        <v>442</v>
      </c>
      <c r="I335" s="2" t="s">
        <v>483</v>
      </c>
      <c r="J335" s="2" t="s">
        <v>536</v>
      </c>
      <c r="K335" s="2" t="s">
        <v>304</v>
      </c>
      <c r="L335" s="2" t="s">
        <v>38</v>
      </c>
      <c r="M335" s="8" t="str">
        <f>HYPERLINK("http://slimages.macys.com/is/image/MCY/14517553 ")</f>
        <v xml:space="preserve">http://slimages.macys.com/is/image/MCY/14517553 </v>
      </c>
    </row>
    <row r="336" spans="1:13" ht="60" x14ac:dyDescent="0.25">
      <c r="A336" s="7" t="s">
        <v>2663</v>
      </c>
      <c r="B336" s="2" t="s">
        <v>2661</v>
      </c>
      <c r="C336" s="4">
        <v>2</v>
      </c>
      <c r="D336" s="5">
        <v>4.88</v>
      </c>
      <c r="E336" s="5">
        <v>12.99</v>
      </c>
      <c r="F336" s="4" t="s">
        <v>2662</v>
      </c>
      <c r="G336" s="2" t="s">
        <v>134</v>
      </c>
      <c r="H336" s="7" t="s">
        <v>590</v>
      </c>
      <c r="I336" s="2" t="s">
        <v>483</v>
      </c>
      <c r="J336" s="2" t="s">
        <v>536</v>
      </c>
      <c r="K336" s="2" t="s">
        <v>304</v>
      </c>
      <c r="L336" s="2" t="s">
        <v>38</v>
      </c>
      <c r="M336" s="8" t="str">
        <f>HYPERLINK("http://slimages.macys.com/is/image/MCY/14517553 ")</f>
        <v xml:space="preserve">http://slimages.macys.com/is/image/MCY/14517553 </v>
      </c>
    </row>
    <row r="337" spans="1:13" ht="108" x14ac:dyDescent="0.25">
      <c r="A337" s="7" t="s">
        <v>3441</v>
      </c>
      <c r="B337" s="2" t="s">
        <v>3442</v>
      </c>
      <c r="C337" s="4">
        <v>1</v>
      </c>
      <c r="D337" s="5">
        <v>4.8499999999999996</v>
      </c>
      <c r="E337" s="5">
        <v>14.99</v>
      </c>
      <c r="F337" s="4" t="s">
        <v>3443</v>
      </c>
      <c r="G337" s="2" t="s">
        <v>28</v>
      </c>
      <c r="H337" s="7" t="s">
        <v>123</v>
      </c>
      <c r="I337" s="2" t="s">
        <v>321</v>
      </c>
      <c r="J337" s="2" t="s">
        <v>3444</v>
      </c>
      <c r="K337" s="2" t="s">
        <v>304</v>
      </c>
      <c r="L337" s="2" t="s">
        <v>161</v>
      </c>
      <c r="M337" s="8" t="str">
        <f>HYPERLINK("http://slimages.macys.com/is/image/MCY/11228336 ")</f>
        <v xml:space="preserve">http://slimages.macys.com/is/image/MCY/11228336 </v>
      </c>
    </row>
    <row r="338" spans="1:13" ht="60" x14ac:dyDescent="0.25">
      <c r="A338" s="7" t="s">
        <v>3445</v>
      </c>
      <c r="B338" s="2" t="s">
        <v>3446</v>
      </c>
      <c r="C338" s="4">
        <v>1</v>
      </c>
      <c r="D338" s="5">
        <v>4.75</v>
      </c>
      <c r="E338" s="5">
        <v>11.99</v>
      </c>
      <c r="F338" s="4" t="s">
        <v>3447</v>
      </c>
      <c r="G338" s="2" t="s">
        <v>129</v>
      </c>
      <c r="H338" s="7" t="s">
        <v>217</v>
      </c>
      <c r="I338" s="2" t="s">
        <v>292</v>
      </c>
      <c r="J338" s="2" t="s">
        <v>293</v>
      </c>
      <c r="K338" s="2" t="s">
        <v>304</v>
      </c>
      <c r="L338" s="2" t="s">
        <v>571</v>
      </c>
      <c r="M338" s="8" t="str">
        <f>HYPERLINK("http://slimages.macys.com/is/image/MCY/12928718 ")</f>
        <v xml:space="preserve">http://slimages.macys.com/is/image/MCY/12928718 </v>
      </c>
    </row>
    <row r="339" spans="1:13" ht="60" x14ac:dyDescent="0.25">
      <c r="A339" s="7" t="s">
        <v>2001</v>
      </c>
      <c r="B339" s="2" t="s">
        <v>2002</v>
      </c>
      <c r="C339" s="4">
        <v>1</v>
      </c>
      <c r="D339" s="5">
        <v>4.6500000000000004</v>
      </c>
      <c r="E339" s="5">
        <v>14.99</v>
      </c>
      <c r="F339" s="4" t="s">
        <v>2003</v>
      </c>
      <c r="G339" s="2" t="s">
        <v>657</v>
      </c>
      <c r="H339" s="7" t="s">
        <v>123</v>
      </c>
      <c r="I339" s="2" t="s">
        <v>292</v>
      </c>
      <c r="J339" s="2" t="s">
        <v>354</v>
      </c>
      <c r="K339" s="2" t="s">
        <v>304</v>
      </c>
      <c r="L339" s="2" t="s">
        <v>125</v>
      </c>
      <c r="M339" s="8" t="str">
        <f>HYPERLINK("http://slimages.macys.com/is/image/MCY/13893167 ")</f>
        <v xml:space="preserve">http://slimages.macys.com/is/image/MCY/13893167 </v>
      </c>
    </row>
    <row r="340" spans="1:13" ht="60" x14ac:dyDescent="0.25">
      <c r="A340" s="7" t="s">
        <v>3448</v>
      </c>
      <c r="B340" s="2" t="s">
        <v>3449</v>
      </c>
      <c r="C340" s="4">
        <v>1</v>
      </c>
      <c r="D340" s="5">
        <v>4.6500000000000004</v>
      </c>
      <c r="E340" s="5">
        <v>14.99</v>
      </c>
      <c r="F340" s="4" t="s">
        <v>3450</v>
      </c>
      <c r="G340" s="2" t="s">
        <v>86</v>
      </c>
      <c r="H340" s="7" t="s">
        <v>3451</v>
      </c>
      <c r="I340" s="2" t="s">
        <v>523</v>
      </c>
      <c r="J340" s="2" t="s">
        <v>921</v>
      </c>
      <c r="K340" s="2" t="s">
        <v>304</v>
      </c>
      <c r="L340" s="2" t="s">
        <v>3452</v>
      </c>
      <c r="M340" s="8" t="str">
        <f>HYPERLINK("http://slimages.macys.com/is/image/MCY/11389491 ")</f>
        <v xml:space="preserve">http://slimages.macys.com/is/image/MCY/11389491 </v>
      </c>
    </row>
    <row r="341" spans="1:13" ht="60" x14ac:dyDescent="0.25">
      <c r="A341" s="7" t="s">
        <v>3453</v>
      </c>
      <c r="B341" s="2" t="s">
        <v>3454</v>
      </c>
      <c r="C341" s="4">
        <v>3</v>
      </c>
      <c r="D341" s="5">
        <v>4.5999999999999996</v>
      </c>
      <c r="E341" s="5">
        <v>14.99</v>
      </c>
      <c r="F341" s="4" t="s">
        <v>3455</v>
      </c>
      <c r="G341" s="2" t="s">
        <v>476</v>
      </c>
      <c r="H341" s="7"/>
      <c r="I341" s="2" t="s">
        <v>30</v>
      </c>
      <c r="J341" s="2" t="s">
        <v>1890</v>
      </c>
      <c r="K341" s="2"/>
      <c r="L341" s="2"/>
      <c r="M341" s="8" t="str">
        <f>HYPERLINK("http://slimages.macys.com/is/image/MCY/3711200 ")</f>
        <v xml:space="preserve">http://slimages.macys.com/is/image/MCY/3711200 </v>
      </c>
    </row>
    <row r="342" spans="1:13" ht="60" x14ac:dyDescent="0.25">
      <c r="A342" s="7" t="s">
        <v>3456</v>
      </c>
      <c r="B342" s="2" t="s">
        <v>3457</v>
      </c>
      <c r="C342" s="4">
        <v>1</v>
      </c>
      <c r="D342" s="5">
        <v>4.59</v>
      </c>
      <c r="E342" s="5">
        <v>11.99</v>
      </c>
      <c r="F342" s="4" t="s">
        <v>3458</v>
      </c>
      <c r="G342" s="2" t="s">
        <v>129</v>
      </c>
      <c r="H342" s="7" t="s">
        <v>228</v>
      </c>
      <c r="I342" s="2" t="s">
        <v>292</v>
      </c>
      <c r="J342" s="2" t="s">
        <v>293</v>
      </c>
      <c r="K342" s="2" t="s">
        <v>304</v>
      </c>
      <c r="L342" s="2" t="s">
        <v>119</v>
      </c>
      <c r="M342" s="8" t="str">
        <f>HYPERLINK("http://slimages.macys.com/is/image/MCY/12685690 ")</f>
        <v xml:space="preserve">http://slimages.macys.com/is/image/MCY/12685690 </v>
      </c>
    </row>
    <row r="343" spans="1:13" ht="84" x14ac:dyDescent="0.25">
      <c r="A343" s="7" t="s">
        <v>3459</v>
      </c>
      <c r="B343" s="2" t="s">
        <v>1115</v>
      </c>
      <c r="C343" s="4">
        <v>1</v>
      </c>
      <c r="D343" s="5">
        <v>4.59</v>
      </c>
      <c r="E343" s="5">
        <v>12.99</v>
      </c>
      <c r="F343" s="4" t="s">
        <v>1116</v>
      </c>
      <c r="G343" s="2" t="s">
        <v>28</v>
      </c>
      <c r="H343" s="7" t="s">
        <v>284</v>
      </c>
      <c r="I343" s="2" t="s">
        <v>515</v>
      </c>
      <c r="J343" s="2" t="s">
        <v>827</v>
      </c>
      <c r="K343" s="2" t="s">
        <v>304</v>
      </c>
      <c r="L343" s="2" t="s">
        <v>1117</v>
      </c>
      <c r="M343" s="8" t="str">
        <f>HYPERLINK("http://slimages.macys.com/is/image/MCY/11606022 ")</f>
        <v xml:space="preserve">http://slimages.macys.com/is/image/MCY/11606022 </v>
      </c>
    </row>
    <row r="344" spans="1:13" ht="60" x14ac:dyDescent="0.25">
      <c r="A344" s="7" t="s">
        <v>3460</v>
      </c>
      <c r="B344" s="2" t="s">
        <v>3461</v>
      </c>
      <c r="C344" s="4">
        <v>1</v>
      </c>
      <c r="D344" s="5">
        <v>4.55</v>
      </c>
      <c r="E344" s="5">
        <v>9.1</v>
      </c>
      <c r="F344" s="4">
        <v>38823311</v>
      </c>
      <c r="G344" s="2"/>
      <c r="H344" s="7" t="s">
        <v>166</v>
      </c>
      <c r="I344" s="2" t="s">
        <v>487</v>
      </c>
      <c r="J344" s="2" t="s">
        <v>488</v>
      </c>
      <c r="K344" s="2" t="s">
        <v>304</v>
      </c>
      <c r="L344" s="2" t="s">
        <v>75</v>
      </c>
      <c r="M344" s="8" t="str">
        <f>HYPERLINK("http://slimages.macys.com/is/image/MCY/13852903 ")</f>
        <v xml:space="preserve">http://slimages.macys.com/is/image/MCY/13852903 </v>
      </c>
    </row>
    <row r="345" spans="1:13" ht="60" x14ac:dyDescent="0.25">
      <c r="A345" s="7" t="s">
        <v>3462</v>
      </c>
      <c r="B345" s="2" t="s">
        <v>3463</v>
      </c>
      <c r="C345" s="4">
        <v>1</v>
      </c>
      <c r="D345" s="5">
        <v>4.53</v>
      </c>
      <c r="E345" s="5">
        <v>12.99</v>
      </c>
      <c r="F345" s="4" t="s">
        <v>3464</v>
      </c>
      <c r="G345" s="2" t="s">
        <v>62</v>
      </c>
      <c r="H345" s="7" t="s">
        <v>228</v>
      </c>
      <c r="I345" s="2" t="s">
        <v>515</v>
      </c>
      <c r="J345" s="2" t="s">
        <v>1971</v>
      </c>
      <c r="K345" s="2" t="s">
        <v>304</v>
      </c>
      <c r="L345" s="2" t="s">
        <v>119</v>
      </c>
      <c r="M345" s="8" t="str">
        <f>HYPERLINK("http://slimages.macys.com/is/image/MCY/12052323 ")</f>
        <v xml:space="preserve">http://slimages.macys.com/is/image/MCY/12052323 </v>
      </c>
    </row>
    <row r="346" spans="1:13" ht="120" x14ac:dyDescent="0.25">
      <c r="A346" s="7" t="s">
        <v>1126</v>
      </c>
      <c r="B346" s="2" t="s">
        <v>1127</v>
      </c>
      <c r="C346" s="4">
        <v>1</v>
      </c>
      <c r="D346" s="5">
        <v>4.51</v>
      </c>
      <c r="E346" s="5">
        <v>11.98</v>
      </c>
      <c r="F346" s="4">
        <v>100045787</v>
      </c>
      <c r="G346" s="2" t="s">
        <v>41</v>
      </c>
      <c r="H346" s="7" t="s">
        <v>531</v>
      </c>
      <c r="I346" s="2" t="s">
        <v>483</v>
      </c>
      <c r="J346" s="2" t="s">
        <v>536</v>
      </c>
      <c r="K346" s="2" t="s">
        <v>304</v>
      </c>
      <c r="L346" s="2" t="s">
        <v>1128</v>
      </c>
      <c r="M346" s="8" t="str">
        <f>HYPERLINK("http://slimages.macys.com/is/image/MCY/11793226 ")</f>
        <v xml:space="preserve">http://slimages.macys.com/is/image/MCY/11793226 </v>
      </c>
    </row>
    <row r="347" spans="1:13" ht="60" x14ac:dyDescent="0.25">
      <c r="A347" s="7" t="s">
        <v>3465</v>
      </c>
      <c r="B347" s="2" t="s">
        <v>3466</v>
      </c>
      <c r="C347" s="4">
        <v>1</v>
      </c>
      <c r="D347" s="5">
        <v>4.5</v>
      </c>
      <c r="E347" s="5">
        <v>10.99</v>
      </c>
      <c r="F347" s="4" t="s">
        <v>3467</v>
      </c>
      <c r="G347" s="2" t="s">
        <v>28</v>
      </c>
      <c r="H347" s="7" t="s">
        <v>284</v>
      </c>
      <c r="I347" s="2" t="s">
        <v>523</v>
      </c>
      <c r="J347" s="2" t="s">
        <v>921</v>
      </c>
      <c r="K347" s="2" t="s">
        <v>304</v>
      </c>
      <c r="L347" s="2" t="s">
        <v>3468</v>
      </c>
      <c r="M347" s="8" t="str">
        <f>HYPERLINK("http://slimages.macys.com/is/image/MCY/11247949 ")</f>
        <v xml:space="preserve">http://slimages.macys.com/is/image/MCY/11247949 </v>
      </c>
    </row>
    <row r="348" spans="1:13" ht="60" x14ac:dyDescent="0.25">
      <c r="A348" s="7" t="s">
        <v>3469</v>
      </c>
      <c r="B348" s="2" t="s">
        <v>3470</v>
      </c>
      <c r="C348" s="4">
        <v>1</v>
      </c>
      <c r="D348" s="5">
        <v>4.5</v>
      </c>
      <c r="E348" s="5">
        <v>10.47</v>
      </c>
      <c r="F348" s="4">
        <v>17839010</v>
      </c>
      <c r="G348" s="2" t="s">
        <v>129</v>
      </c>
      <c r="H348" s="7" t="s">
        <v>442</v>
      </c>
      <c r="I348" s="2" t="s">
        <v>153</v>
      </c>
      <c r="J348" s="2" t="s">
        <v>154</v>
      </c>
      <c r="K348" s="2" t="s">
        <v>304</v>
      </c>
      <c r="L348" s="2" t="s">
        <v>38</v>
      </c>
      <c r="M348" s="8" t="str">
        <f>HYPERLINK("http://slimages.macys.com/is/image/MCY/13852946 ")</f>
        <v xml:space="preserve">http://slimages.macys.com/is/image/MCY/13852946 </v>
      </c>
    </row>
    <row r="349" spans="1:13" ht="60" x14ac:dyDescent="0.25">
      <c r="A349" s="7" t="s">
        <v>3471</v>
      </c>
      <c r="B349" s="2" t="s">
        <v>3466</v>
      </c>
      <c r="C349" s="4">
        <v>1</v>
      </c>
      <c r="D349" s="5">
        <v>4.5</v>
      </c>
      <c r="E349" s="5">
        <v>10.99</v>
      </c>
      <c r="F349" s="4" t="s">
        <v>3467</v>
      </c>
      <c r="G349" s="2" t="s">
        <v>653</v>
      </c>
      <c r="H349" s="7" t="s">
        <v>196</v>
      </c>
      <c r="I349" s="2" t="s">
        <v>523</v>
      </c>
      <c r="J349" s="2" t="s">
        <v>921</v>
      </c>
      <c r="K349" s="2" t="s">
        <v>304</v>
      </c>
      <c r="L349" s="2" t="s">
        <v>3468</v>
      </c>
      <c r="M349" s="8" t="str">
        <f>HYPERLINK("http://slimages.macys.com/is/image/MCY/11247949 ")</f>
        <v xml:space="preserve">http://slimages.macys.com/is/image/MCY/11247949 </v>
      </c>
    </row>
    <row r="350" spans="1:13" ht="60" x14ac:dyDescent="0.25">
      <c r="A350" s="7" t="s">
        <v>3472</v>
      </c>
      <c r="B350" s="2" t="s">
        <v>3473</v>
      </c>
      <c r="C350" s="4">
        <v>1</v>
      </c>
      <c r="D350" s="5">
        <v>4.4000000000000004</v>
      </c>
      <c r="E350" s="5">
        <v>9.99</v>
      </c>
      <c r="F350" s="4" t="s">
        <v>3474</v>
      </c>
      <c r="G350" s="2" t="s">
        <v>171</v>
      </c>
      <c r="H350" s="7" t="s">
        <v>159</v>
      </c>
      <c r="I350" s="2" t="s">
        <v>468</v>
      </c>
      <c r="J350" s="2" t="s">
        <v>469</v>
      </c>
      <c r="K350" s="2" t="s">
        <v>304</v>
      </c>
      <c r="L350" s="2" t="s">
        <v>119</v>
      </c>
      <c r="M350" s="8" t="str">
        <f>HYPERLINK("http://slimages.macys.com/is/image/MCY/12809149 ")</f>
        <v xml:space="preserve">http://slimages.macys.com/is/image/MCY/12809149 </v>
      </c>
    </row>
    <row r="351" spans="1:13" ht="60" x14ac:dyDescent="0.25">
      <c r="A351" s="7" t="s">
        <v>3475</v>
      </c>
      <c r="B351" s="2" t="s">
        <v>1122</v>
      </c>
      <c r="C351" s="4">
        <v>1</v>
      </c>
      <c r="D351" s="5">
        <v>4.4000000000000004</v>
      </c>
      <c r="E351" s="5">
        <v>10.99</v>
      </c>
      <c r="F351" s="4" t="s">
        <v>1123</v>
      </c>
      <c r="G351" s="2" t="s">
        <v>41</v>
      </c>
      <c r="H351" s="7" t="s">
        <v>284</v>
      </c>
      <c r="I351" s="2" t="s">
        <v>523</v>
      </c>
      <c r="J351" s="2" t="s">
        <v>921</v>
      </c>
      <c r="K351" s="2" t="s">
        <v>304</v>
      </c>
      <c r="L351" s="2" t="s">
        <v>323</v>
      </c>
      <c r="M351" s="8" t="str">
        <f>HYPERLINK("http://slimages.macys.com/is/image/MCY/10324773 ")</f>
        <v xml:space="preserve">http://slimages.macys.com/is/image/MCY/10324773 </v>
      </c>
    </row>
    <row r="352" spans="1:13" ht="60" x14ac:dyDescent="0.25">
      <c r="A352" s="7" t="s">
        <v>2081</v>
      </c>
      <c r="B352" s="2" t="s">
        <v>2075</v>
      </c>
      <c r="C352" s="4">
        <v>1</v>
      </c>
      <c r="D352" s="5">
        <v>4.1500000000000004</v>
      </c>
      <c r="E352" s="5">
        <v>10.99</v>
      </c>
      <c r="F352" s="4" t="s">
        <v>2076</v>
      </c>
      <c r="G352" s="2"/>
      <c r="H352" s="7"/>
      <c r="I352" s="2" t="s">
        <v>312</v>
      </c>
      <c r="J352" s="2" t="s">
        <v>2077</v>
      </c>
      <c r="K352" s="2" t="s">
        <v>304</v>
      </c>
      <c r="L352" s="2" t="s">
        <v>2078</v>
      </c>
      <c r="M352" s="8" t="str">
        <f>HYPERLINK("http://slimages.macys.com/is/image/MCY/12045142 ")</f>
        <v xml:space="preserve">http://slimages.macys.com/is/image/MCY/12045142 </v>
      </c>
    </row>
    <row r="353" spans="1:13" ht="60" x14ac:dyDescent="0.25">
      <c r="A353" s="7" t="s">
        <v>3476</v>
      </c>
      <c r="B353" s="2" t="s">
        <v>2086</v>
      </c>
      <c r="C353" s="4">
        <v>1</v>
      </c>
      <c r="D353" s="5">
        <v>4.1500000000000004</v>
      </c>
      <c r="E353" s="5">
        <v>5.99</v>
      </c>
      <c r="F353" s="4" t="s">
        <v>2087</v>
      </c>
      <c r="G353" s="2" t="s">
        <v>262</v>
      </c>
      <c r="H353" s="7" t="s">
        <v>144</v>
      </c>
      <c r="I353" s="2" t="s">
        <v>80</v>
      </c>
      <c r="J353" s="2" t="s">
        <v>1857</v>
      </c>
      <c r="K353" s="2" t="s">
        <v>304</v>
      </c>
      <c r="L353" s="2" t="s">
        <v>119</v>
      </c>
      <c r="M353" s="8" t="str">
        <f>HYPERLINK("http://slimages.macys.com/is/image/MCY/10205209 ")</f>
        <v xml:space="preserve">http://slimages.macys.com/is/image/MCY/10205209 </v>
      </c>
    </row>
    <row r="354" spans="1:13" ht="60" x14ac:dyDescent="0.25">
      <c r="A354" s="7" t="s">
        <v>1145</v>
      </c>
      <c r="B354" s="2" t="s">
        <v>1146</v>
      </c>
      <c r="C354" s="4">
        <v>2</v>
      </c>
      <c r="D354" s="5">
        <v>4.03</v>
      </c>
      <c r="E354" s="5">
        <v>11.98</v>
      </c>
      <c r="F354" s="4">
        <v>10006013300</v>
      </c>
      <c r="G354" s="2" t="s">
        <v>1147</v>
      </c>
      <c r="H354" s="7" t="s">
        <v>531</v>
      </c>
      <c r="I354" s="2" t="s">
        <v>483</v>
      </c>
      <c r="J354" s="2" t="s">
        <v>536</v>
      </c>
      <c r="K354" s="2" t="s">
        <v>304</v>
      </c>
      <c r="L354" s="2" t="s">
        <v>125</v>
      </c>
      <c r="M354" s="8" t="str">
        <f>HYPERLINK("http://slimages.macys.com/is/image/MCY/12465711 ")</f>
        <v xml:space="preserve">http://slimages.macys.com/is/image/MCY/12465711 </v>
      </c>
    </row>
    <row r="355" spans="1:13" ht="60" x14ac:dyDescent="0.25">
      <c r="A355" s="7" t="s">
        <v>3477</v>
      </c>
      <c r="B355" s="2" t="s">
        <v>3478</v>
      </c>
      <c r="C355" s="4">
        <v>1</v>
      </c>
      <c r="D355" s="5">
        <v>4</v>
      </c>
      <c r="E355" s="5">
        <v>9.99</v>
      </c>
      <c r="F355" s="4" t="s">
        <v>3479</v>
      </c>
      <c r="G355" s="2" t="s">
        <v>643</v>
      </c>
      <c r="H355" s="7" t="s">
        <v>228</v>
      </c>
      <c r="I355" s="2" t="s">
        <v>468</v>
      </c>
      <c r="J355" s="2" t="s">
        <v>469</v>
      </c>
      <c r="K355" s="2" t="s">
        <v>304</v>
      </c>
      <c r="L355" s="2" t="s">
        <v>119</v>
      </c>
      <c r="M355" s="8" t="str">
        <f>HYPERLINK("http://slimages.macys.com/is/image/MCY/12724878 ")</f>
        <v xml:space="preserve">http://slimages.macys.com/is/image/MCY/12724878 </v>
      </c>
    </row>
    <row r="356" spans="1:13" ht="60" x14ac:dyDescent="0.25">
      <c r="A356" s="7" t="s">
        <v>3480</v>
      </c>
      <c r="B356" s="2" t="s">
        <v>3481</v>
      </c>
      <c r="C356" s="4">
        <v>1</v>
      </c>
      <c r="D356" s="5">
        <v>4</v>
      </c>
      <c r="E356" s="5">
        <v>9.3000000000000007</v>
      </c>
      <c r="F356" s="4">
        <v>18207310</v>
      </c>
      <c r="G356" s="2" t="s">
        <v>28</v>
      </c>
      <c r="H356" s="7" t="s">
        <v>91</v>
      </c>
      <c r="I356" s="2" t="s">
        <v>153</v>
      </c>
      <c r="J356" s="2" t="s">
        <v>154</v>
      </c>
      <c r="K356" s="2" t="s">
        <v>304</v>
      </c>
      <c r="L356" s="2" t="s">
        <v>125</v>
      </c>
      <c r="M356" s="8" t="str">
        <f>HYPERLINK("http://slimages.macys.com/is/image/MCY/15107909 ")</f>
        <v xml:space="preserve">http://slimages.macys.com/is/image/MCY/15107909 </v>
      </c>
    </row>
    <row r="357" spans="1:13" ht="60" x14ac:dyDescent="0.25">
      <c r="A357" s="7" t="s">
        <v>3482</v>
      </c>
      <c r="B357" s="2" t="s">
        <v>550</v>
      </c>
      <c r="C357" s="4">
        <v>1</v>
      </c>
      <c r="D357" s="5">
        <v>3.82</v>
      </c>
      <c r="E357" s="5">
        <v>9.99</v>
      </c>
      <c r="F357" s="4" t="s">
        <v>551</v>
      </c>
      <c r="G357" s="2" t="s">
        <v>195</v>
      </c>
      <c r="H357" s="7" t="s">
        <v>590</v>
      </c>
      <c r="I357" s="2" t="s">
        <v>483</v>
      </c>
      <c r="J357" s="2" t="s">
        <v>536</v>
      </c>
      <c r="K357" s="2" t="s">
        <v>304</v>
      </c>
      <c r="L357" s="2" t="s">
        <v>119</v>
      </c>
      <c r="M357" s="8" t="str">
        <f>HYPERLINK("http://slimages.macys.com/is/image/MCY/14384897 ")</f>
        <v xml:space="preserve">http://slimages.macys.com/is/image/MCY/14384897 </v>
      </c>
    </row>
    <row r="358" spans="1:13" ht="60" x14ac:dyDescent="0.25">
      <c r="A358" s="7" t="s">
        <v>3483</v>
      </c>
      <c r="B358" s="2" t="s">
        <v>3484</v>
      </c>
      <c r="C358" s="4">
        <v>1</v>
      </c>
      <c r="D358" s="5">
        <v>3.66</v>
      </c>
      <c r="E358" s="5">
        <v>7.99</v>
      </c>
      <c r="F358" s="4" t="s">
        <v>3485</v>
      </c>
      <c r="G358" s="2" t="s">
        <v>129</v>
      </c>
      <c r="H358" s="7" t="s">
        <v>618</v>
      </c>
      <c r="I358" s="2" t="s">
        <v>292</v>
      </c>
      <c r="J358" s="2" t="s">
        <v>354</v>
      </c>
      <c r="K358" s="2" t="s">
        <v>304</v>
      </c>
      <c r="L358" s="2" t="s">
        <v>119</v>
      </c>
      <c r="M358" s="8" t="str">
        <f>HYPERLINK("http://slimages.macys.com/is/image/MCY/11525969 ")</f>
        <v xml:space="preserve">http://slimages.macys.com/is/image/MCY/11525969 </v>
      </c>
    </row>
    <row r="359" spans="1:13" ht="60" x14ac:dyDescent="0.25">
      <c r="A359" s="7" t="s">
        <v>552</v>
      </c>
      <c r="B359" s="2" t="s">
        <v>553</v>
      </c>
      <c r="C359" s="4">
        <v>1</v>
      </c>
      <c r="D359" s="5">
        <v>3.54</v>
      </c>
      <c r="E359" s="5">
        <v>7.99</v>
      </c>
      <c r="F359" s="4" t="s">
        <v>554</v>
      </c>
      <c r="G359" s="2" t="s">
        <v>134</v>
      </c>
      <c r="H359" s="7" t="s">
        <v>514</v>
      </c>
      <c r="I359" s="2" t="s">
        <v>483</v>
      </c>
      <c r="J359" s="2" t="s">
        <v>536</v>
      </c>
      <c r="K359" s="2" t="s">
        <v>304</v>
      </c>
      <c r="L359" s="2" t="s">
        <v>119</v>
      </c>
      <c r="M359" s="8" t="str">
        <f>HYPERLINK("http://slimages.macys.com/is/image/MCY/14532191 ")</f>
        <v xml:space="preserve">http://slimages.macys.com/is/image/MCY/14532191 </v>
      </c>
    </row>
    <row r="360" spans="1:13" ht="60" x14ac:dyDescent="0.25">
      <c r="A360" s="7" t="s">
        <v>3486</v>
      </c>
      <c r="B360" s="2" t="s">
        <v>3487</v>
      </c>
      <c r="C360" s="4">
        <v>1</v>
      </c>
      <c r="D360" s="5">
        <v>3.5</v>
      </c>
      <c r="E360" s="5">
        <v>7.99</v>
      </c>
      <c r="F360" s="4">
        <v>18182710</v>
      </c>
      <c r="G360" s="2" t="s">
        <v>28</v>
      </c>
      <c r="H360" s="7" t="s">
        <v>438</v>
      </c>
      <c r="I360" s="2" t="s">
        <v>153</v>
      </c>
      <c r="J360" s="2" t="s">
        <v>154</v>
      </c>
      <c r="K360" s="2" t="s">
        <v>304</v>
      </c>
      <c r="L360" s="2" t="s">
        <v>38</v>
      </c>
      <c r="M360" s="8" t="str">
        <f>HYPERLINK("http://slimages.macys.com/is/image/MCY/13727498 ")</f>
        <v xml:space="preserve">http://slimages.macys.com/is/image/MCY/13727498 </v>
      </c>
    </row>
    <row r="361" spans="1:13" ht="60" x14ac:dyDescent="0.25">
      <c r="A361" s="7" t="s">
        <v>3488</v>
      </c>
      <c r="B361" s="2" t="s">
        <v>3489</v>
      </c>
      <c r="C361" s="4">
        <v>1</v>
      </c>
      <c r="D361" s="5">
        <v>3.5</v>
      </c>
      <c r="E361" s="5">
        <v>7.99</v>
      </c>
      <c r="F361" s="4">
        <v>18187210</v>
      </c>
      <c r="G361" s="2"/>
      <c r="H361" s="7" t="s">
        <v>438</v>
      </c>
      <c r="I361" s="2" t="s">
        <v>153</v>
      </c>
      <c r="J361" s="2" t="s">
        <v>154</v>
      </c>
      <c r="K361" s="2" t="s">
        <v>304</v>
      </c>
      <c r="L361" s="2" t="s">
        <v>206</v>
      </c>
      <c r="M361" s="8" t="str">
        <f>HYPERLINK("http://slimages.macys.com/is/image/MCY/14608360 ")</f>
        <v xml:space="preserve">http://slimages.macys.com/is/image/MCY/14608360 </v>
      </c>
    </row>
    <row r="362" spans="1:13" ht="60" x14ac:dyDescent="0.25">
      <c r="A362" s="7" t="s">
        <v>3490</v>
      </c>
      <c r="B362" s="2" t="s">
        <v>3487</v>
      </c>
      <c r="C362" s="4">
        <v>1</v>
      </c>
      <c r="D362" s="5">
        <v>3.5</v>
      </c>
      <c r="E362" s="5">
        <v>7.99</v>
      </c>
      <c r="F362" s="4">
        <v>18182710</v>
      </c>
      <c r="G362" s="2" t="s">
        <v>28</v>
      </c>
      <c r="H362" s="7" t="s">
        <v>233</v>
      </c>
      <c r="I362" s="2" t="s">
        <v>153</v>
      </c>
      <c r="J362" s="2" t="s">
        <v>154</v>
      </c>
      <c r="K362" s="2" t="s">
        <v>304</v>
      </c>
      <c r="L362" s="2" t="s">
        <v>38</v>
      </c>
      <c r="M362" s="8" t="str">
        <f>HYPERLINK("http://slimages.macys.com/is/image/MCY/13727498 ")</f>
        <v xml:space="preserve">http://slimages.macys.com/is/image/MCY/13727498 </v>
      </c>
    </row>
    <row r="363" spans="1:13" ht="60" x14ac:dyDescent="0.25">
      <c r="A363" s="7" t="s">
        <v>3491</v>
      </c>
      <c r="B363" s="2" t="s">
        <v>1164</v>
      </c>
      <c r="C363" s="4">
        <v>1</v>
      </c>
      <c r="D363" s="5">
        <v>3.49</v>
      </c>
      <c r="E363" s="5">
        <v>7.99</v>
      </c>
      <c r="F363" s="4" t="s">
        <v>1165</v>
      </c>
      <c r="G363" s="2" t="s">
        <v>353</v>
      </c>
      <c r="H363" s="7" t="s">
        <v>578</v>
      </c>
      <c r="I363" s="2" t="s">
        <v>292</v>
      </c>
      <c r="J363" s="2" t="s">
        <v>354</v>
      </c>
      <c r="K363" s="2" t="s">
        <v>304</v>
      </c>
      <c r="L363" s="2" t="s">
        <v>119</v>
      </c>
      <c r="M363" s="8" t="str">
        <f>HYPERLINK("http://slimages.macys.com/is/image/MCY/13077249 ")</f>
        <v xml:space="preserve">http://slimages.macys.com/is/image/MCY/13077249 </v>
      </c>
    </row>
    <row r="364" spans="1:13" ht="60" x14ac:dyDescent="0.25">
      <c r="A364" s="7" t="s">
        <v>3492</v>
      </c>
      <c r="B364" s="2" t="s">
        <v>3493</v>
      </c>
      <c r="C364" s="4">
        <v>1</v>
      </c>
      <c r="D364" s="5">
        <v>3.48</v>
      </c>
      <c r="E364" s="5">
        <v>5.99</v>
      </c>
      <c r="F364" s="4" t="s">
        <v>3494</v>
      </c>
      <c r="G364" s="2" t="s">
        <v>28</v>
      </c>
      <c r="H364" s="7" t="s">
        <v>311</v>
      </c>
      <c r="I364" s="2" t="s">
        <v>80</v>
      </c>
      <c r="J364" s="2" t="s">
        <v>1857</v>
      </c>
      <c r="K364" s="2" t="s">
        <v>304</v>
      </c>
      <c r="L364" s="2" t="s">
        <v>125</v>
      </c>
      <c r="M364" s="8" t="str">
        <f>HYPERLINK("http://slimages.macys.com/is/image/MCY/13362083 ")</f>
        <v xml:space="preserve">http://slimages.macys.com/is/image/MCY/13362083 </v>
      </c>
    </row>
    <row r="365" spans="1:13" ht="60" x14ac:dyDescent="0.25">
      <c r="A365" s="7" t="s">
        <v>3495</v>
      </c>
      <c r="B365" s="2" t="s">
        <v>3496</v>
      </c>
      <c r="C365" s="4">
        <v>1</v>
      </c>
      <c r="D365" s="5">
        <v>3.48</v>
      </c>
      <c r="E365" s="5">
        <v>5.99</v>
      </c>
      <c r="F365" s="4" t="s">
        <v>3497</v>
      </c>
      <c r="G365" s="2" t="s">
        <v>48</v>
      </c>
      <c r="H365" s="7" t="s">
        <v>166</v>
      </c>
      <c r="I365" s="2" t="s">
        <v>80</v>
      </c>
      <c r="J365" s="2" t="s">
        <v>1857</v>
      </c>
      <c r="K365" s="2" t="s">
        <v>304</v>
      </c>
      <c r="L365" s="2" t="s">
        <v>119</v>
      </c>
      <c r="M365" s="8" t="str">
        <f>HYPERLINK("http://slimages.macys.com/is/image/MCY/13362118 ")</f>
        <v xml:space="preserve">http://slimages.macys.com/is/image/MCY/13362118 </v>
      </c>
    </row>
    <row r="366" spans="1:13" ht="60" x14ac:dyDescent="0.25">
      <c r="A366" s="7" t="s">
        <v>3498</v>
      </c>
      <c r="B366" s="2" t="s">
        <v>2684</v>
      </c>
      <c r="C366" s="4">
        <v>1</v>
      </c>
      <c r="D366" s="5">
        <v>3.48</v>
      </c>
      <c r="E366" s="5">
        <v>6.99</v>
      </c>
      <c r="F366" s="4" t="s">
        <v>2685</v>
      </c>
      <c r="G366" s="2" t="s">
        <v>41</v>
      </c>
      <c r="H366" s="7" t="s">
        <v>144</v>
      </c>
      <c r="I366" s="2" t="s">
        <v>80</v>
      </c>
      <c r="J366" s="2" t="s">
        <v>1857</v>
      </c>
      <c r="K366" s="2" t="s">
        <v>304</v>
      </c>
      <c r="L366" s="2" t="s">
        <v>493</v>
      </c>
      <c r="M366" s="8" t="str">
        <f>HYPERLINK("http://slimages.macys.com/is/image/MCY/13727146 ")</f>
        <v xml:space="preserve">http://slimages.macys.com/is/image/MCY/13727146 </v>
      </c>
    </row>
    <row r="367" spans="1:13" ht="60" x14ac:dyDescent="0.25">
      <c r="A367" s="7" t="s">
        <v>3499</v>
      </c>
      <c r="B367" s="2" t="s">
        <v>3500</v>
      </c>
      <c r="C367" s="4">
        <v>1</v>
      </c>
      <c r="D367" s="5">
        <v>3.48</v>
      </c>
      <c r="E367" s="5">
        <v>6.99</v>
      </c>
      <c r="F367" s="4" t="s">
        <v>2685</v>
      </c>
      <c r="G367" s="2" t="s">
        <v>437</v>
      </c>
      <c r="H367" s="7" t="s">
        <v>68</v>
      </c>
      <c r="I367" s="2" t="s">
        <v>80</v>
      </c>
      <c r="J367" s="2" t="s">
        <v>1857</v>
      </c>
      <c r="K367" s="2" t="s">
        <v>304</v>
      </c>
      <c r="L367" s="2" t="s">
        <v>493</v>
      </c>
      <c r="M367" s="8" t="str">
        <f>HYPERLINK("http://slimages.macys.com/is/image/MCY/13727146 ")</f>
        <v xml:space="preserve">http://slimages.macys.com/is/image/MCY/13727146 </v>
      </c>
    </row>
    <row r="368" spans="1:13" ht="60" x14ac:dyDescent="0.25">
      <c r="A368" s="7" t="s">
        <v>562</v>
      </c>
      <c r="B368" s="2" t="s">
        <v>563</v>
      </c>
      <c r="C368" s="4">
        <v>3</v>
      </c>
      <c r="D368" s="5">
        <v>3.46</v>
      </c>
      <c r="E368" s="5">
        <v>8.99</v>
      </c>
      <c r="F368" s="4">
        <v>100007426</v>
      </c>
      <c r="G368" s="2" t="s">
        <v>41</v>
      </c>
      <c r="H368" s="7" t="s">
        <v>531</v>
      </c>
      <c r="I368" s="2" t="s">
        <v>483</v>
      </c>
      <c r="J368" s="2" t="s">
        <v>484</v>
      </c>
      <c r="K368" s="2" t="s">
        <v>304</v>
      </c>
      <c r="L368" s="2" t="s">
        <v>119</v>
      </c>
      <c r="M368" s="8" t="str">
        <f>HYPERLINK("http://slimages.macys.com/is/image/MCY/9157888 ")</f>
        <v xml:space="preserve">http://slimages.macys.com/is/image/MCY/9157888 </v>
      </c>
    </row>
    <row r="369" spans="1:13" ht="60" x14ac:dyDescent="0.25">
      <c r="A369" s="7" t="s">
        <v>2686</v>
      </c>
      <c r="B369" s="2" t="s">
        <v>2687</v>
      </c>
      <c r="C369" s="4">
        <v>1</v>
      </c>
      <c r="D369" s="5">
        <v>3.44</v>
      </c>
      <c r="E369" s="5">
        <v>7.99</v>
      </c>
      <c r="F369" s="4" t="s">
        <v>2688</v>
      </c>
      <c r="G369" s="2" t="s">
        <v>86</v>
      </c>
      <c r="H369" s="7" t="s">
        <v>514</v>
      </c>
      <c r="I369" s="2" t="s">
        <v>1689</v>
      </c>
      <c r="J369" s="2" t="s">
        <v>354</v>
      </c>
      <c r="K369" s="2" t="s">
        <v>304</v>
      </c>
      <c r="L369" s="2" t="s">
        <v>596</v>
      </c>
      <c r="M369" s="8" t="str">
        <f>HYPERLINK("http://slimages.macys.com/is/image/MCY/12507432 ")</f>
        <v xml:space="preserve">http://slimages.macys.com/is/image/MCY/12507432 </v>
      </c>
    </row>
    <row r="370" spans="1:13" ht="60" x14ac:dyDescent="0.25">
      <c r="A370" s="7" t="s">
        <v>3501</v>
      </c>
      <c r="B370" s="2" t="s">
        <v>3502</v>
      </c>
      <c r="C370" s="4">
        <v>1</v>
      </c>
      <c r="D370" s="5">
        <v>3.44</v>
      </c>
      <c r="E370" s="5">
        <v>7.99</v>
      </c>
      <c r="F370" s="4" t="s">
        <v>3503</v>
      </c>
      <c r="G370" s="2" t="s">
        <v>752</v>
      </c>
      <c r="H370" s="7" t="s">
        <v>123</v>
      </c>
      <c r="I370" s="2" t="s">
        <v>1689</v>
      </c>
      <c r="J370" s="2" t="s">
        <v>354</v>
      </c>
      <c r="K370" s="2" t="s">
        <v>304</v>
      </c>
      <c r="L370" s="2" t="s">
        <v>596</v>
      </c>
      <c r="M370" s="8" t="str">
        <f>HYPERLINK("http://slimages.macys.com/is/image/MCY/12494891 ")</f>
        <v xml:space="preserve">http://slimages.macys.com/is/image/MCY/12494891 </v>
      </c>
    </row>
    <row r="371" spans="1:13" ht="60" x14ac:dyDescent="0.25">
      <c r="A371" s="7" t="s">
        <v>3504</v>
      </c>
      <c r="B371" s="2" t="s">
        <v>2694</v>
      </c>
      <c r="C371" s="4">
        <v>1</v>
      </c>
      <c r="D371" s="5">
        <v>3.36</v>
      </c>
      <c r="E371" s="5">
        <v>7.99</v>
      </c>
      <c r="F371" s="4" t="s">
        <v>2695</v>
      </c>
      <c r="G371" s="2" t="s">
        <v>103</v>
      </c>
      <c r="H371" s="7" t="s">
        <v>311</v>
      </c>
      <c r="I371" s="2" t="s">
        <v>1689</v>
      </c>
      <c r="J371" s="2" t="s">
        <v>354</v>
      </c>
      <c r="K371" s="2" t="s">
        <v>304</v>
      </c>
      <c r="L371" s="2" t="s">
        <v>596</v>
      </c>
      <c r="M371" s="8" t="str">
        <f>HYPERLINK("http://slimages.macys.com/is/image/MCY/13636886 ")</f>
        <v xml:space="preserve">http://slimages.macys.com/is/image/MCY/13636886 </v>
      </c>
    </row>
    <row r="372" spans="1:13" ht="60" x14ac:dyDescent="0.25">
      <c r="A372" s="7" t="s">
        <v>3505</v>
      </c>
      <c r="B372" s="2" t="s">
        <v>3506</v>
      </c>
      <c r="C372" s="4">
        <v>1</v>
      </c>
      <c r="D372" s="5">
        <v>3.36</v>
      </c>
      <c r="E372" s="5">
        <v>7.99</v>
      </c>
      <c r="F372" s="4" t="s">
        <v>3507</v>
      </c>
      <c r="G372" s="2" t="s">
        <v>582</v>
      </c>
      <c r="H372" s="7" t="s">
        <v>311</v>
      </c>
      <c r="I372" s="2" t="s">
        <v>1689</v>
      </c>
      <c r="J372" s="2" t="s">
        <v>354</v>
      </c>
      <c r="K372" s="2" t="s">
        <v>304</v>
      </c>
      <c r="L372" s="2" t="s">
        <v>596</v>
      </c>
      <c r="M372" s="8" t="str">
        <f>HYPERLINK("http://slimages.macys.com/is/image/MCY/11498760 ")</f>
        <v xml:space="preserve">http://slimages.macys.com/is/image/MCY/11498760 </v>
      </c>
    </row>
    <row r="373" spans="1:13" ht="60" x14ac:dyDescent="0.25">
      <c r="A373" s="7" t="s">
        <v>2170</v>
      </c>
      <c r="B373" s="2" t="s">
        <v>2171</v>
      </c>
      <c r="C373" s="4">
        <v>1</v>
      </c>
      <c r="D373" s="5">
        <v>2.98</v>
      </c>
      <c r="E373" s="5">
        <v>6.99</v>
      </c>
      <c r="F373" s="4" t="s">
        <v>2172</v>
      </c>
      <c r="G373" s="2" t="s">
        <v>657</v>
      </c>
      <c r="H373" s="7" t="s">
        <v>42</v>
      </c>
      <c r="I373" s="2" t="s">
        <v>483</v>
      </c>
      <c r="J373" s="2" t="s">
        <v>536</v>
      </c>
      <c r="K373" s="2" t="s">
        <v>304</v>
      </c>
      <c r="L373" s="2" t="s">
        <v>119</v>
      </c>
      <c r="M373" s="8" t="str">
        <f>HYPERLINK("http://slimages.macys.com/is/image/MCY/13531944 ")</f>
        <v xml:space="preserve">http://slimages.macys.com/is/image/MCY/13531944 </v>
      </c>
    </row>
    <row r="374" spans="1:13" ht="60" x14ac:dyDescent="0.25">
      <c r="A374" s="7" t="s">
        <v>3508</v>
      </c>
      <c r="B374" s="2" t="s">
        <v>2171</v>
      </c>
      <c r="C374" s="4">
        <v>1</v>
      </c>
      <c r="D374" s="5">
        <v>2.98</v>
      </c>
      <c r="E374" s="5">
        <v>6.99</v>
      </c>
      <c r="F374" s="4" t="s">
        <v>2172</v>
      </c>
      <c r="G374" s="2" t="s">
        <v>657</v>
      </c>
      <c r="H374" s="7" t="s">
        <v>149</v>
      </c>
      <c r="I374" s="2" t="s">
        <v>483</v>
      </c>
      <c r="J374" s="2" t="s">
        <v>536</v>
      </c>
      <c r="K374" s="2" t="s">
        <v>304</v>
      </c>
      <c r="L374" s="2" t="s">
        <v>119</v>
      </c>
      <c r="M374" s="8" t="str">
        <f>HYPERLINK("http://slimages.macys.com/is/image/MCY/13531944 ")</f>
        <v xml:space="preserve">http://slimages.macys.com/is/image/MCY/13531944 </v>
      </c>
    </row>
    <row r="375" spans="1:13" ht="60" x14ac:dyDescent="0.25">
      <c r="A375" s="7" t="s">
        <v>587</v>
      </c>
      <c r="B375" s="2" t="s">
        <v>588</v>
      </c>
      <c r="C375" s="4">
        <v>1</v>
      </c>
      <c r="D375" s="5">
        <v>2.96</v>
      </c>
      <c r="E375" s="5">
        <v>6.99</v>
      </c>
      <c r="F375" s="4" t="s">
        <v>589</v>
      </c>
      <c r="G375" s="2" t="s">
        <v>134</v>
      </c>
      <c r="H375" s="7" t="s">
        <v>590</v>
      </c>
      <c r="I375" s="2" t="s">
        <v>483</v>
      </c>
      <c r="J375" s="2" t="s">
        <v>536</v>
      </c>
      <c r="K375" s="2" t="s">
        <v>304</v>
      </c>
      <c r="L375" s="2" t="s">
        <v>119</v>
      </c>
      <c r="M375" s="8" t="str">
        <f>HYPERLINK("http://slimages.macys.com/is/image/MCY/14532191 ")</f>
        <v xml:space="preserve">http://slimages.macys.com/is/image/MCY/14532191 </v>
      </c>
    </row>
    <row r="376" spans="1:13" ht="60" x14ac:dyDescent="0.25">
      <c r="A376" s="7" t="s">
        <v>591</v>
      </c>
      <c r="B376" s="2" t="s">
        <v>588</v>
      </c>
      <c r="C376" s="4">
        <v>3</v>
      </c>
      <c r="D376" s="5">
        <v>2.96</v>
      </c>
      <c r="E376" s="5">
        <v>6.99</v>
      </c>
      <c r="F376" s="4" t="s">
        <v>589</v>
      </c>
      <c r="G376" s="2" t="s">
        <v>134</v>
      </c>
      <c r="H376" s="7" t="s">
        <v>42</v>
      </c>
      <c r="I376" s="2" t="s">
        <v>483</v>
      </c>
      <c r="J376" s="2" t="s">
        <v>536</v>
      </c>
      <c r="K376" s="2" t="s">
        <v>304</v>
      </c>
      <c r="L376" s="2" t="s">
        <v>119</v>
      </c>
      <c r="M376" s="8" t="str">
        <f>HYPERLINK("http://slimages.macys.com/is/image/MCY/14532191 ")</f>
        <v xml:space="preserve">http://slimages.macys.com/is/image/MCY/14532191 </v>
      </c>
    </row>
    <row r="377" spans="1:13" ht="60" x14ac:dyDescent="0.25">
      <c r="A377" s="7" t="s">
        <v>3509</v>
      </c>
      <c r="B377" s="2" t="s">
        <v>588</v>
      </c>
      <c r="C377" s="4">
        <v>3</v>
      </c>
      <c r="D377" s="5">
        <v>2.96</v>
      </c>
      <c r="E377" s="5">
        <v>6.99</v>
      </c>
      <c r="F377" s="4" t="s">
        <v>589</v>
      </c>
      <c r="G377" s="2" t="s">
        <v>134</v>
      </c>
      <c r="H377" s="7" t="s">
        <v>91</v>
      </c>
      <c r="I377" s="2" t="s">
        <v>483</v>
      </c>
      <c r="J377" s="2" t="s">
        <v>536</v>
      </c>
      <c r="K377" s="2" t="s">
        <v>304</v>
      </c>
      <c r="L377" s="2" t="s">
        <v>119</v>
      </c>
      <c r="M377" s="8" t="str">
        <f>HYPERLINK("http://slimages.macys.com/is/image/MCY/14532191 ")</f>
        <v xml:space="preserve">http://slimages.macys.com/is/image/MCY/14532191 </v>
      </c>
    </row>
    <row r="378" spans="1:13" ht="60" x14ac:dyDescent="0.25">
      <c r="A378" s="7" t="s">
        <v>3510</v>
      </c>
      <c r="B378" s="2" t="s">
        <v>593</v>
      </c>
      <c r="C378" s="4">
        <v>1</v>
      </c>
      <c r="D378" s="5">
        <v>2.9</v>
      </c>
      <c r="E378" s="5">
        <v>7.99</v>
      </c>
      <c r="F378" s="4" t="s">
        <v>594</v>
      </c>
      <c r="G378" s="2" t="s">
        <v>595</v>
      </c>
      <c r="H378" s="7" t="s">
        <v>1151</v>
      </c>
      <c r="I378" s="2" t="s">
        <v>483</v>
      </c>
      <c r="J378" s="2" t="s">
        <v>536</v>
      </c>
      <c r="K378" s="2" t="s">
        <v>304</v>
      </c>
      <c r="L378" s="2" t="s">
        <v>596</v>
      </c>
      <c r="M378" s="8" t="str">
        <f>HYPERLINK("http://slimages.macys.com/is/image/MCY/14885497 ")</f>
        <v xml:space="preserve">http://slimages.macys.com/is/image/MCY/14885497 </v>
      </c>
    </row>
    <row r="379" spans="1:13" ht="60" x14ac:dyDescent="0.25">
      <c r="A379" s="7" t="s">
        <v>1208</v>
      </c>
      <c r="B379" s="2" t="s">
        <v>1209</v>
      </c>
      <c r="C379" s="4">
        <v>1</v>
      </c>
      <c r="D379" s="5">
        <v>2.85</v>
      </c>
      <c r="E379" s="5">
        <v>4.99</v>
      </c>
      <c r="F379" s="4">
        <v>4114</v>
      </c>
      <c r="G379" s="2" t="s">
        <v>653</v>
      </c>
      <c r="H379" s="7" t="s">
        <v>228</v>
      </c>
      <c r="I379" s="2" t="s">
        <v>523</v>
      </c>
      <c r="J379" s="2" t="s">
        <v>921</v>
      </c>
      <c r="K379" s="2" t="s">
        <v>304</v>
      </c>
      <c r="L379" s="2" t="s">
        <v>323</v>
      </c>
      <c r="M379" s="8" t="str">
        <f>HYPERLINK("http://slimages.macys.com/is/image/MCY/13050228 ")</f>
        <v xml:space="preserve">http://slimages.macys.com/is/image/MCY/13050228 </v>
      </c>
    </row>
    <row r="380" spans="1:13" ht="60" x14ac:dyDescent="0.25">
      <c r="A380" s="7" t="s">
        <v>1211</v>
      </c>
      <c r="B380" s="2" t="s">
        <v>1209</v>
      </c>
      <c r="C380" s="4">
        <v>1</v>
      </c>
      <c r="D380" s="5">
        <v>2.85</v>
      </c>
      <c r="E380" s="5">
        <v>4.99</v>
      </c>
      <c r="F380" s="4">
        <v>4114</v>
      </c>
      <c r="G380" s="2" t="s">
        <v>653</v>
      </c>
      <c r="H380" s="7" t="s">
        <v>159</v>
      </c>
      <c r="I380" s="2" t="s">
        <v>523</v>
      </c>
      <c r="J380" s="2" t="s">
        <v>921</v>
      </c>
      <c r="K380" s="2" t="s">
        <v>304</v>
      </c>
      <c r="L380" s="2" t="s">
        <v>323</v>
      </c>
      <c r="M380" s="8" t="str">
        <f>HYPERLINK("http://slimages.macys.com/is/image/MCY/13050228 ")</f>
        <v xml:space="preserve">http://slimages.macys.com/is/image/MCY/13050228 </v>
      </c>
    </row>
    <row r="381" spans="1:13" ht="60" x14ac:dyDescent="0.25">
      <c r="A381" s="7" t="s">
        <v>3511</v>
      </c>
      <c r="B381" s="2" t="s">
        <v>3512</v>
      </c>
      <c r="C381" s="4">
        <v>1</v>
      </c>
      <c r="D381" s="5">
        <v>2.66</v>
      </c>
      <c r="E381" s="5">
        <v>7.99</v>
      </c>
      <c r="F381" s="4" t="s">
        <v>3513</v>
      </c>
      <c r="G381" s="2" t="s">
        <v>874</v>
      </c>
      <c r="H381" s="7" t="s">
        <v>1151</v>
      </c>
      <c r="I381" s="2" t="s">
        <v>483</v>
      </c>
      <c r="J381" s="2" t="s">
        <v>536</v>
      </c>
      <c r="K381" s="2" t="s">
        <v>304</v>
      </c>
      <c r="L381" s="2" t="s">
        <v>38</v>
      </c>
      <c r="M381" s="8" t="str">
        <f>HYPERLINK("http://slimages.macys.com/is/image/MCY/14631316 ")</f>
        <v xml:space="preserve">http://slimages.macys.com/is/image/MCY/14631316 </v>
      </c>
    </row>
    <row r="382" spans="1:13" ht="60" x14ac:dyDescent="0.25">
      <c r="A382" s="7" t="s">
        <v>3514</v>
      </c>
      <c r="B382" s="2" t="s">
        <v>3515</v>
      </c>
      <c r="C382" s="4">
        <v>1</v>
      </c>
      <c r="D382" s="5">
        <v>2.61</v>
      </c>
      <c r="E382" s="5">
        <v>7.99</v>
      </c>
      <c r="F382" s="4" t="s">
        <v>3516</v>
      </c>
      <c r="G382" s="2" t="s">
        <v>41</v>
      </c>
      <c r="H382" s="7" t="s">
        <v>1151</v>
      </c>
      <c r="I382" s="2" t="s">
        <v>483</v>
      </c>
      <c r="J382" s="2" t="s">
        <v>536</v>
      </c>
      <c r="K382" s="2" t="s">
        <v>304</v>
      </c>
      <c r="L382" s="2" t="s">
        <v>38</v>
      </c>
      <c r="M382" s="8" t="str">
        <f>HYPERLINK("http://slimages.macys.com/is/image/MCY/14384854 ")</f>
        <v xml:space="preserve">http://slimages.macys.com/is/image/MCY/14384854 </v>
      </c>
    </row>
    <row r="383" spans="1:13" ht="60" x14ac:dyDescent="0.25">
      <c r="A383" s="7" t="s">
        <v>3517</v>
      </c>
      <c r="B383" s="2" t="s">
        <v>1260</v>
      </c>
      <c r="C383" s="4">
        <v>1</v>
      </c>
      <c r="D383" s="5">
        <v>2.56</v>
      </c>
      <c r="E383" s="5">
        <v>6.99</v>
      </c>
      <c r="F383" s="4" t="s">
        <v>1261</v>
      </c>
      <c r="G383" s="2" t="s">
        <v>437</v>
      </c>
      <c r="H383" s="7" t="s">
        <v>149</v>
      </c>
      <c r="I383" s="2" t="s">
        <v>483</v>
      </c>
      <c r="J383" s="2" t="s">
        <v>536</v>
      </c>
      <c r="K383" s="2" t="s">
        <v>304</v>
      </c>
      <c r="L383" s="2" t="s">
        <v>100</v>
      </c>
      <c r="M383" s="8" t="str">
        <f>HYPERLINK("http://slimages.macys.com/is/image/MCY/11779082 ")</f>
        <v xml:space="preserve">http://slimages.macys.com/is/image/MCY/11779082 </v>
      </c>
    </row>
    <row r="384" spans="1:13" ht="96" x14ac:dyDescent="0.25">
      <c r="A384" s="7" t="s">
        <v>3518</v>
      </c>
      <c r="B384" s="2" t="s">
        <v>1263</v>
      </c>
      <c r="C384" s="4">
        <v>1</v>
      </c>
      <c r="D384" s="5">
        <v>2.5499999999999998</v>
      </c>
      <c r="E384" s="5">
        <v>6.99</v>
      </c>
      <c r="F384" s="4" t="s">
        <v>1264</v>
      </c>
      <c r="G384" s="2" t="s">
        <v>1265</v>
      </c>
      <c r="H384" s="7" t="s">
        <v>590</v>
      </c>
      <c r="I384" s="2" t="s">
        <v>483</v>
      </c>
      <c r="J384" s="2" t="s">
        <v>536</v>
      </c>
      <c r="K384" s="2" t="s">
        <v>304</v>
      </c>
      <c r="L384" s="2" t="s">
        <v>1266</v>
      </c>
      <c r="M384" s="8" t="str">
        <f>HYPERLINK("http://slimages.macys.com/is/image/MCY/13337503 ")</f>
        <v xml:space="preserve">http://slimages.macys.com/is/image/MCY/13337503 </v>
      </c>
    </row>
    <row r="385" spans="1:13" ht="60" x14ac:dyDescent="0.25">
      <c r="A385" s="7" t="s">
        <v>3519</v>
      </c>
      <c r="B385" s="2" t="s">
        <v>3520</v>
      </c>
      <c r="C385" s="4">
        <v>1</v>
      </c>
      <c r="D385" s="5">
        <v>2.5299999999999998</v>
      </c>
      <c r="E385" s="5">
        <v>7.99</v>
      </c>
      <c r="F385" s="4" t="s">
        <v>3521</v>
      </c>
      <c r="G385" s="2" t="s">
        <v>86</v>
      </c>
      <c r="H385" s="7" t="s">
        <v>1151</v>
      </c>
      <c r="I385" s="2" t="s">
        <v>483</v>
      </c>
      <c r="J385" s="2" t="s">
        <v>536</v>
      </c>
      <c r="K385" s="2" t="s">
        <v>304</v>
      </c>
      <c r="L385" s="2" t="s">
        <v>38</v>
      </c>
      <c r="M385" s="8" t="str">
        <f>HYPERLINK("http://slimages.macys.com/is/image/MCY/14384969 ")</f>
        <v xml:space="preserve">http://slimages.macys.com/is/image/MCY/14384969 </v>
      </c>
    </row>
    <row r="386" spans="1:13" ht="60" x14ac:dyDescent="0.25">
      <c r="A386" s="7" t="s">
        <v>3522</v>
      </c>
      <c r="B386" s="2" t="s">
        <v>3523</v>
      </c>
      <c r="C386" s="4">
        <v>1</v>
      </c>
      <c r="D386" s="5">
        <v>2.5099999999999998</v>
      </c>
      <c r="E386" s="5">
        <v>5.99</v>
      </c>
      <c r="F386" s="4" t="s">
        <v>3524</v>
      </c>
      <c r="G386" s="2" t="s">
        <v>657</v>
      </c>
      <c r="H386" s="7" t="s">
        <v>42</v>
      </c>
      <c r="I386" s="2" t="s">
        <v>483</v>
      </c>
      <c r="J386" s="2" t="s">
        <v>536</v>
      </c>
      <c r="K386" s="2" t="s">
        <v>304</v>
      </c>
      <c r="L386" s="2" t="s">
        <v>119</v>
      </c>
      <c r="M386" s="8" t="str">
        <f>HYPERLINK("http://slimages.macys.com/is/image/MCY/13987476 ")</f>
        <v xml:space="preserve">http://slimages.macys.com/is/image/MCY/13987476 </v>
      </c>
    </row>
    <row r="387" spans="1:13" ht="60" x14ac:dyDescent="0.25">
      <c r="A387" s="7" t="s">
        <v>3525</v>
      </c>
      <c r="B387" s="2" t="s">
        <v>2306</v>
      </c>
      <c r="C387" s="4">
        <v>1</v>
      </c>
      <c r="D387" s="5">
        <v>2.4900000000000002</v>
      </c>
      <c r="E387" s="5">
        <v>6.99</v>
      </c>
      <c r="F387" s="4" t="s">
        <v>2307</v>
      </c>
      <c r="G387" s="2" t="s">
        <v>41</v>
      </c>
      <c r="H387" s="7"/>
      <c r="I387" s="2" t="s">
        <v>483</v>
      </c>
      <c r="J387" s="2" t="s">
        <v>536</v>
      </c>
      <c r="K387" s="2" t="s">
        <v>304</v>
      </c>
      <c r="L387" s="2" t="s">
        <v>100</v>
      </c>
      <c r="M387" s="8" t="str">
        <f>HYPERLINK("http://slimages.macys.com/is/image/MCY/13987451 ")</f>
        <v xml:space="preserve">http://slimages.macys.com/is/image/MCY/13987451 </v>
      </c>
    </row>
    <row r="388" spans="1:13" ht="60" x14ac:dyDescent="0.25">
      <c r="A388" s="7" t="s">
        <v>3526</v>
      </c>
      <c r="B388" s="2" t="s">
        <v>3527</v>
      </c>
      <c r="C388" s="4">
        <v>2</v>
      </c>
      <c r="D388" s="5">
        <v>2.48</v>
      </c>
      <c r="E388" s="5">
        <v>6.99</v>
      </c>
      <c r="F388" s="4" t="s">
        <v>3528</v>
      </c>
      <c r="G388" s="2" t="s">
        <v>595</v>
      </c>
      <c r="H388" s="7" t="s">
        <v>149</v>
      </c>
      <c r="I388" s="2" t="s">
        <v>483</v>
      </c>
      <c r="J388" s="2" t="s">
        <v>536</v>
      </c>
      <c r="K388" s="2" t="s">
        <v>304</v>
      </c>
      <c r="L388" s="2" t="s">
        <v>596</v>
      </c>
      <c r="M388" s="8" t="str">
        <f>HYPERLINK("http://slimages.macys.com/is/image/MCY/14799396 ")</f>
        <v xml:space="preserve">http://slimages.macys.com/is/image/MCY/14799396 </v>
      </c>
    </row>
    <row r="389" spans="1:13" ht="60" x14ac:dyDescent="0.25">
      <c r="A389" s="7" t="s">
        <v>3529</v>
      </c>
      <c r="B389" s="2" t="s">
        <v>3527</v>
      </c>
      <c r="C389" s="4">
        <v>1</v>
      </c>
      <c r="D389" s="5">
        <v>2.48</v>
      </c>
      <c r="E389" s="5">
        <v>6.99</v>
      </c>
      <c r="F389" s="4" t="s">
        <v>3528</v>
      </c>
      <c r="G389" s="2" t="s">
        <v>595</v>
      </c>
      <c r="H389" s="7" t="s">
        <v>442</v>
      </c>
      <c r="I389" s="2" t="s">
        <v>483</v>
      </c>
      <c r="J389" s="2" t="s">
        <v>536</v>
      </c>
      <c r="K389" s="2" t="s">
        <v>304</v>
      </c>
      <c r="L389" s="2" t="s">
        <v>596</v>
      </c>
      <c r="M389" s="8" t="str">
        <f>HYPERLINK("http://slimages.macys.com/is/image/MCY/14799396 ")</f>
        <v xml:space="preserve">http://slimages.macys.com/is/image/MCY/14799396 </v>
      </c>
    </row>
    <row r="390" spans="1:13" ht="60" x14ac:dyDescent="0.25">
      <c r="A390" s="7" t="s">
        <v>3530</v>
      </c>
      <c r="B390" s="2" t="s">
        <v>1324</v>
      </c>
      <c r="C390" s="4">
        <v>1</v>
      </c>
      <c r="D390" s="5">
        <v>2.4700000000000002</v>
      </c>
      <c r="E390" s="5">
        <v>4.99</v>
      </c>
      <c r="F390" s="4" t="s">
        <v>1325</v>
      </c>
      <c r="G390" s="2" t="s">
        <v>86</v>
      </c>
      <c r="H390" s="7" t="s">
        <v>196</v>
      </c>
      <c r="I390" s="2" t="s">
        <v>523</v>
      </c>
      <c r="J390" s="2" t="s">
        <v>921</v>
      </c>
      <c r="K390" s="2" t="s">
        <v>304</v>
      </c>
      <c r="L390" s="2" t="s">
        <v>323</v>
      </c>
      <c r="M390" s="8" t="str">
        <f>HYPERLINK("http://slimages.macys.com/is/image/MCY/11722365 ")</f>
        <v xml:space="preserve">http://slimages.macys.com/is/image/MCY/11722365 </v>
      </c>
    </row>
    <row r="391" spans="1:13" ht="60" x14ac:dyDescent="0.25">
      <c r="A391" s="7" t="s">
        <v>3531</v>
      </c>
      <c r="B391" s="2" t="s">
        <v>1327</v>
      </c>
      <c r="C391" s="4">
        <v>1</v>
      </c>
      <c r="D391" s="5">
        <v>2.44</v>
      </c>
      <c r="E391" s="5">
        <v>5.99</v>
      </c>
      <c r="F391" s="4" t="s">
        <v>1328</v>
      </c>
      <c r="G391" s="2" t="s">
        <v>41</v>
      </c>
      <c r="H391" s="7" t="s">
        <v>590</v>
      </c>
      <c r="I391" s="2" t="s">
        <v>483</v>
      </c>
      <c r="J391" s="2" t="s">
        <v>536</v>
      </c>
      <c r="K391" s="2" t="s">
        <v>304</v>
      </c>
      <c r="L391" s="2" t="s">
        <v>119</v>
      </c>
      <c r="M391" s="8" t="str">
        <f>HYPERLINK("http://slimages.macys.com/is/image/MCY/12466322 ")</f>
        <v xml:space="preserve">http://slimages.macys.com/is/image/MCY/12466322 </v>
      </c>
    </row>
    <row r="392" spans="1:13" ht="60" x14ac:dyDescent="0.25">
      <c r="A392" s="7" t="s">
        <v>3532</v>
      </c>
      <c r="B392" s="2" t="s">
        <v>3533</v>
      </c>
      <c r="C392" s="4">
        <v>1</v>
      </c>
      <c r="D392" s="5">
        <v>2.42</v>
      </c>
      <c r="E392" s="5">
        <v>7.99</v>
      </c>
      <c r="F392" s="4" t="s">
        <v>3534</v>
      </c>
      <c r="G392" s="2" t="s">
        <v>48</v>
      </c>
      <c r="H392" s="7" t="s">
        <v>578</v>
      </c>
      <c r="I392" s="2" t="s">
        <v>483</v>
      </c>
      <c r="J392" s="2" t="s">
        <v>536</v>
      </c>
      <c r="K392" s="2" t="s">
        <v>304</v>
      </c>
      <c r="L392" s="2" t="s">
        <v>119</v>
      </c>
      <c r="M392" s="8" t="str">
        <f>HYPERLINK("http://slimages.macys.com/is/image/MCY/14380988 ")</f>
        <v xml:space="preserve">http://slimages.macys.com/is/image/MCY/14380988 </v>
      </c>
    </row>
    <row r="393" spans="1:13" ht="60" x14ac:dyDescent="0.25">
      <c r="A393" s="7" t="s">
        <v>3535</v>
      </c>
      <c r="B393" s="2" t="s">
        <v>3536</v>
      </c>
      <c r="C393" s="4">
        <v>2</v>
      </c>
      <c r="D393" s="5">
        <v>2.42</v>
      </c>
      <c r="E393" s="5">
        <v>4.99</v>
      </c>
      <c r="F393" s="4">
        <v>307160</v>
      </c>
      <c r="G393" s="2"/>
      <c r="H393" s="7" t="s">
        <v>394</v>
      </c>
      <c r="I393" s="2" t="s">
        <v>43</v>
      </c>
      <c r="J393" s="2" t="s">
        <v>3537</v>
      </c>
      <c r="K393" s="2" t="s">
        <v>304</v>
      </c>
      <c r="L393" s="2" t="s">
        <v>125</v>
      </c>
      <c r="M393" s="8" t="str">
        <f>HYPERLINK("http://slimages.macys.com/is/image/MCY/10382596 ")</f>
        <v xml:space="preserve">http://slimages.macys.com/is/image/MCY/10382596 </v>
      </c>
    </row>
    <row r="394" spans="1:13" ht="60" x14ac:dyDescent="0.25">
      <c r="A394" s="7" t="s">
        <v>3538</v>
      </c>
      <c r="B394" s="2" t="s">
        <v>3533</v>
      </c>
      <c r="C394" s="4">
        <v>2</v>
      </c>
      <c r="D394" s="5">
        <v>2.42</v>
      </c>
      <c r="E394" s="5">
        <v>7.99</v>
      </c>
      <c r="F394" s="4" t="s">
        <v>3534</v>
      </c>
      <c r="G394" s="2" t="s">
        <v>48</v>
      </c>
      <c r="H394" s="7" t="s">
        <v>514</v>
      </c>
      <c r="I394" s="2" t="s">
        <v>483</v>
      </c>
      <c r="J394" s="2" t="s">
        <v>536</v>
      </c>
      <c r="K394" s="2" t="s">
        <v>304</v>
      </c>
      <c r="L394" s="2" t="s">
        <v>119</v>
      </c>
      <c r="M394" s="8" t="str">
        <f>HYPERLINK("http://slimages.macys.com/is/image/MCY/14380988 ")</f>
        <v xml:space="preserve">http://slimages.macys.com/is/image/MCY/14380988 </v>
      </c>
    </row>
    <row r="395" spans="1:13" ht="60" x14ac:dyDescent="0.25">
      <c r="A395" s="7" t="s">
        <v>3539</v>
      </c>
      <c r="B395" s="2" t="s">
        <v>3540</v>
      </c>
      <c r="C395" s="4">
        <v>1</v>
      </c>
      <c r="D395" s="5">
        <v>2.4</v>
      </c>
      <c r="E395" s="5">
        <v>5.99</v>
      </c>
      <c r="F395" s="4" t="s">
        <v>3541</v>
      </c>
      <c r="G395" s="2" t="s">
        <v>41</v>
      </c>
      <c r="H395" s="7" t="s">
        <v>590</v>
      </c>
      <c r="I395" s="2" t="s">
        <v>483</v>
      </c>
      <c r="J395" s="2" t="s">
        <v>536</v>
      </c>
      <c r="K395" s="2" t="s">
        <v>304</v>
      </c>
      <c r="L395" s="2" t="s">
        <v>100</v>
      </c>
      <c r="M395" s="8" t="str">
        <f>HYPERLINK("http://slimages.macys.com/is/image/MCY/12406900 ")</f>
        <v xml:space="preserve">http://slimages.macys.com/is/image/MCY/12406900 </v>
      </c>
    </row>
    <row r="396" spans="1:13" ht="60" x14ac:dyDescent="0.25">
      <c r="A396" s="7" t="s">
        <v>1344</v>
      </c>
      <c r="B396" s="2" t="s">
        <v>1333</v>
      </c>
      <c r="C396" s="4">
        <v>2</v>
      </c>
      <c r="D396" s="5">
        <v>2.4</v>
      </c>
      <c r="E396" s="5">
        <v>4.99</v>
      </c>
      <c r="F396" s="4" t="s">
        <v>1325</v>
      </c>
      <c r="G396" s="2" t="s">
        <v>36</v>
      </c>
      <c r="H396" s="7" t="s">
        <v>159</v>
      </c>
      <c r="I396" s="2" t="s">
        <v>523</v>
      </c>
      <c r="J396" s="2" t="s">
        <v>921</v>
      </c>
      <c r="K396" s="2" t="s">
        <v>304</v>
      </c>
      <c r="L396" s="2" t="s">
        <v>1334</v>
      </c>
      <c r="M396" s="8" t="str">
        <f>HYPERLINK("http://slimages.macys.com/is/image/MCY/8345543 ")</f>
        <v xml:space="preserve">http://slimages.macys.com/is/image/MCY/8345543 </v>
      </c>
    </row>
    <row r="397" spans="1:13" ht="60" x14ac:dyDescent="0.25">
      <c r="A397" s="7" t="s">
        <v>3542</v>
      </c>
      <c r="B397" s="2" t="s">
        <v>3543</v>
      </c>
      <c r="C397" s="4">
        <v>1</v>
      </c>
      <c r="D397" s="5">
        <v>2.3199999999999998</v>
      </c>
      <c r="E397" s="5">
        <v>6.99</v>
      </c>
      <c r="F397" s="4" t="s">
        <v>3544</v>
      </c>
      <c r="G397" s="2" t="s">
        <v>171</v>
      </c>
      <c r="H397" s="7" t="s">
        <v>442</v>
      </c>
      <c r="I397" s="2" t="s">
        <v>483</v>
      </c>
      <c r="J397" s="2" t="s">
        <v>536</v>
      </c>
      <c r="K397" s="2" t="s">
        <v>304</v>
      </c>
      <c r="L397" s="2" t="s">
        <v>38</v>
      </c>
      <c r="M397" s="8" t="str">
        <f>HYPERLINK("http://slimages.macys.com/is/image/MCY/14447992 ")</f>
        <v xml:space="preserve">http://slimages.macys.com/is/image/MCY/14447992 </v>
      </c>
    </row>
    <row r="398" spans="1:13" ht="60" x14ac:dyDescent="0.25">
      <c r="A398" s="7" t="s">
        <v>3545</v>
      </c>
      <c r="B398" s="2" t="s">
        <v>3543</v>
      </c>
      <c r="C398" s="4">
        <v>1</v>
      </c>
      <c r="D398" s="5">
        <v>2.3199999999999998</v>
      </c>
      <c r="E398" s="5">
        <v>6.99</v>
      </c>
      <c r="F398" s="4" t="s">
        <v>3544</v>
      </c>
      <c r="G398" s="2" t="s">
        <v>171</v>
      </c>
      <c r="H398" s="7" t="s">
        <v>590</v>
      </c>
      <c r="I398" s="2" t="s">
        <v>483</v>
      </c>
      <c r="J398" s="2" t="s">
        <v>536</v>
      </c>
      <c r="K398" s="2" t="s">
        <v>304</v>
      </c>
      <c r="L398" s="2" t="s">
        <v>38</v>
      </c>
      <c r="M398" s="8" t="str">
        <f>HYPERLINK("http://slimages.macys.com/is/image/MCY/14447992 ")</f>
        <v xml:space="preserve">http://slimages.macys.com/is/image/MCY/14447992 </v>
      </c>
    </row>
    <row r="399" spans="1:13" ht="60" x14ac:dyDescent="0.25">
      <c r="A399" s="7" t="s">
        <v>3546</v>
      </c>
      <c r="B399" s="2" t="s">
        <v>2353</v>
      </c>
      <c r="C399" s="4">
        <v>3</v>
      </c>
      <c r="D399" s="5">
        <v>2.31</v>
      </c>
      <c r="E399" s="5">
        <v>7.99</v>
      </c>
      <c r="F399" s="4" t="s">
        <v>2354</v>
      </c>
      <c r="G399" s="2" t="s">
        <v>657</v>
      </c>
      <c r="H399" s="7" t="s">
        <v>578</v>
      </c>
      <c r="I399" s="2" t="s">
        <v>483</v>
      </c>
      <c r="J399" s="2" t="s">
        <v>536</v>
      </c>
      <c r="K399" s="2" t="s">
        <v>304</v>
      </c>
      <c r="L399" s="2" t="s">
        <v>119</v>
      </c>
      <c r="M399" s="8" t="str">
        <f>HYPERLINK("http://slimages.macys.com/is/image/MCY/13987628 ")</f>
        <v xml:space="preserve">http://slimages.macys.com/is/image/MCY/13987628 </v>
      </c>
    </row>
    <row r="400" spans="1:13" ht="60" x14ac:dyDescent="0.25">
      <c r="A400" s="7" t="s">
        <v>3547</v>
      </c>
      <c r="B400" s="2" t="s">
        <v>3548</v>
      </c>
      <c r="C400" s="4">
        <v>2</v>
      </c>
      <c r="D400" s="5">
        <v>2.2999999999999998</v>
      </c>
      <c r="E400" s="5">
        <v>3.99</v>
      </c>
      <c r="F400" s="4" t="s">
        <v>3549</v>
      </c>
      <c r="G400" s="2" t="s">
        <v>36</v>
      </c>
      <c r="H400" s="7" t="s">
        <v>196</v>
      </c>
      <c r="I400" s="2" t="s">
        <v>523</v>
      </c>
      <c r="J400" s="2" t="s">
        <v>921</v>
      </c>
      <c r="K400" s="2" t="s">
        <v>304</v>
      </c>
      <c r="L400" s="2" t="s">
        <v>1334</v>
      </c>
      <c r="M400" s="8" t="str">
        <f>HYPERLINK("http://slimages.macys.com/is/image/MCY/11722337 ")</f>
        <v xml:space="preserve">http://slimages.macys.com/is/image/MCY/11722337 </v>
      </c>
    </row>
    <row r="401" spans="1:13" ht="60" x14ac:dyDescent="0.25">
      <c r="A401" s="7" t="s">
        <v>3550</v>
      </c>
      <c r="B401" s="2" t="s">
        <v>1379</v>
      </c>
      <c r="C401" s="4">
        <v>1</v>
      </c>
      <c r="D401" s="5">
        <v>2.25</v>
      </c>
      <c r="E401" s="5">
        <v>5.99</v>
      </c>
      <c r="F401" s="4" t="s">
        <v>1380</v>
      </c>
      <c r="G401" s="2" t="s">
        <v>41</v>
      </c>
      <c r="H401" s="7" t="s">
        <v>149</v>
      </c>
      <c r="I401" s="2" t="s">
        <v>483</v>
      </c>
      <c r="J401" s="2" t="s">
        <v>536</v>
      </c>
      <c r="K401" s="2" t="s">
        <v>304</v>
      </c>
      <c r="L401" s="2" t="s">
        <v>206</v>
      </c>
      <c r="M401" s="8" t="str">
        <f>HYPERLINK("http://slimages.macys.com/is/image/MCY/13386152 ")</f>
        <v xml:space="preserve">http://slimages.macys.com/is/image/MCY/13386152 </v>
      </c>
    </row>
    <row r="402" spans="1:13" ht="60" x14ac:dyDescent="0.25">
      <c r="A402" s="7" t="s">
        <v>3551</v>
      </c>
      <c r="B402" s="2" t="s">
        <v>2377</v>
      </c>
      <c r="C402" s="4">
        <v>1</v>
      </c>
      <c r="D402" s="5">
        <v>2.2400000000000002</v>
      </c>
      <c r="E402" s="5">
        <v>5.99</v>
      </c>
      <c r="F402" s="4" t="s">
        <v>2378</v>
      </c>
      <c r="G402" s="2" t="s">
        <v>643</v>
      </c>
      <c r="H402" s="7" t="s">
        <v>149</v>
      </c>
      <c r="I402" s="2" t="s">
        <v>483</v>
      </c>
      <c r="J402" s="2" t="s">
        <v>536</v>
      </c>
      <c r="K402" s="2" t="s">
        <v>304</v>
      </c>
      <c r="L402" s="2" t="s">
        <v>206</v>
      </c>
      <c r="M402" s="8" t="str">
        <f>HYPERLINK("http://slimages.macys.com/is/image/MCY/13386674 ")</f>
        <v xml:space="preserve">http://slimages.macys.com/is/image/MCY/13386674 </v>
      </c>
    </row>
    <row r="403" spans="1:13" ht="60" x14ac:dyDescent="0.25">
      <c r="A403" s="7" t="s">
        <v>3552</v>
      </c>
      <c r="B403" s="2" t="s">
        <v>3553</v>
      </c>
      <c r="C403" s="4">
        <v>1</v>
      </c>
      <c r="D403" s="5">
        <v>2.2200000000000002</v>
      </c>
      <c r="E403" s="5">
        <v>5.99</v>
      </c>
      <c r="F403" s="4">
        <v>100016698</v>
      </c>
      <c r="G403" s="2" t="s">
        <v>2107</v>
      </c>
      <c r="H403" s="7" t="s">
        <v>590</v>
      </c>
      <c r="I403" s="2" t="s">
        <v>483</v>
      </c>
      <c r="J403" s="2" t="s">
        <v>536</v>
      </c>
      <c r="K403" s="2" t="s">
        <v>304</v>
      </c>
      <c r="L403" s="2" t="s">
        <v>100</v>
      </c>
      <c r="M403" s="8" t="str">
        <f>HYPERLINK("http://slimages.macys.com/is/image/MCY/9382799 ")</f>
        <v xml:space="preserve">http://slimages.macys.com/is/image/MCY/9382799 </v>
      </c>
    </row>
    <row r="404" spans="1:13" ht="60" x14ac:dyDescent="0.25">
      <c r="A404" s="7" t="s">
        <v>3554</v>
      </c>
      <c r="B404" s="2" t="s">
        <v>2388</v>
      </c>
      <c r="C404" s="4">
        <v>1</v>
      </c>
      <c r="D404" s="5">
        <v>2.2200000000000002</v>
      </c>
      <c r="E404" s="5">
        <v>5.99</v>
      </c>
      <c r="F404" s="4" t="s">
        <v>2389</v>
      </c>
      <c r="G404" s="2" t="s">
        <v>41</v>
      </c>
      <c r="H404" s="7" t="s">
        <v>590</v>
      </c>
      <c r="I404" s="2" t="s">
        <v>483</v>
      </c>
      <c r="J404" s="2" t="s">
        <v>536</v>
      </c>
      <c r="K404" s="2" t="s">
        <v>304</v>
      </c>
      <c r="L404" s="2" t="s">
        <v>206</v>
      </c>
      <c r="M404" s="8" t="str">
        <f>HYPERLINK("http://slimages.macys.com/is/image/MCY/13987622 ")</f>
        <v xml:space="preserve">http://slimages.macys.com/is/image/MCY/13987622 </v>
      </c>
    </row>
    <row r="405" spans="1:13" ht="60" x14ac:dyDescent="0.25">
      <c r="A405" s="7" t="s">
        <v>3555</v>
      </c>
      <c r="B405" s="2" t="s">
        <v>3556</v>
      </c>
      <c r="C405" s="4">
        <v>1</v>
      </c>
      <c r="D405" s="5">
        <v>2.19</v>
      </c>
      <c r="E405" s="5">
        <v>5.99</v>
      </c>
      <c r="F405" s="4" t="s">
        <v>3557</v>
      </c>
      <c r="G405" s="2" t="s">
        <v>41</v>
      </c>
      <c r="H405" s="7" t="s">
        <v>42</v>
      </c>
      <c r="I405" s="2" t="s">
        <v>483</v>
      </c>
      <c r="J405" s="2" t="s">
        <v>536</v>
      </c>
      <c r="K405" s="2" t="s">
        <v>304</v>
      </c>
      <c r="L405" s="2" t="s">
        <v>100</v>
      </c>
      <c r="M405" s="8" t="str">
        <f>HYPERLINK("http://slimages.macys.com/is/image/MCY/11855683 ")</f>
        <v xml:space="preserve">http://slimages.macys.com/is/image/MCY/11855683 </v>
      </c>
    </row>
    <row r="406" spans="1:13" ht="60" x14ac:dyDescent="0.25">
      <c r="A406" s="7" t="s">
        <v>3558</v>
      </c>
      <c r="B406" s="2" t="s">
        <v>1333</v>
      </c>
      <c r="C406" s="4">
        <v>1</v>
      </c>
      <c r="D406" s="5">
        <v>2.0299999999999998</v>
      </c>
      <c r="E406" s="5">
        <v>4.99</v>
      </c>
      <c r="F406" s="4" t="s">
        <v>1325</v>
      </c>
      <c r="G406" s="2" t="s">
        <v>28</v>
      </c>
      <c r="H406" s="7" t="s">
        <v>196</v>
      </c>
      <c r="I406" s="2" t="s">
        <v>523</v>
      </c>
      <c r="J406" s="2" t="s">
        <v>921</v>
      </c>
      <c r="K406" s="2" t="s">
        <v>304</v>
      </c>
      <c r="L406" s="2" t="s">
        <v>323</v>
      </c>
      <c r="M406" s="8" t="str">
        <f>HYPERLINK("http://slimages.macys.com/is/image/MCY/8345548 ")</f>
        <v xml:space="preserve">http://slimages.macys.com/is/image/MCY/8345548 </v>
      </c>
    </row>
    <row r="407" spans="1:13" ht="36" x14ac:dyDescent="0.25">
      <c r="A407" s="7" t="s">
        <v>3559</v>
      </c>
      <c r="B407" s="2" t="s">
        <v>3560</v>
      </c>
      <c r="C407" s="4">
        <v>3</v>
      </c>
      <c r="D407" s="5">
        <v>12.95</v>
      </c>
      <c r="E407" s="5">
        <v>40</v>
      </c>
      <c r="F407" s="4" t="s">
        <v>3561</v>
      </c>
      <c r="G407" s="2" t="s">
        <v>28</v>
      </c>
      <c r="H407" s="7" t="s">
        <v>531</v>
      </c>
      <c r="I407" s="2" t="s">
        <v>3129</v>
      </c>
      <c r="J407" s="2" t="s">
        <v>3269</v>
      </c>
      <c r="K407" s="2"/>
      <c r="L407" s="2"/>
      <c r="M407" s="8"/>
    </row>
    <row r="408" spans="1:13" ht="36" x14ac:dyDescent="0.25">
      <c r="A408" s="7" t="s">
        <v>3562</v>
      </c>
      <c r="B408" s="2" t="s">
        <v>3563</v>
      </c>
      <c r="C408" s="4">
        <v>1</v>
      </c>
      <c r="D408" s="5">
        <v>11</v>
      </c>
      <c r="E408" s="5">
        <v>34</v>
      </c>
      <c r="F408" s="4" t="s">
        <v>3563</v>
      </c>
      <c r="G408" s="2" t="s">
        <v>41</v>
      </c>
      <c r="H408" s="7" t="s">
        <v>166</v>
      </c>
      <c r="I408" s="2" t="s">
        <v>50</v>
      </c>
      <c r="J408" s="2" t="s">
        <v>650</v>
      </c>
      <c r="K408" s="2"/>
      <c r="L408" s="2"/>
      <c r="M408" s="8"/>
    </row>
    <row r="409" spans="1:13" ht="36" x14ac:dyDescent="0.25">
      <c r="A409" s="7" t="s">
        <v>3564</v>
      </c>
      <c r="B409" s="2" t="s">
        <v>3565</v>
      </c>
      <c r="C409" s="4">
        <v>1</v>
      </c>
      <c r="D409" s="5">
        <v>10.75</v>
      </c>
      <c r="E409" s="5">
        <v>34</v>
      </c>
      <c r="F409" s="4" t="s">
        <v>3565</v>
      </c>
      <c r="G409" s="2" t="s">
        <v>62</v>
      </c>
      <c r="H409" s="7" t="s">
        <v>179</v>
      </c>
      <c r="I409" s="2" t="s">
        <v>50</v>
      </c>
      <c r="J409" s="2" t="s">
        <v>650</v>
      </c>
      <c r="K409" s="2"/>
      <c r="L409" s="2"/>
      <c r="M409" s="8"/>
    </row>
    <row r="410" spans="1:13" ht="36" x14ac:dyDescent="0.25">
      <c r="A410" s="7" t="s">
        <v>3566</v>
      </c>
      <c r="B410" s="2" t="s">
        <v>3565</v>
      </c>
      <c r="C410" s="4">
        <v>1</v>
      </c>
      <c r="D410" s="5">
        <v>10.75</v>
      </c>
      <c r="E410" s="5">
        <v>34</v>
      </c>
      <c r="F410" s="4" t="s">
        <v>3565</v>
      </c>
      <c r="G410" s="2" t="s">
        <v>62</v>
      </c>
      <c r="H410" s="7" t="s">
        <v>166</v>
      </c>
      <c r="I410" s="2" t="s">
        <v>50</v>
      </c>
      <c r="J410" s="2" t="s">
        <v>650</v>
      </c>
      <c r="K410" s="2"/>
      <c r="L410" s="2"/>
      <c r="M410" s="8"/>
    </row>
    <row r="411" spans="1:13" ht="36" x14ac:dyDescent="0.25">
      <c r="A411" s="7" t="s">
        <v>3567</v>
      </c>
      <c r="B411" s="2" t="s">
        <v>3565</v>
      </c>
      <c r="C411" s="4">
        <v>2</v>
      </c>
      <c r="D411" s="5">
        <v>10.75</v>
      </c>
      <c r="E411" s="5">
        <v>34</v>
      </c>
      <c r="F411" s="4" t="s">
        <v>3565</v>
      </c>
      <c r="G411" s="2" t="s">
        <v>62</v>
      </c>
      <c r="H411" s="7" t="s">
        <v>2872</v>
      </c>
      <c r="I411" s="2" t="s">
        <v>50</v>
      </c>
      <c r="J411" s="2" t="s">
        <v>650</v>
      </c>
      <c r="K411" s="2"/>
      <c r="L411" s="2"/>
      <c r="M411" s="8"/>
    </row>
    <row r="412" spans="1:13" ht="36" x14ac:dyDescent="0.25">
      <c r="A412" s="7" t="s">
        <v>3568</v>
      </c>
      <c r="B412" s="2" t="s">
        <v>3565</v>
      </c>
      <c r="C412" s="4">
        <v>1</v>
      </c>
      <c r="D412" s="5">
        <v>10.75</v>
      </c>
      <c r="E412" s="5">
        <v>34</v>
      </c>
      <c r="F412" s="4" t="s">
        <v>3565</v>
      </c>
      <c r="G412" s="2" t="s">
        <v>62</v>
      </c>
      <c r="H412" s="7" t="s">
        <v>961</v>
      </c>
      <c r="I412" s="2" t="s">
        <v>50</v>
      </c>
      <c r="J412" s="2" t="s">
        <v>650</v>
      </c>
      <c r="K412" s="2"/>
      <c r="L412" s="2"/>
      <c r="M412" s="8"/>
    </row>
    <row r="413" spans="1:13" ht="36" x14ac:dyDescent="0.25">
      <c r="A413" s="7" t="s">
        <v>3569</v>
      </c>
      <c r="B413" s="2" t="s">
        <v>3565</v>
      </c>
      <c r="C413" s="4">
        <v>1</v>
      </c>
      <c r="D413" s="5">
        <v>10.75</v>
      </c>
      <c r="E413" s="5">
        <v>34</v>
      </c>
      <c r="F413" s="4" t="s">
        <v>3565</v>
      </c>
      <c r="G413" s="2" t="s">
        <v>62</v>
      </c>
      <c r="H413" s="7" t="s">
        <v>123</v>
      </c>
      <c r="I413" s="2" t="s">
        <v>50</v>
      </c>
      <c r="J413" s="2" t="s">
        <v>650</v>
      </c>
      <c r="K413" s="2"/>
      <c r="L413" s="2"/>
      <c r="M413" s="8"/>
    </row>
    <row r="414" spans="1:13" ht="36" x14ac:dyDescent="0.25">
      <c r="A414" s="7" t="s">
        <v>3570</v>
      </c>
      <c r="B414" s="2" t="s">
        <v>3571</v>
      </c>
      <c r="C414" s="4">
        <v>2</v>
      </c>
      <c r="D414" s="5">
        <v>10.5</v>
      </c>
      <c r="E414" s="5">
        <v>34</v>
      </c>
      <c r="F414" s="4" t="s">
        <v>3572</v>
      </c>
      <c r="G414" s="2" t="s">
        <v>455</v>
      </c>
      <c r="H414" s="7" t="s">
        <v>961</v>
      </c>
      <c r="I414" s="2" t="s">
        <v>50</v>
      </c>
      <c r="J414" s="2" t="s">
        <v>650</v>
      </c>
      <c r="K414" s="2"/>
      <c r="L414" s="2"/>
      <c r="M414" s="8"/>
    </row>
    <row r="415" spans="1:13" ht="36" x14ac:dyDescent="0.25">
      <c r="A415" s="7" t="s">
        <v>3573</v>
      </c>
      <c r="B415" s="2" t="s">
        <v>3571</v>
      </c>
      <c r="C415" s="4">
        <v>2</v>
      </c>
      <c r="D415" s="5">
        <v>10.5</v>
      </c>
      <c r="E415" s="5">
        <v>34</v>
      </c>
      <c r="F415" s="4" t="s">
        <v>3572</v>
      </c>
      <c r="G415" s="2" t="s">
        <v>455</v>
      </c>
      <c r="H415" s="7" t="s">
        <v>2740</v>
      </c>
      <c r="I415" s="2" t="s">
        <v>50</v>
      </c>
      <c r="J415" s="2" t="s">
        <v>650</v>
      </c>
      <c r="K415" s="2"/>
      <c r="L415" s="2"/>
      <c r="M415" s="8"/>
    </row>
    <row r="416" spans="1:13" ht="36" x14ac:dyDescent="0.25">
      <c r="A416" s="7" t="s">
        <v>3574</v>
      </c>
      <c r="B416" s="2" t="s">
        <v>3575</v>
      </c>
      <c r="C416" s="4">
        <v>1</v>
      </c>
      <c r="D416" s="5">
        <v>10.5</v>
      </c>
      <c r="E416" s="5">
        <v>34</v>
      </c>
      <c r="F416" s="4" t="s">
        <v>3575</v>
      </c>
      <c r="G416" s="2" t="s">
        <v>437</v>
      </c>
      <c r="H416" s="7" t="s">
        <v>961</v>
      </c>
      <c r="I416" s="2" t="s">
        <v>50</v>
      </c>
      <c r="J416" s="2" t="s">
        <v>650</v>
      </c>
      <c r="K416" s="2"/>
      <c r="L416" s="2"/>
      <c r="M416" s="8"/>
    </row>
    <row r="417" spans="1:13" ht="36" x14ac:dyDescent="0.25">
      <c r="A417" s="7" t="s">
        <v>3576</v>
      </c>
      <c r="B417" s="2" t="s">
        <v>3571</v>
      </c>
      <c r="C417" s="4">
        <v>2</v>
      </c>
      <c r="D417" s="5">
        <v>10.5</v>
      </c>
      <c r="E417" s="5">
        <v>34</v>
      </c>
      <c r="F417" s="4" t="s">
        <v>3572</v>
      </c>
      <c r="G417" s="2" t="s">
        <v>455</v>
      </c>
      <c r="H417" s="7" t="s">
        <v>177</v>
      </c>
      <c r="I417" s="2" t="s">
        <v>50</v>
      </c>
      <c r="J417" s="2" t="s">
        <v>650</v>
      </c>
      <c r="K417" s="2"/>
      <c r="L417" s="2"/>
      <c r="M417" s="8"/>
    </row>
    <row r="418" spans="1:13" ht="60" x14ac:dyDescent="0.25">
      <c r="A418" s="7" t="s">
        <v>3577</v>
      </c>
      <c r="B418" s="2" t="s">
        <v>2423</v>
      </c>
      <c r="C418" s="4">
        <v>1</v>
      </c>
      <c r="D418" s="5">
        <v>10.3</v>
      </c>
      <c r="E418" s="5">
        <v>20.6</v>
      </c>
      <c r="F418" s="4">
        <v>28346410</v>
      </c>
      <c r="G418" s="2"/>
      <c r="H418" s="7" t="s">
        <v>144</v>
      </c>
      <c r="I418" s="2" t="s">
        <v>487</v>
      </c>
      <c r="J418" s="2" t="s">
        <v>2424</v>
      </c>
      <c r="K418" s="2"/>
      <c r="L418" s="2"/>
      <c r="M418" s="8"/>
    </row>
    <row r="419" spans="1:13" ht="60" x14ac:dyDescent="0.25">
      <c r="A419" s="7" t="s">
        <v>3578</v>
      </c>
      <c r="B419" s="2" t="s">
        <v>3579</v>
      </c>
      <c r="C419" s="4">
        <v>1</v>
      </c>
      <c r="D419" s="5">
        <v>10.3</v>
      </c>
      <c r="E419" s="5">
        <v>25.05</v>
      </c>
      <c r="F419" s="4">
        <v>17872211</v>
      </c>
      <c r="G419" s="2"/>
      <c r="H419" s="7" t="s">
        <v>91</v>
      </c>
      <c r="I419" s="2" t="s">
        <v>153</v>
      </c>
      <c r="J419" s="2" t="s">
        <v>3580</v>
      </c>
      <c r="K419" s="2"/>
      <c r="L419" s="2"/>
      <c r="M419" s="8"/>
    </row>
    <row r="420" spans="1:13" ht="60" x14ac:dyDescent="0.25">
      <c r="A420" s="7" t="s">
        <v>3581</v>
      </c>
      <c r="B420" s="2" t="s">
        <v>3579</v>
      </c>
      <c r="C420" s="4">
        <v>1</v>
      </c>
      <c r="D420" s="5">
        <v>10.3</v>
      </c>
      <c r="E420" s="5">
        <v>25.05</v>
      </c>
      <c r="F420" s="4">
        <v>17872211</v>
      </c>
      <c r="G420" s="2"/>
      <c r="H420" s="7" t="s">
        <v>438</v>
      </c>
      <c r="I420" s="2" t="s">
        <v>153</v>
      </c>
      <c r="J420" s="2" t="s">
        <v>3580</v>
      </c>
      <c r="K420" s="2"/>
      <c r="L420" s="2"/>
      <c r="M420" s="8"/>
    </row>
    <row r="421" spans="1:13" ht="36" x14ac:dyDescent="0.25">
      <c r="A421" s="7" t="s">
        <v>3582</v>
      </c>
      <c r="B421" s="2" t="s">
        <v>3583</v>
      </c>
      <c r="C421" s="4">
        <v>1</v>
      </c>
      <c r="D421" s="5">
        <v>10.25</v>
      </c>
      <c r="E421" s="5">
        <v>34</v>
      </c>
      <c r="F421" s="4" t="s">
        <v>3584</v>
      </c>
      <c r="G421" s="2" t="s">
        <v>28</v>
      </c>
      <c r="H421" s="7" t="s">
        <v>2872</v>
      </c>
      <c r="I421" s="2" t="s">
        <v>50</v>
      </c>
      <c r="J421" s="2" t="s">
        <v>650</v>
      </c>
      <c r="K421" s="2"/>
      <c r="L421" s="2"/>
      <c r="M421" s="8"/>
    </row>
    <row r="422" spans="1:13" ht="36" x14ac:dyDescent="0.25">
      <c r="A422" s="7" t="s">
        <v>3585</v>
      </c>
      <c r="B422" s="2" t="s">
        <v>3586</v>
      </c>
      <c r="C422" s="4">
        <v>1</v>
      </c>
      <c r="D422" s="5">
        <v>10</v>
      </c>
      <c r="E422" s="5">
        <v>32</v>
      </c>
      <c r="F422" s="4" t="s">
        <v>3587</v>
      </c>
      <c r="G422" s="2"/>
      <c r="H422" s="7" t="s">
        <v>531</v>
      </c>
      <c r="I422" s="2" t="s">
        <v>3129</v>
      </c>
      <c r="J422" s="2" t="s">
        <v>3269</v>
      </c>
      <c r="K422" s="2"/>
      <c r="L422" s="2"/>
      <c r="M422" s="8"/>
    </row>
    <row r="423" spans="1:13" ht="36" x14ac:dyDescent="0.25">
      <c r="A423" s="7" t="s">
        <v>3588</v>
      </c>
      <c r="B423" s="2" t="s">
        <v>3589</v>
      </c>
      <c r="C423" s="4">
        <v>1</v>
      </c>
      <c r="D423" s="5">
        <v>10</v>
      </c>
      <c r="E423" s="5">
        <v>32</v>
      </c>
      <c r="F423" s="4" t="s">
        <v>3590</v>
      </c>
      <c r="G423" s="2"/>
      <c r="H423" s="7" t="s">
        <v>531</v>
      </c>
      <c r="I423" s="2" t="s">
        <v>3129</v>
      </c>
      <c r="J423" s="2" t="s">
        <v>3269</v>
      </c>
      <c r="K423" s="2"/>
      <c r="L423" s="2"/>
      <c r="M423" s="8"/>
    </row>
    <row r="424" spans="1:13" ht="36" x14ac:dyDescent="0.25">
      <c r="A424" s="7" t="s">
        <v>3591</v>
      </c>
      <c r="B424" s="2" t="s">
        <v>652</v>
      </c>
      <c r="C424" s="4">
        <v>1</v>
      </c>
      <c r="D424" s="5">
        <v>9</v>
      </c>
      <c r="E424" s="5">
        <v>34</v>
      </c>
      <c r="F424" s="4" t="s">
        <v>652</v>
      </c>
      <c r="G424" s="2" t="s">
        <v>653</v>
      </c>
      <c r="H424" s="7" t="s">
        <v>179</v>
      </c>
      <c r="I424" s="2" t="s">
        <v>50</v>
      </c>
      <c r="J424" s="2" t="s">
        <v>650</v>
      </c>
      <c r="K424" s="2"/>
      <c r="L424" s="2"/>
      <c r="M424" s="8"/>
    </row>
    <row r="425" spans="1:13" ht="36" x14ac:dyDescent="0.25">
      <c r="A425" s="7" t="s">
        <v>3592</v>
      </c>
      <c r="B425" s="2" t="s">
        <v>652</v>
      </c>
      <c r="C425" s="4">
        <v>1</v>
      </c>
      <c r="D425" s="5">
        <v>9</v>
      </c>
      <c r="E425" s="5">
        <v>34</v>
      </c>
      <c r="F425" s="4" t="s">
        <v>652</v>
      </c>
      <c r="G425" s="2" t="s">
        <v>653</v>
      </c>
      <c r="H425" s="7" t="s">
        <v>2872</v>
      </c>
      <c r="I425" s="2" t="s">
        <v>50</v>
      </c>
      <c r="J425" s="2" t="s">
        <v>650</v>
      </c>
      <c r="K425" s="2"/>
      <c r="L425" s="2"/>
      <c r="M425" s="8"/>
    </row>
    <row r="426" spans="1:13" ht="36" x14ac:dyDescent="0.25">
      <c r="A426" s="7" t="s">
        <v>3593</v>
      </c>
      <c r="B426" s="2" t="s">
        <v>652</v>
      </c>
      <c r="C426" s="4">
        <v>1</v>
      </c>
      <c r="D426" s="5">
        <v>9</v>
      </c>
      <c r="E426" s="5">
        <v>34</v>
      </c>
      <c r="F426" s="4" t="s">
        <v>652</v>
      </c>
      <c r="G426" s="2" t="s">
        <v>653</v>
      </c>
      <c r="H426" s="7" t="s">
        <v>2740</v>
      </c>
      <c r="I426" s="2" t="s">
        <v>50</v>
      </c>
      <c r="J426" s="2" t="s">
        <v>650</v>
      </c>
      <c r="K426" s="2"/>
      <c r="L426" s="2"/>
      <c r="M426" s="8"/>
    </row>
    <row r="427" spans="1:13" ht="36" x14ac:dyDescent="0.25">
      <c r="A427" s="7" t="s">
        <v>3594</v>
      </c>
      <c r="B427" s="2" t="s">
        <v>3595</v>
      </c>
      <c r="C427" s="4">
        <v>1</v>
      </c>
      <c r="D427" s="5">
        <v>3</v>
      </c>
      <c r="E427" s="5">
        <v>10</v>
      </c>
      <c r="F427" s="4" t="s">
        <v>3596</v>
      </c>
      <c r="G427" s="2"/>
      <c r="H427" s="7" t="s">
        <v>394</v>
      </c>
      <c r="I427" s="2" t="s">
        <v>3129</v>
      </c>
      <c r="J427" s="2" t="s">
        <v>3597</v>
      </c>
      <c r="K427" s="2"/>
      <c r="L427" s="2"/>
      <c r="M427" s="8"/>
    </row>
  </sheetData>
  <pageMargins left="0.5" right="0.5" top="0.25" bottom="0.25" header="0.3" footer="0.3"/>
  <pageSetup scale="65" orientation="landscape" horizontalDpi="0" verticalDpi="0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172"/>
  <sheetViews>
    <sheetView workbookViewId="0">
      <selection activeCell="M6" sqref="M6"/>
    </sheetView>
  </sheetViews>
  <sheetFormatPr defaultRowHeight="15" x14ac:dyDescent="0.25"/>
  <cols>
    <col min="1" max="1" width="14.28515625" customWidth="1"/>
    <col min="2" max="2" width="45.85546875" customWidth="1"/>
    <col min="3" max="3" width="15" customWidth="1"/>
    <col min="4" max="4" width="10.85546875" customWidth="1"/>
    <col min="5" max="6" width="15" customWidth="1"/>
    <col min="7" max="7" width="10.28515625" customWidth="1"/>
    <col min="8" max="8" width="13.140625" customWidth="1"/>
    <col min="9" max="10" width="11.42578125" customWidth="1"/>
    <col min="11" max="11" width="10.85546875" customWidth="1"/>
    <col min="12" max="12" width="13.85546875" customWidth="1"/>
    <col min="13" max="13" width="10.85546875" customWidth="1"/>
    <col min="14" max="14" width="36.5703125" bestFit="1" customWidth="1"/>
    <col min="15" max="16" width="20.7109375" customWidth="1"/>
    <col min="17" max="17" width="64.28515625" customWidth="1"/>
  </cols>
  <sheetData>
    <row r="1" spans="1:12" ht="36" x14ac:dyDescent="0.25">
      <c r="A1" s="12" t="s">
        <v>0</v>
      </c>
      <c r="B1" s="12" t="s">
        <v>1</v>
      </c>
      <c r="C1" s="12" t="s">
        <v>2</v>
      </c>
      <c r="D1" s="12" t="s">
        <v>3</v>
      </c>
      <c r="E1" s="12" t="s">
        <v>4</v>
      </c>
      <c r="F1" s="12" t="s">
        <v>5</v>
      </c>
      <c r="G1" s="12" t="s">
        <v>6</v>
      </c>
      <c r="H1" s="12" t="s">
        <v>7</v>
      </c>
      <c r="I1" s="12" t="s">
        <v>8</v>
      </c>
      <c r="J1" s="12" t="s">
        <v>9</v>
      </c>
    </row>
    <row r="2" spans="1:12" ht="36" x14ac:dyDescent="0.25">
      <c r="A2" s="2" t="s">
        <v>10</v>
      </c>
      <c r="B2" s="3">
        <v>12506978</v>
      </c>
      <c r="C2" s="2" t="s">
        <v>11</v>
      </c>
      <c r="D2" s="2" t="s">
        <v>12</v>
      </c>
      <c r="E2" s="4">
        <v>1</v>
      </c>
      <c r="F2" s="4">
        <v>18</v>
      </c>
      <c r="G2" s="2">
        <v>175</v>
      </c>
      <c r="H2" s="5">
        <v>2878.72</v>
      </c>
      <c r="I2" s="5">
        <v>6449</v>
      </c>
      <c r="J2" s="2">
        <v>269</v>
      </c>
    </row>
    <row r="4" spans="1:12" s="6" customFormat="1" x14ac:dyDescent="0.25"/>
    <row r="8" spans="1:12" s="6" customFormat="1" x14ac:dyDescent="0.25"/>
    <row r="9" spans="1:12" ht="24" x14ac:dyDescent="0.25">
      <c r="A9" s="12" t="s">
        <v>13</v>
      </c>
      <c r="B9" s="12" t="s">
        <v>14</v>
      </c>
      <c r="C9" s="12" t="s">
        <v>15</v>
      </c>
      <c r="D9" s="12" t="s">
        <v>16</v>
      </c>
      <c r="E9" s="12" t="s">
        <v>17</v>
      </c>
      <c r="F9" s="12" t="s">
        <v>18</v>
      </c>
      <c r="G9" s="12" t="s">
        <v>19</v>
      </c>
      <c r="H9" s="12" t="s">
        <v>20</v>
      </c>
      <c r="I9" s="12" t="s">
        <v>21</v>
      </c>
      <c r="J9" s="12" t="s">
        <v>22</v>
      </c>
      <c r="K9" s="12" t="s">
        <v>23</v>
      </c>
      <c r="L9" s="12" t="s">
        <v>24</v>
      </c>
    </row>
    <row r="10" spans="1:12" ht="180" x14ac:dyDescent="0.25">
      <c r="A10" s="7" t="s">
        <v>2427</v>
      </c>
      <c r="B10" s="2" t="s">
        <v>2428</v>
      </c>
      <c r="C10" s="4">
        <v>1</v>
      </c>
      <c r="D10" s="5">
        <v>495.38</v>
      </c>
      <c r="E10" s="5">
        <v>799</v>
      </c>
      <c r="F10" s="4" t="s">
        <v>2429</v>
      </c>
      <c r="G10" s="2" t="s">
        <v>793</v>
      </c>
      <c r="H10" s="7" t="s">
        <v>394</v>
      </c>
      <c r="I10" s="2" t="s">
        <v>43</v>
      </c>
      <c r="J10" s="2" t="s">
        <v>2430</v>
      </c>
      <c r="K10" s="2" t="s">
        <v>2431</v>
      </c>
      <c r="L10" s="8" t="str">
        <f>HYPERLINK("http://images.bloomingdales.com/is/image/BLM/9008411 ")</f>
        <v xml:space="preserve">http://images.bloomingdales.com/is/image/BLM/9008411 </v>
      </c>
    </row>
    <row r="11" spans="1:12" ht="84" x14ac:dyDescent="0.25">
      <c r="A11" s="7" t="s">
        <v>2432</v>
      </c>
      <c r="B11" s="2" t="s">
        <v>2433</v>
      </c>
      <c r="C11" s="4">
        <v>1</v>
      </c>
      <c r="D11" s="5">
        <v>96.19</v>
      </c>
      <c r="E11" s="5">
        <v>129.99</v>
      </c>
      <c r="F11" s="4">
        <v>1946242</v>
      </c>
      <c r="G11" s="2" t="s">
        <v>393</v>
      </c>
      <c r="H11" s="7" t="s">
        <v>394</v>
      </c>
      <c r="I11" s="2" t="s">
        <v>43</v>
      </c>
      <c r="J11" s="2" t="s">
        <v>2434</v>
      </c>
      <c r="K11" s="2" t="s">
        <v>2435</v>
      </c>
      <c r="L11" s="8" t="str">
        <f>HYPERLINK("http://slimages.macys.com/is/image/MCY/8551548 ")</f>
        <v xml:space="preserve">http://slimages.macys.com/is/image/MCY/8551548 </v>
      </c>
    </row>
    <row r="12" spans="1:12" ht="84" x14ac:dyDescent="0.25">
      <c r="A12" s="7" t="s">
        <v>2436</v>
      </c>
      <c r="B12" s="2" t="s">
        <v>2437</v>
      </c>
      <c r="C12" s="4">
        <v>1</v>
      </c>
      <c r="D12" s="5">
        <v>38.25</v>
      </c>
      <c r="E12" s="5">
        <v>85</v>
      </c>
      <c r="F12" s="4">
        <v>320690705002</v>
      </c>
      <c r="G12" s="2" t="s">
        <v>36</v>
      </c>
      <c r="H12" s="7" t="s">
        <v>531</v>
      </c>
      <c r="I12" s="2" t="s">
        <v>676</v>
      </c>
      <c r="J12" s="2" t="s">
        <v>677</v>
      </c>
      <c r="K12" s="2" t="s">
        <v>206</v>
      </c>
      <c r="L12" s="8" t="str">
        <f>HYPERLINK("http://slimages.macys.com/is/image/MCY/10015090 ")</f>
        <v xml:space="preserve">http://slimages.macys.com/is/image/MCY/10015090 </v>
      </c>
    </row>
    <row r="13" spans="1:12" ht="96" x14ac:dyDescent="0.25">
      <c r="A13" s="7" t="s">
        <v>2438</v>
      </c>
      <c r="B13" s="2" t="s">
        <v>2439</v>
      </c>
      <c r="C13" s="4">
        <v>1</v>
      </c>
      <c r="D13" s="5">
        <v>37</v>
      </c>
      <c r="E13" s="5">
        <v>99</v>
      </c>
      <c r="F13" s="4" t="s">
        <v>2440</v>
      </c>
      <c r="G13" s="2" t="s">
        <v>103</v>
      </c>
      <c r="H13" s="7" t="s">
        <v>172</v>
      </c>
      <c r="I13" s="2" t="s">
        <v>668</v>
      </c>
      <c r="J13" s="2" t="s">
        <v>239</v>
      </c>
      <c r="K13" s="2" t="s">
        <v>2441</v>
      </c>
      <c r="L13" s="8" t="str">
        <f>HYPERLINK("http://slimages.macys.com/is/image/MCY/11267168 ")</f>
        <v xml:space="preserve">http://slimages.macys.com/is/image/MCY/11267168 </v>
      </c>
    </row>
    <row r="14" spans="1:12" ht="48" x14ac:dyDescent="0.25">
      <c r="A14" s="7" t="s">
        <v>2442</v>
      </c>
      <c r="B14" s="2" t="s">
        <v>2443</v>
      </c>
      <c r="C14" s="4">
        <v>1</v>
      </c>
      <c r="D14" s="5">
        <v>27.5</v>
      </c>
      <c r="E14" s="5">
        <v>55</v>
      </c>
      <c r="F14" s="4" t="s">
        <v>2444</v>
      </c>
      <c r="G14" s="2" t="s">
        <v>41</v>
      </c>
      <c r="H14" s="7" t="s">
        <v>2445</v>
      </c>
      <c r="I14" s="2" t="s">
        <v>50</v>
      </c>
      <c r="J14" s="2" t="s">
        <v>2446</v>
      </c>
      <c r="K14" s="2"/>
      <c r="L14" s="2"/>
    </row>
    <row r="15" spans="1:12" ht="60" x14ac:dyDescent="0.25">
      <c r="A15" s="7" t="s">
        <v>2447</v>
      </c>
      <c r="B15" s="2" t="s">
        <v>2448</v>
      </c>
      <c r="C15" s="4">
        <v>1</v>
      </c>
      <c r="D15" s="5">
        <v>20.25</v>
      </c>
      <c r="E15" s="5">
        <v>45</v>
      </c>
      <c r="F15" s="4">
        <v>321767529001</v>
      </c>
      <c r="G15" s="2" t="s">
        <v>657</v>
      </c>
      <c r="H15" s="7" t="s">
        <v>68</v>
      </c>
      <c r="I15" s="2" t="s">
        <v>204</v>
      </c>
      <c r="J15" s="2" t="s">
        <v>205</v>
      </c>
      <c r="K15" s="2" t="s">
        <v>304</v>
      </c>
      <c r="L15" s="2" t="s">
        <v>119</v>
      </c>
    </row>
    <row r="16" spans="1:12" ht="48" x14ac:dyDescent="0.25">
      <c r="A16" s="7" t="s">
        <v>2449</v>
      </c>
      <c r="B16" s="2" t="s">
        <v>2450</v>
      </c>
      <c r="C16" s="4">
        <v>1</v>
      </c>
      <c r="D16" s="5">
        <v>18</v>
      </c>
      <c r="E16" s="5">
        <v>49.5</v>
      </c>
      <c r="F16" s="4" t="s">
        <v>2451</v>
      </c>
      <c r="G16" s="2"/>
      <c r="H16" s="7" t="s">
        <v>172</v>
      </c>
      <c r="I16" s="2" t="s">
        <v>98</v>
      </c>
      <c r="J16" s="2" t="s">
        <v>99</v>
      </c>
      <c r="K16" s="2" t="s">
        <v>304</v>
      </c>
      <c r="L16" s="2" t="s">
        <v>100</v>
      </c>
    </row>
    <row r="17" spans="1:12" ht="84" x14ac:dyDescent="0.25">
      <c r="A17" s="7" t="s">
        <v>2452</v>
      </c>
      <c r="B17" s="2" t="s">
        <v>60</v>
      </c>
      <c r="C17" s="4">
        <v>1</v>
      </c>
      <c r="D17" s="5">
        <v>18</v>
      </c>
      <c r="E17" s="5">
        <v>49.99</v>
      </c>
      <c r="F17" s="4" t="s">
        <v>2453</v>
      </c>
      <c r="G17" s="2" t="s">
        <v>62</v>
      </c>
      <c r="H17" s="7"/>
      <c r="I17" s="2" t="s">
        <v>668</v>
      </c>
      <c r="J17" s="2" t="s">
        <v>1500</v>
      </c>
      <c r="K17" s="2" t="s">
        <v>304</v>
      </c>
      <c r="L17" s="2" t="s">
        <v>2454</v>
      </c>
    </row>
    <row r="18" spans="1:12" ht="36" x14ac:dyDescent="0.25">
      <c r="A18" s="7" t="s">
        <v>2455</v>
      </c>
      <c r="B18" s="2" t="s">
        <v>2456</v>
      </c>
      <c r="C18" s="4">
        <v>1</v>
      </c>
      <c r="D18" s="5">
        <v>17.8</v>
      </c>
      <c r="E18" s="5">
        <v>38</v>
      </c>
      <c r="F18" s="4" t="s">
        <v>2457</v>
      </c>
      <c r="G18" s="2" t="s">
        <v>195</v>
      </c>
      <c r="H18" s="7" t="s">
        <v>196</v>
      </c>
      <c r="I18" s="2" t="s">
        <v>73</v>
      </c>
      <c r="J18" s="2" t="s">
        <v>160</v>
      </c>
      <c r="K18" s="2" t="s">
        <v>304</v>
      </c>
      <c r="L18" s="2" t="s">
        <v>38</v>
      </c>
    </row>
    <row r="19" spans="1:12" ht="60" x14ac:dyDescent="0.25">
      <c r="A19" s="7" t="s">
        <v>2458</v>
      </c>
      <c r="B19" s="2" t="s">
        <v>2459</v>
      </c>
      <c r="C19" s="4">
        <v>1</v>
      </c>
      <c r="D19" s="5">
        <v>17.78</v>
      </c>
      <c r="E19" s="5">
        <v>39.5</v>
      </c>
      <c r="F19" s="4">
        <v>322750092004</v>
      </c>
      <c r="G19" s="2" t="s">
        <v>28</v>
      </c>
      <c r="H19" s="7" t="s">
        <v>311</v>
      </c>
      <c r="I19" s="2" t="s">
        <v>204</v>
      </c>
      <c r="J19" s="2" t="s">
        <v>205</v>
      </c>
      <c r="K19" s="2" t="s">
        <v>304</v>
      </c>
      <c r="L19" s="2" t="s">
        <v>224</v>
      </c>
    </row>
    <row r="20" spans="1:12" ht="108" x14ac:dyDescent="0.25">
      <c r="A20" s="7" t="s">
        <v>2460</v>
      </c>
      <c r="B20" s="2" t="s">
        <v>2461</v>
      </c>
      <c r="C20" s="4">
        <v>1</v>
      </c>
      <c r="D20" s="5">
        <v>17.25</v>
      </c>
      <c r="E20" s="5">
        <v>39.99</v>
      </c>
      <c r="F20" s="4" t="s">
        <v>2462</v>
      </c>
      <c r="G20" s="2" t="s">
        <v>129</v>
      </c>
      <c r="H20" s="7" t="s">
        <v>91</v>
      </c>
      <c r="I20" s="2" t="s">
        <v>92</v>
      </c>
      <c r="J20" s="2" t="s">
        <v>187</v>
      </c>
      <c r="K20" s="2" t="s">
        <v>304</v>
      </c>
      <c r="L20" s="2" t="s">
        <v>2463</v>
      </c>
    </row>
    <row r="21" spans="1:12" ht="48" x14ac:dyDescent="0.25">
      <c r="A21" s="7" t="s">
        <v>2464</v>
      </c>
      <c r="B21" s="2" t="s">
        <v>715</v>
      </c>
      <c r="C21" s="4">
        <v>1</v>
      </c>
      <c r="D21" s="5">
        <v>17</v>
      </c>
      <c r="E21" s="5">
        <v>42.5</v>
      </c>
      <c r="F21" s="4" t="s">
        <v>716</v>
      </c>
      <c r="G21" s="2"/>
      <c r="H21" s="7" t="s">
        <v>177</v>
      </c>
      <c r="I21" s="2" t="s">
        <v>98</v>
      </c>
      <c r="J21" s="2" t="s">
        <v>99</v>
      </c>
      <c r="K21" s="2" t="s">
        <v>304</v>
      </c>
      <c r="L21" s="2" t="s">
        <v>100</v>
      </c>
    </row>
    <row r="22" spans="1:12" ht="48" x14ac:dyDescent="0.25">
      <c r="A22" s="7" t="s">
        <v>2465</v>
      </c>
      <c r="B22" s="2" t="s">
        <v>2466</v>
      </c>
      <c r="C22" s="4">
        <v>1</v>
      </c>
      <c r="D22" s="5">
        <v>16.5</v>
      </c>
      <c r="E22" s="5">
        <v>36.67</v>
      </c>
      <c r="F22" s="4" t="s">
        <v>2467</v>
      </c>
      <c r="G22" s="2" t="s">
        <v>62</v>
      </c>
      <c r="H22" s="7" t="s">
        <v>217</v>
      </c>
      <c r="I22" s="2" t="s">
        <v>468</v>
      </c>
      <c r="J22" s="2" t="s">
        <v>2468</v>
      </c>
      <c r="K22" s="2" t="s">
        <v>304</v>
      </c>
      <c r="L22" s="2" t="s">
        <v>2469</v>
      </c>
    </row>
    <row r="23" spans="1:12" ht="36" x14ac:dyDescent="0.25">
      <c r="A23" s="7" t="s">
        <v>2470</v>
      </c>
      <c r="B23" s="2" t="s">
        <v>2471</v>
      </c>
      <c r="C23" s="4">
        <v>1</v>
      </c>
      <c r="D23" s="5">
        <v>16.399999999999999</v>
      </c>
      <c r="E23" s="5">
        <v>40</v>
      </c>
      <c r="F23" s="4" t="s">
        <v>2472</v>
      </c>
      <c r="G23" s="2" t="s">
        <v>793</v>
      </c>
      <c r="H23" s="7"/>
      <c r="I23" s="2" t="s">
        <v>80</v>
      </c>
      <c r="J23" s="2" t="s">
        <v>74</v>
      </c>
      <c r="K23" s="2" t="s">
        <v>304</v>
      </c>
      <c r="L23" s="2" t="s">
        <v>125</v>
      </c>
    </row>
    <row r="24" spans="1:12" ht="84" x14ac:dyDescent="0.25">
      <c r="A24" s="7" t="s">
        <v>2473</v>
      </c>
      <c r="B24" s="2" t="s">
        <v>1458</v>
      </c>
      <c r="C24" s="4">
        <v>1</v>
      </c>
      <c r="D24" s="5">
        <v>16</v>
      </c>
      <c r="E24" s="5">
        <v>39.99</v>
      </c>
      <c r="F24" s="4" t="s">
        <v>1459</v>
      </c>
      <c r="G24" s="2" t="s">
        <v>129</v>
      </c>
      <c r="H24" s="7" t="s">
        <v>442</v>
      </c>
      <c r="I24" s="2" t="s">
        <v>92</v>
      </c>
      <c r="J24" s="2" t="s">
        <v>239</v>
      </c>
      <c r="K24" s="2" t="s">
        <v>304</v>
      </c>
      <c r="L24" s="2" t="s">
        <v>1460</v>
      </c>
    </row>
    <row r="25" spans="1:12" ht="24" x14ac:dyDescent="0.25">
      <c r="A25" s="7" t="s">
        <v>2474</v>
      </c>
      <c r="B25" s="2" t="s">
        <v>2475</v>
      </c>
      <c r="C25" s="4">
        <v>1</v>
      </c>
      <c r="D25" s="5">
        <v>15.57</v>
      </c>
      <c r="E25" s="5">
        <v>31.99</v>
      </c>
      <c r="F25" s="4" t="s">
        <v>2476</v>
      </c>
      <c r="G25" s="2" t="s">
        <v>171</v>
      </c>
      <c r="H25" s="7" t="s">
        <v>228</v>
      </c>
      <c r="I25" s="2" t="s">
        <v>80</v>
      </c>
      <c r="J25" s="2" t="s">
        <v>160</v>
      </c>
      <c r="K25" s="2" t="s">
        <v>304</v>
      </c>
      <c r="L25" s="2" t="s">
        <v>125</v>
      </c>
    </row>
    <row r="26" spans="1:12" ht="36" x14ac:dyDescent="0.25">
      <c r="A26" s="7" t="s">
        <v>2477</v>
      </c>
      <c r="B26" s="2" t="s">
        <v>2478</v>
      </c>
      <c r="C26" s="4">
        <v>1</v>
      </c>
      <c r="D26" s="5">
        <v>15.57</v>
      </c>
      <c r="E26" s="5">
        <v>31.99</v>
      </c>
      <c r="F26" s="4" t="s">
        <v>2479</v>
      </c>
      <c r="G26" s="2" t="s">
        <v>698</v>
      </c>
      <c r="H26" s="7" t="s">
        <v>228</v>
      </c>
      <c r="I26" s="2" t="s">
        <v>73</v>
      </c>
      <c r="J26" s="2" t="s">
        <v>160</v>
      </c>
      <c r="K26" s="2" t="s">
        <v>304</v>
      </c>
      <c r="L26" s="2" t="s">
        <v>100</v>
      </c>
    </row>
    <row r="27" spans="1:12" ht="168" x14ac:dyDescent="0.25">
      <c r="A27" s="7" t="s">
        <v>2480</v>
      </c>
      <c r="B27" s="2" t="s">
        <v>2481</v>
      </c>
      <c r="C27" s="4">
        <v>1</v>
      </c>
      <c r="D27" s="5">
        <v>15</v>
      </c>
      <c r="E27" s="5">
        <v>39.99</v>
      </c>
      <c r="F27" s="4" t="s">
        <v>2482</v>
      </c>
      <c r="G27" s="2" t="s">
        <v>582</v>
      </c>
      <c r="H27" s="7" t="s">
        <v>149</v>
      </c>
      <c r="I27" s="2" t="s">
        <v>92</v>
      </c>
      <c r="J27" s="2" t="s">
        <v>65</v>
      </c>
      <c r="K27" s="2" t="s">
        <v>304</v>
      </c>
      <c r="L27" s="2" t="s">
        <v>2483</v>
      </c>
    </row>
    <row r="28" spans="1:12" ht="48" x14ac:dyDescent="0.25">
      <c r="A28" s="7" t="s">
        <v>1487</v>
      </c>
      <c r="B28" s="2" t="s">
        <v>1488</v>
      </c>
      <c r="C28" s="4">
        <v>1</v>
      </c>
      <c r="D28" s="5">
        <v>14.62</v>
      </c>
      <c r="E28" s="5">
        <v>39.5</v>
      </c>
      <c r="F28" s="4" t="s">
        <v>1489</v>
      </c>
      <c r="G28" s="2" t="s">
        <v>28</v>
      </c>
      <c r="H28" s="7" t="s">
        <v>172</v>
      </c>
      <c r="I28" s="2" t="s">
        <v>880</v>
      </c>
      <c r="J28" s="2" t="s">
        <v>881</v>
      </c>
      <c r="K28" s="2" t="s">
        <v>304</v>
      </c>
      <c r="L28" s="2" t="s">
        <v>119</v>
      </c>
    </row>
    <row r="29" spans="1:12" ht="48" x14ac:dyDescent="0.25">
      <c r="A29" s="7" t="s">
        <v>2484</v>
      </c>
      <c r="B29" s="2" t="s">
        <v>2485</v>
      </c>
      <c r="C29" s="4">
        <v>1</v>
      </c>
      <c r="D29" s="5">
        <v>14</v>
      </c>
      <c r="E29" s="5">
        <v>39.99</v>
      </c>
      <c r="F29" s="4" t="s">
        <v>2486</v>
      </c>
      <c r="G29" s="2"/>
      <c r="H29" s="7" t="s">
        <v>97</v>
      </c>
      <c r="I29" s="2" t="s">
        <v>668</v>
      </c>
      <c r="J29" s="2" t="s">
        <v>1437</v>
      </c>
      <c r="K29" s="2" t="s">
        <v>304</v>
      </c>
      <c r="L29" s="2" t="s">
        <v>1614</v>
      </c>
    </row>
    <row r="30" spans="1:12" ht="96" x14ac:dyDescent="0.25">
      <c r="A30" s="7" t="s">
        <v>2487</v>
      </c>
      <c r="B30" s="2" t="s">
        <v>2488</v>
      </c>
      <c r="C30" s="4">
        <v>2</v>
      </c>
      <c r="D30" s="5">
        <v>14</v>
      </c>
      <c r="E30" s="5">
        <v>34.99</v>
      </c>
      <c r="F30" s="4" t="s">
        <v>2489</v>
      </c>
      <c r="G30" s="2" t="s">
        <v>388</v>
      </c>
      <c r="H30" s="7" t="s">
        <v>442</v>
      </c>
      <c r="I30" s="2" t="s">
        <v>135</v>
      </c>
      <c r="J30" s="2" t="s">
        <v>136</v>
      </c>
      <c r="K30" s="2" t="s">
        <v>304</v>
      </c>
      <c r="L30" s="2" t="s">
        <v>137</v>
      </c>
    </row>
    <row r="31" spans="1:12" ht="96" x14ac:dyDescent="0.25">
      <c r="A31" s="7" t="s">
        <v>2490</v>
      </c>
      <c r="B31" s="2" t="s">
        <v>2488</v>
      </c>
      <c r="C31" s="4">
        <v>1</v>
      </c>
      <c r="D31" s="5">
        <v>14</v>
      </c>
      <c r="E31" s="5">
        <v>34.99</v>
      </c>
      <c r="F31" s="4" t="s">
        <v>2489</v>
      </c>
      <c r="G31" s="2" t="s">
        <v>388</v>
      </c>
      <c r="H31" s="7" t="s">
        <v>42</v>
      </c>
      <c r="I31" s="2" t="s">
        <v>135</v>
      </c>
      <c r="J31" s="2" t="s">
        <v>136</v>
      </c>
      <c r="K31" s="2" t="s">
        <v>304</v>
      </c>
      <c r="L31" s="2" t="s">
        <v>137</v>
      </c>
    </row>
    <row r="32" spans="1:12" ht="96" x14ac:dyDescent="0.25">
      <c r="A32" s="7" t="s">
        <v>2491</v>
      </c>
      <c r="B32" s="2" t="s">
        <v>2488</v>
      </c>
      <c r="C32" s="4">
        <v>2</v>
      </c>
      <c r="D32" s="5">
        <v>14</v>
      </c>
      <c r="E32" s="5">
        <v>34.99</v>
      </c>
      <c r="F32" s="4" t="s">
        <v>2489</v>
      </c>
      <c r="G32" s="2" t="s">
        <v>388</v>
      </c>
      <c r="H32" s="7" t="s">
        <v>91</v>
      </c>
      <c r="I32" s="2" t="s">
        <v>135</v>
      </c>
      <c r="J32" s="2" t="s">
        <v>136</v>
      </c>
      <c r="K32" s="2" t="s">
        <v>304</v>
      </c>
      <c r="L32" s="2" t="s">
        <v>137</v>
      </c>
    </row>
    <row r="33" spans="1:12" ht="144" x14ac:dyDescent="0.25">
      <c r="A33" s="7" t="s">
        <v>2492</v>
      </c>
      <c r="B33" s="2" t="s">
        <v>2493</v>
      </c>
      <c r="C33" s="4">
        <v>1</v>
      </c>
      <c r="D33" s="5">
        <v>13.75</v>
      </c>
      <c r="E33" s="5">
        <v>39.99</v>
      </c>
      <c r="F33" s="4" t="s">
        <v>2494</v>
      </c>
      <c r="G33" s="2" t="s">
        <v>752</v>
      </c>
      <c r="H33" s="7" t="s">
        <v>42</v>
      </c>
      <c r="I33" s="2" t="s">
        <v>92</v>
      </c>
      <c r="J33" s="2" t="s">
        <v>239</v>
      </c>
      <c r="K33" s="2" t="s">
        <v>304</v>
      </c>
      <c r="L33" s="2" t="s">
        <v>2495</v>
      </c>
    </row>
    <row r="34" spans="1:12" ht="180" x14ac:dyDescent="0.25">
      <c r="A34" s="7" t="s">
        <v>2496</v>
      </c>
      <c r="B34" s="2" t="s">
        <v>2497</v>
      </c>
      <c r="C34" s="4">
        <v>1</v>
      </c>
      <c r="D34" s="5">
        <v>13.75</v>
      </c>
      <c r="E34" s="5">
        <v>39.99</v>
      </c>
      <c r="F34" s="4" t="s">
        <v>2498</v>
      </c>
      <c r="G34" s="2" t="s">
        <v>28</v>
      </c>
      <c r="H34" s="7" t="s">
        <v>149</v>
      </c>
      <c r="I34" s="2" t="s">
        <v>92</v>
      </c>
      <c r="J34" s="2" t="s">
        <v>239</v>
      </c>
      <c r="K34" s="2" t="s">
        <v>304</v>
      </c>
      <c r="L34" s="2" t="s">
        <v>1452</v>
      </c>
    </row>
    <row r="35" spans="1:12" ht="168" x14ac:dyDescent="0.25">
      <c r="A35" s="7" t="s">
        <v>2499</v>
      </c>
      <c r="B35" s="2" t="s">
        <v>2500</v>
      </c>
      <c r="C35" s="4">
        <v>2</v>
      </c>
      <c r="D35" s="5">
        <v>13.35</v>
      </c>
      <c r="E35" s="5">
        <v>31.05</v>
      </c>
      <c r="F35" s="4">
        <v>18867810</v>
      </c>
      <c r="G35" s="2" t="s">
        <v>476</v>
      </c>
      <c r="H35" s="7" t="s">
        <v>590</v>
      </c>
      <c r="I35" s="2" t="s">
        <v>153</v>
      </c>
      <c r="J35" s="2" t="s">
        <v>154</v>
      </c>
      <c r="K35" s="2" t="s">
        <v>304</v>
      </c>
      <c r="L35" s="2" t="s">
        <v>2501</v>
      </c>
    </row>
    <row r="36" spans="1:12" ht="36" x14ac:dyDescent="0.25">
      <c r="A36" s="7" t="s">
        <v>2502</v>
      </c>
      <c r="B36" s="2" t="s">
        <v>2503</v>
      </c>
      <c r="C36" s="4">
        <v>1</v>
      </c>
      <c r="D36" s="5">
        <v>13.25</v>
      </c>
      <c r="E36" s="5">
        <v>26.99</v>
      </c>
      <c r="F36" s="4" t="s">
        <v>2504</v>
      </c>
      <c r="G36" s="2" t="s">
        <v>28</v>
      </c>
      <c r="H36" s="7"/>
      <c r="I36" s="2" t="s">
        <v>380</v>
      </c>
      <c r="J36" s="2" t="s">
        <v>258</v>
      </c>
      <c r="K36" s="2" t="s">
        <v>304</v>
      </c>
      <c r="L36" s="2" t="s">
        <v>87</v>
      </c>
    </row>
    <row r="37" spans="1:12" ht="60" x14ac:dyDescent="0.25">
      <c r="A37" s="7" t="s">
        <v>2505</v>
      </c>
      <c r="B37" s="2" t="s">
        <v>2506</v>
      </c>
      <c r="C37" s="4">
        <v>1</v>
      </c>
      <c r="D37" s="5">
        <v>13</v>
      </c>
      <c r="E37" s="5">
        <v>26.99</v>
      </c>
      <c r="F37" s="4" t="s">
        <v>182</v>
      </c>
      <c r="G37" s="2" t="s">
        <v>653</v>
      </c>
      <c r="H37" s="7"/>
      <c r="I37" s="2" t="s">
        <v>173</v>
      </c>
      <c r="J37" s="2" t="s">
        <v>174</v>
      </c>
      <c r="K37" s="2" t="s">
        <v>304</v>
      </c>
      <c r="L37" s="2" t="s">
        <v>183</v>
      </c>
    </row>
    <row r="38" spans="1:12" ht="72" x14ac:dyDescent="0.25">
      <c r="A38" s="7" t="s">
        <v>2507</v>
      </c>
      <c r="B38" s="2" t="s">
        <v>2508</v>
      </c>
      <c r="C38" s="4">
        <v>1</v>
      </c>
      <c r="D38" s="5">
        <v>13</v>
      </c>
      <c r="E38" s="5">
        <v>26.99</v>
      </c>
      <c r="F38" s="4" t="s">
        <v>2509</v>
      </c>
      <c r="G38" s="2" t="s">
        <v>262</v>
      </c>
      <c r="H38" s="7" t="s">
        <v>172</v>
      </c>
      <c r="I38" s="2" t="s">
        <v>173</v>
      </c>
      <c r="J38" s="2" t="s">
        <v>174</v>
      </c>
      <c r="K38" s="2" t="s">
        <v>304</v>
      </c>
      <c r="L38" s="2" t="s">
        <v>175</v>
      </c>
    </row>
    <row r="39" spans="1:12" ht="72" x14ac:dyDescent="0.25">
      <c r="A39" s="7" t="s">
        <v>178</v>
      </c>
      <c r="B39" s="2" t="s">
        <v>169</v>
      </c>
      <c r="C39" s="4">
        <v>1</v>
      </c>
      <c r="D39" s="5">
        <v>13</v>
      </c>
      <c r="E39" s="5">
        <v>26.99</v>
      </c>
      <c r="F39" s="4" t="s">
        <v>170</v>
      </c>
      <c r="G39" s="2" t="s">
        <v>171</v>
      </c>
      <c r="H39" s="7" t="s">
        <v>179</v>
      </c>
      <c r="I39" s="2" t="s">
        <v>173</v>
      </c>
      <c r="J39" s="2" t="s">
        <v>174</v>
      </c>
      <c r="K39" s="2" t="s">
        <v>304</v>
      </c>
      <c r="L39" s="2" t="s">
        <v>175</v>
      </c>
    </row>
    <row r="40" spans="1:12" ht="168" x14ac:dyDescent="0.25">
      <c r="A40" s="7" t="s">
        <v>2510</v>
      </c>
      <c r="B40" s="2" t="s">
        <v>189</v>
      </c>
      <c r="C40" s="4">
        <v>2</v>
      </c>
      <c r="D40" s="5">
        <v>12.5</v>
      </c>
      <c r="E40" s="5">
        <v>34.99</v>
      </c>
      <c r="F40" s="4" t="s">
        <v>190</v>
      </c>
      <c r="G40" s="2" t="s">
        <v>129</v>
      </c>
      <c r="H40" s="7" t="s">
        <v>42</v>
      </c>
      <c r="I40" s="2" t="s">
        <v>92</v>
      </c>
      <c r="J40" s="2" t="s">
        <v>65</v>
      </c>
      <c r="K40" s="2" t="s">
        <v>304</v>
      </c>
      <c r="L40" s="2" t="s">
        <v>191</v>
      </c>
    </row>
    <row r="41" spans="1:12" ht="60" x14ac:dyDescent="0.25">
      <c r="A41" s="7" t="s">
        <v>779</v>
      </c>
      <c r="B41" s="2" t="s">
        <v>198</v>
      </c>
      <c r="C41" s="4">
        <v>16</v>
      </c>
      <c r="D41" s="5">
        <v>12.39</v>
      </c>
      <c r="E41" s="5">
        <v>29.5</v>
      </c>
      <c r="F41" s="4" t="s">
        <v>199</v>
      </c>
      <c r="G41" s="2" t="s">
        <v>200</v>
      </c>
      <c r="H41" s="7" t="s">
        <v>442</v>
      </c>
      <c r="I41" s="2" t="s">
        <v>135</v>
      </c>
      <c r="J41" s="2" t="s">
        <v>201</v>
      </c>
      <c r="K41" s="2" t="s">
        <v>304</v>
      </c>
      <c r="L41" s="2" t="s">
        <v>87</v>
      </c>
    </row>
    <row r="42" spans="1:12" ht="60" x14ac:dyDescent="0.25">
      <c r="A42" s="7" t="s">
        <v>2511</v>
      </c>
      <c r="B42" s="2" t="s">
        <v>198</v>
      </c>
      <c r="C42" s="4">
        <v>15</v>
      </c>
      <c r="D42" s="5">
        <v>12.39</v>
      </c>
      <c r="E42" s="5">
        <v>29.5</v>
      </c>
      <c r="F42" s="4" t="s">
        <v>199</v>
      </c>
      <c r="G42" s="2" t="s">
        <v>200</v>
      </c>
      <c r="H42" s="7" t="s">
        <v>42</v>
      </c>
      <c r="I42" s="2" t="s">
        <v>135</v>
      </c>
      <c r="J42" s="2" t="s">
        <v>201</v>
      </c>
      <c r="K42" s="2" t="s">
        <v>304</v>
      </c>
      <c r="L42" s="2" t="s">
        <v>87</v>
      </c>
    </row>
    <row r="43" spans="1:12" ht="60" x14ac:dyDescent="0.25">
      <c r="A43" s="7" t="s">
        <v>197</v>
      </c>
      <c r="B43" s="2" t="s">
        <v>198</v>
      </c>
      <c r="C43" s="4">
        <v>33</v>
      </c>
      <c r="D43" s="5">
        <v>12.39</v>
      </c>
      <c r="E43" s="5">
        <v>29.5</v>
      </c>
      <c r="F43" s="4" t="s">
        <v>199</v>
      </c>
      <c r="G43" s="2" t="s">
        <v>200</v>
      </c>
      <c r="H43" s="7" t="s">
        <v>91</v>
      </c>
      <c r="I43" s="2" t="s">
        <v>135</v>
      </c>
      <c r="J43" s="2" t="s">
        <v>201</v>
      </c>
      <c r="K43" s="2" t="s">
        <v>304</v>
      </c>
      <c r="L43" s="2" t="s">
        <v>87</v>
      </c>
    </row>
    <row r="44" spans="1:12" ht="60" x14ac:dyDescent="0.25">
      <c r="A44" s="7" t="s">
        <v>2512</v>
      </c>
      <c r="B44" s="2" t="s">
        <v>2513</v>
      </c>
      <c r="C44" s="4">
        <v>1</v>
      </c>
      <c r="D44" s="5">
        <v>12.38</v>
      </c>
      <c r="E44" s="5">
        <v>27.5</v>
      </c>
      <c r="F44" s="4">
        <v>321761644005</v>
      </c>
      <c r="G44" s="2" t="s">
        <v>129</v>
      </c>
      <c r="H44" s="7" t="s">
        <v>144</v>
      </c>
      <c r="I44" s="2" t="s">
        <v>204</v>
      </c>
      <c r="J44" s="2" t="s">
        <v>205</v>
      </c>
      <c r="K44" s="2" t="s">
        <v>304</v>
      </c>
      <c r="L44" s="2" t="s">
        <v>38</v>
      </c>
    </row>
    <row r="45" spans="1:12" ht="144" x14ac:dyDescent="0.25">
      <c r="A45" s="7" t="s">
        <v>232</v>
      </c>
      <c r="B45" s="2" t="s">
        <v>152</v>
      </c>
      <c r="C45" s="4">
        <v>1</v>
      </c>
      <c r="D45" s="5">
        <v>11.1</v>
      </c>
      <c r="E45" s="5">
        <v>25.24</v>
      </c>
      <c r="F45" s="4">
        <v>19318310</v>
      </c>
      <c r="G45" s="2"/>
      <c r="H45" s="7" t="s">
        <v>233</v>
      </c>
      <c r="I45" s="2" t="s">
        <v>153</v>
      </c>
      <c r="J45" s="2" t="s">
        <v>154</v>
      </c>
      <c r="K45" s="2" t="s">
        <v>304</v>
      </c>
      <c r="L45" s="2" t="s">
        <v>234</v>
      </c>
    </row>
    <row r="46" spans="1:12" ht="108" x14ac:dyDescent="0.25">
      <c r="A46" s="7" t="s">
        <v>2514</v>
      </c>
      <c r="B46" s="2" t="s">
        <v>2515</v>
      </c>
      <c r="C46" s="4">
        <v>1</v>
      </c>
      <c r="D46" s="5">
        <v>10.75</v>
      </c>
      <c r="E46" s="5">
        <v>27.99</v>
      </c>
      <c r="F46" s="4" t="s">
        <v>2516</v>
      </c>
      <c r="G46" s="2" t="s">
        <v>165</v>
      </c>
      <c r="H46" s="7" t="s">
        <v>63</v>
      </c>
      <c r="I46" s="2" t="s">
        <v>73</v>
      </c>
      <c r="J46" s="2" t="s">
        <v>778</v>
      </c>
      <c r="K46" s="2" t="s">
        <v>304</v>
      </c>
      <c r="L46" s="2" t="s">
        <v>2517</v>
      </c>
    </row>
    <row r="47" spans="1:12" ht="36" x14ac:dyDescent="0.25">
      <c r="A47" s="7" t="s">
        <v>2518</v>
      </c>
      <c r="B47" s="2" t="s">
        <v>2519</v>
      </c>
      <c r="C47" s="4">
        <v>1</v>
      </c>
      <c r="D47" s="5">
        <v>10.5</v>
      </c>
      <c r="E47" s="5">
        <v>24.99</v>
      </c>
      <c r="F47" s="4" t="s">
        <v>2520</v>
      </c>
      <c r="G47" s="2" t="s">
        <v>262</v>
      </c>
      <c r="H47" s="7" t="s">
        <v>177</v>
      </c>
      <c r="I47" s="2" t="s">
        <v>257</v>
      </c>
      <c r="J47" s="2" t="s">
        <v>258</v>
      </c>
      <c r="K47" s="2" t="s">
        <v>304</v>
      </c>
      <c r="L47" s="2" t="s">
        <v>75</v>
      </c>
    </row>
    <row r="48" spans="1:12" ht="84" x14ac:dyDescent="0.25">
      <c r="A48" s="7" t="s">
        <v>2521</v>
      </c>
      <c r="B48" s="2" t="s">
        <v>809</v>
      </c>
      <c r="C48" s="4">
        <v>1</v>
      </c>
      <c r="D48" s="5">
        <v>10.5</v>
      </c>
      <c r="E48" s="5">
        <v>25.25</v>
      </c>
      <c r="F48" s="4">
        <v>19318710</v>
      </c>
      <c r="G48" s="2"/>
      <c r="H48" s="7" t="s">
        <v>438</v>
      </c>
      <c r="I48" s="2" t="s">
        <v>153</v>
      </c>
      <c r="J48" s="2" t="s">
        <v>154</v>
      </c>
      <c r="K48" s="2" t="s">
        <v>304</v>
      </c>
      <c r="L48" s="2" t="s">
        <v>810</v>
      </c>
    </row>
    <row r="49" spans="1:12" ht="36" x14ac:dyDescent="0.25">
      <c r="A49" s="7" t="s">
        <v>2522</v>
      </c>
      <c r="B49" s="2" t="s">
        <v>255</v>
      </c>
      <c r="C49" s="4">
        <v>2</v>
      </c>
      <c r="D49" s="5">
        <v>10.5</v>
      </c>
      <c r="E49" s="5">
        <v>24.99</v>
      </c>
      <c r="F49" s="4" t="s">
        <v>256</v>
      </c>
      <c r="G49" s="2" t="s">
        <v>86</v>
      </c>
      <c r="H49" s="7" t="s">
        <v>172</v>
      </c>
      <c r="I49" s="2" t="s">
        <v>257</v>
      </c>
      <c r="J49" s="2" t="s">
        <v>258</v>
      </c>
      <c r="K49" s="2" t="s">
        <v>304</v>
      </c>
      <c r="L49" s="2" t="s">
        <v>206</v>
      </c>
    </row>
    <row r="50" spans="1:12" ht="84" x14ac:dyDescent="0.25">
      <c r="A50" s="7" t="s">
        <v>2523</v>
      </c>
      <c r="B50" s="2" t="s">
        <v>809</v>
      </c>
      <c r="C50" s="4">
        <v>1</v>
      </c>
      <c r="D50" s="5">
        <v>10.5</v>
      </c>
      <c r="E50" s="5">
        <v>25.25</v>
      </c>
      <c r="F50" s="4">
        <v>19318710</v>
      </c>
      <c r="G50" s="2"/>
      <c r="H50" s="7" t="s">
        <v>233</v>
      </c>
      <c r="I50" s="2" t="s">
        <v>153</v>
      </c>
      <c r="J50" s="2" t="s">
        <v>154</v>
      </c>
      <c r="K50" s="2" t="s">
        <v>304</v>
      </c>
      <c r="L50" s="2" t="s">
        <v>810</v>
      </c>
    </row>
    <row r="51" spans="1:12" ht="36" x14ac:dyDescent="0.25">
      <c r="A51" s="7" t="s">
        <v>2524</v>
      </c>
      <c r="B51" s="2" t="s">
        <v>2519</v>
      </c>
      <c r="C51" s="4">
        <v>1</v>
      </c>
      <c r="D51" s="5">
        <v>10.5</v>
      </c>
      <c r="E51" s="5">
        <v>24.99</v>
      </c>
      <c r="F51" s="4" t="s">
        <v>2520</v>
      </c>
      <c r="G51" s="2" t="s">
        <v>262</v>
      </c>
      <c r="H51" s="7" t="s">
        <v>172</v>
      </c>
      <c r="I51" s="2" t="s">
        <v>257</v>
      </c>
      <c r="J51" s="2" t="s">
        <v>258</v>
      </c>
      <c r="K51" s="2" t="s">
        <v>304</v>
      </c>
      <c r="L51" s="2" t="s">
        <v>75</v>
      </c>
    </row>
    <row r="52" spans="1:12" ht="60" x14ac:dyDescent="0.25">
      <c r="A52" s="7" t="s">
        <v>265</v>
      </c>
      <c r="B52" s="2" t="s">
        <v>246</v>
      </c>
      <c r="C52" s="4">
        <v>1</v>
      </c>
      <c r="D52" s="5">
        <v>10.5</v>
      </c>
      <c r="E52" s="5">
        <v>21.99</v>
      </c>
      <c r="F52" s="4" t="s">
        <v>247</v>
      </c>
      <c r="G52" s="2" t="s">
        <v>165</v>
      </c>
      <c r="H52" s="7" t="s">
        <v>266</v>
      </c>
      <c r="I52" s="2" t="s">
        <v>73</v>
      </c>
      <c r="J52" s="2" t="s">
        <v>249</v>
      </c>
      <c r="K52" s="2" t="s">
        <v>304</v>
      </c>
      <c r="L52" s="2" t="s">
        <v>125</v>
      </c>
    </row>
    <row r="53" spans="1:12" ht="36" x14ac:dyDescent="0.25">
      <c r="A53" s="7" t="s">
        <v>819</v>
      </c>
      <c r="B53" s="2" t="s">
        <v>255</v>
      </c>
      <c r="C53" s="4">
        <v>1</v>
      </c>
      <c r="D53" s="5">
        <v>10.5</v>
      </c>
      <c r="E53" s="5">
        <v>24.99</v>
      </c>
      <c r="F53" s="4" t="s">
        <v>256</v>
      </c>
      <c r="G53" s="2" t="s">
        <v>262</v>
      </c>
      <c r="H53" s="7" t="s">
        <v>172</v>
      </c>
      <c r="I53" s="2" t="s">
        <v>257</v>
      </c>
      <c r="J53" s="2" t="s">
        <v>258</v>
      </c>
      <c r="K53" s="2" t="s">
        <v>304</v>
      </c>
      <c r="L53" s="2" t="s">
        <v>206</v>
      </c>
    </row>
    <row r="54" spans="1:12" ht="168" x14ac:dyDescent="0.25">
      <c r="A54" s="7" t="s">
        <v>2525</v>
      </c>
      <c r="B54" s="2" t="s">
        <v>2526</v>
      </c>
      <c r="C54" s="4">
        <v>1</v>
      </c>
      <c r="D54" s="5">
        <v>10.25</v>
      </c>
      <c r="E54" s="5">
        <v>23.31</v>
      </c>
      <c r="F54" s="4">
        <v>18632610</v>
      </c>
      <c r="G54" s="2" t="s">
        <v>892</v>
      </c>
      <c r="H54" s="7" t="s">
        <v>233</v>
      </c>
      <c r="I54" s="2" t="s">
        <v>153</v>
      </c>
      <c r="J54" s="2" t="s">
        <v>154</v>
      </c>
      <c r="K54" s="2" t="s">
        <v>304</v>
      </c>
      <c r="L54" s="2" t="s">
        <v>2527</v>
      </c>
    </row>
    <row r="55" spans="1:12" ht="108" x14ac:dyDescent="0.25">
      <c r="A55" s="7" t="s">
        <v>2528</v>
      </c>
      <c r="B55" s="2" t="s">
        <v>2529</v>
      </c>
      <c r="C55" s="4">
        <v>1</v>
      </c>
      <c r="D55" s="5">
        <v>9.65</v>
      </c>
      <c r="E55" s="5">
        <v>19.3</v>
      </c>
      <c r="F55" s="4" t="s">
        <v>2530</v>
      </c>
      <c r="G55" s="2" t="s">
        <v>36</v>
      </c>
      <c r="H55" s="7" t="s">
        <v>2531</v>
      </c>
      <c r="I55" s="2" t="s">
        <v>487</v>
      </c>
      <c r="J55" s="2" t="s">
        <v>488</v>
      </c>
      <c r="K55" s="2" t="s">
        <v>304</v>
      </c>
      <c r="L55" s="2" t="s">
        <v>2532</v>
      </c>
    </row>
    <row r="56" spans="1:12" ht="144" x14ac:dyDescent="0.25">
      <c r="A56" s="7" t="s">
        <v>2533</v>
      </c>
      <c r="B56" s="2" t="s">
        <v>2534</v>
      </c>
      <c r="C56" s="4">
        <v>1</v>
      </c>
      <c r="D56" s="5">
        <v>9.1999999999999993</v>
      </c>
      <c r="E56" s="5">
        <v>21.99</v>
      </c>
      <c r="F56" s="4">
        <v>16519610</v>
      </c>
      <c r="G56" s="2" t="s">
        <v>476</v>
      </c>
      <c r="H56" s="7" t="s">
        <v>675</v>
      </c>
      <c r="I56" s="2" t="s">
        <v>153</v>
      </c>
      <c r="J56" s="2" t="s">
        <v>154</v>
      </c>
      <c r="K56" s="2" t="s">
        <v>304</v>
      </c>
      <c r="L56" s="2" t="s">
        <v>2535</v>
      </c>
    </row>
    <row r="57" spans="1:12" ht="60" x14ac:dyDescent="0.25">
      <c r="A57" s="7" t="s">
        <v>2536</v>
      </c>
      <c r="B57" s="2" t="s">
        <v>333</v>
      </c>
      <c r="C57" s="4">
        <v>1</v>
      </c>
      <c r="D57" s="5">
        <v>9.1</v>
      </c>
      <c r="E57" s="5">
        <v>19.989999999999998</v>
      </c>
      <c r="F57" s="4" t="s">
        <v>334</v>
      </c>
      <c r="G57" s="2" t="s">
        <v>41</v>
      </c>
      <c r="H57" s="7" t="s">
        <v>166</v>
      </c>
      <c r="I57" s="2" t="s">
        <v>73</v>
      </c>
      <c r="J57" s="2" t="s">
        <v>249</v>
      </c>
      <c r="K57" s="2" t="s">
        <v>304</v>
      </c>
      <c r="L57" s="2" t="s">
        <v>335</v>
      </c>
    </row>
    <row r="58" spans="1:12" ht="72" x14ac:dyDescent="0.25">
      <c r="A58" s="7" t="s">
        <v>2537</v>
      </c>
      <c r="B58" s="2" t="s">
        <v>2538</v>
      </c>
      <c r="C58" s="4">
        <v>1</v>
      </c>
      <c r="D58" s="5">
        <v>9</v>
      </c>
      <c r="E58" s="5">
        <v>20.99</v>
      </c>
      <c r="F58" s="4" t="s">
        <v>2539</v>
      </c>
      <c r="G58" s="2" t="s">
        <v>86</v>
      </c>
      <c r="H58" s="7" t="s">
        <v>63</v>
      </c>
      <c r="I58" s="2" t="s">
        <v>173</v>
      </c>
      <c r="J58" s="2" t="s">
        <v>1967</v>
      </c>
      <c r="K58" s="2" t="s">
        <v>304</v>
      </c>
      <c r="L58" s="2" t="s">
        <v>2540</v>
      </c>
    </row>
    <row r="59" spans="1:12" ht="132" x14ac:dyDescent="0.25">
      <c r="A59" s="7" t="s">
        <v>2541</v>
      </c>
      <c r="B59" s="2" t="s">
        <v>2542</v>
      </c>
      <c r="C59" s="4">
        <v>1</v>
      </c>
      <c r="D59" s="5">
        <v>9</v>
      </c>
      <c r="E59" s="5">
        <v>21.99</v>
      </c>
      <c r="F59" s="4" t="s">
        <v>2543</v>
      </c>
      <c r="G59" s="2" t="s">
        <v>36</v>
      </c>
      <c r="H59" s="7" t="s">
        <v>144</v>
      </c>
      <c r="I59" s="2" t="s">
        <v>342</v>
      </c>
      <c r="J59" s="2" t="s">
        <v>343</v>
      </c>
      <c r="K59" s="2" t="s">
        <v>304</v>
      </c>
      <c r="L59" s="2" t="s">
        <v>2544</v>
      </c>
    </row>
    <row r="60" spans="1:12" ht="36" x14ac:dyDescent="0.25">
      <c r="A60" s="7" t="s">
        <v>2545</v>
      </c>
      <c r="B60" s="2" t="s">
        <v>2546</v>
      </c>
      <c r="C60" s="4">
        <v>1</v>
      </c>
      <c r="D60" s="5">
        <v>8.9499999999999993</v>
      </c>
      <c r="E60" s="5">
        <v>19.989999999999998</v>
      </c>
      <c r="F60" s="4" t="s">
        <v>2547</v>
      </c>
      <c r="G60" s="2" t="s">
        <v>62</v>
      </c>
      <c r="H60" s="7" t="s">
        <v>311</v>
      </c>
      <c r="I60" s="2" t="s">
        <v>80</v>
      </c>
      <c r="J60" s="2" t="s">
        <v>167</v>
      </c>
      <c r="K60" s="2" t="s">
        <v>304</v>
      </c>
      <c r="L60" s="2" t="s">
        <v>125</v>
      </c>
    </row>
    <row r="61" spans="1:12" ht="24" x14ac:dyDescent="0.25">
      <c r="A61" s="7" t="s">
        <v>2548</v>
      </c>
      <c r="B61" s="2" t="s">
        <v>2549</v>
      </c>
      <c r="C61" s="4">
        <v>1</v>
      </c>
      <c r="D61" s="5">
        <v>8.9</v>
      </c>
      <c r="E61" s="5">
        <v>17.989999999999998</v>
      </c>
      <c r="F61" s="4">
        <v>939655</v>
      </c>
      <c r="G61" s="2" t="s">
        <v>785</v>
      </c>
      <c r="H61" s="7" t="s">
        <v>228</v>
      </c>
      <c r="I61" s="2" t="s">
        <v>80</v>
      </c>
      <c r="J61" s="2" t="s">
        <v>160</v>
      </c>
      <c r="K61" s="2" t="s">
        <v>304</v>
      </c>
      <c r="L61" s="2" t="s">
        <v>125</v>
      </c>
    </row>
    <row r="62" spans="1:12" ht="36" x14ac:dyDescent="0.25">
      <c r="A62" s="7" t="s">
        <v>865</v>
      </c>
      <c r="B62" s="2" t="s">
        <v>860</v>
      </c>
      <c r="C62" s="4">
        <v>1</v>
      </c>
      <c r="D62" s="5">
        <v>8.75</v>
      </c>
      <c r="E62" s="5">
        <v>19.989999999999998</v>
      </c>
      <c r="F62" s="4" t="s">
        <v>864</v>
      </c>
      <c r="G62" s="2" t="s">
        <v>165</v>
      </c>
      <c r="H62" s="7"/>
      <c r="I62" s="2" t="s">
        <v>815</v>
      </c>
      <c r="J62" s="2" t="s">
        <v>778</v>
      </c>
      <c r="K62" s="2" t="s">
        <v>304</v>
      </c>
      <c r="L62" s="2" t="s">
        <v>125</v>
      </c>
    </row>
    <row r="63" spans="1:12" ht="36" x14ac:dyDescent="0.25">
      <c r="A63" s="7" t="s">
        <v>869</v>
      </c>
      <c r="B63" s="2" t="s">
        <v>867</v>
      </c>
      <c r="C63" s="4">
        <v>1</v>
      </c>
      <c r="D63" s="5">
        <v>8.75</v>
      </c>
      <c r="E63" s="5">
        <v>19.989999999999998</v>
      </c>
      <c r="F63" s="4" t="s">
        <v>868</v>
      </c>
      <c r="G63" s="2" t="s">
        <v>165</v>
      </c>
      <c r="H63" s="7"/>
      <c r="I63" s="2" t="s">
        <v>815</v>
      </c>
      <c r="J63" s="2" t="s">
        <v>778</v>
      </c>
      <c r="K63" s="2" t="s">
        <v>304</v>
      </c>
      <c r="L63" s="2" t="s">
        <v>125</v>
      </c>
    </row>
    <row r="64" spans="1:12" ht="36" x14ac:dyDescent="0.25">
      <c r="A64" s="7" t="s">
        <v>852</v>
      </c>
      <c r="B64" s="2" t="s">
        <v>853</v>
      </c>
      <c r="C64" s="4">
        <v>3</v>
      </c>
      <c r="D64" s="5">
        <v>8.75</v>
      </c>
      <c r="E64" s="5">
        <v>19.989999999999998</v>
      </c>
      <c r="F64" s="4" t="s">
        <v>854</v>
      </c>
      <c r="G64" s="2" t="s">
        <v>165</v>
      </c>
      <c r="H64" s="7"/>
      <c r="I64" s="2" t="s">
        <v>815</v>
      </c>
      <c r="J64" s="2" t="s">
        <v>778</v>
      </c>
      <c r="K64" s="2" t="s">
        <v>304</v>
      </c>
      <c r="L64" s="2" t="s">
        <v>125</v>
      </c>
    </row>
    <row r="65" spans="1:12" ht="36" x14ac:dyDescent="0.25">
      <c r="A65" s="7" t="s">
        <v>866</v>
      </c>
      <c r="B65" s="2" t="s">
        <v>867</v>
      </c>
      <c r="C65" s="4">
        <v>4</v>
      </c>
      <c r="D65" s="5">
        <v>8.75</v>
      </c>
      <c r="E65" s="5">
        <v>19.989999999999998</v>
      </c>
      <c r="F65" s="4" t="s">
        <v>868</v>
      </c>
      <c r="G65" s="2" t="s">
        <v>858</v>
      </c>
      <c r="H65" s="7"/>
      <c r="I65" s="2" t="s">
        <v>815</v>
      </c>
      <c r="J65" s="2" t="s">
        <v>778</v>
      </c>
      <c r="K65" s="2" t="s">
        <v>304</v>
      </c>
      <c r="L65" s="2" t="s">
        <v>125</v>
      </c>
    </row>
    <row r="66" spans="1:12" ht="84" x14ac:dyDescent="0.25">
      <c r="A66" s="7" t="s">
        <v>2550</v>
      </c>
      <c r="B66" s="2" t="s">
        <v>2551</v>
      </c>
      <c r="C66" s="4">
        <v>1</v>
      </c>
      <c r="D66" s="5">
        <v>8.65</v>
      </c>
      <c r="E66" s="5">
        <v>21.99</v>
      </c>
      <c r="F66" s="4">
        <v>36567910</v>
      </c>
      <c r="G66" s="2"/>
      <c r="H66" s="7"/>
      <c r="I66" s="2" t="s">
        <v>321</v>
      </c>
      <c r="J66" s="2" t="s">
        <v>2552</v>
      </c>
      <c r="K66" s="2" t="s">
        <v>304</v>
      </c>
      <c r="L66" s="2" t="s">
        <v>2553</v>
      </c>
    </row>
    <row r="67" spans="1:12" ht="48" x14ac:dyDescent="0.25">
      <c r="A67" s="7" t="s">
        <v>2554</v>
      </c>
      <c r="B67" s="2" t="s">
        <v>2555</v>
      </c>
      <c r="C67" s="4">
        <v>1</v>
      </c>
      <c r="D67" s="5">
        <v>8.5</v>
      </c>
      <c r="E67" s="5">
        <v>22</v>
      </c>
      <c r="F67" s="4" t="s">
        <v>2556</v>
      </c>
      <c r="G67" s="2"/>
      <c r="H67" s="7"/>
      <c r="I67" s="2" t="s">
        <v>321</v>
      </c>
      <c r="J67" s="2" t="s">
        <v>2557</v>
      </c>
      <c r="K67" s="2" t="s">
        <v>304</v>
      </c>
      <c r="L67" s="2" t="s">
        <v>2558</v>
      </c>
    </row>
    <row r="68" spans="1:12" ht="48" x14ac:dyDescent="0.25">
      <c r="A68" s="7" t="s">
        <v>2559</v>
      </c>
      <c r="B68" s="2" t="s">
        <v>2560</v>
      </c>
      <c r="C68" s="4">
        <v>1</v>
      </c>
      <c r="D68" s="5">
        <v>8.49</v>
      </c>
      <c r="E68" s="5">
        <v>21.99</v>
      </c>
      <c r="F68" s="4" t="s">
        <v>2561</v>
      </c>
      <c r="G68" s="2" t="s">
        <v>86</v>
      </c>
      <c r="H68" s="7" t="s">
        <v>196</v>
      </c>
      <c r="I68" s="2" t="s">
        <v>389</v>
      </c>
      <c r="J68" s="2" t="s">
        <v>354</v>
      </c>
      <c r="K68" s="2" t="s">
        <v>304</v>
      </c>
      <c r="L68" s="2" t="s">
        <v>2562</v>
      </c>
    </row>
    <row r="69" spans="1:12" ht="36" x14ac:dyDescent="0.25">
      <c r="A69" s="7" t="s">
        <v>2563</v>
      </c>
      <c r="B69" s="2" t="s">
        <v>2564</v>
      </c>
      <c r="C69" s="4">
        <v>1</v>
      </c>
      <c r="D69" s="5">
        <v>8.25</v>
      </c>
      <c r="E69" s="5">
        <v>22.99</v>
      </c>
      <c r="F69" s="4" t="s">
        <v>2565</v>
      </c>
      <c r="G69" s="2" t="s">
        <v>62</v>
      </c>
      <c r="H69" s="7" t="s">
        <v>159</v>
      </c>
      <c r="I69" s="2" t="s">
        <v>468</v>
      </c>
      <c r="J69" s="2" t="s">
        <v>544</v>
      </c>
      <c r="K69" s="2" t="s">
        <v>304</v>
      </c>
      <c r="L69" s="2" t="s">
        <v>119</v>
      </c>
    </row>
    <row r="70" spans="1:12" ht="48" x14ac:dyDescent="0.25">
      <c r="A70" s="7" t="s">
        <v>2566</v>
      </c>
      <c r="B70" s="2" t="s">
        <v>2567</v>
      </c>
      <c r="C70" s="4">
        <v>1</v>
      </c>
      <c r="D70" s="5">
        <v>8.1</v>
      </c>
      <c r="E70" s="5">
        <v>16.2</v>
      </c>
      <c r="F70" s="4">
        <v>27879610</v>
      </c>
      <c r="G70" s="2"/>
      <c r="H70" s="7" t="s">
        <v>68</v>
      </c>
      <c r="I70" s="2" t="s">
        <v>487</v>
      </c>
      <c r="J70" s="2" t="s">
        <v>488</v>
      </c>
      <c r="K70" s="2" t="s">
        <v>304</v>
      </c>
      <c r="L70" s="2" t="s">
        <v>38</v>
      </c>
    </row>
    <row r="71" spans="1:12" ht="96" x14ac:dyDescent="0.25">
      <c r="A71" s="7" t="s">
        <v>2568</v>
      </c>
      <c r="B71" s="2" t="s">
        <v>2569</v>
      </c>
      <c r="C71" s="4">
        <v>2</v>
      </c>
      <c r="D71" s="5">
        <v>7.6</v>
      </c>
      <c r="E71" s="5">
        <v>17.28</v>
      </c>
      <c r="F71" s="4">
        <v>18373610</v>
      </c>
      <c r="G71" s="2" t="s">
        <v>476</v>
      </c>
      <c r="H71" s="7" t="s">
        <v>438</v>
      </c>
      <c r="I71" s="2" t="s">
        <v>153</v>
      </c>
      <c r="J71" s="2" t="s">
        <v>154</v>
      </c>
      <c r="K71" s="2" t="s">
        <v>304</v>
      </c>
      <c r="L71" s="2" t="s">
        <v>439</v>
      </c>
    </row>
    <row r="72" spans="1:12" ht="36" x14ac:dyDescent="0.25">
      <c r="A72" s="7" t="s">
        <v>2570</v>
      </c>
      <c r="B72" s="2" t="s">
        <v>2571</v>
      </c>
      <c r="C72" s="4">
        <v>1</v>
      </c>
      <c r="D72" s="5">
        <v>7.6</v>
      </c>
      <c r="E72" s="5">
        <v>17.28</v>
      </c>
      <c r="F72" s="4">
        <v>17877810</v>
      </c>
      <c r="G72" s="2"/>
      <c r="H72" s="7" t="s">
        <v>438</v>
      </c>
      <c r="I72" s="2" t="s">
        <v>153</v>
      </c>
      <c r="J72" s="2" t="s">
        <v>154</v>
      </c>
      <c r="K72" s="2" t="s">
        <v>304</v>
      </c>
      <c r="L72" s="2" t="s">
        <v>38</v>
      </c>
    </row>
    <row r="73" spans="1:12" ht="120" x14ac:dyDescent="0.25">
      <c r="A73" s="7" t="s">
        <v>2572</v>
      </c>
      <c r="B73" s="2" t="s">
        <v>2573</v>
      </c>
      <c r="C73" s="4">
        <v>1</v>
      </c>
      <c r="D73" s="5">
        <v>7.5</v>
      </c>
      <c r="E73" s="5">
        <v>17.05</v>
      </c>
      <c r="F73" s="4">
        <v>18658610</v>
      </c>
      <c r="G73" s="2"/>
      <c r="H73" s="7" t="s">
        <v>675</v>
      </c>
      <c r="I73" s="2" t="s">
        <v>153</v>
      </c>
      <c r="J73" s="2" t="s">
        <v>154</v>
      </c>
      <c r="K73" s="2" t="s">
        <v>304</v>
      </c>
      <c r="L73" s="2" t="s">
        <v>2574</v>
      </c>
    </row>
    <row r="74" spans="1:12" ht="60" x14ac:dyDescent="0.25">
      <c r="A74" s="7" t="s">
        <v>2575</v>
      </c>
      <c r="B74" s="2" t="s">
        <v>942</v>
      </c>
      <c r="C74" s="4">
        <v>1</v>
      </c>
      <c r="D74" s="5">
        <v>7.2</v>
      </c>
      <c r="E74" s="5">
        <v>18</v>
      </c>
      <c r="F74" s="4" t="s">
        <v>2576</v>
      </c>
      <c r="G74" s="2" t="s">
        <v>165</v>
      </c>
      <c r="H74" s="7"/>
      <c r="I74" s="2" t="s">
        <v>523</v>
      </c>
      <c r="J74" s="2" t="s">
        <v>937</v>
      </c>
      <c r="K74" s="2" t="s">
        <v>304</v>
      </c>
      <c r="L74" s="2" t="s">
        <v>944</v>
      </c>
    </row>
    <row r="75" spans="1:12" ht="60" x14ac:dyDescent="0.25">
      <c r="A75" s="7" t="s">
        <v>941</v>
      </c>
      <c r="B75" s="2" t="s">
        <v>942</v>
      </c>
      <c r="C75" s="4">
        <v>1</v>
      </c>
      <c r="D75" s="5">
        <v>7.2</v>
      </c>
      <c r="E75" s="5">
        <v>18</v>
      </c>
      <c r="F75" s="4" t="s">
        <v>943</v>
      </c>
      <c r="G75" s="2" t="s">
        <v>165</v>
      </c>
      <c r="H75" s="7"/>
      <c r="I75" s="2" t="s">
        <v>523</v>
      </c>
      <c r="J75" s="2" t="s">
        <v>937</v>
      </c>
      <c r="K75" s="2" t="s">
        <v>304</v>
      </c>
      <c r="L75" s="2" t="s">
        <v>944</v>
      </c>
    </row>
    <row r="76" spans="1:12" ht="48" x14ac:dyDescent="0.25">
      <c r="A76" s="7" t="s">
        <v>2577</v>
      </c>
      <c r="B76" s="2" t="s">
        <v>2578</v>
      </c>
      <c r="C76" s="4">
        <v>1</v>
      </c>
      <c r="D76" s="5">
        <v>7.15</v>
      </c>
      <c r="E76" s="5">
        <v>14.99</v>
      </c>
      <c r="F76" s="4" t="s">
        <v>2579</v>
      </c>
      <c r="G76" s="2" t="s">
        <v>41</v>
      </c>
      <c r="H76" s="7" t="s">
        <v>514</v>
      </c>
      <c r="I76" s="2" t="s">
        <v>1689</v>
      </c>
      <c r="J76" s="2" t="s">
        <v>354</v>
      </c>
      <c r="K76" s="2" t="s">
        <v>304</v>
      </c>
      <c r="L76" s="2" t="s">
        <v>119</v>
      </c>
    </row>
    <row r="77" spans="1:12" ht="36" x14ac:dyDescent="0.25">
      <c r="A77" s="7" t="s">
        <v>2580</v>
      </c>
      <c r="B77" s="2" t="s">
        <v>2571</v>
      </c>
      <c r="C77" s="4">
        <v>1</v>
      </c>
      <c r="D77" s="5">
        <v>7.05</v>
      </c>
      <c r="E77" s="5">
        <v>16.04</v>
      </c>
      <c r="F77" s="4">
        <v>17879610</v>
      </c>
      <c r="G77" s="2"/>
      <c r="H77" s="7" t="s">
        <v>675</v>
      </c>
      <c r="I77" s="2" t="s">
        <v>153</v>
      </c>
      <c r="J77" s="2" t="s">
        <v>154</v>
      </c>
      <c r="K77" s="2" t="s">
        <v>304</v>
      </c>
      <c r="L77" s="2" t="s">
        <v>38</v>
      </c>
    </row>
    <row r="78" spans="1:12" ht="60" x14ac:dyDescent="0.25">
      <c r="A78" s="7" t="s">
        <v>2581</v>
      </c>
      <c r="B78" s="2" t="s">
        <v>2582</v>
      </c>
      <c r="C78" s="4">
        <v>1</v>
      </c>
      <c r="D78" s="5">
        <v>6.93</v>
      </c>
      <c r="E78" s="5">
        <v>19.5</v>
      </c>
      <c r="F78" s="4" t="s">
        <v>2583</v>
      </c>
      <c r="G78" s="2" t="s">
        <v>86</v>
      </c>
      <c r="H78" s="7"/>
      <c r="I78" s="2" t="s">
        <v>57</v>
      </c>
      <c r="J78" s="2" t="s">
        <v>58</v>
      </c>
      <c r="K78" s="2" t="s">
        <v>304</v>
      </c>
      <c r="L78" s="2" t="s">
        <v>87</v>
      </c>
    </row>
    <row r="79" spans="1:12" ht="36" x14ac:dyDescent="0.25">
      <c r="A79" s="7" t="s">
        <v>2584</v>
      </c>
      <c r="B79" s="2" t="s">
        <v>466</v>
      </c>
      <c r="C79" s="4">
        <v>1</v>
      </c>
      <c r="D79" s="5">
        <v>6.85</v>
      </c>
      <c r="E79" s="5">
        <v>18</v>
      </c>
      <c r="F79" s="4" t="s">
        <v>467</v>
      </c>
      <c r="G79" s="2" t="s">
        <v>62</v>
      </c>
      <c r="H79" s="7" t="s">
        <v>179</v>
      </c>
      <c r="I79" s="2" t="s">
        <v>468</v>
      </c>
      <c r="J79" s="2" t="s">
        <v>469</v>
      </c>
      <c r="K79" s="2" t="s">
        <v>304</v>
      </c>
      <c r="L79" s="2" t="s">
        <v>206</v>
      </c>
    </row>
    <row r="80" spans="1:12" ht="48" x14ac:dyDescent="0.25">
      <c r="A80" s="7" t="s">
        <v>2585</v>
      </c>
      <c r="B80" s="2" t="s">
        <v>2586</v>
      </c>
      <c r="C80" s="4">
        <v>1</v>
      </c>
      <c r="D80" s="5">
        <v>6.85</v>
      </c>
      <c r="E80" s="5">
        <v>13.7</v>
      </c>
      <c r="F80" s="4" t="s">
        <v>2587</v>
      </c>
      <c r="G80" s="2"/>
      <c r="H80" s="7"/>
      <c r="I80" s="2" t="s">
        <v>487</v>
      </c>
      <c r="J80" s="2" t="s">
        <v>488</v>
      </c>
      <c r="K80" s="2" t="s">
        <v>304</v>
      </c>
      <c r="L80" s="2" t="s">
        <v>206</v>
      </c>
    </row>
    <row r="81" spans="1:12" ht="48" x14ac:dyDescent="0.25">
      <c r="A81" s="7" t="s">
        <v>2588</v>
      </c>
      <c r="B81" s="2" t="s">
        <v>2589</v>
      </c>
      <c r="C81" s="4">
        <v>1</v>
      </c>
      <c r="D81" s="5">
        <v>6.81</v>
      </c>
      <c r="E81" s="5">
        <v>16.989999999999998</v>
      </c>
      <c r="F81" s="4" t="s">
        <v>2590</v>
      </c>
      <c r="G81" s="2" t="s">
        <v>62</v>
      </c>
      <c r="H81" s="7" t="s">
        <v>159</v>
      </c>
      <c r="I81" s="2" t="s">
        <v>515</v>
      </c>
      <c r="J81" s="2" t="s">
        <v>827</v>
      </c>
      <c r="K81" s="2" t="s">
        <v>304</v>
      </c>
      <c r="L81" s="2" t="s">
        <v>358</v>
      </c>
    </row>
    <row r="82" spans="1:12" ht="48" x14ac:dyDescent="0.25">
      <c r="A82" s="7" t="s">
        <v>1785</v>
      </c>
      <c r="B82" s="2" t="s">
        <v>996</v>
      </c>
      <c r="C82" s="4">
        <v>1</v>
      </c>
      <c r="D82" s="5">
        <v>6.78</v>
      </c>
      <c r="E82" s="5">
        <v>14.99</v>
      </c>
      <c r="F82" s="4" t="s">
        <v>997</v>
      </c>
      <c r="G82" s="2" t="s">
        <v>48</v>
      </c>
      <c r="H82" s="7" t="s">
        <v>63</v>
      </c>
      <c r="I82" s="2" t="s">
        <v>515</v>
      </c>
      <c r="J82" s="2" t="s">
        <v>516</v>
      </c>
      <c r="K82" s="2" t="s">
        <v>304</v>
      </c>
      <c r="L82" s="2" t="s">
        <v>358</v>
      </c>
    </row>
    <row r="83" spans="1:12" ht="48" x14ac:dyDescent="0.25">
      <c r="A83" s="7" t="s">
        <v>2591</v>
      </c>
      <c r="B83" s="2" t="s">
        <v>2592</v>
      </c>
      <c r="C83" s="4">
        <v>3</v>
      </c>
      <c r="D83" s="5">
        <v>6.75</v>
      </c>
      <c r="E83" s="5">
        <v>16.989999999999998</v>
      </c>
      <c r="F83" s="4" t="s">
        <v>2593</v>
      </c>
      <c r="G83" s="2" t="s">
        <v>129</v>
      </c>
      <c r="H83" s="7" t="s">
        <v>68</v>
      </c>
      <c r="I83" s="2" t="s">
        <v>135</v>
      </c>
      <c r="J83" s="2" t="s">
        <v>1076</v>
      </c>
      <c r="K83" s="2" t="s">
        <v>304</v>
      </c>
      <c r="L83" s="2" t="s">
        <v>125</v>
      </c>
    </row>
    <row r="84" spans="1:12" ht="84" x14ac:dyDescent="0.25">
      <c r="A84" s="7" t="s">
        <v>2594</v>
      </c>
      <c r="B84" s="2" t="s">
        <v>474</v>
      </c>
      <c r="C84" s="4">
        <v>1</v>
      </c>
      <c r="D84" s="5">
        <v>6.75</v>
      </c>
      <c r="E84" s="5">
        <v>16.989999999999998</v>
      </c>
      <c r="F84" s="4" t="s">
        <v>475</v>
      </c>
      <c r="G84" s="2" t="s">
        <v>476</v>
      </c>
      <c r="H84" s="7" t="s">
        <v>68</v>
      </c>
      <c r="I84" s="2" t="s">
        <v>321</v>
      </c>
      <c r="J84" s="2" t="s">
        <v>477</v>
      </c>
      <c r="K84" s="2" t="s">
        <v>304</v>
      </c>
      <c r="L84" s="2" t="s">
        <v>478</v>
      </c>
    </row>
    <row r="85" spans="1:12" ht="96" x14ac:dyDescent="0.25">
      <c r="A85" s="7" t="s">
        <v>2595</v>
      </c>
      <c r="B85" s="2" t="s">
        <v>2596</v>
      </c>
      <c r="C85" s="4">
        <v>1</v>
      </c>
      <c r="D85" s="5">
        <v>6.75</v>
      </c>
      <c r="E85" s="5">
        <v>16.989999999999998</v>
      </c>
      <c r="F85" s="4" t="s">
        <v>2597</v>
      </c>
      <c r="G85" s="2" t="s">
        <v>41</v>
      </c>
      <c r="H85" s="7"/>
      <c r="I85" s="2" t="s">
        <v>321</v>
      </c>
      <c r="J85" s="2" t="s">
        <v>477</v>
      </c>
      <c r="K85" s="2" t="s">
        <v>304</v>
      </c>
      <c r="L85" s="2" t="s">
        <v>1516</v>
      </c>
    </row>
    <row r="86" spans="1:12" ht="48" x14ac:dyDescent="0.25">
      <c r="A86" s="7" t="s">
        <v>2598</v>
      </c>
      <c r="B86" s="2" t="s">
        <v>2592</v>
      </c>
      <c r="C86" s="4">
        <v>3</v>
      </c>
      <c r="D86" s="5">
        <v>6.75</v>
      </c>
      <c r="E86" s="5">
        <v>16.989999999999998</v>
      </c>
      <c r="F86" s="4" t="s">
        <v>2593</v>
      </c>
      <c r="G86" s="2" t="s">
        <v>129</v>
      </c>
      <c r="H86" s="7" t="s">
        <v>144</v>
      </c>
      <c r="I86" s="2" t="s">
        <v>135</v>
      </c>
      <c r="J86" s="2" t="s">
        <v>1076</v>
      </c>
      <c r="K86" s="2" t="s">
        <v>304</v>
      </c>
      <c r="L86" s="2" t="s">
        <v>125</v>
      </c>
    </row>
    <row r="87" spans="1:12" ht="84" x14ac:dyDescent="0.25">
      <c r="A87" s="7" t="s">
        <v>2599</v>
      </c>
      <c r="B87" s="2" t="s">
        <v>2600</v>
      </c>
      <c r="C87" s="4">
        <v>1</v>
      </c>
      <c r="D87" s="5">
        <v>6.72</v>
      </c>
      <c r="E87" s="5">
        <v>17.989999999999998</v>
      </c>
      <c r="F87" s="4" t="s">
        <v>2601</v>
      </c>
      <c r="G87" s="2" t="s">
        <v>171</v>
      </c>
      <c r="H87" s="7" t="s">
        <v>228</v>
      </c>
      <c r="I87" s="2" t="s">
        <v>515</v>
      </c>
      <c r="J87" s="2" t="s">
        <v>827</v>
      </c>
      <c r="K87" s="2" t="s">
        <v>304</v>
      </c>
      <c r="L87" s="2" t="s">
        <v>1117</v>
      </c>
    </row>
    <row r="88" spans="1:12" ht="48" x14ac:dyDescent="0.25">
      <c r="A88" s="7" t="s">
        <v>2602</v>
      </c>
      <c r="B88" s="2" t="s">
        <v>1025</v>
      </c>
      <c r="C88" s="4">
        <v>1</v>
      </c>
      <c r="D88" s="5">
        <v>6.67</v>
      </c>
      <c r="E88" s="5">
        <v>16.989999999999998</v>
      </c>
      <c r="F88" s="4" t="s">
        <v>1804</v>
      </c>
      <c r="G88" s="2" t="s">
        <v>62</v>
      </c>
      <c r="H88" s="7" t="s">
        <v>159</v>
      </c>
      <c r="I88" s="2" t="s">
        <v>515</v>
      </c>
      <c r="J88" s="2" t="s">
        <v>827</v>
      </c>
      <c r="K88" s="2" t="s">
        <v>304</v>
      </c>
      <c r="L88" s="2" t="s">
        <v>358</v>
      </c>
    </row>
    <row r="89" spans="1:12" ht="48" x14ac:dyDescent="0.25">
      <c r="A89" s="7" t="s">
        <v>2603</v>
      </c>
      <c r="B89" s="2" t="s">
        <v>2604</v>
      </c>
      <c r="C89" s="4">
        <v>1</v>
      </c>
      <c r="D89" s="5">
        <v>6.65</v>
      </c>
      <c r="E89" s="5">
        <v>13.3</v>
      </c>
      <c r="F89" s="4" t="s">
        <v>2605</v>
      </c>
      <c r="G89" s="2"/>
      <c r="H89" s="7"/>
      <c r="I89" s="2" t="s">
        <v>487</v>
      </c>
      <c r="J89" s="2" t="s">
        <v>488</v>
      </c>
      <c r="K89" s="2" t="s">
        <v>304</v>
      </c>
      <c r="L89" s="2" t="s">
        <v>38</v>
      </c>
    </row>
    <row r="90" spans="1:12" ht="48" x14ac:dyDescent="0.25">
      <c r="A90" s="7" t="s">
        <v>2606</v>
      </c>
      <c r="B90" s="2" t="s">
        <v>2607</v>
      </c>
      <c r="C90" s="4">
        <v>1</v>
      </c>
      <c r="D90" s="5">
        <v>6.5</v>
      </c>
      <c r="E90" s="5">
        <v>17.989999999999998</v>
      </c>
      <c r="F90" s="4" t="s">
        <v>2608</v>
      </c>
      <c r="G90" s="2" t="s">
        <v>527</v>
      </c>
      <c r="H90" s="7" t="s">
        <v>159</v>
      </c>
      <c r="I90" s="2" t="s">
        <v>342</v>
      </c>
      <c r="J90" s="2" t="s">
        <v>1834</v>
      </c>
      <c r="K90" s="2" t="s">
        <v>304</v>
      </c>
      <c r="L90" s="2" t="s">
        <v>358</v>
      </c>
    </row>
    <row r="91" spans="1:12" ht="72" x14ac:dyDescent="0.25">
      <c r="A91" s="7" t="s">
        <v>2609</v>
      </c>
      <c r="B91" s="2" t="s">
        <v>2610</v>
      </c>
      <c r="C91" s="4">
        <v>1</v>
      </c>
      <c r="D91" s="5">
        <v>6.4</v>
      </c>
      <c r="E91" s="5">
        <v>16</v>
      </c>
      <c r="F91" s="4" t="s">
        <v>2611</v>
      </c>
      <c r="G91" s="2" t="s">
        <v>262</v>
      </c>
      <c r="H91" s="7"/>
      <c r="I91" s="2" t="s">
        <v>523</v>
      </c>
      <c r="J91" s="2" t="s">
        <v>937</v>
      </c>
      <c r="K91" s="2" t="s">
        <v>304</v>
      </c>
      <c r="L91" s="2" t="s">
        <v>2612</v>
      </c>
    </row>
    <row r="92" spans="1:12" ht="48" x14ac:dyDescent="0.25">
      <c r="A92" s="7" t="s">
        <v>2613</v>
      </c>
      <c r="B92" s="2" t="s">
        <v>2614</v>
      </c>
      <c r="C92" s="4">
        <v>1</v>
      </c>
      <c r="D92" s="5">
        <v>6.4</v>
      </c>
      <c r="E92" s="5">
        <v>16</v>
      </c>
      <c r="F92" s="4" t="s">
        <v>2615</v>
      </c>
      <c r="G92" s="2" t="s">
        <v>62</v>
      </c>
      <c r="H92" s="7"/>
      <c r="I92" s="2" t="s">
        <v>523</v>
      </c>
      <c r="J92" s="2" t="s">
        <v>2616</v>
      </c>
      <c r="K92" s="2" t="s">
        <v>304</v>
      </c>
      <c r="L92" s="2" t="s">
        <v>358</v>
      </c>
    </row>
    <row r="93" spans="1:12" ht="36" x14ac:dyDescent="0.25">
      <c r="A93" s="7" t="s">
        <v>2617</v>
      </c>
      <c r="B93" s="2" t="s">
        <v>2618</v>
      </c>
      <c r="C93" s="4">
        <v>1</v>
      </c>
      <c r="D93" s="5">
        <v>6</v>
      </c>
      <c r="E93" s="5">
        <v>11.98</v>
      </c>
      <c r="F93" s="4" t="s">
        <v>2619</v>
      </c>
      <c r="G93" s="2" t="s">
        <v>171</v>
      </c>
      <c r="H93" s="7" t="s">
        <v>438</v>
      </c>
      <c r="I93" s="2" t="s">
        <v>43</v>
      </c>
      <c r="J93" s="2" t="s">
        <v>497</v>
      </c>
      <c r="K93" s="2" t="s">
        <v>304</v>
      </c>
      <c r="L93" s="2" t="s">
        <v>87</v>
      </c>
    </row>
    <row r="94" spans="1:12" ht="36" x14ac:dyDescent="0.25">
      <c r="A94" s="7" t="s">
        <v>2620</v>
      </c>
      <c r="B94" s="2" t="s">
        <v>2621</v>
      </c>
      <c r="C94" s="4">
        <v>1</v>
      </c>
      <c r="D94" s="5">
        <v>6</v>
      </c>
      <c r="E94" s="5">
        <v>11.98</v>
      </c>
      <c r="F94" s="4" t="s">
        <v>2622</v>
      </c>
      <c r="G94" s="2" t="s">
        <v>36</v>
      </c>
      <c r="H94" s="7" t="s">
        <v>233</v>
      </c>
      <c r="I94" s="2" t="s">
        <v>43</v>
      </c>
      <c r="J94" s="2" t="s">
        <v>497</v>
      </c>
      <c r="K94" s="2" t="s">
        <v>304</v>
      </c>
      <c r="L94" s="2" t="s">
        <v>87</v>
      </c>
    </row>
    <row r="95" spans="1:12" ht="36" x14ac:dyDescent="0.25">
      <c r="A95" s="7" t="s">
        <v>2623</v>
      </c>
      <c r="B95" s="2" t="s">
        <v>2624</v>
      </c>
      <c r="C95" s="4">
        <v>1</v>
      </c>
      <c r="D95" s="5">
        <v>6</v>
      </c>
      <c r="E95" s="5">
        <v>11.98</v>
      </c>
      <c r="F95" s="4" t="s">
        <v>2625</v>
      </c>
      <c r="G95" s="2" t="s">
        <v>36</v>
      </c>
      <c r="H95" s="7" t="s">
        <v>531</v>
      </c>
      <c r="I95" s="2" t="s">
        <v>43</v>
      </c>
      <c r="J95" s="2" t="s">
        <v>497</v>
      </c>
      <c r="K95" s="2" t="s">
        <v>304</v>
      </c>
      <c r="L95" s="2" t="s">
        <v>87</v>
      </c>
    </row>
    <row r="96" spans="1:12" ht="48" x14ac:dyDescent="0.25">
      <c r="A96" s="7" t="s">
        <v>2626</v>
      </c>
      <c r="B96" s="2" t="s">
        <v>2627</v>
      </c>
      <c r="C96" s="4">
        <v>1</v>
      </c>
      <c r="D96" s="5">
        <v>5.97</v>
      </c>
      <c r="E96" s="5">
        <v>12.99</v>
      </c>
      <c r="F96" s="4" t="s">
        <v>2628</v>
      </c>
      <c r="G96" s="2" t="s">
        <v>62</v>
      </c>
      <c r="H96" s="7" t="s">
        <v>1151</v>
      </c>
      <c r="I96" s="2" t="s">
        <v>515</v>
      </c>
      <c r="J96" s="2" t="s">
        <v>516</v>
      </c>
      <c r="K96" s="2" t="s">
        <v>304</v>
      </c>
      <c r="L96" s="2" t="s">
        <v>358</v>
      </c>
    </row>
    <row r="97" spans="1:12" ht="72" x14ac:dyDescent="0.25">
      <c r="A97" s="7" t="s">
        <v>2629</v>
      </c>
      <c r="B97" s="2" t="s">
        <v>2630</v>
      </c>
      <c r="C97" s="4">
        <v>1</v>
      </c>
      <c r="D97" s="5">
        <v>5.87</v>
      </c>
      <c r="E97" s="5">
        <v>16</v>
      </c>
      <c r="F97" s="4" t="s">
        <v>2631</v>
      </c>
      <c r="G97" s="2" t="s">
        <v>1041</v>
      </c>
      <c r="H97" s="7" t="s">
        <v>789</v>
      </c>
      <c r="I97" s="2" t="s">
        <v>523</v>
      </c>
      <c r="J97" s="2" t="s">
        <v>1042</v>
      </c>
      <c r="K97" s="2" t="s">
        <v>304</v>
      </c>
      <c r="L97" s="2" t="s">
        <v>2632</v>
      </c>
    </row>
    <row r="98" spans="1:12" ht="48" x14ac:dyDescent="0.25">
      <c r="A98" s="7" t="s">
        <v>2633</v>
      </c>
      <c r="B98" s="2" t="s">
        <v>1874</v>
      </c>
      <c r="C98" s="4">
        <v>1</v>
      </c>
      <c r="D98" s="5">
        <v>5.85</v>
      </c>
      <c r="E98" s="5">
        <v>12.99</v>
      </c>
      <c r="F98" s="4" t="s">
        <v>1875</v>
      </c>
      <c r="G98" s="2" t="s">
        <v>41</v>
      </c>
      <c r="H98" s="7" t="s">
        <v>166</v>
      </c>
      <c r="I98" s="2" t="s">
        <v>966</v>
      </c>
      <c r="J98" s="2" t="s">
        <v>348</v>
      </c>
      <c r="K98" s="2" t="s">
        <v>304</v>
      </c>
      <c r="L98" s="2" t="s">
        <v>125</v>
      </c>
    </row>
    <row r="99" spans="1:12" ht="48" x14ac:dyDescent="0.25">
      <c r="A99" s="7" t="s">
        <v>2634</v>
      </c>
      <c r="B99" s="2" t="s">
        <v>1874</v>
      </c>
      <c r="C99" s="4">
        <v>1</v>
      </c>
      <c r="D99" s="5">
        <v>5.85</v>
      </c>
      <c r="E99" s="5">
        <v>12.99</v>
      </c>
      <c r="F99" s="4" t="s">
        <v>1875</v>
      </c>
      <c r="G99" s="2" t="s">
        <v>41</v>
      </c>
      <c r="H99" s="7" t="s">
        <v>248</v>
      </c>
      <c r="I99" s="2" t="s">
        <v>966</v>
      </c>
      <c r="J99" s="2" t="s">
        <v>348</v>
      </c>
      <c r="K99" s="2" t="s">
        <v>304</v>
      </c>
      <c r="L99" s="2" t="s">
        <v>125</v>
      </c>
    </row>
    <row r="100" spans="1:12" ht="72" x14ac:dyDescent="0.25">
      <c r="A100" s="7" t="s">
        <v>2635</v>
      </c>
      <c r="B100" s="2" t="s">
        <v>2636</v>
      </c>
      <c r="C100" s="4">
        <v>1</v>
      </c>
      <c r="D100" s="5">
        <v>5.75</v>
      </c>
      <c r="E100" s="5">
        <v>10.7</v>
      </c>
      <c r="F100" s="4">
        <v>18655810</v>
      </c>
      <c r="G100" s="2" t="s">
        <v>643</v>
      </c>
      <c r="H100" s="7"/>
      <c r="I100" s="2" t="s">
        <v>153</v>
      </c>
      <c r="J100" s="2" t="s">
        <v>154</v>
      </c>
      <c r="K100" s="2" t="s">
        <v>304</v>
      </c>
      <c r="L100" s="2" t="s">
        <v>2637</v>
      </c>
    </row>
    <row r="101" spans="1:12" ht="36" x14ac:dyDescent="0.25">
      <c r="A101" s="7" t="s">
        <v>2638</v>
      </c>
      <c r="B101" s="2" t="s">
        <v>2639</v>
      </c>
      <c r="C101" s="4">
        <v>7</v>
      </c>
      <c r="D101" s="5">
        <v>5.6</v>
      </c>
      <c r="E101" s="5">
        <v>13.99</v>
      </c>
      <c r="F101" s="4" t="s">
        <v>2640</v>
      </c>
      <c r="G101" s="2" t="s">
        <v>874</v>
      </c>
      <c r="H101" s="7" t="s">
        <v>91</v>
      </c>
      <c r="I101" s="2" t="s">
        <v>483</v>
      </c>
      <c r="J101" s="2" t="s">
        <v>536</v>
      </c>
      <c r="K101" s="2" t="s">
        <v>304</v>
      </c>
      <c r="L101" s="2" t="s">
        <v>125</v>
      </c>
    </row>
    <row r="102" spans="1:12" ht="36" x14ac:dyDescent="0.25">
      <c r="A102" s="7" t="s">
        <v>2641</v>
      </c>
      <c r="B102" s="2" t="s">
        <v>2639</v>
      </c>
      <c r="C102" s="4">
        <v>5</v>
      </c>
      <c r="D102" s="5">
        <v>5.6</v>
      </c>
      <c r="E102" s="5">
        <v>13.99</v>
      </c>
      <c r="F102" s="4" t="s">
        <v>2640</v>
      </c>
      <c r="G102" s="2" t="s">
        <v>874</v>
      </c>
      <c r="H102" s="7" t="s">
        <v>42</v>
      </c>
      <c r="I102" s="2" t="s">
        <v>483</v>
      </c>
      <c r="J102" s="2" t="s">
        <v>536</v>
      </c>
      <c r="K102" s="2" t="s">
        <v>304</v>
      </c>
      <c r="L102" s="2" t="s">
        <v>125</v>
      </c>
    </row>
    <row r="103" spans="1:12" ht="36" x14ac:dyDescent="0.25">
      <c r="A103" s="7" t="s">
        <v>2642</v>
      </c>
      <c r="B103" s="2" t="s">
        <v>2639</v>
      </c>
      <c r="C103" s="4">
        <v>4</v>
      </c>
      <c r="D103" s="5">
        <v>5.6</v>
      </c>
      <c r="E103" s="5">
        <v>13.99</v>
      </c>
      <c r="F103" s="4" t="s">
        <v>2640</v>
      </c>
      <c r="G103" s="2" t="s">
        <v>874</v>
      </c>
      <c r="H103" s="7" t="s">
        <v>442</v>
      </c>
      <c r="I103" s="2" t="s">
        <v>483</v>
      </c>
      <c r="J103" s="2" t="s">
        <v>536</v>
      </c>
      <c r="K103" s="2" t="s">
        <v>304</v>
      </c>
      <c r="L103" s="2" t="s">
        <v>125</v>
      </c>
    </row>
    <row r="104" spans="1:12" ht="24" x14ac:dyDescent="0.25">
      <c r="A104" s="7" t="s">
        <v>1918</v>
      </c>
      <c r="B104" s="2" t="s">
        <v>1915</v>
      </c>
      <c r="C104" s="4">
        <v>1</v>
      </c>
      <c r="D104" s="5">
        <v>5.5</v>
      </c>
      <c r="E104" s="5">
        <v>10.99</v>
      </c>
      <c r="F104" s="4" t="s">
        <v>1916</v>
      </c>
      <c r="G104" s="2" t="s">
        <v>41</v>
      </c>
      <c r="H104" s="7" t="s">
        <v>159</v>
      </c>
      <c r="I104" s="2" t="s">
        <v>73</v>
      </c>
      <c r="J104" s="2" t="s">
        <v>1917</v>
      </c>
      <c r="K104" s="2" t="s">
        <v>304</v>
      </c>
      <c r="L104" s="2" t="s">
        <v>125</v>
      </c>
    </row>
    <row r="105" spans="1:12" ht="24" x14ac:dyDescent="0.25">
      <c r="A105" s="7" t="s">
        <v>2643</v>
      </c>
      <c r="B105" s="2" t="s">
        <v>1915</v>
      </c>
      <c r="C105" s="4">
        <v>1</v>
      </c>
      <c r="D105" s="5">
        <v>5.5</v>
      </c>
      <c r="E105" s="5">
        <v>10.99</v>
      </c>
      <c r="F105" s="4" t="s">
        <v>1916</v>
      </c>
      <c r="G105" s="2" t="s">
        <v>41</v>
      </c>
      <c r="H105" s="7" t="s">
        <v>284</v>
      </c>
      <c r="I105" s="2" t="s">
        <v>73</v>
      </c>
      <c r="J105" s="2" t="s">
        <v>1917</v>
      </c>
      <c r="K105" s="2" t="s">
        <v>304</v>
      </c>
      <c r="L105" s="2" t="s">
        <v>125</v>
      </c>
    </row>
    <row r="106" spans="1:12" ht="192" x14ac:dyDescent="0.25">
      <c r="A106" s="7" t="s">
        <v>2644</v>
      </c>
      <c r="B106" s="2" t="s">
        <v>2645</v>
      </c>
      <c r="C106" s="4">
        <v>1</v>
      </c>
      <c r="D106" s="5">
        <v>5.5</v>
      </c>
      <c r="E106" s="5">
        <v>12.99</v>
      </c>
      <c r="F106" s="4" t="s">
        <v>2646</v>
      </c>
      <c r="G106" s="2" t="s">
        <v>41</v>
      </c>
      <c r="H106" s="7" t="s">
        <v>91</v>
      </c>
      <c r="I106" s="2" t="s">
        <v>135</v>
      </c>
      <c r="J106" s="2" t="s">
        <v>1076</v>
      </c>
      <c r="K106" s="2" t="s">
        <v>304</v>
      </c>
      <c r="L106" s="2" t="s">
        <v>2647</v>
      </c>
    </row>
    <row r="107" spans="1:12" ht="96" x14ac:dyDescent="0.25">
      <c r="A107" s="7" t="s">
        <v>2648</v>
      </c>
      <c r="B107" s="2" t="s">
        <v>2649</v>
      </c>
      <c r="C107" s="4">
        <v>1</v>
      </c>
      <c r="D107" s="5">
        <v>5.25</v>
      </c>
      <c r="E107" s="5">
        <v>14.99</v>
      </c>
      <c r="F107" s="4" t="s">
        <v>2650</v>
      </c>
      <c r="G107" s="2" t="s">
        <v>48</v>
      </c>
      <c r="H107" s="7" t="s">
        <v>442</v>
      </c>
      <c r="I107" s="2" t="s">
        <v>135</v>
      </c>
      <c r="J107" s="2" t="s">
        <v>1076</v>
      </c>
      <c r="K107" s="2" t="s">
        <v>304</v>
      </c>
      <c r="L107" s="2" t="s">
        <v>1948</v>
      </c>
    </row>
    <row r="108" spans="1:12" ht="96" x14ac:dyDescent="0.25">
      <c r="A108" s="7" t="s">
        <v>2651</v>
      </c>
      <c r="B108" s="2" t="s">
        <v>2649</v>
      </c>
      <c r="C108" s="4">
        <v>2</v>
      </c>
      <c r="D108" s="5">
        <v>5.25</v>
      </c>
      <c r="E108" s="5">
        <v>14.99</v>
      </c>
      <c r="F108" s="4" t="s">
        <v>2650</v>
      </c>
      <c r="G108" s="2" t="s">
        <v>48</v>
      </c>
      <c r="H108" s="7" t="s">
        <v>68</v>
      </c>
      <c r="I108" s="2" t="s">
        <v>135</v>
      </c>
      <c r="J108" s="2" t="s">
        <v>1076</v>
      </c>
      <c r="K108" s="2" t="s">
        <v>304</v>
      </c>
      <c r="L108" s="2" t="s">
        <v>1948</v>
      </c>
    </row>
    <row r="109" spans="1:12" ht="96" x14ac:dyDescent="0.25">
      <c r="A109" s="7" t="s">
        <v>2652</v>
      </c>
      <c r="B109" s="2" t="s">
        <v>2649</v>
      </c>
      <c r="C109" s="4">
        <v>1</v>
      </c>
      <c r="D109" s="5">
        <v>5.25</v>
      </c>
      <c r="E109" s="5">
        <v>14.99</v>
      </c>
      <c r="F109" s="4" t="s">
        <v>2650</v>
      </c>
      <c r="G109" s="2" t="s">
        <v>48</v>
      </c>
      <c r="H109" s="7" t="s">
        <v>91</v>
      </c>
      <c r="I109" s="2" t="s">
        <v>135</v>
      </c>
      <c r="J109" s="2" t="s">
        <v>1076</v>
      </c>
      <c r="K109" s="2" t="s">
        <v>304</v>
      </c>
      <c r="L109" s="2" t="s">
        <v>1948</v>
      </c>
    </row>
    <row r="110" spans="1:12" ht="96" x14ac:dyDescent="0.25">
      <c r="A110" s="7" t="s">
        <v>2653</v>
      </c>
      <c r="B110" s="2" t="s">
        <v>2654</v>
      </c>
      <c r="C110" s="4">
        <v>2</v>
      </c>
      <c r="D110" s="5">
        <v>5.25</v>
      </c>
      <c r="E110" s="5">
        <v>14.99</v>
      </c>
      <c r="F110" s="4" t="s">
        <v>2655</v>
      </c>
      <c r="G110" s="2" t="s">
        <v>48</v>
      </c>
      <c r="H110" s="7" t="s">
        <v>42</v>
      </c>
      <c r="I110" s="2" t="s">
        <v>135</v>
      </c>
      <c r="J110" s="2" t="s">
        <v>1076</v>
      </c>
      <c r="K110" s="2" t="s">
        <v>304</v>
      </c>
      <c r="L110" s="2" t="s">
        <v>1948</v>
      </c>
    </row>
    <row r="111" spans="1:12" ht="84" x14ac:dyDescent="0.25">
      <c r="A111" s="7" t="s">
        <v>528</v>
      </c>
      <c r="B111" s="2" t="s">
        <v>529</v>
      </c>
      <c r="C111" s="4">
        <v>1</v>
      </c>
      <c r="D111" s="5">
        <v>5.0999999999999996</v>
      </c>
      <c r="E111" s="5">
        <v>10.99</v>
      </c>
      <c r="F111" s="4" t="s">
        <v>530</v>
      </c>
      <c r="G111" s="2" t="s">
        <v>41</v>
      </c>
      <c r="H111" s="7" t="s">
        <v>531</v>
      </c>
      <c r="I111" s="2" t="s">
        <v>483</v>
      </c>
      <c r="J111" s="2" t="s">
        <v>484</v>
      </c>
      <c r="K111" s="2" t="s">
        <v>304</v>
      </c>
      <c r="L111" s="2" t="s">
        <v>532</v>
      </c>
    </row>
    <row r="112" spans="1:12" ht="36" x14ac:dyDescent="0.25">
      <c r="A112" s="7" t="s">
        <v>2656</v>
      </c>
      <c r="B112" s="2" t="s">
        <v>534</v>
      </c>
      <c r="C112" s="4">
        <v>1</v>
      </c>
      <c r="D112" s="5">
        <v>5.0999999999999996</v>
      </c>
      <c r="E112" s="5">
        <v>13.5</v>
      </c>
      <c r="F112" s="4" t="s">
        <v>535</v>
      </c>
      <c r="G112" s="2" t="s">
        <v>86</v>
      </c>
      <c r="H112" s="7" t="s">
        <v>442</v>
      </c>
      <c r="I112" s="2" t="s">
        <v>483</v>
      </c>
      <c r="J112" s="2" t="s">
        <v>536</v>
      </c>
      <c r="K112" s="2" t="s">
        <v>304</v>
      </c>
      <c r="L112" s="2" t="s">
        <v>537</v>
      </c>
    </row>
    <row r="113" spans="1:12" ht="36" x14ac:dyDescent="0.25">
      <c r="A113" s="7" t="s">
        <v>1092</v>
      </c>
      <c r="B113" s="2" t="s">
        <v>1093</v>
      </c>
      <c r="C113" s="4">
        <v>1</v>
      </c>
      <c r="D113" s="5">
        <v>5.09</v>
      </c>
      <c r="E113" s="5">
        <v>14.98</v>
      </c>
      <c r="F113" s="4" t="s">
        <v>1094</v>
      </c>
      <c r="G113" s="2" t="s">
        <v>297</v>
      </c>
      <c r="H113" s="7" t="s">
        <v>531</v>
      </c>
      <c r="I113" s="2" t="s">
        <v>483</v>
      </c>
      <c r="J113" s="2" t="s">
        <v>536</v>
      </c>
      <c r="K113" s="2" t="s">
        <v>304</v>
      </c>
      <c r="L113" s="2" t="s">
        <v>125</v>
      </c>
    </row>
    <row r="114" spans="1:12" ht="48" x14ac:dyDescent="0.25">
      <c r="A114" s="7" t="s">
        <v>2657</v>
      </c>
      <c r="B114" s="2" t="s">
        <v>2658</v>
      </c>
      <c r="C114" s="4">
        <v>1</v>
      </c>
      <c r="D114" s="5">
        <v>5.0199999999999996</v>
      </c>
      <c r="E114" s="5">
        <v>9.99</v>
      </c>
      <c r="F114" s="4" t="s">
        <v>2659</v>
      </c>
      <c r="G114" s="2" t="s">
        <v>657</v>
      </c>
      <c r="H114" s="7" t="s">
        <v>317</v>
      </c>
      <c r="I114" s="2" t="s">
        <v>292</v>
      </c>
      <c r="J114" s="2" t="s">
        <v>354</v>
      </c>
      <c r="K114" s="2" t="s">
        <v>304</v>
      </c>
      <c r="L114" s="2" t="s">
        <v>119</v>
      </c>
    </row>
    <row r="115" spans="1:12" ht="36" x14ac:dyDescent="0.25">
      <c r="A115" s="7" t="s">
        <v>2660</v>
      </c>
      <c r="B115" s="2" t="s">
        <v>2661</v>
      </c>
      <c r="C115" s="4">
        <v>1</v>
      </c>
      <c r="D115" s="5">
        <v>4.88</v>
      </c>
      <c r="E115" s="5">
        <v>12.99</v>
      </c>
      <c r="F115" s="4" t="s">
        <v>2662</v>
      </c>
      <c r="G115" s="2" t="s">
        <v>134</v>
      </c>
      <c r="H115" s="7" t="s">
        <v>91</v>
      </c>
      <c r="I115" s="2" t="s">
        <v>483</v>
      </c>
      <c r="J115" s="2" t="s">
        <v>536</v>
      </c>
      <c r="K115" s="2" t="s">
        <v>304</v>
      </c>
      <c r="L115" s="2" t="s">
        <v>38</v>
      </c>
    </row>
    <row r="116" spans="1:12" ht="36" x14ac:dyDescent="0.25">
      <c r="A116" s="7" t="s">
        <v>2663</v>
      </c>
      <c r="B116" s="2" t="s">
        <v>2661</v>
      </c>
      <c r="C116" s="4">
        <v>1</v>
      </c>
      <c r="D116" s="5">
        <v>4.88</v>
      </c>
      <c r="E116" s="5">
        <v>12.99</v>
      </c>
      <c r="F116" s="4" t="s">
        <v>2662</v>
      </c>
      <c r="G116" s="2" t="s">
        <v>134</v>
      </c>
      <c r="H116" s="7" t="s">
        <v>590</v>
      </c>
      <c r="I116" s="2" t="s">
        <v>483</v>
      </c>
      <c r="J116" s="2" t="s">
        <v>536</v>
      </c>
      <c r="K116" s="2" t="s">
        <v>304</v>
      </c>
      <c r="L116" s="2" t="s">
        <v>38</v>
      </c>
    </row>
    <row r="117" spans="1:12" ht="48" x14ac:dyDescent="0.25">
      <c r="A117" s="7" t="s">
        <v>2664</v>
      </c>
      <c r="B117" s="2" t="s">
        <v>2665</v>
      </c>
      <c r="C117" s="4">
        <v>1</v>
      </c>
      <c r="D117" s="5">
        <v>4.38</v>
      </c>
      <c r="E117" s="5">
        <v>10.99</v>
      </c>
      <c r="F117" s="4" t="s">
        <v>2666</v>
      </c>
      <c r="G117" s="2" t="s">
        <v>86</v>
      </c>
      <c r="H117" s="7" t="s">
        <v>228</v>
      </c>
      <c r="I117" s="2" t="s">
        <v>389</v>
      </c>
      <c r="J117" s="2" t="s">
        <v>354</v>
      </c>
      <c r="K117" s="2" t="s">
        <v>304</v>
      </c>
      <c r="L117" s="2" t="s">
        <v>390</v>
      </c>
    </row>
    <row r="118" spans="1:12" ht="36" x14ac:dyDescent="0.25">
      <c r="A118" s="7" t="s">
        <v>2667</v>
      </c>
      <c r="B118" s="2" t="s">
        <v>1991</v>
      </c>
      <c r="C118" s="4">
        <v>1</v>
      </c>
      <c r="D118" s="5">
        <v>4.25</v>
      </c>
      <c r="E118" s="5">
        <v>5.99</v>
      </c>
      <c r="F118" s="4" t="s">
        <v>2061</v>
      </c>
      <c r="G118" s="2" t="s">
        <v>36</v>
      </c>
      <c r="H118" s="7" t="s">
        <v>63</v>
      </c>
      <c r="I118" s="2" t="s">
        <v>73</v>
      </c>
      <c r="J118" s="2" t="s">
        <v>1963</v>
      </c>
      <c r="K118" s="2" t="s">
        <v>304</v>
      </c>
      <c r="L118" s="2" t="s">
        <v>125</v>
      </c>
    </row>
    <row r="119" spans="1:12" ht="60" x14ac:dyDescent="0.25">
      <c r="A119" s="7" t="s">
        <v>2668</v>
      </c>
      <c r="B119" s="2" t="s">
        <v>2092</v>
      </c>
      <c r="C119" s="4">
        <v>2</v>
      </c>
      <c r="D119" s="5">
        <v>4.0199999999999996</v>
      </c>
      <c r="E119" s="5">
        <v>12</v>
      </c>
      <c r="F119" s="4" t="s">
        <v>2093</v>
      </c>
      <c r="G119" s="2" t="s">
        <v>48</v>
      </c>
      <c r="H119" s="7" t="s">
        <v>149</v>
      </c>
      <c r="I119" s="2" t="s">
        <v>483</v>
      </c>
      <c r="J119" s="2" t="s">
        <v>536</v>
      </c>
      <c r="K119" s="2" t="s">
        <v>304</v>
      </c>
      <c r="L119" s="2" t="s">
        <v>1207</v>
      </c>
    </row>
    <row r="120" spans="1:12" ht="36" x14ac:dyDescent="0.25">
      <c r="A120" s="7" t="s">
        <v>2669</v>
      </c>
      <c r="B120" s="2" t="s">
        <v>1162</v>
      </c>
      <c r="C120" s="4">
        <v>1</v>
      </c>
      <c r="D120" s="5">
        <v>4</v>
      </c>
      <c r="E120" s="5">
        <v>8.99</v>
      </c>
      <c r="F120" s="4">
        <v>18186410</v>
      </c>
      <c r="G120" s="2"/>
      <c r="H120" s="7" t="s">
        <v>91</v>
      </c>
      <c r="I120" s="2" t="s">
        <v>153</v>
      </c>
      <c r="J120" s="2" t="s">
        <v>154</v>
      </c>
      <c r="K120" s="2" t="s">
        <v>304</v>
      </c>
      <c r="L120" s="2" t="s">
        <v>38</v>
      </c>
    </row>
    <row r="121" spans="1:12" ht="36" x14ac:dyDescent="0.25">
      <c r="A121" s="7" t="s">
        <v>2670</v>
      </c>
      <c r="B121" s="2" t="s">
        <v>2671</v>
      </c>
      <c r="C121" s="4">
        <v>1</v>
      </c>
      <c r="D121" s="5">
        <v>4</v>
      </c>
      <c r="E121" s="5">
        <v>9.3000000000000007</v>
      </c>
      <c r="F121" s="4">
        <v>18204110</v>
      </c>
      <c r="G121" s="2" t="s">
        <v>36</v>
      </c>
      <c r="H121" s="7" t="s">
        <v>233</v>
      </c>
      <c r="I121" s="2" t="s">
        <v>153</v>
      </c>
      <c r="J121" s="2" t="s">
        <v>154</v>
      </c>
      <c r="K121" s="2" t="s">
        <v>304</v>
      </c>
      <c r="L121" s="2" t="s">
        <v>119</v>
      </c>
    </row>
    <row r="122" spans="1:12" ht="84" x14ac:dyDescent="0.25">
      <c r="A122" s="7" t="s">
        <v>2672</v>
      </c>
      <c r="B122" s="2" t="s">
        <v>2673</v>
      </c>
      <c r="C122" s="4">
        <v>1</v>
      </c>
      <c r="D122" s="5">
        <v>4</v>
      </c>
      <c r="E122" s="5">
        <v>11.99</v>
      </c>
      <c r="F122" s="4" t="s">
        <v>1131</v>
      </c>
      <c r="G122" s="2" t="s">
        <v>41</v>
      </c>
      <c r="H122" s="7" t="s">
        <v>196</v>
      </c>
      <c r="I122" s="2" t="s">
        <v>523</v>
      </c>
      <c r="J122" s="2" t="s">
        <v>921</v>
      </c>
      <c r="K122" s="2" t="s">
        <v>304</v>
      </c>
      <c r="L122" s="2" t="s">
        <v>1132</v>
      </c>
    </row>
    <row r="123" spans="1:12" ht="48" x14ac:dyDescent="0.25">
      <c r="A123" s="7" t="s">
        <v>2674</v>
      </c>
      <c r="B123" s="2" t="s">
        <v>2675</v>
      </c>
      <c r="C123" s="4">
        <v>1</v>
      </c>
      <c r="D123" s="5">
        <v>4</v>
      </c>
      <c r="E123" s="5">
        <v>10.99</v>
      </c>
      <c r="F123" s="4" t="s">
        <v>2676</v>
      </c>
      <c r="G123" s="2" t="s">
        <v>347</v>
      </c>
      <c r="H123" s="7" t="s">
        <v>159</v>
      </c>
      <c r="I123" s="2" t="s">
        <v>389</v>
      </c>
      <c r="J123" s="2" t="s">
        <v>354</v>
      </c>
      <c r="K123" s="2" t="s">
        <v>304</v>
      </c>
      <c r="L123" s="2" t="s">
        <v>390</v>
      </c>
    </row>
    <row r="124" spans="1:12" ht="36" x14ac:dyDescent="0.25">
      <c r="A124" s="7" t="s">
        <v>2101</v>
      </c>
      <c r="B124" s="2" t="s">
        <v>2102</v>
      </c>
      <c r="C124" s="4">
        <v>1</v>
      </c>
      <c r="D124" s="5">
        <v>3.82</v>
      </c>
      <c r="E124" s="5">
        <v>16.8</v>
      </c>
      <c r="F124" s="4" t="s">
        <v>2103</v>
      </c>
      <c r="G124" s="2" t="s">
        <v>437</v>
      </c>
      <c r="H124" s="7" t="s">
        <v>531</v>
      </c>
      <c r="I124" s="2" t="s">
        <v>483</v>
      </c>
      <c r="J124" s="2" t="s">
        <v>536</v>
      </c>
      <c r="K124" s="2" t="s">
        <v>304</v>
      </c>
      <c r="L124" s="2"/>
    </row>
    <row r="125" spans="1:12" ht="36" x14ac:dyDescent="0.25">
      <c r="A125" s="7" t="s">
        <v>2677</v>
      </c>
      <c r="B125" s="2" t="s">
        <v>2678</v>
      </c>
      <c r="C125" s="4">
        <v>1</v>
      </c>
      <c r="D125" s="5">
        <v>3.75</v>
      </c>
      <c r="E125" s="5">
        <v>8.99</v>
      </c>
      <c r="F125" s="4" t="s">
        <v>2679</v>
      </c>
      <c r="G125" s="2" t="s">
        <v>657</v>
      </c>
      <c r="H125" s="7" t="s">
        <v>379</v>
      </c>
      <c r="I125" s="2" t="s">
        <v>380</v>
      </c>
      <c r="J125" s="2" t="s">
        <v>544</v>
      </c>
      <c r="K125" s="2" t="s">
        <v>304</v>
      </c>
      <c r="L125" s="2" t="s">
        <v>119</v>
      </c>
    </row>
    <row r="126" spans="1:12" ht="36" x14ac:dyDescent="0.25">
      <c r="A126" s="7" t="s">
        <v>2680</v>
      </c>
      <c r="B126" s="2" t="s">
        <v>2113</v>
      </c>
      <c r="C126" s="4">
        <v>1</v>
      </c>
      <c r="D126" s="5">
        <v>3.58</v>
      </c>
      <c r="E126" s="5">
        <v>8.99</v>
      </c>
      <c r="F126" s="4" t="s">
        <v>2114</v>
      </c>
      <c r="G126" s="2" t="s">
        <v>297</v>
      </c>
      <c r="H126" s="7" t="s">
        <v>482</v>
      </c>
      <c r="I126" s="2" t="s">
        <v>483</v>
      </c>
      <c r="J126" s="2" t="s">
        <v>536</v>
      </c>
      <c r="K126" s="2" t="s">
        <v>304</v>
      </c>
      <c r="L126" s="2" t="s">
        <v>119</v>
      </c>
    </row>
    <row r="127" spans="1:12" ht="36" x14ac:dyDescent="0.25">
      <c r="A127" s="7" t="s">
        <v>2112</v>
      </c>
      <c r="B127" s="2" t="s">
        <v>2113</v>
      </c>
      <c r="C127" s="4">
        <v>1</v>
      </c>
      <c r="D127" s="5">
        <v>3.58</v>
      </c>
      <c r="E127" s="5">
        <v>8.99</v>
      </c>
      <c r="F127" s="4" t="s">
        <v>2114</v>
      </c>
      <c r="G127" s="2" t="s">
        <v>297</v>
      </c>
      <c r="H127" s="7"/>
      <c r="I127" s="2" t="s">
        <v>483</v>
      </c>
      <c r="J127" s="2" t="s">
        <v>536</v>
      </c>
      <c r="K127" s="2" t="s">
        <v>304</v>
      </c>
      <c r="L127" s="2" t="s">
        <v>119</v>
      </c>
    </row>
    <row r="128" spans="1:12" ht="36" x14ac:dyDescent="0.25">
      <c r="A128" s="7" t="s">
        <v>2681</v>
      </c>
      <c r="B128" s="2" t="s">
        <v>2113</v>
      </c>
      <c r="C128" s="4">
        <v>1</v>
      </c>
      <c r="D128" s="5">
        <v>3.58</v>
      </c>
      <c r="E128" s="5">
        <v>8.99</v>
      </c>
      <c r="F128" s="4" t="s">
        <v>2114</v>
      </c>
      <c r="G128" s="2" t="s">
        <v>297</v>
      </c>
      <c r="H128" s="7" t="s">
        <v>590</v>
      </c>
      <c r="I128" s="2" t="s">
        <v>483</v>
      </c>
      <c r="J128" s="2" t="s">
        <v>536</v>
      </c>
      <c r="K128" s="2" t="s">
        <v>304</v>
      </c>
      <c r="L128" s="2" t="s">
        <v>119</v>
      </c>
    </row>
    <row r="129" spans="1:12" ht="36" x14ac:dyDescent="0.25">
      <c r="A129" s="7" t="s">
        <v>2682</v>
      </c>
      <c r="B129" s="2" t="s">
        <v>2113</v>
      </c>
      <c r="C129" s="4">
        <v>1</v>
      </c>
      <c r="D129" s="5">
        <v>3.58</v>
      </c>
      <c r="E129" s="5">
        <v>8.99</v>
      </c>
      <c r="F129" s="4" t="s">
        <v>2114</v>
      </c>
      <c r="G129" s="2" t="s">
        <v>297</v>
      </c>
      <c r="H129" s="7" t="s">
        <v>442</v>
      </c>
      <c r="I129" s="2" t="s">
        <v>483</v>
      </c>
      <c r="J129" s="2" t="s">
        <v>536</v>
      </c>
      <c r="K129" s="2" t="s">
        <v>304</v>
      </c>
      <c r="L129" s="2" t="s">
        <v>119</v>
      </c>
    </row>
    <row r="130" spans="1:12" ht="36" x14ac:dyDescent="0.25">
      <c r="A130" s="7" t="s">
        <v>2115</v>
      </c>
      <c r="B130" s="2" t="s">
        <v>2113</v>
      </c>
      <c r="C130" s="4">
        <v>1</v>
      </c>
      <c r="D130" s="5">
        <v>3.58</v>
      </c>
      <c r="E130" s="5">
        <v>8.99</v>
      </c>
      <c r="F130" s="4" t="s">
        <v>2114</v>
      </c>
      <c r="G130" s="2" t="s">
        <v>297</v>
      </c>
      <c r="H130" s="7" t="s">
        <v>149</v>
      </c>
      <c r="I130" s="2" t="s">
        <v>483</v>
      </c>
      <c r="J130" s="2" t="s">
        <v>536</v>
      </c>
      <c r="K130" s="2" t="s">
        <v>304</v>
      </c>
      <c r="L130" s="2" t="s">
        <v>119</v>
      </c>
    </row>
    <row r="131" spans="1:12" ht="36" x14ac:dyDescent="0.25">
      <c r="A131" s="7" t="s">
        <v>552</v>
      </c>
      <c r="B131" s="2" t="s">
        <v>553</v>
      </c>
      <c r="C131" s="4">
        <v>1</v>
      </c>
      <c r="D131" s="5">
        <v>3.54</v>
      </c>
      <c r="E131" s="5">
        <v>7.99</v>
      </c>
      <c r="F131" s="4" t="s">
        <v>554</v>
      </c>
      <c r="G131" s="2" t="s">
        <v>134</v>
      </c>
      <c r="H131" s="7" t="s">
        <v>514</v>
      </c>
      <c r="I131" s="2" t="s">
        <v>483</v>
      </c>
      <c r="J131" s="2" t="s">
        <v>536</v>
      </c>
      <c r="K131" s="2" t="s">
        <v>304</v>
      </c>
      <c r="L131" s="2" t="s">
        <v>119</v>
      </c>
    </row>
    <row r="132" spans="1:12" ht="60" x14ac:dyDescent="0.25">
      <c r="A132" s="7" t="s">
        <v>2683</v>
      </c>
      <c r="B132" s="2" t="s">
        <v>2684</v>
      </c>
      <c r="C132" s="4">
        <v>2</v>
      </c>
      <c r="D132" s="5">
        <v>3.48</v>
      </c>
      <c r="E132" s="5">
        <v>6.99</v>
      </c>
      <c r="F132" s="4" t="s">
        <v>2685</v>
      </c>
      <c r="G132" s="2" t="s">
        <v>41</v>
      </c>
      <c r="H132" s="7" t="s">
        <v>166</v>
      </c>
      <c r="I132" s="2" t="s">
        <v>80</v>
      </c>
      <c r="J132" s="2" t="s">
        <v>1857</v>
      </c>
      <c r="K132" s="2" t="s">
        <v>304</v>
      </c>
      <c r="L132" s="2" t="s">
        <v>493</v>
      </c>
    </row>
    <row r="133" spans="1:12" ht="60" x14ac:dyDescent="0.25">
      <c r="A133" s="7" t="s">
        <v>2686</v>
      </c>
      <c r="B133" s="2" t="s">
        <v>2687</v>
      </c>
      <c r="C133" s="4">
        <v>2</v>
      </c>
      <c r="D133" s="5">
        <v>3.44</v>
      </c>
      <c r="E133" s="5">
        <v>7.99</v>
      </c>
      <c r="F133" s="4" t="s">
        <v>2688</v>
      </c>
      <c r="G133" s="2" t="s">
        <v>86</v>
      </c>
      <c r="H133" s="7" t="s">
        <v>514</v>
      </c>
      <c r="I133" s="2" t="s">
        <v>1689</v>
      </c>
      <c r="J133" s="2" t="s">
        <v>354</v>
      </c>
      <c r="K133" s="2" t="s">
        <v>304</v>
      </c>
      <c r="L133" s="2" t="s">
        <v>596</v>
      </c>
    </row>
    <row r="134" spans="1:12" ht="60" x14ac:dyDescent="0.25">
      <c r="A134" s="7" t="s">
        <v>2689</v>
      </c>
      <c r="B134" s="2" t="s">
        <v>2687</v>
      </c>
      <c r="C134" s="4">
        <v>1</v>
      </c>
      <c r="D134" s="5">
        <v>3.44</v>
      </c>
      <c r="E134" s="5">
        <v>7.99</v>
      </c>
      <c r="F134" s="4" t="s">
        <v>2688</v>
      </c>
      <c r="G134" s="2" t="s">
        <v>86</v>
      </c>
      <c r="H134" s="7" t="s">
        <v>63</v>
      </c>
      <c r="I134" s="2" t="s">
        <v>1689</v>
      </c>
      <c r="J134" s="2" t="s">
        <v>354</v>
      </c>
      <c r="K134" s="2" t="s">
        <v>304</v>
      </c>
      <c r="L134" s="2" t="s">
        <v>596</v>
      </c>
    </row>
    <row r="135" spans="1:12" ht="60" x14ac:dyDescent="0.25">
      <c r="A135" s="7" t="s">
        <v>2690</v>
      </c>
      <c r="B135" s="2" t="s">
        <v>2687</v>
      </c>
      <c r="C135" s="4">
        <v>3</v>
      </c>
      <c r="D135" s="5">
        <v>3.44</v>
      </c>
      <c r="E135" s="5">
        <v>7.99</v>
      </c>
      <c r="F135" s="4" t="s">
        <v>2688</v>
      </c>
      <c r="G135" s="2" t="s">
        <v>86</v>
      </c>
      <c r="H135" s="7" t="s">
        <v>311</v>
      </c>
      <c r="I135" s="2" t="s">
        <v>1689</v>
      </c>
      <c r="J135" s="2" t="s">
        <v>354</v>
      </c>
      <c r="K135" s="2" t="s">
        <v>304</v>
      </c>
      <c r="L135" s="2" t="s">
        <v>596</v>
      </c>
    </row>
    <row r="136" spans="1:12" ht="36" x14ac:dyDescent="0.25">
      <c r="A136" s="7" t="s">
        <v>2691</v>
      </c>
      <c r="B136" s="2" t="s">
        <v>2134</v>
      </c>
      <c r="C136" s="4">
        <v>1</v>
      </c>
      <c r="D136" s="5">
        <v>3.39</v>
      </c>
      <c r="E136" s="5">
        <v>8.99</v>
      </c>
      <c r="F136" s="4" t="s">
        <v>2135</v>
      </c>
      <c r="G136" s="2" t="s">
        <v>1265</v>
      </c>
      <c r="H136" s="7" t="s">
        <v>149</v>
      </c>
      <c r="I136" s="2" t="s">
        <v>483</v>
      </c>
      <c r="J136" s="2" t="s">
        <v>536</v>
      </c>
      <c r="K136" s="2" t="s">
        <v>304</v>
      </c>
      <c r="L136" s="2" t="s">
        <v>206</v>
      </c>
    </row>
    <row r="137" spans="1:12" ht="36" x14ac:dyDescent="0.25">
      <c r="A137" s="7" t="s">
        <v>2692</v>
      </c>
      <c r="B137" s="2" t="s">
        <v>2134</v>
      </c>
      <c r="C137" s="4">
        <v>1</v>
      </c>
      <c r="D137" s="5">
        <v>3.39</v>
      </c>
      <c r="E137" s="5">
        <v>8.99</v>
      </c>
      <c r="F137" s="4" t="s">
        <v>2135</v>
      </c>
      <c r="G137" s="2" t="s">
        <v>1265</v>
      </c>
      <c r="H137" s="7" t="s">
        <v>482</v>
      </c>
      <c r="I137" s="2" t="s">
        <v>483</v>
      </c>
      <c r="J137" s="2" t="s">
        <v>536</v>
      </c>
      <c r="K137" s="2" t="s">
        <v>304</v>
      </c>
      <c r="L137" s="2" t="s">
        <v>206</v>
      </c>
    </row>
    <row r="138" spans="1:12" ht="36" x14ac:dyDescent="0.25">
      <c r="A138" s="7" t="s">
        <v>2133</v>
      </c>
      <c r="B138" s="2" t="s">
        <v>2134</v>
      </c>
      <c r="C138" s="4">
        <v>1</v>
      </c>
      <c r="D138" s="5">
        <v>3.39</v>
      </c>
      <c r="E138" s="5">
        <v>8.99</v>
      </c>
      <c r="F138" s="4" t="s">
        <v>2135</v>
      </c>
      <c r="G138" s="2" t="s">
        <v>1265</v>
      </c>
      <c r="H138" s="7"/>
      <c r="I138" s="2" t="s">
        <v>483</v>
      </c>
      <c r="J138" s="2" t="s">
        <v>536</v>
      </c>
      <c r="K138" s="2" t="s">
        <v>304</v>
      </c>
      <c r="L138" s="2" t="s">
        <v>206</v>
      </c>
    </row>
    <row r="139" spans="1:12" ht="60" x14ac:dyDescent="0.25">
      <c r="A139" s="7" t="s">
        <v>2693</v>
      </c>
      <c r="B139" s="2" t="s">
        <v>2694</v>
      </c>
      <c r="C139" s="4">
        <v>1</v>
      </c>
      <c r="D139" s="5">
        <v>3.36</v>
      </c>
      <c r="E139" s="5">
        <v>7.99</v>
      </c>
      <c r="F139" s="4" t="s">
        <v>2695</v>
      </c>
      <c r="G139" s="2" t="s">
        <v>103</v>
      </c>
      <c r="H139" s="7" t="s">
        <v>1151</v>
      </c>
      <c r="I139" s="2" t="s">
        <v>1689</v>
      </c>
      <c r="J139" s="2" t="s">
        <v>354</v>
      </c>
      <c r="K139" s="2" t="s">
        <v>304</v>
      </c>
      <c r="L139" s="2" t="s">
        <v>596</v>
      </c>
    </row>
    <row r="140" spans="1:12" ht="60" x14ac:dyDescent="0.25">
      <c r="A140" s="7" t="s">
        <v>2696</v>
      </c>
      <c r="B140" s="2" t="s">
        <v>2697</v>
      </c>
      <c r="C140" s="4">
        <v>1</v>
      </c>
      <c r="D140" s="5">
        <v>3.36</v>
      </c>
      <c r="E140" s="5">
        <v>7.99</v>
      </c>
      <c r="F140" s="4" t="s">
        <v>2698</v>
      </c>
      <c r="G140" s="2" t="s">
        <v>103</v>
      </c>
      <c r="H140" s="7" t="s">
        <v>63</v>
      </c>
      <c r="I140" s="2" t="s">
        <v>1689</v>
      </c>
      <c r="J140" s="2" t="s">
        <v>354</v>
      </c>
      <c r="K140" s="2" t="s">
        <v>304</v>
      </c>
      <c r="L140" s="2" t="s">
        <v>596</v>
      </c>
    </row>
    <row r="141" spans="1:12" ht="60" x14ac:dyDescent="0.25">
      <c r="A141" s="7" t="s">
        <v>2699</v>
      </c>
      <c r="B141" s="2" t="s">
        <v>2697</v>
      </c>
      <c r="C141" s="4">
        <v>1</v>
      </c>
      <c r="D141" s="5">
        <v>3.36</v>
      </c>
      <c r="E141" s="5">
        <v>7.99</v>
      </c>
      <c r="F141" s="4" t="s">
        <v>2698</v>
      </c>
      <c r="G141" s="2" t="s">
        <v>103</v>
      </c>
      <c r="H141" s="7" t="s">
        <v>311</v>
      </c>
      <c r="I141" s="2" t="s">
        <v>1689</v>
      </c>
      <c r="J141" s="2" t="s">
        <v>354</v>
      </c>
      <c r="K141" s="2" t="s">
        <v>304</v>
      </c>
      <c r="L141" s="2" t="s">
        <v>596</v>
      </c>
    </row>
    <row r="142" spans="1:12" ht="96" x14ac:dyDescent="0.25">
      <c r="A142" s="7" t="s">
        <v>2700</v>
      </c>
      <c r="B142" s="2" t="s">
        <v>2701</v>
      </c>
      <c r="C142" s="4">
        <v>2</v>
      </c>
      <c r="D142" s="5">
        <v>2.88</v>
      </c>
      <c r="E142" s="5">
        <v>6.99</v>
      </c>
      <c r="F142" s="4" t="s">
        <v>2702</v>
      </c>
      <c r="G142" s="2" t="s">
        <v>28</v>
      </c>
      <c r="H142" s="7" t="s">
        <v>442</v>
      </c>
      <c r="I142" s="2" t="s">
        <v>483</v>
      </c>
      <c r="J142" s="2" t="s">
        <v>536</v>
      </c>
      <c r="K142" s="2" t="s">
        <v>304</v>
      </c>
      <c r="L142" s="2" t="s">
        <v>2703</v>
      </c>
    </row>
    <row r="143" spans="1:12" ht="96" x14ac:dyDescent="0.25">
      <c r="A143" s="7" t="s">
        <v>2704</v>
      </c>
      <c r="B143" s="2" t="s">
        <v>2701</v>
      </c>
      <c r="C143" s="4">
        <v>1</v>
      </c>
      <c r="D143" s="5">
        <v>2.88</v>
      </c>
      <c r="E143" s="5">
        <v>6.99</v>
      </c>
      <c r="F143" s="4" t="s">
        <v>2702</v>
      </c>
      <c r="G143" s="2" t="s">
        <v>28</v>
      </c>
      <c r="H143" s="7" t="s">
        <v>91</v>
      </c>
      <c r="I143" s="2" t="s">
        <v>483</v>
      </c>
      <c r="J143" s="2" t="s">
        <v>536</v>
      </c>
      <c r="K143" s="2" t="s">
        <v>304</v>
      </c>
      <c r="L143" s="2" t="s">
        <v>2703</v>
      </c>
    </row>
    <row r="144" spans="1:12" ht="36" x14ac:dyDescent="0.25">
      <c r="A144" s="7" t="s">
        <v>2705</v>
      </c>
      <c r="B144" s="2" t="s">
        <v>2706</v>
      </c>
      <c r="C144" s="4">
        <v>1</v>
      </c>
      <c r="D144" s="5">
        <v>2.88</v>
      </c>
      <c r="E144" s="5">
        <v>6.99</v>
      </c>
      <c r="F144" s="4" t="s">
        <v>2707</v>
      </c>
      <c r="G144" s="2" t="s">
        <v>62</v>
      </c>
      <c r="H144" s="7" t="s">
        <v>442</v>
      </c>
      <c r="I144" s="2" t="s">
        <v>483</v>
      </c>
      <c r="J144" s="2" t="s">
        <v>536</v>
      </c>
      <c r="K144" s="2" t="s">
        <v>304</v>
      </c>
      <c r="L144" s="2" t="s">
        <v>119</v>
      </c>
    </row>
    <row r="145" spans="1:12" ht="120" x14ac:dyDescent="0.25">
      <c r="A145" s="7" t="s">
        <v>2199</v>
      </c>
      <c r="B145" s="2" t="s">
        <v>598</v>
      </c>
      <c r="C145" s="4">
        <v>1</v>
      </c>
      <c r="D145" s="5">
        <v>2.84</v>
      </c>
      <c r="E145" s="5">
        <v>7.99</v>
      </c>
      <c r="F145" s="4" t="s">
        <v>599</v>
      </c>
      <c r="G145" s="2" t="s">
        <v>62</v>
      </c>
      <c r="H145" s="7" t="s">
        <v>590</v>
      </c>
      <c r="I145" s="2" t="s">
        <v>483</v>
      </c>
      <c r="J145" s="2" t="s">
        <v>536</v>
      </c>
      <c r="K145" s="2" t="s">
        <v>304</v>
      </c>
      <c r="L145" s="2" t="s">
        <v>600</v>
      </c>
    </row>
    <row r="146" spans="1:12" ht="120" x14ac:dyDescent="0.25">
      <c r="A146" s="7" t="s">
        <v>2200</v>
      </c>
      <c r="B146" s="2" t="s">
        <v>598</v>
      </c>
      <c r="C146" s="4">
        <v>1</v>
      </c>
      <c r="D146" s="5">
        <v>2.84</v>
      </c>
      <c r="E146" s="5">
        <v>7.99</v>
      </c>
      <c r="F146" s="4" t="s">
        <v>599</v>
      </c>
      <c r="G146" s="2" t="s">
        <v>62</v>
      </c>
      <c r="H146" s="7" t="s">
        <v>149</v>
      </c>
      <c r="I146" s="2" t="s">
        <v>483</v>
      </c>
      <c r="J146" s="2" t="s">
        <v>536</v>
      </c>
      <c r="K146" s="2" t="s">
        <v>304</v>
      </c>
      <c r="L146" s="2" t="s">
        <v>600</v>
      </c>
    </row>
    <row r="147" spans="1:12" ht="60" x14ac:dyDescent="0.25">
      <c r="A147" s="7" t="s">
        <v>2708</v>
      </c>
      <c r="B147" s="2" t="s">
        <v>2709</v>
      </c>
      <c r="C147" s="4">
        <v>1</v>
      </c>
      <c r="D147" s="5">
        <v>2.79</v>
      </c>
      <c r="E147" s="5">
        <v>6.99</v>
      </c>
      <c r="F147" s="4">
        <v>10004643300</v>
      </c>
      <c r="G147" s="2" t="s">
        <v>297</v>
      </c>
      <c r="H147" s="7" t="s">
        <v>586</v>
      </c>
      <c r="I147" s="2" t="s">
        <v>483</v>
      </c>
      <c r="J147" s="2" t="s">
        <v>2710</v>
      </c>
      <c r="K147" s="2" t="s">
        <v>304</v>
      </c>
      <c r="L147" s="2" t="s">
        <v>2711</v>
      </c>
    </row>
    <row r="148" spans="1:12" ht="36" x14ac:dyDescent="0.25">
      <c r="A148" s="7" t="s">
        <v>2712</v>
      </c>
      <c r="B148" s="2" t="s">
        <v>2713</v>
      </c>
      <c r="C148" s="4">
        <v>1</v>
      </c>
      <c r="D148" s="5">
        <v>2.79</v>
      </c>
      <c r="E148" s="5">
        <v>7.99</v>
      </c>
      <c r="F148" s="4">
        <v>10004191500</v>
      </c>
      <c r="G148" s="2" t="s">
        <v>1360</v>
      </c>
      <c r="H148" s="7"/>
      <c r="I148" s="2" t="s">
        <v>483</v>
      </c>
      <c r="J148" s="2" t="s">
        <v>536</v>
      </c>
      <c r="K148" s="2" t="s">
        <v>304</v>
      </c>
      <c r="L148" s="2" t="s">
        <v>119</v>
      </c>
    </row>
    <row r="149" spans="1:12" ht="36" x14ac:dyDescent="0.25">
      <c r="A149" s="7" t="s">
        <v>2714</v>
      </c>
      <c r="B149" s="2" t="s">
        <v>2715</v>
      </c>
      <c r="C149" s="4">
        <v>1</v>
      </c>
      <c r="D149" s="5">
        <v>2.78</v>
      </c>
      <c r="E149" s="5">
        <v>7.99</v>
      </c>
      <c r="F149" s="4" t="s">
        <v>2716</v>
      </c>
      <c r="G149" s="2" t="s">
        <v>41</v>
      </c>
      <c r="H149" s="7" t="s">
        <v>514</v>
      </c>
      <c r="I149" s="2" t="s">
        <v>2717</v>
      </c>
      <c r="J149" s="2" t="s">
        <v>536</v>
      </c>
      <c r="K149" s="2"/>
      <c r="L149" s="2"/>
    </row>
    <row r="150" spans="1:12" ht="36" x14ac:dyDescent="0.25">
      <c r="A150" s="7" t="s">
        <v>1218</v>
      </c>
      <c r="B150" s="2" t="s">
        <v>1219</v>
      </c>
      <c r="C150" s="4">
        <v>1</v>
      </c>
      <c r="D150" s="5">
        <v>2.75</v>
      </c>
      <c r="E150" s="5">
        <v>6.99</v>
      </c>
      <c r="F150" s="4" t="s">
        <v>1220</v>
      </c>
      <c r="G150" s="2" t="s">
        <v>527</v>
      </c>
      <c r="H150" s="7" t="s">
        <v>590</v>
      </c>
      <c r="I150" s="2" t="s">
        <v>483</v>
      </c>
      <c r="J150" s="2" t="s">
        <v>536</v>
      </c>
      <c r="K150" s="2" t="s">
        <v>304</v>
      </c>
      <c r="L150" s="2" t="s">
        <v>119</v>
      </c>
    </row>
    <row r="151" spans="1:12" ht="36" x14ac:dyDescent="0.25">
      <c r="A151" s="7" t="s">
        <v>2213</v>
      </c>
      <c r="B151" s="2" t="s">
        <v>1219</v>
      </c>
      <c r="C151" s="4">
        <v>1</v>
      </c>
      <c r="D151" s="5">
        <v>2.75</v>
      </c>
      <c r="E151" s="5">
        <v>6.99</v>
      </c>
      <c r="F151" s="4" t="s">
        <v>1220</v>
      </c>
      <c r="G151" s="2" t="s">
        <v>527</v>
      </c>
      <c r="H151" s="7" t="s">
        <v>442</v>
      </c>
      <c r="I151" s="2" t="s">
        <v>483</v>
      </c>
      <c r="J151" s="2" t="s">
        <v>536</v>
      </c>
      <c r="K151" s="2" t="s">
        <v>304</v>
      </c>
      <c r="L151" s="2" t="s">
        <v>119</v>
      </c>
    </row>
    <row r="152" spans="1:12" ht="36" x14ac:dyDescent="0.25">
      <c r="A152" s="7" t="s">
        <v>2718</v>
      </c>
      <c r="B152" s="2" t="s">
        <v>2719</v>
      </c>
      <c r="C152" s="4">
        <v>1</v>
      </c>
      <c r="D152" s="5">
        <v>2.7</v>
      </c>
      <c r="E152" s="5">
        <v>7.99</v>
      </c>
      <c r="F152" s="4" t="s">
        <v>2720</v>
      </c>
      <c r="G152" s="2" t="s">
        <v>28</v>
      </c>
      <c r="H152" s="7" t="s">
        <v>1151</v>
      </c>
      <c r="I152" s="2" t="s">
        <v>483</v>
      </c>
      <c r="J152" s="2" t="s">
        <v>536</v>
      </c>
      <c r="K152" s="2" t="s">
        <v>304</v>
      </c>
      <c r="L152" s="2" t="s">
        <v>206</v>
      </c>
    </row>
    <row r="153" spans="1:12" ht="84" x14ac:dyDescent="0.25">
      <c r="A153" s="7" t="s">
        <v>2227</v>
      </c>
      <c r="B153" s="2" t="s">
        <v>2228</v>
      </c>
      <c r="C153" s="4">
        <v>1</v>
      </c>
      <c r="D153" s="5">
        <v>2.67</v>
      </c>
      <c r="E153" s="5">
        <v>7.99</v>
      </c>
      <c r="F153" s="4" t="s">
        <v>2229</v>
      </c>
      <c r="G153" s="2" t="s">
        <v>527</v>
      </c>
      <c r="H153" s="7" t="s">
        <v>149</v>
      </c>
      <c r="I153" s="2" t="s">
        <v>483</v>
      </c>
      <c r="J153" s="2" t="s">
        <v>536</v>
      </c>
      <c r="K153" s="2" t="s">
        <v>304</v>
      </c>
      <c r="L153" s="2" t="s">
        <v>2230</v>
      </c>
    </row>
    <row r="154" spans="1:12" ht="36" x14ac:dyDescent="0.25">
      <c r="A154" s="7" t="s">
        <v>2721</v>
      </c>
      <c r="B154" s="2" t="s">
        <v>2722</v>
      </c>
      <c r="C154" s="4">
        <v>1</v>
      </c>
      <c r="D154" s="5">
        <v>2.54</v>
      </c>
      <c r="E154" s="5">
        <v>6.99</v>
      </c>
      <c r="F154" s="4">
        <v>10006317100</v>
      </c>
      <c r="G154" s="2" t="s">
        <v>1302</v>
      </c>
      <c r="H154" s="7" t="s">
        <v>149</v>
      </c>
      <c r="I154" s="2" t="s">
        <v>483</v>
      </c>
      <c r="J154" s="2" t="s">
        <v>536</v>
      </c>
      <c r="K154" s="2" t="s">
        <v>304</v>
      </c>
      <c r="L154" s="2" t="s">
        <v>38</v>
      </c>
    </row>
    <row r="155" spans="1:12" ht="36" x14ac:dyDescent="0.25">
      <c r="A155" s="7" t="s">
        <v>2723</v>
      </c>
      <c r="B155" s="2" t="s">
        <v>1269</v>
      </c>
      <c r="C155" s="4">
        <v>1</v>
      </c>
      <c r="D155" s="5">
        <v>2.54</v>
      </c>
      <c r="E155" s="5">
        <v>6.99</v>
      </c>
      <c r="F155" s="4" t="s">
        <v>1270</v>
      </c>
      <c r="G155" s="2" t="s">
        <v>41</v>
      </c>
      <c r="H155" s="7" t="s">
        <v>482</v>
      </c>
      <c r="I155" s="2" t="s">
        <v>483</v>
      </c>
      <c r="J155" s="2" t="s">
        <v>536</v>
      </c>
      <c r="K155" s="2" t="s">
        <v>304</v>
      </c>
      <c r="L155" s="2" t="s">
        <v>38</v>
      </c>
    </row>
    <row r="156" spans="1:12" ht="36" x14ac:dyDescent="0.25">
      <c r="A156" s="7" t="s">
        <v>2724</v>
      </c>
      <c r="B156" s="2" t="s">
        <v>2725</v>
      </c>
      <c r="C156" s="4">
        <v>1</v>
      </c>
      <c r="D156" s="5">
        <v>2.5</v>
      </c>
      <c r="E156" s="5">
        <v>5.99</v>
      </c>
      <c r="F156" s="4" t="s">
        <v>2726</v>
      </c>
      <c r="G156" s="2" t="s">
        <v>103</v>
      </c>
      <c r="H156" s="7" t="s">
        <v>590</v>
      </c>
      <c r="I156" s="2" t="s">
        <v>483</v>
      </c>
      <c r="J156" s="2" t="s">
        <v>536</v>
      </c>
      <c r="K156" s="2" t="s">
        <v>304</v>
      </c>
      <c r="L156" s="2" t="s">
        <v>87</v>
      </c>
    </row>
    <row r="157" spans="1:12" ht="36" x14ac:dyDescent="0.25">
      <c r="A157" s="7" t="s">
        <v>2727</v>
      </c>
      <c r="B157" s="2" t="s">
        <v>2725</v>
      </c>
      <c r="C157" s="4">
        <v>1</v>
      </c>
      <c r="D157" s="5">
        <v>2.5</v>
      </c>
      <c r="E157" s="5">
        <v>5.99</v>
      </c>
      <c r="F157" s="4" t="s">
        <v>2726</v>
      </c>
      <c r="G157" s="2" t="s">
        <v>103</v>
      </c>
      <c r="H157" s="7" t="s">
        <v>91</v>
      </c>
      <c r="I157" s="2" t="s">
        <v>483</v>
      </c>
      <c r="J157" s="2" t="s">
        <v>536</v>
      </c>
      <c r="K157" s="2" t="s">
        <v>304</v>
      </c>
      <c r="L157" s="2" t="s">
        <v>87</v>
      </c>
    </row>
    <row r="158" spans="1:12" ht="108" x14ac:dyDescent="0.25">
      <c r="A158" s="7" t="s">
        <v>2728</v>
      </c>
      <c r="B158" s="2" t="s">
        <v>2302</v>
      </c>
      <c r="C158" s="4">
        <v>1</v>
      </c>
      <c r="D158" s="5">
        <v>2.4900000000000002</v>
      </c>
      <c r="E158" s="5">
        <v>6.99</v>
      </c>
      <c r="F158" s="4" t="s">
        <v>2303</v>
      </c>
      <c r="G158" s="2" t="s">
        <v>134</v>
      </c>
      <c r="H158" s="7" t="s">
        <v>442</v>
      </c>
      <c r="I158" s="2" t="s">
        <v>483</v>
      </c>
      <c r="J158" s="2" t="s">
        <v>536</v>
      </c>
      <c r="K158" s="2" t="s">
        <v>304</v>
      </c>
      <c r="L158" s="2" t="s">
        <v>2304</v>
      </c>
    </row>
    <row r="159" spans="1:12" ht="108" x14ac:dyDescent="0.25">
      <c r="A159" s="7" t="s">
        <v>2308</v>
      </c>
      <c r="B159" s="2" t="s">
        <v>2302</v>
      </c>
      <c r="C159" s="4">
        <v>1</v>
      </c>
      <c r="D159" s="5">
        <v>2.4900000000000002</v>
      </c>
      <c r="E159" s="5">
        <v>6.99</v>
      </c>
      <c r="F159" s="4" t="s">
        <v>2303</v>
      </c>
      <c r="G159" s="2" t="s">
        <v>134</v>
      </c>
      <c r="H159" s="7" t="s">
        <v>590</v>
      </c>
      <c r="I159" s="2" t="s">
        <v>483</v>
      </c>
      <c r="J159" s="2" t="s">
        <v>536</v>
      </c>
      <c r="K159" s="2" t="s">
        <v>304</v>
      </c>
      <c r="L159" s="2" t="s">
        <v>2304</v>
      </c>
    </row>
    <row r="160" spans="1:12" ht="60" x14ac:dyDescent="0.25">
      <c r="A160" s="7" t="s">
        <v>2729</v>
      </c>
      <c r="B160" s="2" t="s">
        <v>1300</v>
      </c>
      <c r="C160" s="4">
        <v>1</v>
      </c>
      <c r="D160" s="5">
        <v>2.4900000000000002</v>
      </c>
      <c r="E160" s="5">
        <v>6.99</v>
      </c>
      <c r="F160" s="4" t="s">
        <v>1301</v>
      </c>
      <c r="G160" s="2" t="s">
        <v>1302</v>
      </c>
      <c r="H160" s="7" t="s">
        <v>482</v>
      </c>
      <c r="I160" s="2" t="s">
        <v>483</v>
      </c>
      <c r="J160" s="2" t="s">
        <v>536</v>
      </c>
      <c r="K160" s="2" t="s">
        <v>304</v>
      </c>
      <c r="L160" s="2" t="s">
        <v>596</v>
      </c>
    </row>
    <row r="161" spans="1:12" ht="36" x14ac:dyDescent="0.25">
      <c r="A161" s="7" t="s">
        <v>2313</v>
      </c>
      <c r="B161" s="2" t="s">
        <v>622</v>
      </c>
      <c r="C161" s="4">
        <v>3</v>
      </c>
      <c r="D161" s="5">
        <v>2.48</v>
      </c>
      <c r="E161" s="5">
        <v>7.99</v>
      </c>
      <c r="F161" s="4">
        <v>10005379300</v>
      </c>
      <c r="G161" s="2" t="s">
        <v>437</v>
      </c>
      <c r="H161" s="7" t="s">
        <v>149</v>
      </c>
      <c r="I161" s="2" t="s">
        <v>483</v>
      </c>
      <c r="J161" s="2" t="s">
        <v>536</v>
      </c>
      <c r="K161" s="2" t="s">
        <v>304</v>
      </c>
      <c r="L161" s="2" t="s">
        <v>623</v>
      </c>
    </row>
    <row r="162" spans="1:12" ht="36" x14ac:dyDescent="0.25">
      <c r="A162" s="7" t="s">
        <v>2310</v>
      </c>
      <c r="B162" s="2" t="s">
        <v>622</v>
      </c>
      <c r="C162" s="4">
        <v>2</v>
      </c>
      <c r="D162" s="5">
        <v>2.48</v>
      </c>
      <c r="E162" s="5">
        <v>7.99</v>
      </c>
      <c r="F162" s="4">
        <v>10005379300</v>
      </c>
      <c r="G162" s="2" t="s">
        <v>62</v>
      </c>
      <c r="H162" s="7"/>
      <c r="I162" s="2" t="s">
        <v>483</v>
      </c>
      <c r="J162" s="2" t="s">
        <v>536</v>
      </c>
      <c r="K162" s="2" t="s">
        <v>304</v>
      </c>
      <c r="L162" s="2" t="s">
        <v>623</v>
      </c>
    </row>
    <row r="163" spans="1:12" ht="36" x14ac:dyDescent="0.25">
      <c r="A163" s="7" t="s">
        <v>2309</v>
      </c>
      <c r="B163" s="2" t="s">
        <v>622</v>
      </c>
      <c r="C163" s="4">
        <v>1</v>
      </c>
      <c r="D163" s="5">
        <v>2.48</v>
      </c>
      <c r="E163" s="5">
        <v>7.99</v>
      </c>
      <c r="F163" s="4">
        <v>10005379300</v>
      </c>
      <c r="G163" s="2" t="s">
        <v>437</v>
      </c>
      <c r="H163" s="7" t="s">
        <v>482</v>
      </c>
      <c r="I163" s="2" t="s">
        <v>483</v>
      </c>
      <c r="J163" s="2" t="s">
        <v>536</v>
      </c>
      <c r="K163" s="2" t="s">
        <v>304</v>
      </c>
      <c r="L163" s="2" t="s">
        <v>623</v>
      </c>
    </row>
    <row r="164" spans="1:12" ht="36" x14ac:dyDescent="0.25">
      <c r="A164" s="7" t="s">
        <v>2730</v>
      </c>
      <c r="B164" s="2" t="s">
        <v>2731</v>
      </c>
      <c r="C164" s="4">
        <v>1</v>
      </c>
      <c r="D164" s="5">
        <v>2.4300000000000002</v>
      </c>
      <c r="E164" s="5">
        <v>6.99</v>
      </c>
      <c r="F164" s="4">
        <v>100021534</v>
      </c>
      <c r="G164" s="2" t="s">
        <v>41</v>
      </c>
      <c r="H164" s="7" t="s">
        <v>590</v>
      </c>
      <c r="I164" s="2" t="s">
        <v>2717</v>
      </c>
      <c r="J164" s="2" t="s">
        <v>536</v>
      </c>
      <c r="K164" s="2" t="s">
        <v>304</v>
      </c>
      <c r="L164" s="2" t="s">
        <v>87</v>
      </c>
    </row>
    <row r="165" spans="1:12" ht="36" x14ac:dyDescent="0.25">
      <c r="A165" s="7" t="s">
        <v>2732</v>
      </c>
      <c r="B165" s="2" t="s">
        <v>628</v>
      </c>
      <c r="C165" s="4">
        <v>1</v>
      </c>
      <c r="D165" s="5">
        <v>2.36</v>
      </c>
      <c r="E165" s="5">
        <v>6.99</v>
      </c>
      <c r="F165" s="4" t="s">
        <v>629</v>
      </c>
      <c r="G165" s="2" t="s">
        <v>388</v>
      </c>
      <c r="H165" s="7" t="s">
        <v>42</v>
      </c>
      <c r="I165" s="2" t="s">
        <v>483</v>
      </c>
      <c r="J165" s="2" t="s">
        <v>536</v>
      </c>
      <c r="K165" s="2" t="s">
        <v>304</v>
      </c>
      <c r="L165" s="2" t="s">
        <v>87</v>
      </c>
    </row>
    <row r="166" spans="1:12" ht="36" x14ac:dyDescent="0.25">
      <c r="A166" s="7" t="s">
        <v>2347</v>
      </c>
      <c r="B166" s="2" t="s">
        <v>2348</v>
      </c>
      <c r="C166" s="4">
        <v>1</v>
      </c>
      <c r="D166" s="5">
        <v>2.31</v>
      </c>
      <c r="E166" s="5">
        <v>7.99</v>
      </c>
      <c r="F166" s="4">
        <v>10005380100</v>
      </c>
      <c r="G166" s="2" t="s">
        <v>1360</v>
      </c>
      <c r="H166" s="7" t="s">
        <v>531</v>
      </c>
      <c r="I166" s="2" t="s">
        <v>483</v>
      </c>
      <c r="J166" s="2" t="s">
        <v>536</v>
      </c>
      <c r="K166" s="2" t="s">
        <v>304</v>
      </c>
      <c r="L166" s="2" t="s">
        <v>87</v>
      </c>
    </row>
    <row r="167" spans="1:12" ht="36" x14ac:dyDescent="0.25">
      <c r="A167" s="7" t="s">
        <v>2382</v>
      </c>
      <c r="B167" s="2" t="s">
        <v>2383</v>
      </c>
      <c r="C167" s="4">
        <v>2</v>
      </c>
      <c r="D167" s="5">
        <v>2.2200000000000002</v>
      </c>
      <c r="E167" s="5">
        <v>4.99</v>
      </c>
      <c r="F167" s="4">
        <v>10004193500</v>
      </c>
      <c r="G167" s="2" t="s">
        <v>1360</v>
      </c>
      <c r="H167" s="7" t="s">
        <v>531</v>
      </c>
      <c r="I167" s="2" t="s">
        <v>483</v>
      </c>
      <c r="J167" s="2" t="s">
        <v>536</v>
      </c>
      <c r="K167" s="2" t="s">
        <v>304</v>
      </c>
      <c r="L167" s="2" t="s">
        <v>87</v>
      </c>
    </row>
    <row r="168" spans="1:12" ht="84" x14ac:dyDescent="0.25">
      <c r="A168" s="7" t="s">
        <v>2733</v>
      </c>
      <c r="B168" s="2" t="s">
        <v>637</v>
      </c>
      <c r="C168" s="4">
        <v>2</v>
      </c>
      <c r="D168" s="5">
        <v>2.21</v>
      </c>
      <c r="E168" s="5">
        <v>6.99</v>
      </c>
      <c r="F168" s="4" t="s">
        <v>638</v>
      </c>
      <c r="G168" s="2" t="s">
        <v>171</v>
      </c>
      <c r="H168" s="7" t="s">
        <v>586</v>
      </c>
      <c r="I168" s="2" t="s">
        <v>483</v>
      </c>
      <c r="J168" s="2" t="s">
        <v>536</v>
      </c>
      <c r="K168" s="2" t="s">
        <v>304</v>
      </c>
      <c r="L168" s="2" t="s">
        <v>639</v>
      </c>
    </row>
    <row r="169" spans="1:12" ht="36" x14ac:dyDescent="0.25">
      <c r="A169" s="7" t="s">
        <v>2415</v>
      </c>
      <c r="B169" s="2" t="s">
        <v>2416</v>
      </c>
      <c r="C169" s="4">
        <v>5</v>
      </c>
      <c r="D169" s="5">
        <v>1.47</v>
      </c>
      <c r="E169" s="5">
        <v>3.99</v>
      </c>
      <c r="F169" s="4" t="s">
        <v>2417</v>
      </c>
      <c r="G169" s="2" t="s">
        <v>297</v>
      </c>
      <c r="H169" s="7" t="s">
        <v>531</v>
      </c>
      <c r="I169" s="2" t="s">
        <v>483</v>
      </c>
      <c r="J169" s="2" t="s">
        <v>536</v>
      </c>
      <c r="K169" s="2" t="s">
        <v>304</v>
      </c>
      <c r="L169" s="2" t="s">
        <v>206</v>
      </c>
    </row>
    <row r="170" spans="1:12" ht="60" x14ac:dyDescent="0.25">
      <c r="A170" s="7" t="s">
        <v>2418</v>
      </c>
      <c r="B170" s="2" t="s">
        <v>2419</v>
      </c>
      <c r="C170" s="4">
        <v>1</v>
      </c>
      <c r="D170" s="5">
        <v>1.42</v>
      </c>
      <c r="E170" s="5">
        <v>3.99</v>
      </c>
      <c r="F170" s="4" t="s">
        <v>2420</v>
      </c>
      <c r="G170" s="2" t="s">
        <v>134</v>
      </c>
      <c r="H170" s="7" t="s">
        <v>531</v>
      </c>
      <c r="I170" s="2" t="s">
        <v>483</v>
      </c>
      <c r="J170" s="2" t="s">
        <v>536</v>
      </c>
      <c r="K170" s="2" t="s">
        <v>304</v>
      </c>
      <c r="L170" s="2" t="s">
        <v>2421</v>
      </c>
    </row>
    <row r="171" spans="1:12" ht="60" x14ac:dyDescent="0.25">
      <c r="A171" s="7" t="s">
        <v>2734</v>
      </c>
      <c r="B171" s="2" t="s">
        <v>198</v>
      </c>
      <c r="C171" s="4">
        <v>1</v>
      </c>
      <c r="D171" s="5">
        <v>12.39</v>
      </c>
      <c r="E171" s="5">
        <v>29.5</v>
      </c>
      <c r="F171" s="4" t="s">
        <v>199</v>
      </c>
      <c r="G171" s="2" t="s">
        <v>200</v>
      </c>
      <c r="H171" s="7" t="s">
        <v>442</v>
      </c>
      <c r="I171" s="2" t="s">
        <v>135</v>
      </c>
      <c r="J171" s="2" t="s">
        <v>201</v>
      </c>
      <c r="K171" s="2"/>
      <c r="L171" s="2"/>
    </row>
    <row r="172" spans="1:12" ht="60" x14ac:dyDescent="0.25">
      <c r="A172" s="7" t="s">
        <v>2735</v>
      </c>
      <c r="B172" s="2" t="s">
        <v>2736</v>
      </c>
      <c r="C172" s="4">
        <v>1</v>
      </c>
      <c r="D172" s="5">
        <v>10.3</v>
      </c>
      <c r="E172" s="5">
        <v>20.6</v>
      </c>
      <c r="F172" s="4">
        <v>27924011</v>
      </c>
      <c r="G172" s="2"/>
      <c r="H172" s="7" t="s">
        <v>209</v>
      </c>
      <c r="I172" s="2" t="s">
        <v>487</v>
      </c>
      <c r="J172" s="2" t="s">
        <v>2424</v>
      </c>
      <c r="K172" s="2"/>
      <c r="L172" s="2"/>
    </row>
  </sheetData>
  <pageMargins left="0.5" right="0.5" top="0.25" bottom="0.25" header="0.3" footer="0.3"/>
  <pageSetup scale="65" orientation="landscape" horizontalDpi="0" verticalDpi="0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471"/>
  <sheetViews>
    <sheetView workbookViewId="0">
      <selection activeCell="M5" sqref="M4:M5"/>
    </sheetView>
  </sheetViews>
  <sheetFormatPr defaultRowHeight="15" x14ac:dyDescent="0.25"/>
  <cols>
    <col min="1" max="1" width="14.28515625" customWidth="1"/>
    <col min="2" max="2" width="50.140625" customWidth="1"/>
    <col min="3" max="3" width="15" customWidth="1"/>
    <col min="4" max="4" width="10.85546875" customWidth="1"/>
    <col min="5" max="6" width="15" customWidth="1"/>
    <col min="7" max="7" width="10.28515625" customWidth="1"/>
    <col min="8" max="8" width="12.5703125" customWidth="1"/>
    <col min="9" max="10" width="11.42578125" customWidth="1"/>
    <col min="11" max="11" width="10.85546875" customWidth="1"/>
    <col min="12" max="12" width="10.42578125" customWidth="1"/>
    <col min="13" max="13" width="10.85546875" customWidth="1"/>
    <col min="14" max="14" width="36.5703125" bestFit="1" customWidth="1"/>
    <col min="15" max="16" width="20.7109375" customWidth="1"/>
    <col min="17" max="17" width="64.28515625" customWidth="1"/>
  </cols>
  <sheetData>
    <row r="1" spans="1:12" ht="36" x14ac:dyDescent="0.25">
      <c r="A1" s="11" t="s">
        <v>0</v>
      </c>
      <c r="B1" s="11" t="s">
        <v>1</v>
      </c>
      <c r="C1" s="11" t="s">
        <v>2</v>
      </c>
      <c r="D1" s="11" t="s">
        <v>3</v>
      </c>
      <c r="E1" s="11" t="s">
        <v>4</v>
      </c>
      <c r="F1" s="11" t="s">
        <v>5</v>
      </c>
      <c r="G1" s="11" t="s">
        <v>6</v>
      </c>
      <c r="H1" s="11" t="s">
        <v>7</v>
      </c>
      <c r="I1" s="11" t="s">
        <v>8</v>
      </c>
      <c r="J1" s="11" t="s">
        <v>9</v>
      </c>
    </row>
    <row r="2" spans="1:12" ht="36" x14ac:dyDescent="0.25">
      <c r="A2" s="2" t="s">
        <v>10</v>
      </c>
      <c r="B2" s="3">
        <v>12512702</v>
      </c>
      <c r="C2" s="2" t="s">
        <v>11</v>
      </c>
      <c r="D2" s="2" t="s">
        <v>12</v>
      </c>
      <c r="E2" s="4">
        <v>1</v>
      </c>
      <c r="F2" s="4">
        <v>12</v>
      </c>
      <c r="G2" s="2">
        <v>169</v>
      </c>
      <c r="H2" s="5">
        <v>3621.9</v>
      </c>
      <c r="I2" s="5">
        <v>9149.27</v>
      </c>
      <c r="J2" s="2">
        <v>590</v>
      </c>
    </row>
    <row r="4" spans="1:12" s="6" customFormat="1" x14ac:dyDescent="0.25"/>
    <row r="7" spans="1:12" s="6" customFormat="1" x14ac:dyDescent="0.25"/>
    <row r="8" spans="1:12" ht="24" x14ac:dyDescent="0.25">
      <c r="A8" s="11" t="s">
        <v>13</v>
      </c>
      <c r="B8" s="11" t="s">
        <v>14</v>
      </c>
      <c r="C8" s="11" t="s">
        <v>15</v>
      </c>
      <c r="D8" s="11" t="s">
        <v>16</v>
      </c>
      <c r="E8" s="11" t="s">
        <v>17</v>
      </c>
      <c r="F8" s="11" t="s">
        <v>18</v>
      </c>
      <c r="G8" s="11" t="s">
        <v>19</v>
      </c>
      <c r="H8" s="11" t="s">
        <v>20</v>
      </c>
      <c r="I8" s="11" t="s">
        <v>21</v>
      </c>
      <c r="J8" s="11" t="s">
        <v>22</v>
      </c>
      <c r="K8" s="11" t="s">
        <v>23</v>
      </c>
      <c r="L8" s="11" t="s">
        <v>24</v>
      </c>
    </row>
    <row r="9" spans="1:12" ht="84" x14ac:dyDescent="0.25">
      <c r="A9" s="7" t="s">
        <v>1404</v>
      </c>
      <c r="B9" s="2" t="s">
        <v>34</v>
      </c>
      <c r="C9" s="4">
        <v>1</v>
      </c>
      <c r="D9" s="5">
        <v>42.5</v>
      </c>
      <c r="E9" s="5">
        <v>104.99</v>
      </c>
      <c r="F9" s="4" t="s">
        <v>35</v>
      </c>
      <c r="G9" s="2" t="s">
        <v>36</v>
      </c>
      <c r="H9" s="7" t="s">
        <v>1405</v>
      </c>
      <c r="I9" s="2" t="s">
        <v>30</v>
      </c>
      <c r="J9" s="2" t="s">
        <v>31</v>
      </c>
      <c r="K9" s="2" t="s">
        <v>38</v>
      </c>
      <c r="L9" s="8" t="str">
        <f>HYPERLINK("http://slimages.macys.com/is/image/MCY/11831359 ")</f>
        <v xml:space="preserve">http://slimages.macys.com/is/image/MCY/11831359 </v>
      </c>
    </row>
    <row r="10" spans="1:12" ht="84" x14ac:dyDescent="0.25">
      <c r="A10" s="7" t="s">
        <v>1406</v>
      </c>
      <c r="B10" s="2" t="s">
        <v>1407</v>
      </c>
      <c r="C10" s="4">
        <v>3</v>
      </c>
      <c r="D10" s="5">
        <v>38</v>
      </c>
      <c r="E10" s="5">
        <v>71.989999999999995</v>
      </c>
      <c r="F10" s="4" t="s">
        <v>1408</v>
      </c>
      <c r="G10" s="2" t="s">
        <v>814</v>
      </c>
      <c r="H10" s="7" t="s">
        <v>172</v>
      </c>
      <c r="I10" s="2" t="s">
        <v>30</v>
      </c>
      <c r="J10" s="2" t="s">
        <v>1409</v>
      </c>
      <c r="K10" s="2" t="s">
        <v>206</v>
      </c>
      <c r="L10" s="8" t="str">
        <f>HYPERLINK("http://slimages.macys.com/is/image/MCY/11603207 ")</f>
        <v xml:space="preserve">http://slimages.macys.com/is/image/MCY/11603207 </v>
      </c>
    </row>
    <row r="11" spans="1:12" ht="84" x14ac:dyDescent="0.25">
      <c r="A11" s="7" t="s">
        <v>1410</v>
      </c>
      <c r="B11" s="2" t="s">
        <v>1407</v>
      </c>
      <c r="C11" s="4">
        <v>1</v>
      </c>
      <c r="D11" s="5">
        <v>38</v>
      </c>
      <c r="E11" s="5">
        <v>71.989999999999995</v>
      </c>
      <c r="F11" s="4" t="s">
        <v>1408</v>
      </c>
      <c r="G11" s="2" t="s">
        <v>814</v>
      </c>
      <c r="H11" s="7" t="s">
        <v>1411</v>
      </c>
      <c r="I11" s="2" t="s">
        <v>30</v>
      </c>
      <c r="J11" s="2" t="s">
        <v>1409</v>
      </c>
      <c r="K11" s="2" t="s">
        <v>206</v>
      </c>
      <c r="L11" s="8" t="str">
        <f>HYPERLINK("http://slimages.macys.com/is/image/MCY/11603207 ")</f>
        <v xml:space="preserve">http://slimages.macys.com/is/image/MCY/11603207 </v>
      </c>
    </row>
    <row r="12" spans="1:12" ht="84" x14ac:dyDescent="0.25">
      <c r="A12" s="7" t="s">
        <v>1412</v>
      </c>
      <c r="B12" s="2" t="s">
        <v>1413</v>
      </c>
      <c r="C12" s="4">
        <v>1</v>
      </c>
      <c r="D12" s="5">
        <v>24.75</v>
      </c>
      <c r="E12" s="5">
        <v>55</v>
      </c>
      <c r="F12" s="4">
        <v>310752315001</v>
      </c>
      <c r="G12" s="2" t="s">
        <v>41</v>
      </c>
      <c r="H12" s="7" t="s">
        <v>442</v>
      </c>
      <c r="I12" s="2" t="s">
        <v>676</v>
      </c>
      <c r="J12" s="2" t="s">
        <v>677</v>
      </c>
      <c r="K12" s="2" t="s">
        <v>38</v>
      </c>
      <c r="L12" s="8" t="str">
        <f>HYPERLINK("http://slimages.macys.com/is/image/MCY/14361795 ")</f>
        <v xml:space="preserve">http://slimages.macys.com/is/image/MCY/14361795 </v>
      </c>
    </row>
    <row r="13" spans="1:12" ht="84" x14ac:dyDescent="0.25">
      <c r="A13" s="7" t="s">
        <v>1414</v>
      </c>
      <c r="B13" s="2" t="s">
        <v>1415</v>
      </c>
      <c r="C13" s="4">
        <v>1</v>
      </c>
      <c r="D13" s="5">
        <v>23</v>
      </c>
      <c r="E13" s="5">
        <v>54.99</v>
      </c>
      <c r="F13" s="4" t="s">
        <v>1416</v>
      </c>
      <c r="G13" s="2" t="s">
        <v>28</v>
      </c>
      <c r="H13" s="7" t="s">
        <v>1417</v>
      </c>
      <c r="I13" s="2" t="s">
        <v>668</v>
      </c>
      <c r="J13" s="2" t="s">
        <v>239</v>
      </c>
      <c r="K13" s="2" t="s">
        <v>1418</v>
      </c>
      <c r="L13" s="8" t="str">
        <f>HYPERLINK("http://slimages.macys.com/is/image/MCY/14459200 ")</f>
        <v xml:space="preserve">http://slimages.macys.com/is/image/MCY/14459200 </v>
      </c>
    </row>
    <row r="14" spans="1:12" ht="84" x14ac:dyDescent="0.25">
      <c r="A14" s="7" t="s">
        <v>1419</v>
      </c>
      <c r="B14" s="2" t="s">
        <v>1420</v>
      </c>
      <c r="C14" s="4">
        <v>1</v>
      </c>
      <c r="D14" s="5">
        <v>23</v>
      </c>
      <c r="E14" s="5">
        <v>54.99</v>
      </c>
      <c r="F14" s="4" t="s">
        <v>1421</v>
      </c>
      <c r="G14" s="2" t="s">
        <v>103</v>
      </c>
      <c r="H14" s="7" t="s">
        <v>1422</v>
      </c>
      <c r="I14" s="2" t="s">
        <v>668</v>
      </c>
      <c r="J14" s="2" t="s">
        <v>239</v>
      </c>
      <c r="K14" s="2" t="s">
        <v>1418</v>
      </c>
      <c r="L14" s="8" t="str">
        <f>HYPERLINK("http://slimages.macys.com/is/image/MCY/14459201 ")</f>
        <v xml:space="preserve">http://slimages.macys.com/is/image/MCY/14459201 </v>
      </c>
    </row>
    <row r="15" spans="1:12" ht="84" x14ac:dyDescent="0.25">
      <c r="A15" s="7" t="s">
        <v>1423</v>
      </c>
      <c r="B15" s="2" t="s">
        <v>1420</v>
      </c>
      <c r="C15" s="4">
        <v>1</v>
      </c>
      <c r="D15" s="5">
        <v>23</v>
      </c>
      <c r="E15" s="5">
        <v>54.99</v>
      </c>
      <c r="F15" s="4" t="s">
        <v>1421</v>
      </c>
      <c r="G15" s="2" t="s">
        <v>103</v>
      </c>
      <c r="H15" s="7" t="s">
        <v>1417</v>
      </c>
      <c r="I15" s="2" t="s">
        <v>668</v>
      </c>
      <c r="J15" s="2" t="s">
        <v>239</v>
      </c>
      <c r="K15" s="2" t="s">
        <v>1418</v>
      </c>
      <c r="L15" s="8" t="str">
        <f>HYPERLINK("http://slimages.macys.com/is/image/MCY/14459201 ")</f>
        <v xml:space="preserve">http://slimages.macys.com/is/image/MCY/14459201 </v>
      </c>
    </row>
    <row r="16" spans="1:12" ht="84" x14ac:dyDescent="0.25">
      <c r="A16" s="7" t="s">
        <v>1424</v>
      </c>
      <c r="B16" s="2" t="s">
        <v>1425</v>
      </c>
      <c r="C16" s="4">
        <v>1</v>
      </c>
      <c r="D16" s="5">
        <v>21.5</v>
      </c>
      <c r="E16" s="5">
        <v>59.99</v>
      </c>
      <c r="F16" s="4" t="s">
        <v>1426</v>
      </c>
      <c r="G16" s="2" t="s">
        <v>793</v>
      </c>
      <c r="H16" s="7" t="s">
        <v>177</v>
      </c>
      <c r="I16" s="2" t="s">
        <v>668</v>
      </c>
      <c r="J16" s="2" t="s">
        <v>1427</v>
      </c>
      <c r="K16" s="2" t="s">
        <v>125</v>
      </c>
      <c r="L16" s="8" t="str">
        <f>HYPERLINK("http://slimages.macys.com/is/image/MCY/13314623 ")</f>
        <v xml:space="preserve">http://slimages.macys.com/is/image/MCY/13314623 </v>
      </c>
    </row>
    <row r="17" spans="1:12" ht="84" x14ac:dyDescent="0.25">
      <c r="A17" s="7" t="s">
        <v>1428</v>
      </c>
      <c r="B17" s="2" t="s">
        <v>40</v>
      </c>
      <c r="C17" s="4">
        <v>1</v>
      </c>
      <c r="D17" s="5">
        <v>21</v>
      </c>
      <c r="E17" s="5">
        <v>55</v>
      </c>
      <c r="F17" s="4">
        <v>1201</v>
      </c>
      <c r="G17" s="2" t="s">
        <v>41</v>
      </c>
      <c r="H17" s="7" t="s">
        <v>590</v>
      </c>
      <c r="I17" s="2" t="s">
        <v>43</v>
      </c>
      <c r="J17" s="2" t="s">
        <v>44</v>
      </c>
      <c r="K17" s="2" t="s">
        <v>125</v>
      </c>
      <c r="L17" s="8" t="str">
        <f>HYPERLINK("http://slimages.macys.com/is/image/MCY/1087909 ")</f>
        <v xml:space="preserve">http://slimages.macys.com/is/image/MCY/1087909 </v>
      </c>
    </row>
    <row r="18" spans="1:12" ht="84" x14ac:dyDescent="0.25">
      <c r="A18" s="7" t="s">
        <v>1429</v>
      </c>
      <c r="B18" s="2" t="s">
        <v>40</v>
      </c>
      <c r="C18" s="4">
        <v>1</v>
      </c>
      <c r="D18" s="5">
        <v>21</v>
      </c>
      <c r="E18" s="5">
        <v>55</v>
      </c>
      <c r="F18" s="4">
        <v>1201</v>
      </c>
      <c r="G18" s="2" t="s">
        <v>41</v>
      </c>
      <c r="H18" s="7"/>
      <c r="I18" s="2" t="s">
        <v>43</v>
      </c>
      <c r="J18" s="2" t="s">
        <v>44</v>
      </c>
      <c r="K18" s="2" t="s">
        <v>125</v>
      </c>
      <c r="L18" s="8" t="str">
        <f>HYPERLINK("http://slimages.macys.com/is/image/MCY/1087909 ")</f>
        <v xml:space="preserve">http://slimages.macys.com/is/image/MCY/1087909 </v>
      </c>
    </row>
    <row r="19" spans="1:12" ht="84" x14ac:dyDescent="0.25">
      <c r="A19" s="7" t="s">
        <v>1430</v>
      </c>
      <c r="B19" s="2" t="s">
        <v>1431</v>
      </c>
      <c r="C19" s="4">
        <v>1</v>
      </c>
      <c r="D19" s="5">
        <v>20</v>
      </c>
      <c r="E19" s="5">
        <v>54.99</v>
      </c>
      <c r="F19" s="4" t="s">
        <v>1432</v>
      </c>
      <c r="G19" s="2" t="s">
        <v>195</v>
      </c>
      <c r="H19" s="7"/>
      <c r="I19" s="2" t="s">
        <v>668</v>
      </c>
      <c r="J19" s="2" t="s">
        <v>239</v>
      </c>
      <c r="K19" s="2" t="s">
        <v>1433</v>
      </c>
      <c r="L19" s="8" t="str">
        <f>HYPERLINK("http://slimages.macys.com/is/image/MCY/12830937 ")</f>
        <v xml:space="preserve">http://slimages.macys.com/is/image/MCY/12830937 </v>
      </c>
    </row>
    <row r="20" spans="1:12" ht="84" x14ac:dyDescent="0.25">
      <c r="A20" s="7" t="s">
        <v>1434</v>
      </c>
      <c r="B20" s="2" t="s">
        <v>1435</v>
      </c>
      <c r="C20" s="4">
        <v>1</v>
      </c>
      <c r="D20" s="5">
        <v>18.5</v>
      </c>
      <c r="E20" s="5">
        <v>54.99</v>
      </c>
      <c r="F20" s="4" t="s">
        <v>1436</v>
      </c>
      <c r="G20" s="2"/>
      <c r="H20" s="7"/>
      <c r="I20" s="2" t="s">
        <v>668</v>
      </c>
      <c r="J20" s="2" t="s">
        <v>1437</v>
      </c>
      <c r="K20" s="2" t="s">
        <v>125</v>
      </c>
      <c r="L20" s="8" t="str">
        <f>HYPERLINK("http://slimages.macys.com/is/image/MCY/12849710 ")</f>
        <v xml:space="preserve">http://slimages.macys.com/is/image/MCY/12849710 </v>
      </c>
    </row>
    <row r="21" spans="1:12" ht="84" x14ac:dyDescent="0.25">
      <c r="A21" s="7" t="s">
        <v>1438</v>
      </c>
      <c r="B21" s="2" t="s">
        <v>1439</v>
      </c>
      <c r="C21" s="4">
        <v>1</v>
      </c>
      <c r="D21" s="5">
        <v>18</v>
      </c>
      <c r="E21" s="5">
        <v>49.99</v>
      </c>
      <c r="F21" s="4" t="s">
        <v>1440</v>
      </c>
      <c r="G21" s="2" t="s">
        <v>103</v>
      </c>
      <c r="H21" s="7" t="s">
        <v>97</v>
      </c>
      <c r="I21" s="2" t="s">
        <v>668</v>
      </c>
      <c r="J21" s="2" t="s">
        <v>239</v>
      </c>
      <c r="K21" s="2" t="s">
        <v>125</v>
      </c>
      <c r="L21" s="8" t="str">
        <f>HYPERLINK("http://slimages.macys.com/is/image/MCY/12381391 ")</f>
        <v xml:space="preserve">http://slimages.macys.com/is/image/MCY/12381391 </v>
      </c>
    </row>
    <row r="22" spans="1:12" ht="84" x14ac:dyDescent="0.25">
      <c r="A22" s="7" t="s">
        <v>1441</v>
      </c>
      <c r="B22" s="2" t="s">
        <v>84</v>
      </c>
      <c r="C22" s="4">
        <v>1</v>
      </c>
      <c r="D22" s="5">
        <v>17.8</v>
      </c>
      <c r="E22" s="5">
        <v>44.5</v>
      </c>
      <c r="F22" s="4" t="s">
        <v>85</v>
      </c>
      <c r="G22" s="2" t="s">
        <v>86</v>
      </c>
      <c r="H22" s="7"/>
      <c r="I22" s="2" t="s">
        <v>57</v>
      </c>
      <c r="J22" s="2" t="s">
        <v>58</v>
      </c>
      <c r="K22" s="2" t="s">
        <v>87</v>
      </c>
      <c r="L22" s="8" t="str">
        <f>HYPERLINK("http://slimages.macys.com/is/image/MCY/13043471 ")</f>
        <v xml:space="preserve">http://slimages.macys.com/is/image/MCY/13043471 </v>
      </c>
    </row>
    <row r="23" spans="1:12" ht="84" x14ac:dyDescent="0.25">
      <c r="A23" s="7" t="s">
        <v>1442</v>
      </c>
      <c r="B23" s="2" t="s">
        <v>1443</v>
      </c>
      <c r="C23" s="4">
        <v>1</v>
      </c>
      <c r="D23" s="5">
        <v>17.78</v>
      </c>
      <c r="E23" s="5">
        <v>39.5</v>
      </c>
      <c r="F23" s="4">
        <v>323736959007</v>
      </c>
      <c r="G23" s="2" t="s">
        <v>129</v>
      </c>
      <c r="H23" s="7" t="s">
        <v>1411</v>
      </c>
      <c r="I23" s="2" t="s">
        <v>204</v>
      </c>
      <c r="J23" s="2" t="s">
        <v>205</v>
      </c>
      <c r="K23" s="2" t="s">
        <v>38</v>
      </c>
      <c r="L23" s="8" t="str">
        <f>HYPERLINK("http://slimages.macys.com/is/image/MCY/13895756 ")</f>
        <v xml:space="preserve">http://slimages.macys.com/is/image/MCY/13895756 </v>
      </c>
    </row>
    <row r="24" spans="1:12" ht="84" x14ac:dyDescent="0.25">
      <c r="A24" s="7" t="s">
        <v>1444</v>
      </c>
      <c r="B24" s="2" t="s">
        <v>1445</v>
      </c>
      <c r="C24" s="4">
        <v>1</v>
      </c>
      <c r="D24" s="5">
        <v>17</v>
      </c>
      <c r="E24" s="5">
        <v>40</v>
      </c>
      <c r="F24" s="4" t="s">
        <v>1446</v>
      </c>
      <c r="G24" s="2" t="s">
        <v>253</v>
      </c>
      <c r="H24" s="7" t="s">
        <v>850</v>
      </c>
      <c r="I24" s="2" t="s">
        <v>50</v>
      </c>
      <c r="J24" s="2" t="s">
        <v>1447</v>
      </c>
      <c r="K24" s="2" t="s">
        <v>1448</v>
      </c>
      <c r="L24" s="8" t="str">
        <f>HYPERLINK("http://slimages.macys.com/is/image/MCY/8292062 ")</f>
        <v xml:space="preserve">http://slimages.macys.com/is/image/MCY/8292062 </v>
      </c>
    </row>
    <row r="25" spans="1:12" ht="120" x14ac:dyDescent="0.25">
      <c r="A25" s="7" t="s">
        <v>1449</v>
      </c>
      <c r="B25" s="2" t="s">
        <v>1450</v>
      </c>
      <c r="C25" s="4">
        <v>1</v>
      </c>
      <c r="D25" s="5">
        <v>16.5</v>
      </c>
      <c r="E25" s="5">
        <v>39.99</v>
      </c>
      <c r="F25" s="4" t="s">
        <v>1451</v>
      </c>
      <c r="G25" s="2" t="s">
        <v>103</v>
      </c>
      <c r="H25" s="7" t="s">
        <v>91</v>
      </c>
      <c r="I25" s="2" t="s">
        <v>92</v>
      </c>
      <c r="J25" s="2" t="s">
        <v>239</v>
      </c>
      <c r="K25" s="2" t="s">
        <v>1452</v>
      </c>
      <c r="L25" s="8" t="str">
        <f>HYPERLINK("http://slimages.macys.com/is/image/MCY/14989365 ")</f>
        <v xml:space="preserve">http://slimages.macys.com/is/image/MCY/14989365 </v>
      </c>
    </row>
    <row r="26" spans="1:12" ht="96" x14ac:dyDescent="0.25">
      <c r="A26" s="7" t="s">
        <v>1453</v>
      </c>
      <c r="B26" s="2" t="s">
        <v>1454</v>
      </c>
      <c r="C26" s="4">
        <v>1</v>
      </c>
      <c r="D26" s="5">
        <v>16.5</v>
      </c>
      <c r="E26" s="5">
        <v>39.99</v>
      </c>
      <c r="F26" s="4" t="s">
        <v>1455</v>
      </c>
      <c r="G26" s="2" t="s">
        <v>103</v>
      </c>
      <c r="H26" s="7" t="s">
        <v>442</v>
      </c>
      <c r="I26" s="2" t="s">
        <v>92</v>
      </c>
      <c r="J26" s="2" t="s">
        <v>65</v>
      </c>
      <c r="K26" s="2" t="s">
        <v>1456</v>
      </c>
      <c r="L26" s="8" t="str">
        <f>HYPERLINK("http://slimages.macys.com/is/image/MCY/13965178 ")</f>
        <v xml:space="preserve">http://slimages.macys.com/is/image/MCY/13965178 </v>
      </c>
    </row>
    <row r="27" spans="1:12" ht="84" x14ac:dyDescent="0.25">
      <c r="A27" s="7" t="s">
        <v>1457</v>
      </c>
      <c r="B27" s="2" t="s">
        <v>1458</v>
      </c>
      <c r="C27" s="4">
        <v>1</v>
      </c>
      <c r="D27" s="5">
        <v>16</v>
      </c>
      <c r="E27" s="5">
        <v>39.99</v>
      </c>
      <c r="F27" s="4" t="s">
        <v>1459</v>
      </c>
      <c r="G27" s="2" t="s">
        <v>129</v>
      </c>
      <c r="H27" s="7" t="s">
        <v>91</v>
      </c>
      <c r="I27" s="2" t="s">
        <v>92</v>
      </c>
      <c r="J27" s="2" t="s">
        <v>239</v>
      </c>
      <c r="K27" s="2" t="s">
        <v>1460</v>
      </c>
      <c r="L27" s="8" t="str">
        <f>HYPERLINK("http://slimages.macys.com/is/image/MCY/14989246 ")</f>
        <v xml:space="preserve">http://slimages.macys.com/is/image/MCY/14989246 </v>
      </c>
    </row>
    <row r="28" spans="1:12" ht="84" x14ac:dyDescent="0.25">
      <c r="A28" s="7" t="s">
        <v>1461</v>
      </c>
      <c r="B28" s="2" t="s">
        <v>1462</v>
      </c>
      <c r="C28" s="4">
        <v>1</v>
      </c>
      <c r="D28" s="5">
        <v>16</v>
      </c>
      <c r="E28" s="5">
        <v>45</v>
      </c>
      <c r="F28" s="4">
        <v>361014</v>
      </c>
      <c r="G28" s="2" t="s">
        <v>1463</v>
      </c>
      <c r="H28" s="7" t="s">
        <v>917</v>
      </c>
      <c r="I28" s="2" t="s">
        <v>50</v>
      </c>
      <c r="J28" s="2" t="s">
        <v>51</v>
      </c>
      <c r="K28" s="2" t="s">
        <v>1464</v>
      </c>
      <c r="L28" s="8" t="str">
        <f>HYPERLINK("http://slimages.macys.com/is/image/MCY/12462916 ")</f>
        <v xml:space="preserve">http://slimages.macys.com/is/image/MCY/12462916 </v>
      </c>
    </row>
    <row r="29" spans="1:12" ht="84" x14ac:dyDescent="0.25">
      <c r="A29" s="7" t="s">
        <v>1465</v>
      </c>
      <c r="B29" s="2" t="s">
        <v>1462</v>
      </c>
      <c r="C29" s="4">
        <v>1</v>
      </c>
      <c r="D29" s="5">
        <v>16</v>
      </c>
      <c r="E29" s="5">
        <v>45</v>
      </c>
      <c r="F29" s="4">
        <v>361014</v>
      </c>
      <c r="G29" s="2" t="s">
        <v>1463</v>
      </c>
      <c r="H29" s="7" t="s">
        <v>708</v>
      </c>
      <c r="I29" s="2" t="s">
        <v>50</v>
      </c>
      <c r="J29" s="2" t="s">
        <v>51</v>
      </c>
      <c r="K29" s="2" t="s">
        <v>1464</v>
      </c>
      <c r="L29" s="8" t="str">
        <f>HYPERLINK("http://slimages.macys.com/is/image/MCY/12462916 ")</f>
        <v xml:space="preserve">http://slimages.macys.com/is/image/MCY/12462916 </v>
      </c>
    </row>
    <row r="30" spans="1:12" ht="84" x14ac:dyDescent="0.25">
      <c r="A30" s="7" t="s">
        <v>1466</v>
      </c>
      <c r="B30" s="2" t="s">
        <v>1467</v>
      </c>
      <c r="C30" s="4">
        <v>1</v>
      </c>
      <c r="D30" s="5">
        <v>15.8</v>
      </c>
      <c r="E30" s="5">
        <v>39.5</v>
      </c>
      <c r="F30" s="4" t="s">
        <v>1468</v>
      </c>
      <c r="G30" s="2" t="s">
        <v>437</v>
      </c>
      <c r="H30" s="7"/>
      <c r="I30" s="2" t="s">
        <v>57</v>
      </c>
      <c r="J30" s="2" t="s">
        <v>58</v>
      </c>
      <c r="K30" s="2" t="s">
        <v>100</v>
      </c>
      <c r="L30" s="8" t="str">
        <f>HYPERLINK("http://slimages.macys.com/is/image/MCY/13043447 ")</f>
        <v xml:space="preserve">http://slimages.macys.com/is/image/MCY/13043447 </v>
      </c>
    </row>
    <row r="31" spans="1:12" ht="84" x14ac:dyDescent="0.25">
      <c r="A31" s="7" t="s">
        <v>1469</v>
      </c>
      <c r="B31" s="2" t="s">
        <v>1470</v>
      </c>
      <c r="C31" s="4">
        <v>1</v>
      </c>
      <c r="D31" s="5">
        <v>15.75</v>
      </c>
      <c r="E31" s="5">
        <v>35</v>
      </c>
      <c r="F31" s="4">
        <v>1347110</v>
      </c>
      <c r="G31" s="2" t="s">
        <v>165</v>
      </c>
      <c r="H31" s="7" t="s">
        <v>159</v>
      </c>
      <c r="I31" s="2" t="s">
        <v>73</v>
      </c>
      <c r="J31" s="2" t="s">
        <v>280</v>
      </c>
      <c r="K31" s="2" t="s">
        <v>224</v>
      </c>
      <c r="L31" s="8" t="str">
        <f>HYPERLINK("http://slimages.macys.com/is/image/MCY/15896141 ")</f>
        <v xml:space="preserve">http://slimages.macys.com/is/image/MCY/15896141 </v>
      </c>
    </row>
    <row r="32" spans="1:12" ht="84" x14ac:dyDescent="0.25">
      <c r="A32" s="7" t="s">
        <v>1471</v>
      </c>
      <c r="B32" s="2" t="s">
        <v>1472</v>
      </c>
      <c r="C32" s="4">
        <v>1</v>
      </c>
      <c r="D32" s="5">
        <v>15.2</v>
      </c>
      <c r="E32" s="5">
        <v>40</v>
      </c>
      <c r="F32" s="4" t="s">
        <v>1473</v>
      </c>
      <c r="G32" s="2" t="s">
        <v>195</v>
      </c>
      <c r="H32" s="7" t="s">
        <v>1474</v>
      </c>
      <c r="I32" s="2" t="s">
        <v>700</v>
      </c>
      <c r="J32" s="2" t="s">
        <v>1475</v>
      </c>
      <c r="K32" s="2" t="s">
        <v>75</v>
      </c>
      <c r="L32" s="8" t="str">
        <f>HYPERLINK("http://slimages.macys.com/is/image/MCY/11448222 ")</f>
        <v xml:space="preserve">http://slimages.macys.com/is/image/MCY/11448222 </v>
      </c>
    </row>
    <row r="33" spans="1:12" ht="84" x14ac:dyDescent="0.25">
      <c r="A33" s="7" t="s">
        <v>1476</v>
      </c>
      <c r="B33" s="2" t="s">
        <v>1477</v>
      </c>
      <c r="C33" s="4">
        <v>1</v>
      </c>
      <c r="D33" s="5">
        <v>15</v>
      </c>
      <c r="E33" s="5">
        <v>39.99</v>
      </c>
      <c r="F33" s="4" t="s">
        <v>1478</v>
      </c>
      <c r="G33" s="2" t="s">
        <v>36</v>
      </c>
      <c r="H33" s="7" t="s">
        <v>149</v>
      </c>
      <c r="I33" s="2" t="s">
        <v>92</v>
      </c>
      <c r="J33" s="2" t="s">
        <v>187</v>
      </c>
      <c r="K33" s="2" t="s">
        <v>1479</v>
      </c>
      <c r="L33" s="8" t="str">
        <f>HYPERLINK("http://slimages.macys.com/is/image/MCY/13310887 ")</f>
        <v xml:space="preserve">http://slimages.macys.com/is/image/MCY/13310887 </v>
      </c>
    </row>
    <row r="34" spans="1:12" ht="84" x14ac:dyDescent="0.25">
      <c r="A34" s="7" t="s">
        <v>1480</v>
      </c>
      <c r="B34" s="2" t="s">
        <v>1481</v>
      </c>
      <c r="C34" s="4">
        <v>1</v>
      </c>
      <c r="D34" s="5">
        <v>15</v>
      </c>
      <c r="E34" s="5">
        <v>39.99</v>
      </c>
      <c r="F34" s="4" t="s">
        <v>1482</v>
      </c>
      <c r="G34" s="2" t="s">
        <v>103</v>
      </c>
      <c r="H34" s="7" t="s">
        <v>149</v>
      </c>
      <c r="I34" s="2" t="s">
        <v>92</v>
      </c>
      <c r="J34" s="2" t="s">
        <v>239</v>
      </c>
      <c r="K34" s="2" t="s">
        <v>125</v>
      </c>
      <c r="L34" s="8" t="str">
        <f>HYPERLINK("http://slimages.macys.com/is/image/MCY/15071393 ")</f>
        <v xml:space="preserve">http://slimages.macys.com/is/image/MCY/15071393 </v>
      </c>
    </row>
    <row r="35" spans="1:12" ht="84" x14ac:dyDescent="0.25">
      <c r="A35" s="7" t="s">
        <v>1483</v>
      </c>
      <c r="B35" s="2" t="s">
        <v>1484</v>
      </c>
      <c r="C35" s="4">
        <v>1</v>
      </c>
      <c r="D35" s="5">
        <v>15</v>
      </c>
      <c r="E35" s="5">
        <v>39.99</v>
      </c>
      <c r="F35" s="4" t="s">
        <v>1485</v>
      </c>
      <c r="G35" s="2" t="s">
        <v>752</v>
      </c>
      <c r="H35" s="7" t="s">
        <v>590</v>
      </c>
      <c r="I35" s="2" t="s">
        <v>92</v>
      </c>
      <c r="J35" s="2" t="s">
        <v>239</v>
      </c>
      <c r="K35" s="2" t="s">
        <v>125</v>
      </c>
      <c r="L35" s="8" t="str">
        <f>HYPERLINK("http://slimages.macys.com/is/image/MCY/14886756 ")</f>
        <v xml:space="preserve">http://slimages.macys.com/is/image/MCY/14886756 </v>
      </c>
    </row>
    <row r="36" spans="1:12" ht="84" x14ac:dyDescent="0.25">
      <c r="A36" s="7" t="s">
        <v>1486</v>
      </c>
      <c r="B36" s="2" t="s">
        <v>1481</v>
      </c>
      <c r="C36" s="4">
        <v>1</v>
      </c>
      <c r="D36" s="5">
        <v>15</v>
      </c>
      <c r="E36" s="5">
        <v>39.99</v>
      </c>
      <c r="F36" s="4" t="s">
        <v>1482</v>
      </c>
      <c r="G36" s="2" t="s">
        <v>103</v>
      </c>
      <c r="H36" s="7" t="s">
        <v>442</v>
      </c>
      <c r="I36" s="2" t="s">
        <v>92</v>
      </c>
      <c r="J36" s="2" t="s">
        <v>239</v>
      </c>
      <c r="K36" s="2" t="s">
        <v>125</v>
      </c>
      <c r="L36" s="8" t="str">
        <f>HYPERLINK("http://slimages.macys.com/is/image/MCY/15071393 ")</f>
        <v xml:space="preserve">http://slimages.macys.com/is/image/MCY/15071393 </v>
      </c>
    </row>
    <row r="37" spans="1:12" ht="84" x14ac:dyDescent="0.25">
      <c r="A37" s="7" t="s">
        <v>1487</v>
      </c>
      <c r="B37" s="2" t="s">
        <v>1488</v>
      </c>
      <c r="C37" s="4">
        <v>1</v>
      </c>
      <c r="D37" s="5">
        <v>14.62</v>
      </c>
      <c r="E37" s="5">
        <v>39.5</v>
      </c>
      <c r="F37" s="4" t="s">
        <v>1489</v>
      </c>
      <c r="G37" s="2" t="s">
        <v>28</v>
      </c>
      <c r="H37" s="7" t="s">
        <v>172</v>
      </c>
      <c r="I37" s="2" t="s">
        <v>880</v>
      </c>
      <c r="J37" s="2" t="s">
        <v>881</v>
      </c>
      <c r="K37" s="2" t="s">
        <v>119</v>
      </c>
      <c r="L37" s="8" t="str">
        <f>HYPERLINK("http://slimages.macys.com/is/image/MCY/12051814 ")</f>
        <v xml:space="preserve">http://slimages.macys.com/is/image/MCY/12051814 </v>
      </c>
    </row>
    <row r="38" spans="1:12" ht="84" x14ac:dyDescent="0.25">
      <c r="A38" s="7" t="s">
        <v>1490</v>
      </c>
      <c r="B38" s="2" t="s">
        <v>1491</v>
      </c>
      <c r="C38" s="4">
        <v>1</v>
      </c>
      <c r="D38" s="5">
        <v>14.62</v>
      </c>
      <c r="E38" s="5">
        <v>39.5</v>
      </c>
      <c r="F38" s="4" t="s">
        <v>1492</v>
      </c>
      <c r="G38" s="2" t="s">
        <v>800</v>
      </c>
      <c r="H38" s="7" t="s">
        <v>166</v>
      </c>
      <c r="I38" s="2" t="s">
        <v>880</v>
      </c>
      <c r="J38" s="2" t="s">
        <v>881</v>
      </c>
      <c r="K38" s="2" t="s">
        <v>119</v>
      </c>
      <c r="L38" s="8" t="str">
        <f>HYPERLINK("http://slimages.macys.com/is/image/MCY/13357740 ")</f>
        <v xml:space="preserve">http://slimages.macys.com/is/image/MCY/13357740 </v>
      </c>
    </row>
    <row r="39" spans="1:12" ht="180" x14ac:dyDescent="0.25">
      <c r="A39" s="7" t="s">
        <v>1493</v>
      </c>
      <c r="B39" s="2" t="s">
        <v>1494</v>
      </c>
      <c r="C39" s="4">
        <v>1</v>
      </c>
      <c r="D39" s="5">
        <v>14.5</v>
      </c>
      <c r="E39" s="5">
        <v>39.99</v>
      </c>
      <c r="F39" s="4" t="s">
        <v>1495</v>
      </c>
      <c r="G39" s="2" t="s">
        <v>353</v>
      </c>
      <c r="H39" s="7" t="s">
        <v>442</v>
      </c>
      <c r="I39" s="2" t="s">
        <v>92</v>
      </c>
      <c r="J39" s="2" t="s">
        <v>65</v>
      </c>
      <c r="K39" s="2" t="s">
        <v>1496</v>
      </c>
      <c r="L39" s="8" t="str">
        <f>HYPERLINK("http://slimages.macys.com/is/image/MCY/15240516 ")</f>
        <v xml:space="preserve">http://slimages.macys.com/is/image/MCY/15240516 </v>
      </c>
    </row>
    <row r="40" spans="1:12" ht="84" x14ac:dyDescent="0.25">
      <c r="A40" s="7" t="s">
        <v>1497</v>
      </c>
      <c r="B40" s="2" t="s">
        <v>1498</v>
      </c>
      <c r="C40" s="4">
        <v>1</v>
      </c>
      <c r="D40" s="5">
        <v>14</v>
      </c>
      <c r="E40" s="5">
        <v>39.99</v>
      </c>
      <c r="F40" s="4" t="s">
        <v>1499</v>
      </c>
      <c r="G40" s="2" t="s">
        <v>657</v>
      </c>
      <c r="H40" s="7"/>
      <c r="I40" s="2" t="s">
        <v>668</v>
      </c>
      <c r="J40" s="2" t="s">
        <v>1500</v>
      </c>
      <c r="K40" s="2" t="s">
        <v>1501</v>
      </c>
      <c r="L40" s="8" t="str">
        <f>HYPERLINK("http://slimages.macys.com/is/image/MCY/13326767 ")</f>
        <v xml:space="preserve">http://slimages.macys.com/is/image/MCY/13326767 </v>
      </c>
    </row>
    <row r="41" spans="1:12" ht="84" x14ac:dyDescent="0.25">
      <c r="A41" s="7" t="s">
        <v>1502</v>
      </c>
      <c r="B41" s="2" t="s">
        <v>1498</v>
      </c>
      <c r="C41" s="4">
        <v>1</v>
      </c>
      <c r="D41" s="5">
        <v>14</v>
      </c>
      <c r="E41" s="5">
        <v>39.99</v>
      </c>
      <c r="F41" s="4" t="s">
        <v>1499</v>
      </c>
      <c r="G41" s="2" t="s">
        <v>657</v>
      </c>
      <c r="H41" s="7" t="s">
        <v>97</v>
      </c>
      <c r="I41" s="2" t="s">
        <v>668</v>
      </c>
      <c r="J41" s="2" t="s">
        <v>1500</v>
      </c>
      <c r="K41" s="2" t="s">
        <v>1501</v>
      </c>
      <c r="L41" s="8" t="str">
        <f>HYPERLINK("http://slimages.macys.com/is/image/MCY/13326767 ")</f>
        <v xml:space="preserve">http://slimages.macys.com/is/image/MCY/13326767 </v>
      </c>
    </row>
    <row r="42" spans="1:12" ht="84" x14ac:dyDescent="0.25">
      <c r="A42" s="7" t="s">
        <v>1503</v>
      </c>
      <c r="B42" s="2" t="s">
        <v>1504</v>
      </c>
      <c r="C42" s="4">
        <v>1</v>
      </c>
      <c r="D42" s="5">
        <v>14</v>
      </c>
      <c r="E42" s="5">
        <v>39.99</v>
      </c>
      <c r="F42" s="4" t="s">
        <v>1505</v>
      </c>
      <c r="G42" s="2" t="s">
        <v>129</v>
      </c>
      <c r="H42" s="7" t="s">
        <v>166</v>
      </c>
      <c r="I42" s="2" t="s">
        <v>668</v>
      </c>
      <c r="J42" s="2" t="s">
        <v>1506</v>
      </c>
      <c r="K42" s="2" t="s">
        <v>125</v>
      </c>
      <c r="L42" s="8" t="str">
        <f>HYPERLINK("http://slimages.macys.com/is/image/MCY/12830956 ")</f>
        <v xml:space="preserve">http://slimages.macys.com/is/image/MCY/12830956 </v>
      </c>
    </row>
    <row r="43" spans="1:12" ht="84" x14ac:dyDescent="0.25">
      <c r="A43" s="7" t="s">
        <v>1507</v>
      </c>
      <c r="B43" s="2" t="s">
        <v>1491</v>
      </c>
      <c r="C43" s="4">
        <v>1</v>
      </c>
      <c r="D43" s="5">
        <v>13.88</v>
      </c>
      <c r="E43" s="5">
        <v>37.5</v>
      </c>
      <c r="F43" s="4" t="s">
        <v>1508</v>
      </c>
      <c r="G43" s="2" t="s">
        <v>800</v>
      </c>
      <c r="H43" s="7" t="s">
        <v>144</v>
      </c>
      <c r="I43" s="2" t="s">
        <v>880</v>
      </c>
      <c r="J43" s="2" t="s">
        <v>881</v>
      </c>
      <c r="K43" s="2" t="s">
        <v>119</v>
      </c>
      <c r="L43" s="8" t="str">
        <f>HYPERLINK("http://slimages.macys.com/is/image/MCY/13358906 ")</f>
        <v xml:space="preserve">http://slimages.macys.com/is/image/MCY/13358906 </v>
      </c>
    </row>
    <row r="44" spans="1:12" ht="84" x14ac:dyDescent="0.25">
      <c r="A44" s="7" t="s">
        <v>1509</v>
      </c>
      <c r="B44" s="2" t="s">
        <v>1510</v>
      </c>
      <c r="C44" s="4">
        <v>1</v>
      </c>
      <c r="D44" s="5">
        <v>13.8</v>
      </c>
      <c r="E44" s="5">
        <v>33.99</v>
      </c>
      <c r="F44" s="4" t="s">
        <v>1511</v>
      </c>
      <c r="G44" s="2" t="s">
        <v>698</v>
      </c>
      <c r="H44" s="7" t="s">
        <v>159</v>
      </c>
      <c r="I44" s="2" t="s">
        <v>321</v>
      </c>
      <c r="J44" s="2" t="s">
        <v>1512</v>
      </c>
      <c r="K44" s="2" t="s">
        <v>1117</v>
      </c>
      <c r="L44" s="8" t="str">
        <f>HYPERLINK("http://slimages.macys.com/is/image/MCY/10750360 ")</f>
        <v xml:space="preserve">http://slimages.macys.com/is/image/MCY/10750360 </v>
      </c>
    </row>
    <row r="45" spans="1:12" ht="84" x14ac:dyDescent="0.25">
      <c r="A45" s="7" t="s">
        <v>1513</v>
      </c>
      <c r="B45" s="2" t="s">
        <v>1514</v>
      </c>
      <c r="C45" s="4">
        <v>1</v>
      </c>
      <c r="D45" s="5">
        <v>13.8</v>
      </c>
      <c r="E45" s="5">
        <v>33.99</v>
      </c>
      <c r="F45" s="4" t="s">
        <v>1515</v>
      </c>
      <c r="G45" s="2" t="s">
        <v>892</v>
      </c>
      <c r="H45" s="7" t="s">
        <v>284</v>
      </c>
      <c r="I45" s="2" t="s">
        <v>321</v>
      </c>
      <c r="J45" s="2" t="s">
        <v>1512</v>
      </c>
      <c r="K45" s="2" t="s">
        <v>1516</v>
      </c>
      <c r="L45" s="8" t="str">
        <f>HYPERLINK("http://slimages.macys.com/is/image/MCY/11647422 ")</f>
        <v xml:space="preserve">http://slimages.macys.com/is/image/MCY/11647422 </v>
      </c>
    </row>
    <row r="46" spans="1:12" ht="84" x14ac:dyDescent="0.25">
      <c r="A46" s="7" t="s">
        <v>1517</v>
      </c>
      <c r="B46" s="2" t="s">
        <v>1518</v>
      </c>
      <c r="C46" s="4">
        <v>1</v>
      </c>
      <c r="D46" s="5">
        <v>13.8</v>
      </c>
      <c r="E46" s="5">
        <v>33.99</v>
      </c>
      <c r="F46" s="4" t="s">
        <v>1519</v>
      </c>
      <c r="G46" s="2" t="s">
        <v>62</v>
      </c>
      <c r="H46" s="7" t="s">
        <v>196</v>
      </c>
      <c r="I46" s="2" t="s">
        <v>321</v>
      </c>
      <c r="J46" s="2" t="s">
        <v>1512</v>
      </c>
      <c r="K46" s="2" t="s">
        <v>1520</v>
      </c>
      <c r="L46" s="8" t="str">
        <f>HYPERLINK("http://slimages.macys.com/is/image/MCY/10750416 ")</f>
        <v xml:space="preserve">http://slimages.macys.com/is/image/MCY/10750416 </v>
      </c>
    </row>
    <row r="47" spans="1:12" ht="120" x14ac:dyDescent="0.25">
      <c r="A47" s="7" t="s">
        <v>1521</v>
      </c>
      <c r="B47" s="2" t="s">
        <v>1522</v>
      </c>
      <c r="C47" s="4">
        <v>2</v>
      </c>
      <c r="D47" s="5">
        <v>13.75</v>
      </c>
      <c r="E47" s="5">
        <v>39.99</v>
      </c>
      <c r="F47" s="4" t="s">
        <v>1523</v>
      </c>
      <c r="G47" s="2" t="s">
        <v>62</v>
      </c>
      <c r="H47" s="7" t="s">
        <v>442</v>
      </c>
      <c r="I47" s="2" t="s">
        <v>92</v>
      </c>
      <c r="J47" s="2" t="s">
        <v>239</v>
      </c>
      <c r="K47" s="2" t="s">
        <v>1524</v>
      </c>
      <c r="L47" s="8" t="str">
        <f>HYPERLINK("http://slimages.macys.com/is/image/MCY/14886823 ")</f>
        <v xml:space="preserve">http://slimages.macys.com/is/image/MCY/14886823 </v>
      </c>
    </row>
    <row r="48" spans="1:12" ht="108" x14ac:dyDescent="0.25">
      <c r="A48" s="7" t="s">
        <v>1525</v>
      </c>
      <c r="B48" s="2" t="s">
        <v>1526</v>
      </c>
      <c r="C48" s="4">
        <v>1</v>
      </c>
      <c r="D48" s="5">
        <v>13.5</v>
      </c>
      <c r="E48" s="5">
        <v>39.99</v>
      </c>
      <c r="F48" s="4" t="s">
        <v>1527</v>
      </c>
      <c r="G48" s="2"/>
      <c r="H48" s="7" t="s">
        <v>590</v>
      </c>
      <c r="I48" s="2" t="s">
        <v>92</v>
      </c>
      <c r="J48" s="2" t="s">
        <v>65</v>
      </c>
      <c r="K48" s="2" t="s">
        <v>1528</v>
      </c>
      <c r="L48" s="8" t="str">
        <f>HYPERLINK("http://slimages.macys.com/is/image/MCY/15240504 ")</f>
        <v xml:space="preserve">http://slimages.macys.com/is/image/MCY/15240504 </v>
      </c>
    </row>
    <row r="49" spans="1:12" ht="84" x14ac:dyDescent="0.25">
      <c r="A49" s="7" t="s">
        <v>1529</v>
      </c>
      <c r="B49" s="2" t="s">
        <v>1530</v>
      </c>
      <c r="C49" s="4">
        <v>1</v>
      </c>
      <c r="D49" s="5">
        <v>13.44</v>
      </c>
      <c r="E49" s="5">
        <v>32</v>
      </c>
      <c r="F49" s="4" t="s">
        <v>1531</v>
      </c>
      <c r="G49" s="2" t="s">
        <v>62</v>
      </c>
      <c r="H49" s="7" t="s">
        <v>72</v>
      </c>
      <c r="I49" s="2" t="s">
        <v>73</v>
      </c>
      <c r="J49" s="2" t="s">
        <v>74</v>
      </c>
      <c r="K49" s="2" t="s">
        <v>100</v>
      </c>
      <c r="L49" s="8" t="str">
        <f>HYPERLINK("http://slimages.macys.com/is/image/MCY/11433086 ")</f>
        <v xml:space="preserve">http://slimages.macys.com/is/image/MCY/11433086 </v>
      </c>
    </row>
    <row r="50" spans="1:12" ht="84" x14ac:dyDescent="0.25">
      <c r="A50" s="7" t="s">
        <v>1532</v>
      </c>
      <c r="B50" s="2" t="s">
        <v>1533</v>
      </c>
      <c r="C50" s="4">
        <v>1</v>
      </c>
      <c r="D50" s="5">
        <v>13.35</v>
      </c>
      <c r="E50" s="5">
        <v>26.99</v>
      </c>
      <c r="F50" s="4" t="s">
        <v>1534</v>
      </c>
      <c r="G50" s="2" t="s">
        <v>165</v>
      </c>
      <c r="H50" s="7" t="s">
        <v>159</v>
      </c>
      <c r="I50" s="2" t="s">
        <v>80</v>
      </c>
      <c r="J50" s="2" t="s">
        <v>160</v>
      </c>
      <c r="K50" s="2" t="s">
        <v>125</v>
      </c>
      <c r="L50" s="8" t="str">
        <f>HYPERLINK("http://slimages.macys.com/is/image/MCY/15177038 ")</f>
        <v xml:space="preserve">http://slimages.macys.com/is/image/MCY/15177038 </v>
      </c>
    </row>
    <row r="51" spans="1:12" ht="84" x14ac:dyDescent="0.25">
      <c r="A51" s="7" t="s">
        <v>1535</v>
      </c>
      <c r="B51" s="2" t="s">
        <v>1533</v>
      </c>
      <c r="C51" s="4">
        <v>1</v>
      </c>
      <c r="D51" s="5">
        <v>13.35</v>
      </c>
      <c r="E51" s="5">
        <v>26.99</v>
      </c>
      <c r="F51" s="4" t="s">
        <v>1534</v>
      </c>
      <c r="G51" s="2" t="s">
        <v>165</v>
      </c>
      <c r="H51" s="7" t="s">
        <v>228</v>
      </c>
      <c r="I51" s="2" t="s">
        <v>80</v>
      </c>
      <c r="J51" s="2" t="s">
        <v>160</v>
      </c>
      <c r="K51" s="2" t="s">
        <v>125</v>
      </c>
      <c r="L51" s="8" t="str">
        <f>HYPERLINK("http://slimages.macys.com/is/image/MCY/15177038 ")</f>
        <v xml:space="preserve">http://slimages.macys.com/is/image/MCY/15177038 </v>
      </c>
    </row>
    <row r="52" spans="1:12" ht="120" x14ac:dyDescent="0.25">
      <c r="A52" s="7" t="s">
        <v>1536</v>
      </c>
      <c r="B52" s="2" t="s">
        <v>1537</v>
      </c>
      <c r="C52" s="4">
        <v>1</v>
      </c>
      <c r="D52" s="5">
        <v>13.35</v>
      </c>
      <c r="E52" s="5">
        <v>31.05</v>
      </c>
      <c r="F52" s="4">
        <v>18868010</v>
      </c>
      <c r="G52" s="2" t="s">
        <v>353</v>
      </c>
      <c r="H52" s="7" t="s">
        <v>91</v>
      </c>
      <c r="I52" s="2" t="s">
        <v>153</v>
      </c>
      <c r="J52" s="2" t="s">
        <v>154</v>
      </c>
      <c r="K52" s="2" t="s">
        <v>1538</v>
      </c>
      <c r="L52" s="8" t="str">
        <f>HYPERLINK("http://slimages.macys.com/is/image/MCY/14661982 ")</f>
        <v xml:space="preserve">http://slimages.macys.com/is/image/MCY/14661982 </v>
      </c>
    </row>
    <row r="53" spans="1:12" ht="84" x14ac:dyDescent="0.25">
      <c r="A53" s="7" t="s">
        <v>1539</v>
      </c>
      <c r="B53" s="2" t="s">
        <v>1540</v>
      </c>
      <c r="C53" s="4">
        <v>1</v>
      </c>
      <c r="D53" s="5">
        <v>13.25</v>
      </c>
      <c r="E53" s="5">
        <v>39.99</v>
      </c>
      <c r="F53" s="4" t="s">
        <v>1541</v>
      </c>
      <c r="G53" s="2" t="s">
        <v>41</v>
      </c>
      <c r="H53" s="7" t="s">
        <v>166</v>
      </c>
      <c r="I53" s="2" t="s">
        <v>668</v>
      </c>
      <c r="J53" s="2" t="s">
        <v>1427</v>
      </c>
      <c r="K53" s="2" t="s">
        <v>1117</v>
      </c>
      <c r="L53" s="8" t="str">
        <f>HYPERLINK("http://slimages.macys.com/is/image/MCY/12659372 ")</f>
        <v xml:space="preserve">http://slimages.macys.com/is/image/MCY/12659372 </v>
      </c>
    </row>
    <row r="54" spans="1:12" ht="84" x14ac:dyDescent="0.25">
      <c r="A54" s="7" t="s">
        <v>1542</v>
      </c>
      <c r="B54" s="2" t="s">
        <v>1543</v>
      </c>
      <c r="C54" s="4">
        <v>1</v>
      </c>
      <c r="D54" s="5">
        <v>12.75</v>
      </c>
      <c r="E54" s="5">
        <v>30.99</v>
      </c>
      <c r="F54" s="4" t="s">
        <v>1544</v>
      </c>
      <c r="G54" s="2" t="s">
        <v>657</v>
      </c>
      <c r="H54" s="7"/>
      <c r="I54" s="2" t="s">
        <v>312</v>
      </c>
      <c r="J54" s="2" t="s">
        <v>1545</v>
      </c>
      <c r="K54" s="2" t="s">
        <v>125</v>
      </c>
      <c r="L54" s="8" t="str">
        <f>HYPERLINK("http://slimages.macys.com/is/image/MCY/11724537 ")</f>
        <v xml:space="preserve">http://slimages.macys.com/is/image/MCY/11724537 </v>
      </c>
    </row>
    <row r="55" spans="1:12" ht="84" x14ac:dyDescent="0.25">
      <c r="A55" s="7" t="s">
        <v>1546</v>
      </c>
      <c r="B55" s="2" t="s">
        <v>1547</v>
      </c>
      <c r="C55" s="4">
        <v>1</v>
      </c>
      <c r="D55" s="5">
        <v>12.59</v>
      </c>
      <c r="E55" s="5">
        <v>30.99</v>
      </c>
      <c r="F55" s="4" t="s">
        <v>1548</v>
      </c>
      <c r="G55" s="2" t="s">
        <v>582</v>
      </c>
      <c r="H55" s="7" t="s">
        <v>97</v>
      </c>
      <c r="I55" s="2" t="s">
        <v>389</v>
      </c>
      <c r="J55" s="2" t="s">
        <v>354</v>
      </c>
      <c r="K55" s="2" t="s">
        <v>100</v>
      </c>
      <c r="L55" s="8" t="str">
        <f>HYPERLINK("http://slimages.macys.com/is/image/MCY/11498823 ")</f>
        <v xml:space="preserve">http://slimages.macys.com/is/image/MCY/11498823 </v>
      </c>
    </row>
    <row r="56" spans="1:12" ht="120" x14ac:dyDescent="0.25">
      <c r="A56" s="7" t="s">
        <v>1549</v>
      </c>
      <c r="B56" s="2" t="s">
        <v>1550</v>
      </c>
      <c r="C56" s="4">
        <v>1</v>
      </c>
      <c r="D56" s="5">
        <v>12.5</v>
      </c>
      <c r="E56" s="5">
        <v>32.99</v>
      </c>
      <c r="F56" s="4" t="s">
        <v>1551</v>
      </c>
      <c r="G56" s="2" t="s">
        <v>582</v>
      </c>
      <c r="H56" s="7" t="s">
        <v>590</v>
      </c>
      <c r="I56" s="2" t="s">
        <v>92</v>
      </c>
      <c r="J56" s="2" t="s">
        <v>65</v>
      </c>
      <c r="K56" s="2" t="s">
        <v>1552</v>
      </c>
      <c r="L56" s="8" t="str">
        <f>HYPERLINK("http://slimages.macys.com/is/image/MCY/13782957 ")</f>
        <v xml:space="preserve">http://slimages.macys.com/is/image/MCY/13782957 </v>
      </c>
    </row>
    <row r="57" spans="1:12" ht="84" x14ac:dyDescent="0.25">
      <c r="A57" s="7" t="s">
        <v>1553</v>
      </c>
      <c r="B57" s="2" t="s">
        <v>1554</v>
      </c>
      <c r="C57" s="4">
        <v>1</v>
      </c>
      <c r="D57" s="5">
        <v>12.5</v>
      </c>
      <c r="E57" s="5">
        <v>29.99</v>
      </c>
      <c r="F57" s="4" t="s">
        <v>1555</v>
      </c>
      <c r="G57" s="2" t="s">
        <v>129</v>
      </c>
      <c r="H57" s="7" t="s">
        <v>590</v>
      </c>
      <c r="I57" s="2" t="s">
        <v>92</v>
      </c>
      <c r="J57" s="2" t="s">
        <v>65</v>
      </c>
      <c r="K57" s="2" t="s">
        <v>1556</v>
      </c>
      <c r="L57" s="8" t="str">
        <f>HYPERLINK("http://slimages.macys.com/is/image/MCY/15240555 ")</f>
        <v xml:space="preserve">http://slimages.macys.com/is/image/MCY/15240555 </v>
      </c>
    </row>
    <row r="58" spans="1:12" ht="156" x14ac:dyDescent="0.25">
      <c r="A58" s="7" t="s">
        <v>1557</v>
      </c>
      <c r="B58" s="2" t="s">
        <v>1558</v>
      </c>
      <c r="C58" s="4">
        <v>2</v>
      </c>
      <c r="D58" s="5">
        <v>12.5</v>
      </c>
      <c r="E58" s="5">
        <v>34.99</v>
      </c>
      <c r="F58" s="4" t="s">
        <v>1559</v>
      </c>
      <c r="G58" s="2" t="s">
        <v>129</v>
      </c>
      <c r="H58" s="7" t="s">
        <v>91</v>
      </c>
      <c r="I58" s="2" t="s">
        <v>92</v>
      </c>
      <c r="J58" s="2" t="s">
        <v>65</v>
      </c>
      <c r="K58" s="2" t="s">
        <v>1560</v>
      </c>
      <c r="L58" s="8" t="str">
        <f>HYPERLINK("http://slimages.macys.com/is/image/MCY/14815688 ")</f>
        <v xml:space="preserve">http://slimages.macys.com/is/image/MCY/14815688 </v>
      </c>
    </row>
    <row r="59" spans="1:12" ht="84" x14ac:dyDescent="0.25">
      <c r="A59" s="7" t="s">
        <v>1561</v>
      </c>
      <c r="B59" s="2" t="s">
        <v>1562</v>
      </c>
      <c r="C59" s="4">
        <v>1</v>
      </c>
      <c r="D59" s="5">
        <v>12.46</v>
      </c>
      <c r="E59" s="5">
        <v>24.99</v>
      </c>
      <c r="F59" s="4" t="s">
        <v>1563</v>
      </c>
      <c r="G59" s="2" t="s">
        <v>48</v>
      </c>
      <c r="H59" s="7" t="s">
        <v>284</v>
      </c>
      <c r="I59" s="2" t="s">
        <v>73</v>
      </c>
      <c r="J59" s="2" t="s">
        <v>160</v>
      </c>
      <c r="K59" s="2" t="s">
        <v>1564</v>
      </c>
      <c r="L59" s="8" t="str">
        <f>HYPERLINK("http://slimages.macys.com/is/image/MCY/11973367 ")</f>
        <v xml:space="preserve">http://slimages.macys.com/is/image/MCY/11973367 </v>
      </c>
    </row>
    <row r="60" spans="1:12" ht="84" x14ac:dyDescent="0.25">
      <c r="A60" s="7" t="s">
        <v>1565</v>
      </c>
      <c r="B60" s="2" t="s">
        <v>1562</v>
      </c>
      <c r="C60" s="4">
        <v>1</v>
      </c>
      <c r="D60" s="5">
        <v>12.46</v>
      </c>
      <c r="E60" s="5">
        <v>24.99</v>
      </c>
      <c r="F60" s="4" t="s">
        <v>1563</v>
      </c>
      <c r="G60" s="2" t="s">
        <v>48</v>
      </c>
      <c r="H60" s="7" t="s">
        <v>228</v>
      </c>
      <c r="I60" s="2" t="s">
        <v>73</v>
      </c>
      <c r="J60" s="2" t="s">
        <v>160</v>
      </c>
      <c r="K60" s="2" t="s">
        <v>1564</v>
      </c>
      <c r="L60" s="8" t="str">
        <f>HYPERLINK("http://slimages.macys.com/is/image/MCY/11973367 ")</f>
        <v xml:space="preserve">http://slimages.macys.com/is/image/MCY/11973367 </v>
      </c>
    </row>
    <row r="61" spans="1:12" ht="84" x14ac:dyDescent="0.25">
      <c r="A61" s="7" t="s">
        <v>1566</v>
      </c>
      <c r="B61" s="2" t="s">
        <v>1567</v>
      </c>
      <c r="C61" s="4">
        <v>1</v>
      </c>
      <c r="D61" s="5">
        <v>12.32</v>
      </c>
      <c r="E61" s="5">
        <v>30.99</v>
      </c>
      <c r="F61" s="4" t="s">
        <v>1568</v>
      </c>
      <c r="G61" s="2" t="s">
        <v>388</v>
      </c>
      <c r="H61" s="7" t="s">
        <v>228</v>
      </c>
      <c r="I61" s="2" t="s">
        <v>389</v>
      </c>
      <c r="J61" s="2" t="s">
        <v>354</v>
      </c>
      <c r="K61" s="2" t="s">
        <v>1569</v>
      </c>
      <c r="L61" s="8" t="str">
        <f>HYPERLINK("http://slimages.macys.com/is/image/MCY/13079500 ")</f>
        <v xml:space="preserve">http://slimages.macys.com/is/image/MCY/13079500 </v>
      </c>
    </row>
    <row r="62" spans="1:12" ht="168" x14ac:dyDescent="0.25">
      <c r="A62" s="7" t="s">
        <v>1570</v>
      </c>
      <c r="B62" s="2" t="s">
        <v>1571</v>
      </c>
      <c r="C62" s="4">
        <v>1</v>
      </c>
      <c r="D62" s="5">
        <v>12.32</v>
      </c>
      <c r="E62" s="5">
        <v>35.99</v>
      </c>
      <c r="F62" s="4" t="s">
        <v>1572</v>
      </c>
      <c r="G62" s="2" t="s">
        <v>297</v>
      </c>
      <c r="H62" s="7"/>
      <c r="I62" s="2" t="s">
        <v>483</v>
      </c>
      <c r="J62" s="2" t="s">
        <v>536</v>
      </c>
      <c r="K62" s="2" t="s">
        <v>1573</v>
      </c>
      <c r="L62" s="8" t="str">
        <f>HYPERLINK("http://slimages.macys.com/is/image/MCY/14384815 ")</f>
        <v xml:space="preserve">http://slimages.macys.com/is/image/MCY/14384815 </v>
      </c>
    </row>
    <row r="63" spans="1:12" ht="84" x14ac:dyDescent="0.25">
      <c r="A63" s="7" t="s">
        <v>1574</v>
      </c>
      <c r="B63" s="2" t="s">
        <v>1575</v>
      </c>
      <c r="C63" s="4">
        <v>1</v>
      </c>
      <c r="D63" s="5">
        <v>12.15</v>
      </c>
      <c r="E63" s="5">
        <v>28.99</v>
      </c>
      <c r="F63" s="4" t="s">
        <v>1576</v>
      </c>
      <c r="G63" s="2" t="s">
        <v>657</v>
      </c>
      <c r="H63" s="7"/>
      <c r="I63" s="2" t="s">
        <v>312</v>
      </c>
      <c r="J63" s="2" t="s">
        <v>1545</v>
      </c>
      <c r="K63" s="2" t="s">
        <v>125</v>
      </c>
      <c r="L63" s="8" t="str">
        <f>HYPERLINK("http://slimages.macys.com/is/image/MCY/11646713 ")</f>
        <v xml:space="preserve">http://slimages.macys.com/is/image/MCY/11646713 </v>
      </c>
    </row>
    <row r="64" spans="1:12" ht="84" x14ac:dyDescent="0.25">
      <c r="A64" s="7" t="s">
        <v>1577</v>
      </c>
      <c r="B64" s="2" t="s">
        <v>221</v>
      </c>
      <c r="C64" s="4">
        <v>1</v>
      </c>
      <c r="D64" s="5">
        <v>11.5</v>
      </c>
      <c r="E64" s="5">
        <v>25.99</v>
      </c>
      <c r="F64" s="4" t="s">
        <v>222</v>
      </c>
      <c r="G64" s="2" t="s">
        <v>165</v>
      </c>
      <c r="H64" s="7" t="s">
        <v>284</v>
      </c>
      <c r="I64" s="2" t="s">
        <v>73</v>
      </c>
      <c r="J64" s="2" t="s">
        <v>223</v>
      </c>
      <c r="K64" s="2" t="s">
        <v>224</v>
      </c>
      <c r="L64" s="8" t="str">
        <f>HYPERLINK("http://slimages.macys.com/is/image/MCY/15736005 ")</f>
        <v xml:space="preserve">http://slimages.macys.com/is/image/MCY/15736005 </v>
      </c>
    </row>
    <row r="65" spans="1:12" ht="84" x14ac:dyDescent="0.25">
      <c r="A65" s="7" t="s">
        <v>1578</v>
      </c>
      <c r="B65" s="2" t="s">
        <v>221</v>
      </c>
      <c r="C65" s="4">
        <v>2</v>
      </c>
      <c r="D65" s="5">
        <v>11.5</v>
      </c>
      <c r="E65" s="5">
        <v>25.99</v>
      </c>
      <c r="F65" s="4" t="s">
        <v>222</v>
      </c>
      <c r="G65" s="2" t="s">
        <v>165</v>
      </c>
      <c r="H65" s="7" t="s">
        <v>159</v>
      </c>
      <c r="I65" s="2" t="s">
        <v>73</v>
      </c>
      <c r="J65" s="2" t="s">
        <v>223</v>
      </c>
      <c r="K65" s="2" t="s">
        <v>224</v>
      </c>
      <c r="L65" s="8" t="str">
        <f>HYPERLINK("http://slimages.macys.com/is/image/MCY/15736005 ")</f>
        <v xml:space="preserve">http://slimages.macys.com/is/image/MCY/15736005 </v>
      </c>
    </row>
    <row r="66" spans="1:12" ht="84" x14ac:dyDescent="0.25">
      <c r="A66" s="7" t="s">
        <v>1579</v>
      </c>
      <c r="B66" s="2" t="s">
        <v>1580</v>
      </c>
      <c r="C66" s="4">
        <v>1</v>
      </c>
      <c r="D66" s="5">
        <v>11.12</v>
      </c>
      <c r="E66" s="5">
        <v>22.99</v>
      </c>
      <c r="F66" s="4" t="s">
        <v>1581</v>
      </c>
      <c r="G66" s="2" t="s">
        <v>388</v>
      </c>
      <c r="H66" s="7" t="s">
        <v>228</v>
      </c>
      <c r="I66" s="2" t="s">
        <v>73</v>
      </c>
      <c r="J66" s="2" t="s">
        <v>160</v>
      </c>
      <c r="K66" s="2" t="s">
        <v>206</v>
      </c>
      <c r="L66" s="8" t="str">
        <f>HYPERLINK("http://slimages.macys.com/is/image/MCY/12337182 ")</f>
        <v xml:space="preserve">http://slimages.macys.com/is/image/MCY/12337182 </v>
      </c>
    </row>
    <row r="67" spans="1:12" ht="84" x14ac:dyDescent="0.25">
      <c r="A67" s="7" t="s">
        <v>1582</v>
      </c>
      <c r="B67" s="2" t="s">
        <v>1583</v>
      </c>
      <c r="C67" s="4">
        <v>2</v>
      </c>
      <c r="D67" s="5">
        <v>11.12</v>
      </c>
      <c r="E67" s="5">
        <v>22.99</v>
      </c>
      <c r="F67" s="4" t="s">
        <v>1584</v>
      </c>
      <c r="G67" s="2" t="s">
        <v>643</v>
      </c>
      <c r="H67" s="7" t="s">
        <v>228</v>
      </c>
      <c r="I67" s="2" t="s">
        <v>73</v>
      </c>
      <c r="J67" s="2" t="s">
        <v>160</v>
      </c>
      <c r="K67" s="2" t="s">
        <v>125</v>
      </c>
      <c r="L67" s="8" t="str">
        <f>HYPERLINK("http://slimages.macys.com/is/image/MCY/12874624 ")</f>
        <v xml:space="preserve">http://slimages.macys.com/is/image/MCY/12874624 </v>
      </c>
    </row>
    <row r="68" spans="1:12" ht="84" x14ac:dyDescent="0.25">
      <c r="A68" s="7" t="s">
        <v>1585</v>
      </c>
      <c r="B68" s="2" t="s">
        <v>1580</v>
      </c>
      <c r="C68" s="4">
        <v>1</v>
      </c>
      <c r="D68" s="5">
        <v>11.12</v>
      </c>
      <c r="E68" s="5">
        <v>22.99</v>
      </c>
      <c r="F68" s="4" t="s">
        <v>1581</v>
      </c>
      <c r="G68" s="2" t="s">
        <v>195</v>
      </c>
      <c r="H68" s="7" t="s">
        <v>228</v>
      </c>
      <c r="I68" s="2" t="s">
        <v>73</v>
      </c>
      <c r="J68" s="2" t="s">
        <v>160</v>
      </c>
      <c r="K68" s="2" t="s">
        <v>206</v>
      </c>
      <c r="L68" s="8" t="str">
        <f>HYPERLINK("http://slimages.macys.com/is/image/MCY/12337182 ")</f>
        <v xml:space="preserve">http://slimages.macys.com/is/image/MCY/12337182 </v>
      </c>
    </row>
    <row r="69" spans="1:12" ht="84" x14ac:dyDescent="0.25">
      <c r="A69" s="7" t="s">
        <v>1586</v>
      </c>
      <c r="B69" s="2" t="s">
        <v>1587</v>
      </c>
      <c r="C69" s="4">
        <v>1</v>
      </c>
      <c r="D69" s="5">
        <v>11</v>
      </c>
      <c r="E69" s="5">
        <v>28.99</v>
      </c>
      <c r="F69" s="4" t="s">
        <v>1588</v>
      </c>
      <c r="G69" s="2" t="s">
        <v>41</v>
      </c>
      <c r="H69" s="7" t="s">
        <v>196</v>
      </c>
      <c r="I69" s="2" t="s">
        <v>342</v>
      </c>
      <c r="J69" s="2" t="s">
        <v>1589</v>
      </c>
      <c r="K69" s="2" t="s">
        <v>1590</v>
      </c>
      <c r="L69" s="8" t="str">
        <f>HYPERLINK("http://slimages.macys.com/is/image/MCY/11960064 ")</f>
        <v xml:space="preserve">http://slimages.macys.com/is/image/MCY/11960064 </v>
      </c>
    </row>
    <row r="70" spans="1:12" ht="84" x14ac:dyDescent="0.25">
      <c r="A70" s="7" t="s">
        <v>1591</v>
      </c>
      <c r="B70" s="2" t="s">
        <v>1587</v>
      </c>
      <c r="C70" s="4">
        <v>5</v>
      </c>
      <c r="D70" s="5">
        <v>11</v>
      </c>
      <c r="E70" s="5">
        <v>28.99</v>
      </c>
      <c r="F70" s="4" t="s">
        <v>1588</v>
      </c>
      <c r="G70" s="2" t="s">
        <v>41</v>
      </c>
      <c r="H70" s="7" t="s">
        <v>159</v>
      </c>
      <c r="I70" s="2" t="s">
        <v>342</v>
      </c>
      <c r="J70" s="2" t="s">
        <v>1589</v>
      </c>
      <c r="K70" s="2" t="s">
        <v>1590</v>
      </c>
      <c r="L70" s="8" t="str">
        <f>HYPERLINK("http://slimages.macys.com/is/image/MCY/11960064 ")</f>
        <v xml:space="preserve">http://slimages.macys.com/is/image/MCY/11960064 </v>
      </c>
    </row>
    <row r="71" spans="1:12" ht="84" x14ac:dyDescent="0.25">
      <c r="A71" s="7" t="s">
        <v>1592</v>
      </c>
      <c r="B71" s="2" t="s">
        <v>1587</v>
      </c>
      <c r="C71" s="4">
        <v>1</v>
      </c>
      <c r="D71" s="5">
        <v>11</v>
      </c>
      <c r="E71" s="5">
        <v>28.99</v>
      </c>
      <c r="F71" s="4" t="s">
        <v>1588</v>
      </c>
      <c r="G71" s="2" t="s">
        <v>41</v>
      </c>
      <c r="H71" s="7" t="s">
        <v>228</v>
      </c>
      <c r="I71" s="2" t="s">
        <v>342</v>
      </c>
      <c r="J71" s="2" t="s">
        <v>1589</v>
      </c>
      <c r="K71" s="2" t="s">
        <v>1590</v>
      </c>
      <c r="L71" s="8" t="str">
        <f>HYPERLINK("http://slimages.macys.com/is/image/MCY/11960064 ")</f>
        <v xml:space="preserve">http://slimages.macys.com/is/image/MCY/11960064 </v>
      </c>
    </row>
    <row r="72" spans="1:12" ht="84" x14ac:dyDescent="0.25">
      <c r="A72" s="7" t="s">
        <v>1593</v>
      </c>
      <c r="B72" s="2" t="s">
        <v>1594</v>
      </c>
      <c r="C72" s="4">
        <v>1</v>
      </c>
      <c r="D72" s="5">
        <v>10.75</v>
      </c>
      <c r="E72" s="5">
        <v>24.99</v>
      </c>
      <c r="F72" s="4" t="s">
        <v>1595</v>
      </c>
      <c r="G72" s="2" t="s">
        <v>28</v>
      </c>
      <c r="H72" s="7" t="s">
        <v>159</v>
      </c>
      <c r="I72" s="2" t="s">
        <v>73</v>
      </c>
      <c r="J72" s="2" t="s">
        <v>223</v>
      </c>
      <c r="K72" s="2" t="s">
        <v>87</v>
      </c>
      <c r="L72" s="8" t="str">
        <f>HYPERLINK("http://slimages.macys.com/is/image/MCY/14433360 ")</f>
        <v xml:space="preserve">http://slimages.macys.com/is/image/MCY/14433360 </v>
      </c>
    </row>
    <row r="73" spans="1:12" ht="84" x14ac:dyDescent="0.25">
      <c r="A73" s="7" t="s">
        <v>1596</v>
      </c>
      <c r="B73" s="2" t="s">
        <v>1597</v>
      </c>
      <c r="C73" s="4">
        <v>1</v>
      </c>
      <c r="D73" s="5">
        <v>10.62</v>
      </c>
      <c r="E73" s="5">
        <v>29.5</v>
      </c>
      <c r="F73" s="4" t="s">
        <v>1598</v>
      </c>
      <c r="G73" s="2" t="s">
        <v>41</v>
      </c>
      <c r="H73" s="7" t="s">
        <v>266</v>
      </c>
      <c r="I73" s="2" t="s">
        <v>880</v>
      </c>
      <c r="J73" s="2" t="s">
        <v>881</v>
      </c>
      <c r="K73" s="2" t="s">
        <v>119</v>
      </c>
      <c r="L73" s="8" t="str">
        <f>HYPERLINK("http://slimages.macys.com/is/image/MCY/13076714 ")</f>
        <v xml:space="preserve">http://slimages.macys.com/is/image/MCY/13076714 </v>
      </c>
    </row>
    <row r="74" spans="1:12" ht="84" x14ac:dyDescent="0.25">
      <c r="A74" s="7" t="s">
        <v>1599</v>
      </c>
      <c r="B74" s="2" t="s">
        <v>1600</v>
      </c>
      <c r="C74" s="4">
        <v>1</v>
      </c>
      <c r="D74" s="5">
        <v>10.55</v>
      </c>
      <c r="E74" s="5">
        <v>25.99</v>
      </c>
      <c r="F74" s="4">
        <v>103408</v>
      </c>
      <c r="G74" s="2" t="s">
        <v>41</v>
      </c>
      <c r="H74" s="7" t="s">
        <v>1601</v>
      </c>
      <c r="I74" s="2" t="s">
        <v>321</v>
      </c>
      <c r="J74" s="2" t="s">
        <v>322</v>
      </c>
      <c r="K74" s="2" t="s">
        <v>125</v>
      </c>
      <c r="L74" s="8" t="str">
        <f>HYPERLINK("http://slimages.macys.com/is/image/MCY/11178847 ")</f>
        <v xml:space="preserve">http://slimages.macys.com/is/image/MCY/11178847 </v>
      </c>
    </row>
    <row r="75" spans="1:12" ht="84" x14ac:dyDescent="0.25">
      <c r="A75" s="7" t="s">
        <v>1602</v>
      </c>
      <c r="B75" s="2" t="s">
        <v>1600</v>
      </c>
      <c r="C75" s="4">
        <v>1</v>
      </c>
      <c r="D75" s="5">
        <v>10.55</v>
      </c>
      <c r="E75" s="5">
        <v>25.99</v>
      </c>
      <c r="F75" s="4">
        <v>103408</v>
      </c>
      <c r="G75" s="2" t="s">
        <v>41</v>
      </c>
      <c r="H75" s="7" t="s">
        <v>320</v>
      </c>
      <c r="I75" s="2" t="s">
        <v>321</v>
      </c>
      <c r="J75" s="2" t="s">
        <v>322</v>
      </c>
      <c r="K75" s="2" t="s">
        <v>125</v>
      </c>
      <c r="L75" s="8" t="str">
        <f>HYPERLINK("http://slimages.macys.com/is/image/MCY/11178847 ")</f>
        <v xml:space="preserve">http://slimages.macys.com/is/image/MCY/11178847 </v>
      </c>
    </row>
    <row r="76" spans="1:12" ht="84" x14ac:dyDescent="0.25">
      <c r="A76" s="7" t="s">
        <v>1603</v>
      </c>
      <c r="B76" s="2" t="s">
        <v>255</v>
      </c>
      <c r="C76" s="4">
        <v>1</v>
      </c>
      <c r="D76" s="5">
        <v>10.5</v>
      </c>
      <c r="E76" s="5">
        <v>24.99</v>
      </c>
      <c r="F76" s="4" t="s">
        <v>256</v>
      </c>
      <c r="G76" s="2" t="s">
        <v>86</v>
      </c>
      <c r="H76" s="7" t="s">
        <v>1411</v>
      </c>
      <c r="I76" s="2" t="s">
        <v>257</v>
      </c>
      <c r="J76" s="2" t="s">
        <v>258</v>
      </c>
      <c r="K76" s="2" t="s">
        <v>206</v>
      </c>
      <c r="L76" s="8" t="str">
        <f>HYPERLINK("http://slimages.macys.com/is/image/MCY/11722980 ")</f>
        <v xml:space="preserve">http://slimages.macys.com/is/image/MCY/11722980 </v>
      </c>
    </row>
    <row r="77" spans="1:12" ht="84" x14ac:dyDescent="0.25">
      <c r="A77" s="7" t="s">
        <v>1604</v>
      </c>
      <c r="B77" s="2" t="s">
        <v>1605</v>
      </c>
      <c r="C77" s="4">
        <v>2</v>
      </c>
      <c r="D77" s="5">
        <v>10.35</v>
      </c>
      <c r="E77" s="5">
        <v>24.99</v>
      </c>
      <c r="F77" s="4" t="s">
        <v>1606</v>
      </c>
      <c r="G77" s="2" t="s">
        <v>28</v>
      </c>
      <c r="H77" s="7" t="s">
        <v>284</v>
      </c>
      <c r="I77" s="2" t="s">
        <v>389</v>
      </c>
      <c r="J77" s="2" t="s">
        <v>354</v>
      </c>
      <c r="K77" s="2" t="s">
        <v>1607</v>
      </c>
      <c r="L77" s="8" t="str">
        <f>HYPERLINK("http://slimages.macys.com/is/image/MCY/12000846 ")</f>
        <v xml:space="preserve">http://slimages.macys.com/is/image/MCY/12000846 </v>
      </c>
    </row>
    <row r="78" spans="1:12" ht="84" x14ac:dyDescent="0.25">
      <c r="A78" s="7" t="s">
        <v>1608</v>
      </c>
      <c r="B78" s="2" t="s">
        <v>1605</v>
      </c>
      <c r="C78" s="4">
        <v>2</v>
      </c>
      <c r="D78" s="5">
        <v>10.35</v>
      </c>
      <c r="E78" s="5">
        <v>24.99</v>
      </c>
      <c r="F78" s="4" t="s">
        <v>1606</v>
      </c>
      <c r="G78" s="2" t="s">
        <v>28</v>
      </c>
      <c r="H78" s="7" t="s">
        <v>228</v>
      </c>
      <c r="I78" s="2" t="s">
        <v>389</v>
      </c>
      <c r="J78" s="2" t="s">
        <v>354</v>
      </c>
      <c r="K78" s="2" t="s">
        <v>1607</v>
      </c>
      <c r="L78" s="8" t="str">
        <f>HYPERLINK("http://slimages.macys.com/is/image/MCY/12000846 ")</f>
        <v xml:space="preserve">http://slimages.macys.com/is/image/MCY/12000846 </v>
      </c>
    </row>
    <row r="79" spans="1:12" ht="84" x14ac:dyDescent="0.25">
      <c r="A79" s="7" t="s">
        <v>1609</v>
      </c>
      <c r="B79" s="2" t="s">
        <v>1605</v>
      </c>
      <c r="C79" s="4">
        <v>1</v>
      </c>
      <c r="D79" s="5">
        <v>10.35</v>
      </c>
      <c r="E79" s="5">
        <v>24.99</v>
      </c>
      <c r="F79" s="4" t="s">
        <v>1606</v>
      </c>
      <c r="G79" s="2" t="s">
        <v>582</v>
      </c>
      <c r="H79" s="7" t="s">
        <v>196</v>
      </c>
      <c r="I79" s="2" t="s">
        <v>389</v>
      </c>
      <c r="J79" s="2" t="s">
        <v>354</v>
      </c>
      <c r="K79" s="2" t="s">
        <v>1607</v>
      </c>
      <c r="L79" s="8" t="str">
        <f>HYPERLINK("http://slimages.macys.com/is/image/MCY/12000846 ")</f>
        <v xml:space="preserve">http://slimages.macys.com/is/image/MCY/12000846 </v>
      </c>
    </row>
    <row r="80" spans="1:12" ht="84" x14ac:dyDescent="0.25">
      <c r="A80" s="7" t="s">
        <v>1610</v>
      </c>
      <c r="B80" s="2" t="s">
        <v>1611</v>
      </c>
      <c r="C80" s="4">
        <v>1</v>
      </c>
      <c r="D80" s="5">
        <v>10.25</v>
      </c>
      <c r="E80" s="5">
        <v>21.99</v>
      </c>
      <c r="F80" s="4" t="s">
        <v>1612</v>
      </c>
      <c r="G80" s="2" t="s">
        <v>262</v>
      </c>
      <c r="H80" s="7" t="s">
        <v>144</v>
      </c>
      <c r="I80" s="2" t="s">
        <v>342</v>
      </c>
      <c r="J80" s="2" t="s">
        <v>1613</v>
      </c>
      <c r="K80" s="2" t="s">
        <v>1614</v>
      </c>
      <c r="L80" s="8" t="str">
        <f>HYPERLINK("http://slimages.macys.com/is/image/MCY/12289660 ")</f>
        <v xml:space="preserve">http://slimages.macys.com/is/image/MCY/12289660 </v>
      </c>
    </row>
    <row r="81" spans="1:12" ht="84" x14ac:dyDescent="0.25">
      <c r="A81" s="7" t="s">
        <v>1615</v>
      </c>
      <c r="B81" s="2" t="s">
        <v>1616</v>
      </c>
      <c r="C81" s="4">
        <v>2</v>
      </c>
      <c r="D81" s="5">
        <v>10.15</v>
      </c>
      <c r="E81" s="5">
        <v>25.99</v>
      </c>
      <c r="F81" s="4" t="s">
        <v>1617</v>
      </c>
      <c r="G81" s="2" t="s">
        <v>310</v>
      </c>
      <c r="H81" s="7" t="s">
        <v>144</v>
      </c>
      <c r="I81" s="2" t="s">
        <v>312</v>
      </c>
      <c r="J81" s="2" t="s">
        <v>1618</v>
      </c>
      <c r="K81" s="2" t="s">
        <v>206</v>
      </c>
      <c r="L81" s="8" t="str">
        <f>HYPERLINK("http://slimages.macys.com/is/image/MCY/11488776 ")</f>
        <v xml:space="preserve">http://slimages.macys.com/is/image/MCY/11488776 </v>
      </c>
    </row>
    <row r="82" spans="1:12" ht="84" x14ac:dyDescent="0.25">
      <c r="A82" s="7" t="s">
        <v>1619</v>
      </c>
      <c r="B82" s="2" t="s">
        <v>1620</v>
      </c>
      <c r="C82" s="4">
        <v>1</v>
      </c>
      <c r="D82" s="5">
        <v>10.06</v>
      </c>
      <c r="E82" s="5">
        <v>22.99</v>
      </c>
      <c r="F82" s="4" t="s">
        <v>1621</v>
      </c>
      <c r="G82" s="2" t="s">
        <v>171</v>
      </c>
      <c r="H82" s="7" t="s">
        <v>514</v>
      </c>
      <c r="I82" s="2" t="s">
        <v>515</v>
      </c>
      <c r="J82" s="2" t="s">
        <v>516</v>
      </c>
      <c r="K82" s="2" t="s">
        <v>358</v>
      </c>
      <c r="L82" s="8" t="str">
        <f>HYPERLINK("http://slimages.macys.com/is/image/MCY/11606059 ")</f>
        <v xml:space="preserve">http://slimages.macys.com/is/image/MCY/11606059 </v>
      </c>
    </row>
    <row r="83" spans="1:12" ht="84" x14ac:dyDescent="0.25">
      <c r="A83" s="7" t="s">
        <v>1622</v>
      </c>
      <c r="B83" s="2" t="s">
        <v>1623</v>
      </c>
      <c r="C83" s="4">
        <v>1</v>
      </c>
      <c r="D83" s="5">
        <v>10</v>
      </c>
      <c r="E83" s="5">
        <v>24.99</v>
      </c>
      <c r="F83" s="4" t="s">
        <v>1624</v>
      </c>
      <c r="G83" s="2" t="s">
        <v>28</v>
      </c>
      <c r="H83" s="7" t="s">
        <v>438</v>
      </c>
      <c r="I83" s="2" t="s">
        <v>135</v>
      </c>
      <c r="J83" s="2" t="s">
        <v>778</v>
      </c>
      <c r="K83" s="2" t="s">
        <v>38</v>
      </c>
      <c r="L83" s="8" t="str">
        <f>HYPERLINK("http://slimages.macys.com/is/image/MCY/14566127 ")</f>
        <v xml:space="preserve">http://slimages.macys.com/is/image/MCY/14566127 </v>
      </c>
    </row>
    <row r="84" spans="1:12" ht="84" x14ac:dyDescent="0.25">
      <c r="A84" s="7" t="s">
        <v>1625</v>
      </c>
      <c r="B84" s="2" t="s">
        <v>1626</v>
      </c>
      <c r="C84" s="4">
        <v>5</v>
      </c>
      <c r="D84" s="5">
        <v>10</v>
      </c>
      <c r="E84" s="5">
        <v>22.99</v>
      </c>
      <c r="F84" s="4" t="s">
        <v>1627</v>
      </c>
      <c r="G84" s="2" t="s">
        <v>41</v>
      </c>
      <c r="H84" s="7" t="s">
        <v>159</v>
      </c>
      <c r="I84" s="2" t="s">
        <v>73</v>
      </c>
      <c r="J84" s="2" t="s">
        <v>223</v>
      </c>
      <c r="K84" s="2" t="s">
        <v>87</v>
      </c>
      <c r="L84" s="8" t="str">
        <f>HYPERLINK("http://slimages.macys.com/is/image/MCY/13581150 ")</f>
        <v xml:space="preserve">http://slimages.macys.com/is/image/MCY/13581150 </v>
      </c>
    </row>
    <row r="85" spans="1:12" ht="84" x14ac:dyDescent="0.25">
      <c r="A85" s="7" t="s">
        <v>1628</v>
      </c>
      <c r="B85" s="2" t="s">
        <v>1629</v>
      </c>
      <c r="C85" s="4">
        <v>2</v>
      </c>
      <c r="D85" s="5">
        <v>9.75</v>
      </c>
      <c r="E85" s="5">
        <v>24.99</v>
      </c>
      <c r="F85" s="4" t="s">
        <v>1630</v>
      </c>
      <c r="G85" s="2" t="s">
        <v>41</v>
      </c>
      <c r="H85" s="7" t="s">
        <v>248</v>
      </c>
      <c r="I85" s="2" t="s">
        <v>321</v>
      </c>
      <c r="J85" s="2" t="s">
        <v>1631</v>
      </c>
      <c r="K85" s="2" t="s">
        <v>1516</v>
      </c>
      <c r="L85" s="8" t="str">
        <f>HYPERLINK("http://slimages.macys.com/is/image/MCY/11545084 ")</f>
        <v xml:space="preserve">http://slimages.macys.com/is/image/MCY/11545084 </v>
      </c>
    </row>
    <row r="86" spans="1:12" ht="84" x14ac:dyDescent="0.25">
      <c r="A86" s="7" t="s">
        <v>1632</v>
      </c>
      <c r="B86" s="2" t="s">
        <v>1633</v>
      </c>
      <c r="C86" s="4">
        <v>1</v>
      </c>
      <c r="D86" s="5">
        <v>9.5299999999999994</v>
      </c>
      <c r="E86" s="5">
        <v>22.99</v>
      </c>
      <c r="F86" s="4" t="s">
        <v>1634</v>
      </c>
      <c r="G86" s="2" t="s">
        <v>28</v>
      </c>
      <c r="H86" s="7" t="s">
        <v>217</v>
      </c>
      <c r="I86" s="2" t="s">
        <v>292</v>
      </c>
      <c r="J86" s="2" t="s">
        <v>293</v>
      </c>
      <c r="K86" s="2" t="s">
        <v>206</v>
      </c>
      <c r="L86" s="8" t="str">
        <f>HYPERLINK("http://slimages.macys.com/is/image/MCY/11776336 ")</f>
        <v xml:space="preserve">http://slimages.macys.com/is/image/MCY/11776336 </v>
      </c>
    </row>
    <row r="87" spans="1:12" ht="84" x14ac:dyDescent="0.25">
      <c r="A87" s="7" t="s">
        <v>1635</v>
      </c>
      <c r="B87" s="2" t="s">
        <v>1636</v>
      </c>
      <c r="C87" s="4">
        <v>1</v>
      </c>
      <c r="D87" s="5">
        <v>9.5</v>
      </c>
      <c r="E87" s="5">
        <v>23.99</v>
      </c>
      <c r="F87" s="4" t="s">
        <v>1637</v>
      </c>
      <c r="G87" s="2" t="s">
        <v>36</v>
      </c>
      <c r="H87" s="7" t="s">
        <v>228</v>
      </c>
      <c r="I87" s="2" t="s">
        <v>312</v>
      </c>
      <c r="J87" s="2" t="s">
        <v>1638</v>
      </c>
      <c r="K87" s="2" t="s">
        <v>125</v>
      </c>
      <c r="L87" s="8" t="str">
        <f>HYPERLINK("http://slimages.macys.com/is/image/MCY/11724566 ")</f>
        <v xml:space="preserve">http://slimages.macys.com/is/image/MCY/11724566 </v>
      </c>
    </row>
    <row r="88" spans="1:12" ht="84" x14ac:dyDescent="0.25">
      <c r="A88" s="7" t="s">
        <v>1639</v>
      </c>
      <c r="B88" s="2" t="s">
        <v>1640</v>
      </c>
      <c r="C88" s="4">
        <v>1</v>
      </c>
      <c r="D88" s="5">
        <v>9.25</v>
      </c>
      <c r="E88" s="5">
        <v>25.99</v>
      </c>
      <c r="F88" s="4" t="s">
        <v>1641</v>
      </c>
      <c r="G88" s="2" t="s">
        <v>36</v>
      </c>
      <c r="H88" s="7" t="s">
        <v>159</v>
      </c>
      <c r="I88" s="2" t="s">
        <v>342</v>
      </c>
      <c r="J88" s="2" t="s">
        <v>1589</v>
      </c>
      <c r="K88" s="2" t="s">
        <v>1642</v>
      </c>
      <c r="L88" s="8" t="str">
        <f>HYPERLINK("http://slimages.macys.com/is/image/MCY/11636549 ")</f>
        <v xml:space="preserve">http://slimages.macys.com/is/image/MCY/11636549 </v>
      </c>
    </row>
    <row r="89" spans="1:12" ht="84" x14ac:dyDescent="0.25">
      <c r="A89" s="7" t="s">
        <v>1643</v>
      </c>
      <c r="B89" s="2" t="s">
        <v>1640</v>
      </c>
      <c r="C89" s="4">
        <v>1</v>
      </c>
      <c r="D89" s="5">
        <v>9.25</v>
      </c>
      <c r="E89" s="5">
        <v>25.99</v>
      </c>
      <c r="F89" s="4" t="s">
        <v>1641</v>
      </c>
      <c r="G89" s="2" t="s">
        <v>36</v>
      </c>
      <c r="H89" s="7" t="s">
        <v>284</v>
      </c>
      <c r="I89" s="2" t="s">
        <v>342</v>
      </c>
      <c r="J89" s="2" t="s">
        <v>1589</v>
      </c>
      <c r="K89" s="2" t="s">
        <v>1642</v>
      </c>
      <c r="L89" s="8" t="str">
        <f>HYPERLINK("http://slimages.macys.com/is/image/MCY/11636549 ")</f>
        <v xml:space="preserve">http://slimages.macys.com/is/image/MCY/11636549 </v>
      </c>
    </row>
    <row r="90" spans="1:12" ht="84" x14ac:dyDescent="0.25">
      <c r="A90" s="7" t="s">
        <v>1644</v>
      </c>
      <c r="B90" s="2" t="s">
        <v>1640</v>
      </c>
      <c r="C90" s="4">
        <v>1</v>
      </c>
      <c r="D90" s="5">
        <v>9.25</v>
      </c>
      <c r="E90" s="5">
        <v>25.99</v>
      </c>
      <c r="F90" s="4" t="s">
        <v>1641</v>
      </c>
      <c r="G90" s="2" t="s">
        <v>36</v>
      </c>
      <c r="H90" s="7" t="s">
        <v>196</v>
      </c>
      <c r="I90" s="2" t="s">
        <v>342</v>
      </c>
      <c r="J90" s="2" t="s">
        <v>1589</v>
      </c>
      <c r="K90" s="2" t="s">
        <v>1642</v>
      </c>
      <c r="L90" s="8" t="str">
        <f>HYPERLINK("http://slimages.macys.com/is/image/MCY/11636549 ")</f>
        <v xml:space="preserve">http://slimages.macys.com/is/image/MCY/11636549 </v>
      </c>
    </row>
    <row r="91" spans="1:12" ht="84" x14ac:dyDescent="0.25">
      <c r="A91" s="7" t="s">
        <v>1645</v>
      </c>
      <c r="B91" s="2" t="s">
        <v>1646</v>
      </c>
      <c r="C91" s="4">
        <v>1</v>
      </c>
      <c r="D91" s="5">
        <v>9</v>
      </c>
      <c r="E91" s="5">
        <v>17.989999999999998</v>
      </c>
      <c r="F91" s="4" t="s">
        <v>1647</v>
      </c>
      <c r="G91" s="2" t="s">
        <v>28</v>
      </c>
      <c r="H91" s="7"/>
      <c r="I91" s="2" t="s">
        <v>30</v>
      </c>
      <c r="J91" s="2" t="s">
        <v>658</v>
      </c>
      <c r="K91" s="2" t="s">
        <v>1648</v>
      </c>
      <c r="L91" s="8" t="str">
        <f>HYPERLINK("http://slimages.macys.com/is/image/MCY/11686740 ")</f>
        <v xml:space="preserve">http://slimages.macys.com/is/image/MCY/11686740 </v>
      </c>
    </row>
    <row r="92" spans="1:12" ht="84" x14ac:dyDescent="0.25">
      <c r="A92" s="7" t="s">
        <v>1649</v>
      </c>
      <c r="B92" s="2" t="s">
        <v>1650</v>
      </c>
      <c r="C92" s="4">
        <v>1</v>
      </c>
      <c r="D92" s="5">
        <v>9</v>
      </c>
      <c r="E92" s="5">
        <v>24.99</v>
      </c>
      <c r="F92" s="4" t="s">
        <v>1651</v>
      </c>
      <c r="G92" s="2" t="s">
        <v>353</v>
      </c>
      <c r="H92" s="7" t="s">
        <v>774</v>
      </c>
      <c r="I92" s="2" t="s">
        <v>321</v>
      </c>
      <c r="J92" s="2" t="s">
        <v>1652</v>
      </c>
      <c r="K92" s="2" t="s">
        <v>1516</v>
      </c>
      <c r="L92" s="8" t="str">
        <f>HYPERLINK("http://slimages.macys.com/is/image/MCY/11640791 ")</f>
        <v xml:space="preserve">http://slimages.macys.com/is/image/MCY/11640791 </v>
      </c>
    </row>
    <row r="93" spans="1:12" ht="36" x14ac:dyDescent="0.25">
      <c r="A93" s="7" t="s">
        <v>1653</v>
      </c>
      <c r="B93" s="2" t="s">
        <v>1654</v>
      </c>
      <c r="C93" s="4">
        <v>1</v>
      </c>
      <c r="D93" s="5">
        <v>8.8000000000000007</v>
      </c>
      <c r="E93" s="5">
        <v>15.99</v>
      </c>
      <c r="F93" s="4" t="s">
        <v>1655</v>
      </c>
      <c r="G93" s="2" t="s">
        <v>41</v>
      </c>
      <c r="H93" s="7" t="s">
        <v>482</v>
      </c>
      <c r="I93" s="2" t="s">
        <v>153</v>
      </c>
      <c r="J93" s="2" t="s">
        <v>154</v>
      </c>
      <c r="K93" s="2"/>
      <c r="L93" s="2"/>
    </row>
    <row r="94" spans="1:12" ht="120" x14ac:dyDescent="0.25">
      <c r="A94" s="7" t="s">
        <v>1656</v>
      </c>
      <c r="B94" s="2" t="s">
        <v>360</v>
      </c>
      <c r="C94" s="4">
        <v>1</v>
      </c>
      <c r="D94" s="5">
        <v>8.75</v>
      </c>
      <c r="E94" s="5">
        <v>24.99</v>
      </c>
      <c r="F94" s="4" t="s">
        <v>361</v>
      </c>
      <c r="G94" s="2" t="s">
        <v>310</v>
      </c>
      <c r="H94" s="7" t="s">
        <v>63</v>
      </c>
      <c r="I94" s="2" t="s">
        <v>342</v>
      </c>
      <c r="J94" s="2" t="s">
        <v>362</v>
      </c>
      <c r="K94" s="2" t="s">
        <v>304</v>
      </c>
      <c r="L94" s="2" t="s">
        <v>1657</v>
      </c>
    </row>
    <row r="95" spans="1:12" ht="36" x14ac:dyDescent="0.25">
      <c r="A95" s="7" t="s">
        <v>1658</v>
      </c>
      <c r="B95" s="2" t="s">
        <v>1659</v>
      </c>
      <c r="C95" s="4">
        <v>1</v>
      </c>
      <c r="D95" s="5">
        <v>8.75</v>
      </c>
      <c r="E95" s="5">
        <v>19.989999999999998</v>
      </c>
      <c r="F95" s="4" t="s">
        <v>1660</v>
      </c>
      <c r="G95" s="2" t="s">
        <v>667</v>
      </c>
      <c r="H95" s="7" t="s">
        <v>1661</v>
      </c>
      <c r="I95" s="2" t="s">
        <v>92</v>
      </c>
      <c r="J95" s="2" t="s">
        <v>778</v>
      </c>
      <c r="K95" s="2" t="s">
        <v>304</v>
      </c>
      <c r="L95" s="2" t="s">
        <v>125</v>
      </c>
    </row>
    <row r="96" spans="1:12" ht="84" x14ac:dyDescent="0.25">
      <c r="A96" s="7" t="s">
        <v>1662</v>
      </c>
      <c r="B96" s="2" t="s">
        <v>1663</v>
      </c>
      <c r="C96" s="4">
        <v>1</v>
      </c>
      <c r="D96" s="5">
        <v>8.65</v>
      </c>
      <c r="E96" s="5">
        <v>22.99</v>
      </c>
      <c r="F96" s="4">
        <v>103406</v>
      </c>
      <c r="G96" s="2" t="s">
        <v>36</v>
      </c>
      <c r="H96" s="7" t="s">
        <v>172</v>
      </c>
      <c r="I96" s="2" t="s">
        <v>321</v>
      </c>
      <c r="J96" s="2" t="s">
        <v>322</v>
      </c>
      <c r="K96" s="2" t="s">
        <v>304</v>
      </c>
      <c r="L96" s="2" t="s">
        <v>1460</v>
      </c>
    </row>
    <row r="97" spans="1:12" ht="84" x14ac:dyDescent="0.25">
      <c r="A97" s="7" t="s">
        <v>1664</v>
      </c>
      <c r="B97" s="2" t="s">
        <v>1665</v>
      </c>
      <c r="C97" s="4">
        <v>1</v>
      </c>
      <c r="D97" s="5">
        <v>8.65</v>
      </c>
      <c r="E97" s="5">
        <v>22.99</v>
      </c>
      <c r="F97" s="4">
        <v>103402</v>
      </c>
      <c r="G97" s="2" t="s">
        <v>892</v>
      </c>
      <c r="H97" s="7" t="s">
        <v>177</v>
      </c>
      <c r="I97" s="2" t="s">
        <v>321</v>
      </c>
      <c r="J97" s="2" t="s">
        <v>322</v>
      </c>
      <c r="K97" s="2" t="s">
        <v>304</v>
      </c>
      <c r="L97" s="2" t="s">
        <v>1460</v>
      </c>
    </row>
    <row r="98" spans="1:12" ht="84" x14ac:dyDescent="0.25">
      <c r="A98" s="7" t="s">
        <v>1666</v>
      </c>
      <c r="B98" s="2" t="s">
        <v>1667</v>
      </c>
      <c r="C98" s="4">
        <v>1</v>
      </c>
      <c r="D98" s="5">
        <v>8.65</v>
      </c>
      <c r="E98" s="5">
        <v>22.99</v>
      </c>
      <c r="F98" s="4">
        <v>103404</v>
      </c>
      <c r="G98" s="2" t="s">
        <v>79</v>
      </c>
      <c r="H98" s="7" t="s">
        <v>172</v>
      </c>
      <c r="I98" s="2" t="s">
        <v>321</v>
      </c>
      <c r="J98" s="2" t="s">
        <v>322</v>
      </c>
      <c r="K98" s="2" t="s">
        <v>304</v>
      </c>
      <c r="L98" s="2" t="s">
        <v>1460</v>
      </c>
    </row>
    <row r="99" spans="1:12" ht="48" x14ac:dyDescent="0.25">
      <c r="A99" s="7" t="s">
        <v>1668</v>
      </c>
      <c r="B99" s="2" t="s">
        <v>1669</v>
      </c>
      <c r="C99" s="4">
        <v>1</v>
      </c>
      <c r="D99" s="5">
        <v>8.5</v>
      </c>
      <c r="E99" s="5">
        <v>21.99</v>
      </c>
      <c r="F99" s="4" t="s">
        <v>1670</v>
      </c>
      <c r="G99" s="2" t="s">
        <v>28</v>
      </c>
      <c r="H99" s="7"/>
      <c r="I99" s="2" t="s">
        <v>321</v>
      </c>
      <c r="J99" s="2" t="s">
        <v>1671</v>
      </c>
      <c r="K99" s="2" t="s">
        <v>304</v>
      </c>
      <c r="L99" s="2" t="s">
        <v>125</v>
      </c>
    </row>
    <row r="100" spans="1:12" ht="48" x14ac:dyDescent="0.25">
      <c r="A100" s="7" t="s">
        <v>1672</v>
      </c>
      <c r="B100" s="2" t="s">
        <v>1673</v>
      </c>
      <c r="C100" s="4">
        <v>1</v>
      </c>
      <c r="D100" s="5">
        <v>8.4499999999999993</v>
      </c>
      <c r="E100" s="5">
        <v>16.989999999999998</v>
      </c>
      <c r="F100" s="4" t="s">
        <v>1674</v>
      </c>
      <c r="G100" s="2" t="s">
        <v>62</v>
      </c>
      <c r="H100" s="7" t="s">
        <v>196</v>
      </c>
      <c r="I100" s="2" t="s">
        <v>515</v>
      </c>
      <c r="J100" s="2" t="s">
        <v>827</v>
      </c>
      <c r="K100" s="2" t="s">
        <v>304</v>
      </c>
      <c r="L100" s="2" t="s">
        <v>358</v>
      </c>
    </row>
    <row r="101" spans="1:12" ht="48" x14ac:dyDescent="0.25">
      <c r="A101" s="7" t="s">
        <v>1675</v>
      </c>
      <c r="B101" s="2" t="s">
        <v>1673</v>
      </c>
      <c r="C101" s="4">
        <v>1</v>
      </c>
      <c r="D101" s="5">
        <v>8.4499999999999993</v>
      </c>
      <c r="E101" s="5">
        <v>16.989999999999998</v>
      </c>
      <c r="F101" s="4" t="s">
        <v>1674</v>
      </c>
      <c r="G101" s="2" t="s">
        <v>48</v>
      </c>
      <c r="H101" s="7" t="s">
        <v>196</v>
      </c>
      <c r="I101" s="2" t="s">
        <v>515</v>
      </c>
      <c r="J101" s="2" t="s">
        <v>827</v>
      </c>
      <c r="K101" s="2" t="s">
        <v>304</v>
      </c>
      <c r="L101" s="2" t="s">
        <v>358</v>
      </c>
    </row>
    <row r="102" spans="1:12" ht="48" x14ac:dyDescent="0.25">
      <c r="A102" s="7" t="s">
        <v>1676</v>
      </c>
      <c r="B102" s="2" t="s">
        <v>1673</v>
      </c>
      <c r="C102" s="4">
        <v>3</v>
      </c>
      <c r="D102" s="5">
        <v>8.4499999999999993</v>
      </c>
      <c r="E102" s="5">
        <v>16.989999999999998</v>
      </c>
      <c r="F102" s="4" t="s">
        <v>1674</v>
      </c>
      <c r="G102" s="2" t="s">
        <v>62</v>
      </c>
      <c r="H102" s="7" t="s">
        <v>159</v>
      </c>
      <c r="I102" s="2" t="s">
        <v>515</v>
      </c>
      <c r="J102" s="2" t="s">
        <v>827</v>
      </c>
      <c r="K102" s="2" t="s">
        <v>304</v>
      </c>
      <c r="L102" s="2" t="s">
        <v>358</v>
      </c>
    </row>
    <row r="103" spans="1:12" ht="48" x14ac:dyDescent="0.25">
      <c r="A103" s="7" t="s">
        <v>1677</v>
      </c>
      <c r="B103" s="2" t="s">
        <v>1673</v>
      </c>
      <c r="C103" s="4">
        <v>1</v>
      </c>
      <c r="D103" s="5">
        <v>8.4499999999999993</v>
      </c>
      <c r="E103" s="5">
        <v>16.989999999999998</v>
      </c>
      <c r="F103" s="4" t="s">
        <v>1674</v>
      </c>
      <c r="G103" s="2" t="s">
        <v>48</v>
      </c>
      <c r="H103" s="7" t="s">
        <v>159</v>
      </c>
      <c r="I103" s="2" t="s">
        <v>515</v>
      </c>
      <c r="J103" s="2" t="s">
        <v>827</v>
      </c>
      <c r="K103" s="2" t="s">
        <v>304</v>
      </c>
      <c r="L103" s="2" t="s">
        <v>358</v>
      </c>
    </row>
    <row r="104" spans="1:12" ht="48" x14ac:dyDescent="0.25">
      <c r="A104" s="7" t="s">
        <v>1678</v>
      </c>
      <c r="B104" s="2" t="s">
        <v>1673</v>
      </c>
      <c r="C104" s="4">
        <v>1</v>
      </c>
      <c r="D104" s="5">
        <v>8.4499999999999993</v>
      </c>
      <c r="E104" s="5">
        <v>16.989999999999998</v>
      </c>
      <c r="F104" s="4" t="s">
        <v>1674</v>
      </c>
      <c r="G104" s="2" t="s">
        <v>62</v>
      </c>
      <c r="H104" s="7" t="s">
        <v>228</v>
      </c>
      <c r="I104" s="2" t="s">
        <v>515</v>
      </c>
      <c r="J104" s="2" t="s">
        <v>827</v>
      </c>
      <c r="K104" s="2" t="s">
        <v>304</v>
      </c>
      <c r="L104" s="2" t="s">
        <v>358</v>
      </c>
    </row>
    <row r="105" spans="1:12" ht="48" x14ac:dyDescent="0.25">
      <c r="A105" s="7" t="s">
        <v>1679</v>
      </c>
      <c r="B105" s="2" t="s">
        <v>1673</v>
      </c>
      <c r="C105" s="4">
        <v>1</v>
      </c>
      <c r="D105" s="5">
        <v>8.4499999999999993</v>
      </c>
      <c r="E105" s="5">
        <v>16.989999999999998</v>
      </c>
      <c r="F105" s="4" t="s">
        <v>1674</v>
      </c>
      <c r="G105" s="2" t="s">
        <v>62</v>
      </c>
      <c r="H105" s="7" t="s">
        <v>284</v>
      </c>
      <c r="I105" s="2" t="s">
        <v>515</v>
      </c>
      <c r="J105" s="2" t="s">
        <v>827</v>
      </c>
      <c r="K105" s="2" t="s">
        <v>304</v>
      </c>
      <c r="L105" s="2" t="s">
        <v>358</v>
      </c>
    </row>
    <row r="106" spans="1:12" ht="48" x14ac:dyDescent="0.25">
      <c r="A106" s="7" t="s">
        <v>1680</v>
      </c>
      <c r="B106" s="2" t="s">
        <v>1681</v>
      </c>
      <c r="C106" s="4">
        <v>1</v>
      </c>
      <c r="D106" s="5">
        <v>8.43</v>
      </c>
      <c r="E106" s="5">
        <v>21.99</v>
      </c>
      <c r="F106" s="4" t="s">
        <v>1682</v>
      </c>
      <c r="G106" s="2" t="s">
        <v>297</v>
      </c>
      <c r="H106" s="7" t="s">
        <v>1151</v>
      </c>
      <c r="I106" s="2" t="s">
        <v>515</v>
      </c>
      <c r="J106" s="2" t="s">
        <v>875</v>
      </c>
      <c r="K106" s="2" t="s">
        <v>304</v>
      </c>
      <c r="L106" s="2" t="s">
        <v>119</v>
      </c>
    </row>
    <row r="107" spans="1:12" ht="48" x14ac:dyDescent="0.25">
      <c r="A107" s="7" t="s">
        <v>1683</v>
      </c>
      <c r="B107" s="2" t="s">
        <v>1684</v>
      </c>
      <c r="C107" s="4">
        <v>1</v>
      </c>
      <c r="D107" s="5">
        <v>8.4</v>
      </c>
      <c r="E107" s="5">
        <v>24.99</v>
      </c>
      <c r="F107" s="4" t="s">
        <v>1685</v>
      </c>
      <c r="G107" s="2" t="s">
        <v>36</v>
      </c>
      <c r="H107" s="7" t="s">
        <v>311</v>
      </c>
      <c r="I107" s="2" t="s">
        <v>64</v>
      </c>
      <c r="J107" s="2" t="s">
        <v>65</v>
      </c>
      <c r="K107" s="2" t="s">
        <v>304</v>
      </c>
      <c r="L107" s="2" t="s">
        <v>119</v>
      </c>
    </row>
    <row r="108" spans="1:12" ht="48" x14ac:dyDescent="0.25">
      <c r="A108" s="7" t="s">
        <v>1686</v>
      </c>
      <c r="B108" s="2" t="s">
        <v>1687</v>
      </c>
      <c r="C108" s="4">
        <v>1</v>
      </c>
      <c r="D108" s="5">
        <v>8.3800000000000008</v>
      </c>
      <c r="E108" s="5">
        <v>24.99</v>
      </c>
      <c r="F108" s="4" t="s">
        <v>1688</v>
      </c>
      <c r="G108" s="2" t="s">
        <v>28</v>
      </c>
      <c r="H108" s="7" t="s">
        <v>578</v>
      </c>
      <c r="I108" s="2" t="s">
        <v>1689</v>
      </c>
      <c r="J108" s="2" t="s">
        <v>354</v>
      </c>
      <c r="K108" s="2" t="s">
        <v>304</v>
      </c>
      <c r="L108" s="2" t="s">
        <v>1569</v>
      </c>
    </row>
    <row r="109" spans="1:12" ht="48" x14ac:dyDescent="0.25">
      <c r="A109" s="7" t="s">
        <v>1690</v>
      </c>
      <c r="B109" s="2" t="s">
        <v>1691</v>
      </c>
      <c r="C109" s="4">
        <v>1</v>
      </c>
      <c r="D109" s="5">
        <v>8.2100000000000009</v>
      </c>
      <c r="E109" s="5">
        <v>21.99</v>
      </c>
      <c r="F109" s="4" t="s">
        <v>1692</v>
      </c>
      <c r="G109" s="2" t="s">
        <v>582</v>
      </c>
      <c r="H109" s="7" t="s">
        <v>228</v>
      </c>
      <c r="I109" s="2" t="s">
        <v>389</v>
      </c>
      <c r="J109" s="2" t="s">
        <v>354</v>
      </c>
      <c r="K109" s="2" t="s">
        <v>304</v>
      </c>
      <c r="L109" s="2" t="s">
        <v>390</v>
      </c>
    </row>
    <row r="110" spans="1:12" ht="24" x14ac:dyDescent="0.25">
      <c r="A110" s="7" t="s">
        <v>1693</v>
      </c>
      <c r="B110" s="2" t="s">
        <v>1694</v>
      </c>
      <c r="C110" s="4">
        <v>1</v>
      </c>
      <c r="D110" s="5">
        <v>8.02</v>
      </c>
      <c r="E110" s="5">
        <v>21.99</v>
      </c>
      <c r="F110" s="4" t="s">
        <v>1695</v>
      </c>
      <c r="G110" s="2" t="s">
        <v>62</v>
      </c>
      <c r="H110" s="7" t="s">
        <v>196</v>
      </c>
      <c r="I110" s="2" t="s">
        <v>515</v>
      </c>
      <c r="J110" s="2" t="s">
        <v>827</v>
      </c>
      <c r="K110" s="2" t="s">
        <v>304</v>
      </c>
      <c r="L110" s="2" t="s">
        <v>125</v>
      </c>
    </row>
    <row r="111" spans="1:12" ht="24" x14ac:dyDescent="0.25">
      <c r="A111" s="7" t="s">
        <v>1696</v>
      </c>
      <c r="B111" s="2" t="s">
        <v>1694</v>
      </c>
      <c r="C111" s="4">
        <v>2</v>
      </c>
      <c r="D111" s="5">
        <v>8.02</v>
      </c>
      <c r="E111" s="5">
        <v>21.99</v>
      </c>
      <c r="F111" s="4" t="s">
        <v>1695</v>
      </c>
      <c r="G111" s="2" t="s">
        <v>62</v>
      </c>
      <c r="H111" s="7" t="s">
        <v>228</v>
      </c>
      <c r="I111" s="2" t="s">
        <v>515</v>
      </c>
      <c r="J111" s="2" t="s">
        <v>827</v>
      </c>
      <c r="K111" s="2" t="s">
        <v>304</v>
      </c>
      <c r="L111" s="2" t="s">
        <v>125</v>
      </c>
    </row>
    <row r="112" spans="1:12" ht="36" x14ac:dyDescent="0.25">
      <c r="A112" s="7" t="s">
        <v>1697</v>
      </c>
      <c r="B112" s="2" t="s">
        <v>1698</v>
      </c>
      <c r="C112" s="4">
        <v>1</v>
      </c>
      <c r="D112" s="5">
        <v>8.01</v>
      </c>
      <c r="E112" s="5">
        <v>19</v>
      </c>
      <c r="F112" s="4" t="s">
        <v>1699</v>
      </c>
      <c r="G112" s="2" t="s">
        <v>36</v>
      </c>
      <c r="H112" s="7" t="s">
        <v>159</v>
      </c>
      <c r="I112" s="2" t="s">
        <v>73</v>
      </c>
      <c r="J112" s="2" t="s">
        <v>160</v>
      </c>
      <c r="K112" s="2" t="s">
        <v>304</v>
      </c>
      <c r="L112" s="2" t="s">
        <v>206</v>
      </c>
    </row>
    <row r="113" spans="1:12" ht="24" x14ac:dyDescent="0.25">
      <c r="A113" s="7" t="s">
        <v>1700</v>
      </c>
      <c r="B113" s="2" t="s">
        <v>1701</v>
      </c>
      <c r="C113" s="4">
        <v>1</v>
      </c>
      <c r="D113" s="5">
        <v>8.01</v>
      </c>
      <c r="E113" s="5">
        <v>17.989999999999998</v>
      </c>
      <c r="F113" s="4" t="s">
        <v>1702</v>
      </c>
      <c r="G113" s="2" t="s">
        <v>785</v>
      </c>
      <c r="H113" s="7" t="s">
        <v>228</v>
      </c>
      <c r="I113" s="2" t="s">
        <v>80</v>
      </c>
      <c r="J113" s="2" t="s">
        <v>160</v>
      </c>
      <c r="K113" s="2" t="s">
        <v>304</v>
      </c>
      <c r="L113" s="2" t="s">
        <v>125</v>
      </c>
    </row>
    <row r="114" spans="1:12" ht="36" x14ac:dyDescent="0.25">
      <c r="A114" s="7" t="s">
        <v>1703</v>
      </c>
      <c r="B114" s="2" t="s">
        <v>1704</v>
      </c>
      <c r="C114" s="4">
        <v>2</v>
      </c>
      <c r="D114" s="5">
        <v>8.01</v>
      </c>
      <c r="E114" s="5">
        <v>19</v>
      </c>
      <c r="F114" s="4" t="s">
        <v>1705</v>
      </c>
      <c r="G114" s="2" t="s">
        <v>41</v>
      </c>
      <c r="H114" s="7" t="s">
        <v>228</v>
      </c>
      <c r="I114" s="2" t="s">
        <v>73</v>
      </c>
      <c r="J114" s="2" t="s">
        <v>160</v>
      </c>
      <c r="K114" s="2" t="s">
        <v>304</v>
      </c>
      <c r="L114" s="2" t="s">
        <v>38</v>
      </c>
    </row>
    <row r="115" spans="1:12" ht="36" x14ac:dyDescent="0.25">
      <c r="A115" s="7" t="s">
        <v>1706</v>
      </c>
      <c r="B115" s="2" t="s">
        <v>1698</v>
      </c>
      <c r="C115" s="4">
        <v>2</v>
      </c>
      <c r="D115" s="5">
        <v>8.01</v>
      </c>
      <c r="E115" s="5">
        <v>19</v>
      </c>
      <c r="F115" s="4" t="s">
        <v>1699</v>
      </c>
      <c r="G115" s="2" t="s">
        <v>36</v>
      </c>
      <c r="H115" s="7" t="s">
        <v>228</v>
      </c>
      <c r="I115" s="2" t="s">
        <v>73</v>
      </c>
      <c r="J115" s="2" t="s">
        <v>160</v>
      </c>
      <c r="K115" s="2" t="s">
        <v>304</v>
      </c>
      <c r="L115" s="2" t="s">
        <v>206</v>
      </c>
    </row>
    <row r="116" spans="1:12" ht="36" x14ac:dyDescent="0.25">
      <c r="A116" s="7" t="s">
        <v>1707</v>
      </c>
      <c r="B116" s="2" t="s">
        <v>887</v>
      </c>
      <c r="C116" s="4">
        <v>1</v>
      </c>
      <c r="D116" s="5">
        <v>8.01</v>
      </c>
      <c r="E116" s="5">
        <v>17.989999999999998</v>
      </c>
      <c r="F116" s="4" t="s">
        <v>888</v>
      </c>
      <c r="G116" s="2" t="s">
        <v>103</v>
      </c>
      <c r="H116" s="7" t="s">
        <v>228</v>
      </c>
      <c r="I116" s="2" t="s">
        <v>80</v>
      </c>
      <c r="J116" s="2" t="s">
        <v>160</v>
      </c>
      <c r="K116" s="2" t="s">
        <v>304</v>
      </c>
      <c r="L116" s="2" t="s">
        <v>206</v>
      </c>
    </row>
    <row r="117" spans="1:12" ht="36" x14ac:dyDescent="0.25">
      <c r="A117" s="7" t="s">
        <v>1708</v>
      </c>
      <c r="B117" s="2" t="s">
        <v>1698</v>
      </c>
      <c r="C117" s="4">
        <v>1</v>
      </c>
      <c r="D117" s="5">
        <v>8.01</v>
      </c>
      <c r="E117" s="5">
        <v>19</v>
      </c>
      <c r="F117" s="4" t="s">
        <v>1699</v>
      </c>
      <c r="G117" s="2" t="s">
        <v>36</v>
      </c>
      <c r="H117" s="7" t="s">
        <v>196</v>
      </c>
      <c r="I117" s="2" t="s">
        <v>73</v>
      </c>
      <c r="J117" s="2" t="s">
        <v>160</v>
      </c>
      <c r="K117" s="2" t="s">
        <v>304</v>
      </c>
      <c r="L117" s="2" t="s">
        <v>206</v>
      </c>
    </row>
    <row r="118" spans="1:12" ht="36" x14ac:dyDescent="0.25">
      <c r="A118" s="7" t="s">
        <v>1709</v>
      </c>
      <c r="B118" s="2" t="s">
        <v>1704</v>
      </c>
      <c r="C118" s="4">
        <v>1</v>
      </c>
      <c r="D118" s="5">
        <v>8.01</v>
      </c>
      <c r="E118" s="5">
        <v>19</v>
      </c>
      <c r="F118" s="4" t="s">
        <v>1705</v>
      </c>
      <c r="G118" s="2" t="s">
        <v>41</v>
      </c>
      <c r="H118" s="7" t="s">
        <v>196</v>
      </c>
      <c r="I118" s="2" t="s">
        <v>73</v>
      </c>
      <c r="J118" s="2" t="s">
        <v>160</v>
      </c>
      <c r="K118" s="2" t="s">
        <v>304</v>
      </c>
      <c r="L118" s="2" t="s">
        <v>38</v>
      </c>
    </row>
    <row r="119" spans="1:12" ht="36" x14ac:dyDescent="0.25">
      <c r="A119" s="7" t="s">
        <v>413</v>
      </c>
      <c r="B119" s="2" t="s">
        <v>414</v>
      </c>
      <c r="C119" s="4">
        <v>1</v>
      </c>
      <c r="D119" s="5">
        <v>8</v>
      </c>
      <c r="E119" s="5">
        <v>14.99</v>
      </c>
      <c r="F119" s="4" t="s">
        <v>415</v>
      </c>
      <c r="G119" s="2" t="s">
        <v>36</v>
      </c>
      <c r="H119" s="7"/>
      <c r="I119" s="2" t="s">
        <v>30</v>
      </c>
      <c r="J119" s="2" t="s">
        <v>31</v>
      </c>
      <c r="K119" s="2" t="s">
        <v>304</v>
      </c>
      <c r="L119" s="2" t="s">
        <v>416</v>
      </c>
    </row>
    <row r="120" spans="1:12" ht="48" x14ac:dyDescent="0.25">
      <c r="A120" s="7" t="s">
        <v>1710</v>
      </c>
      <c r="B120" s="2" t="s">
        <v>418</v>
      </c>
      <c r="C120" s="4">
        <v>1</v>
      </c>
      <c r="D120" s="5">
        <v>8</v>
      </c>
      <c r="E120" s="5">
        <v>17.989999999999998</v>
      </c>
      <c r="F120" s="4" t="s">
        <v>419</v>
      </c>
      <c r="G120" s="2" t="s">
        <v>62</v>
      </c>
      <c r="H120" s="7" t="s">
        <v>228</v>
      </c>
      <c r="I120" s="2" t="s">
        <v>73</v>
      </c>
      <c r="J120" s="2" t="s">
        <v>223</v>
      </c>
      <c r="K120" s="2" t="s">
        <v>304</v>
      </c>
      <c r="L120" s="2" t="s">
        <v>119</v>
      </c>
    </row>
    <row r="121" spans="1:12" ht="48" x14ac:dyDescent="0.25">
      <c r="A121" s="7" t="s">
        <v>1711</v>
      </c>
      <c r="B121" s="2" t="s">
        <v>1712</v>
      </c>
      <c r="C121" s="4">
        <v>1</v>
      </c>
      <c r="D121" s="5">
        <v>8</v>
      </c>
      <c r="E121" s="5">
        <v>17.989999999999998</v>
      </c>
      <c r="F121" s="4" t="s">
        <v>1713</v>
      </c>
      <c r="G121" s="2" t="s">
        <v>41</v>
      </c>
      <c r="H121" s="7" t="s">
        <v>196</v>
      </c>
      <c r="I121" s="2" t="s">
        <v>73</v>
      </c>
      <c r="J121" s="2" t="s">
        <v>223</v>
      </c>
      <c r="K121" s="2" t="s">
        <v>304</v>
      </c>
      <c r="L121" s="2" t="s">
        <v>125</v>
      </c>
    </row>
    <row r="122" spans="1:12" ht="48" x14ac:dyDescent="0.25">
      <c r="A122" s="7" t="s">
        <v>1714</v>
      </c>
      <c r="B122" s="2" t="s">
        <v>1715</v>
      </c>
      <c r="C122" s="4">
        <v>1</v>
      </c>
      <c r="D122" s="5">
        <v>8</v>
      </c>
      <c r="E122" s="5">
        <v>17.989999999999998</v>
      </c>
      <c r="F122" s="4" t="s">
        <v>1716</v>
      </c>
      <c r="G122" s="2" t="s">
        <v>41</v>
      </c>
      <c r="H122" s="7" t="s">
        <v>228</v>
      </c>
      <c r="I122" s="2" t="s">
        <v>73</v>
      </c>
      <c r="J122" s="2" t="s">
        <v>223</v>
      </c>
      <c r="K122" s="2" t="s">
        <v>304</v>
      </c>
      <c r="L122" s="2" t="s">
        <v>224</v>
      </c>
    </row>
    <row r="123" spans="1:12" ht="48" x14ac:dyDescent="0.25">
      <c r="A123" s="7" t="s">
        <v>1717</v>
      </c>
      <c r="B123" s="2" t="s">
        <v>1718</v>
      </c>
      <c r="C123" s="4">
        <v>1</v>
      </c>
      <c r="D123" s="5">
        <v>7.6</v>
      </c>
      <c r="E123" s="5">
        <v>20</v>
      </c>
      <c r="F123" s="4" t="s">
        <v>1719</v>
      </c>
      <c r="G123" s="2" t="s">
        <v>103</v>
      </c>
      <c r="H123" s="7" t="s">
        <v>1720</v>
      </c>
      <c r="I123" s="2" t="s">
        <v>700</v>
      </c>
      <c r="J123" s="2" t="s">
        <v>1721</v>
      </c>
      <c r="K123" s="2" t="s">
        <v>304</v>
      </c>
      <c r="L123" s="2" t="s">
        <v>125</v>
      </c>
    </row>
    <row r="124" spans="1:12" ht="96" x14ac:dyDescent="0.25">
      <c r="A124" s="7" t="s">
        <v>1722</v>
      </c>
      <c r="B124" s="2" t="s">
        <v>436</v>
      </c>
      <c r="C124" s="4">
        <v>1</v>
      </c>
      <c r="D124" s="5">
        <v>7.6</v>
      </c>
      <c r="E124" s="5">
        <v>17.28</v>
      </c>
      <c r="F124" s="4">
        <v>18372810</v>
      </c>
      <c r="G124" s="2" t="s">
        <v>437</v>
      </c>
      <c r="H124" s="7" t="s">
        <v>233</v>
      </c>
      <c r="I124" s="2" t="s">
        <v>153</v>
      </c>
      <c r="J124" s="2" t="s">
        <v>154</v>
      </c>
      <c r="K124" s="2" t="s">
        <v>304</v>
      </c>
      <c r="L124" s="2" t="s">
        <v>439</v>
      </c>
    </row>
    <row r="125" spans="1:12" ht="36" x14ac:dyDescent="0.25">
      <c r="A125" s="7" t="s">
        <v>1723</v>
      </c>
      <c r="B125" s="2" t="s">
        <v>1724</v>
      </c>
      <c r="C125" s="4">
        <v>1</v>
      </c>
      <c r="D125" s="5">
        <v>7.6</v>
      </c>
      <c r="E125" s="5">
        <v>17.28</v>
      </c>
      <c r="F125" s="4">
        <v>18385510</v>
      </c>
      <c r="G125" s="2" t="s">
        <v>28</v>
      </c>
      <c r="H125" s="7" t="s">
        <v>675</v>
      </c>
      <c r="I125" s="2" t="s">
        <v>153</v>
      </c>
      <c r="J125" s="2" t="s">
        <v>154</v>
      </c>
      <c r="K125" s="2" t="s">
        <v>304</v>
      </c>
      <c r="L125" s="2" t="s">
        <v>38</v>
      </c>
    </row>
    <row r="126" spans="1:12" ht="96" x14ac:dyDescent="0.25">
      <c r="A126" s="7" t="s">
        <v>1725</v>
      </c>
      <c r="B126" s="2" t="s">
        <v>436</v>
      </c>
      <c r="C126" s="4">
        <v>2</v>
      </c>
      <c r="D126" s="5">
        <v>7.6</v>
      </c>
      <c r="E126" s="5">
        <v>17.28</v>
      </c>
      <c r="F126" s="4">
        <v>18372810</v>
      </c>
      <c r="G126" s="2" t="s">
        <v>437</v>
      </c>
      <c r="H126" s="7" t="s">
        <v>675</v>
      </c>
      <c r="I126" s="2" t="s">
        <v>153</v>
      </c>
      <c r="J126" s="2" t="s">
        <v>154</v>
      </c>
      <c r="K126" s="2" t="s">
        <v>304</v>
      </c>
      <c r="L126" s="2" t="s">
        <v>439</v>
      </c>
    </row>
    <row r="127" spans="1:12" ht="108" x14ac:dyDescent="0.25">
      <c r="A127" s="7" t="s">
        <v>1726</v>
      </c>
      <c r="B127" s="2" t="s">
        <v>1727</v>
      </c>
      <c r="C127" s="4">
        <v>1</v>
      </c>
      <c r="D127" s="5">
        <v>7.57</v>
      </c>
      <c r="E127" s="5">
        <v>16.989999999999998</v>
      </c>
      <c r="F127" s="4" t="s">
        <v>1728</v>
      </c>
      <c r="G127" s="2" t="s">
        <v>595</v>
      </c>
      <c r="H127" s="7" t="s">
        <v>196</v>
      </c>
      <c r="I127" s="2" t="s">
        <v>515</v>
      </c>
      <c r="J127" s="2" t="s">
        <v>827</v>
      </c>
      <c r="K127" s="2" t="s">
        <v>304</v>
      </c>
      <c r="L127" s="2" t="s">
        <v>1729</v>
      </c>
    </row>
    <row r="128" spans="1:12" ht="72" x14ac:dyDescent="0.25">
      <c r="A128" s="7" t="s">
        <v>1730</v>
      </c>
      <c r="B128" s="2" t="s">
        <v>1731</v>
      </c>
      <c r="C128" s="4">
        <v>2</v>
      </c>
      <c r="D128" s="5">
        <v>7.5</v>
      </c>
      <c r="E128" s="5">
        <v>16.989999999999998</v>
      </c>
      <c r="F128" s="4" t="s">
        <v>1732</v>
      </c>
      <c r="G128" s="2" t="s">
        <v>347</v>
      </c>
      <c r="H128" s="7" t="s">
        <v>228</v>
      </c>
      <c r="I128" s="2" t="s">
        <v>30</v>
      </c>
      <c r="J128" s="2" t="s">
        <v>446</v>
      </c>
      <c r="K128" s="2" t="s">
        <v>304</v>
      </c>
      <c r="L128" s="2" t="s">
        <v>1733</v>
      </c>
    </row>
    <row r="129" spans="1:12" ht="60" x14ac:dyDescent="0.25">
      <c r="A129" s="7" t="s">
        <v>1734</v>
      </c>
      <c r="B129" s="2" t="s">
        <v>458</v>
      </c>
      <c r="C129" s="4">
        <v>1</v>
      </c>
      <c r="D129" s="5">
        <v>7.5</v>
      </c>
      <c r="E129" s="5">
        <v>16.989999999999998</v>
      </c>
      <c r="F129" s="4" t="s">
        <v>459</v>
      </c>
      <c r="G129" s="2" t="s">
        <v>347</v>
      </c>
      <c r="H129" s="7" t="s">
        <v>228</v>
      </c>
      <c r="I129" s="2" t="s">
        <v>30</v>
      </c>
      <c r="J129" s="2" t="s">
        <v>446</v>
      </c>
      <c r="K129" s="2" t="s">
        <v>304</v>
      </c>
      <c r="L129" s="2" t="s">
        <v>460</v>
      </c>
    </row>
    <row r="130" spans="1:12" ht="72" x14ac:dyDescent="0.25">
      <c r="A130" s="7" t="s">
        <v>1735</v>
      </c>
      <c r="B130" s="2" t="s">
        <v>1731</v>
      </c>
      <c r="C130" s="4">
        <v>1</v>
      </c>
      <c r="D130" s="5">
        <v>7.5</v>
      </c>
      <c r="E130" s="5">
        <v>16.989999999999998</v>
      </c>
      <c r="F130" s="4" t="s">
        <v>1732</v>
      </c>
      <c r="G130" s="2" t="s">
        <v>347</v>
      </c>
      <c r="H130" s="7" t="s">
        <v>284</v>
      </c>
      <c r="I130" s="2" t="s">
        <v>30</v>
      </c>
      <c r="J130" s="2" t="s">
        <v>446</v>
      </c>
      <c r="K130" s="2" t="s">
        <v>304</v>
      </c>
      <c r="L130" s="2" t="s">
        <v>1733</v>
      </c>
    </row>
    <row r="131" spans="1:12" ht="72" x14ac:dyDescent="0.25">
      <c r="A131" s="7" t="s">
        <v>1736</v>
      </c>
      <c r="B131" s="2" t="s">
        <v>1731</v>
      </c>
      <c r="C131" s="4">
        <v>1</v>
      </c>
      <c r="D131" s="5">
        <v>7.5</v>
      </c>
      <c r="E131" s="5">
        <v>16.989999999999998</v>
      </c>
      <c r="F131" s="4" t="s">
        <v>1732</v>
      </c>
      <c r="G131" s="2" t="s">
        <v>347</v>
      </c>
      <c r="H131" s="7" t="s">
        <v>159</v>
      </c>
      <c r="I131" s="2" t="s">
        <v>30</v>
      </c>
      <c r="J131" s="2" t="s">
        <v>446</v>
      </c>
      <c r="K131" s="2" t="s">
        <v>304</v>
      </c>
      <c r="L131" s="2" t="s">
        <v>1733</v>
      </c>
    </row>
    <row r="132" spans="1:12" ht="60" x14ac:dyDescent="0.25">
      <c r="A132" s="7" t="s">
        <v>457</v>
      </c>
      <c r="B132" s="2" t="s">
        <v>458</v>
      </c>
      <c r="C132" s="4">
        <v>2</v>
      </c>
      <c r="D132" s="5">
        <v>7.5</v>
      </c>
      <c r="E132" s="5">
        <v>16.989999999999998</v>
      </c>
      <c r="F132" s="4" t="s">
        <v>459</v>
      </c>
      <c r="G132" s="2" t="s">
        <v>347</v>
      </c>
      <c r="H132" s="7" t="s">
        <v>159</v>
      </c>
      <c r="I132" s="2" t="s">
        <v>30</v>
      </c>
      <c r="J132" s="2" t="s">
        <v>446</v>
      </c>
      <c r="K132" s="2" t="s">
        <v>304</v>
      </c>
      <c r="L132" s="2" t="s">
        <v>460</v>
      </c>
    </row>
    <row r="133" spans="1:12" ht="48" x14ac:dyDescent="0.25">
      <c r="A133" s="7" t="s">
        <v>1737</v>
      </c>
      <c r="B133" s="2" t="s">
        <v>1738</v>
      </c>
      <c r="C133" s="4">
        <v>1</v>
      </c>
      <c r="D133" s="5">
        <v>7.12</v>
      </c>
      <c r="E133" s="5">
        <v>16.989999999999998</v>
      </c>
      <c r="F133" s="4" t="s">
        <v>1739</v>
      </c>
      <c r="G133" s="2" t="s">
        <v>297</v>
      </c>
      <c r="H133" s="7" t="s">
        <v>159</v>
      </c>
      <c r="I133" s="2" t="s">
        <v>218</v>
      </c>
      <c r="J133" s="2" t="s">
        <v>1740</v>
      </c>
      <c r="K133" s="2" t="s">
        <v>304</v>
      </c>
      <c r="L133" s="2" t="s">
        <v>125</v>
      </c>
    </row>
    <row r="134" spans="1:12" ht="48" x14ac:dyDescent="0.25">
      <c r="A134" s="7" t="s">
        <v>1741</v>
      </c>
      <c r="B134" s="2" t="s">
        <v>1742</v>
      </c>
      <c r="C134" s="4">
        <v>1</v>
      </c>
      <c r="D134" s="5">
        <v>7.05</v>
      </c>
      <c r="E134" s="5">
        <v>16.989999999999998</v>
      </c>
      <c r="F134" s="4" t="s">
        <v>1743</v>
      </c>
      <c r="G134" s="2" t="s">
        <v>36</v>
      </c>
      <c r="H134" s="7" t="s">
        <v>284</v>
      </c>
      <c r="I134" s="2" t="s">
        <v>515</v>
      </c>
      <c r="J134" s="2" t="s">
        <v>827</v>
      </c>
      <c r="K134" s="2" t="s">
        <v>304</v>
      </c>
      <c r="L134" s="2" t="s">
        <v>358</v>
      </c>
    </row>
    <row r="135" spans="1:12" ht="48" x14ac:dyDescent="0.25">
      <c r="A135" s="7" t="s">
        <v>1744</v>
      </c>
      <c r="B135" s="2" t="s">
        <v>1745</v>
      </c>
      <c r="C135" s="4">
        <v>1</v>
      </c>
      <c r="D135" s="5">
        <v>7</v>
      </c>
      <c r="E135" s="5">
        <v>19.989999999999998</v>
      </c>
      <c r="F135" s="4" t="s">
        <v>1746</v>
      </c>
      <c r="G135" s="2" t="s">
        <v>1747</v>
      </c>
      <c r="H135" s="7" t="s">
        <v>159</v>
      </c>
      <c r="I135" s="2" t="s">
        <v>342</v>
      </c>
      <c r="J135" s="2" t="s">
        <v>1589</v>
      </c>
      <c r="K135" s="2" t="s">
        <v>304</v>
      </c>
      <c r="L135" s="2" t="s">
        <v>1748</v>
      </c>
    </row>
    <row r="136" spans="1:12" ht="24" x14ac:dyDescent="0.25">
      <c r="A136" s="7" t="s">
        <v>1749</v>
      </c>
      <c r="B136" s="2" t="s">
        <v>1750</v>
      </c>
      <c r="C136" s="4">
        <v>1</v>
      </c>
      <c r="D136" s="5">
        <v>6.93</v>
      </c>
      <c r="E136" s="5">
        <v>16.989999999999998</v>
      </c>
      <c r="F136" s="4" t="s">
        <v>1751</v>
      </c>
      <c r="G136" s="2" t="s">
        <v>62</v>
      </c>
      <c r="H136" s="7" t="s">
        <v>159</v>
      </c>
      <c r="I136" s="2" t="s">
        <v>515</v>
      </c>
      <c r="J136" s="2" t="s">
        <v>827</v>
      </c>
      <c r="K136" s="2" t="s">
        <v>304</v>
      </c>
      <c r="L136" s="2" t="s">
        <v>125</v>
      </c>
    </row>
    <row r="137" spans="1:12" ht="96" x14ac:dyDescent="0.25">
      <c r="A137" s="7" t="s">
        <v>1752</v>
      </c>
      <c r="B137" s="2" t="s">
        <v>1753</v>
      </c>
      <c r="C137" s="4">
        <v>1</v>
      </c>
      <c r="D137" s="5">
        <v>6.87</v>
      </c>
      <c r="E137" s="5">
        <v>16.989999999999998</v>
      </c>
      <c r="F137" s="4" t="s">
        <v>1754</v>
      </c>
      <c r="G137" s="2" t="s">
        <v>595</v>
      </c>
      <c r="H137" s="7" t="s">
        <v>228</v>
      </c>
      <c r="I137" s="2" t="s">
        <v>515</v>
      </c>
      <c r="J137" s="2" t="s">
        <v>827</v>
      </c>
      <c r="K137" s="2" t="s">
        <v>304</v>
      </c>
      <c r="L137" s="2" t="s">
        <v>1755</v>
      </c>
    </row>
    <row r="138" spans="1:12" ht="96" x14ac:dyDescent="0.25">
      <c r="A138" s="7" t="s">
        <v>1756</v>
      </c>
      <c r="B138" s="2" t="s">
        <v>1753</v>
      </c>
      <c r="C138" s="4">
        <v>2</v>
      </c>
      <c r="D138" s="5">
        <v>6.87</v>
      </c>
      <c r="E138" s="5">
        <v>16.989999999999998</v>
      </c>
      <c r="F138" s="4" t="s">
        <v>1754</v>
      </c>
      <c r="G138" s="2" t="s">
        <v>595</v>
      </c>
      <c r="H138" s="7" t="s">
        <v>284</v>
      </c>
      <c r="I138" s="2" t="s">
        <v>515</v>
      </c>
      <c r="J138" s="2" t="s">
        <v>827</v>
      </c>
      <c r="K138" s="2" t="s">
        <v>304</v>
      </c>
      <c r="L138" s="2" t="s">
        <v>1755</v>
      </c>
    </row>
    <row r="139" spans="1:12" ht="96" x14ac:dyDescent="0.25">
      <c r="A139" s="7" t="s">
        <v>1757</v>
      </c>
      <c r="B139" s="2" t="s">
        <v>1753</v>
      </c>
      <c r="C139" s="4">
        <v>1</v>
      </c>
      <c r="D139" s="5">
        <v>6.87</v>
      </c>
      <c r="E139" s="5">
        <v>16.989999999999998</v>
      </c>
      <c r="F139" s="4" t="s">
        <v>1754</v>
      </c>
      <c r="G139" s="2" t="s">
        <v>595</v>
      </c>
      <c r="H139" s="7" t="s">
        <v>196</v>
      </c>
      <c r="I139" s="2" t="s">
        <v>515</v>
      </c>
      <c r="J139" s="2" t="s">
        <v>827</v>
      </c>
      <c r="K139" s="2" t="s">
        <v>304</v>
      </c>
      <c r="L139" s="2" t="s">
        <v>1755</v>
      </c>
    </row>
    <row r="140" spans="1:12" ht="36" x14ac:dyDescent="0.25">
      <c r="A140" s="7" t="s">
        <v>1758</v>
      </c>
      <c r="B140" s="2" t="s">
        <v>466</v>
      </c>
      <c r="C140" s="4">
        <v>1</v>
      </c>
      <c r="D140" s="5">
        <v>6.85</v>
      </c>
      <c r="E140" s="5">
        <v>18</v>
      </c>
      <c r="F140" s="4" t="s">
        <v>467</v>
      </c>
      <c r="G140" s="2" t="s">
        <v>62</v>
      </c>
      <c r="H140" s="7" t="s">
        <v>97</v>
      </c>
      <c r="I140" s="2" t="s">
        <v>468</v>
      </c>
      <c r="J140" s="2" t="s">
        <v>469</v>
      </c>
      <c r="K140" s="2" t="s">
        <v>304</v>
      </c>
      <c r="L140" s="2" t="s">
        <v>206</v>
      </c>
    </row>
    <row r="141" spans="1:12" ht="36" x14ac:dyDescent="0.25">
      <c r="A141" s="7" t="s">
        <v>1759</v>
      </c>
      <c r="B141" s="2" t="s">
        <v>993</v>
      </c>
      <c r="C141" s="4">
        <v>1</v>
      </c>
      <c r="D141" s="5">
        <v>6.85</v>
      </c>
      <c r="E141" s="5">
        <v>18</v>
      </c>
      <c r="F141" s="4" t="s">
        <v>994</v>
      </c>
      <c r="G141" s="2" t="s">
        <v>657</v>
      </c>
      <c r="H141" s="7" t="s">
        <v>284</v>
      </c>
      <c r="I141" s="2" t="s">
        <v>468</v>
      </c>
      <c r="J141" s="2" t="s">
        <v>469</v>
      </c>
      <c r="K141" s="2" t="s">
        <v>304</v>
      </c>
      <c r="L141" s="2" t="s">
        <v>537</v>
      </c>
    </row>
    <row r="142" spans="1:12" ht="36" x14ac:dyDescent="0.25">
      <c r="A142" s="7" t="s">
        <v>1760</v>
      </c>
      <c r="B142" s="2" t="s">
        <v>993</v>
      </c>
      <c r="C142" s="4">
        <v>1</v>
      </c>
      <c r="D142" s="5">
        <v>6.85</v>
      </c>
      <c r="E142" s="5">
        <v>18</v>
      </c>
      <c r="F142" s="4" t="s">
        <v>994</v>
      </c>
      <c r="G142" s="2" t="s">
        <v>657</v>
      </c>
      <c r="H142" s="7" t="s">
        <v>228</v>
      </c>
      <c r="I142" s="2" t="s">
        <v>468</v>
      </c>
      <c r="J142" s="2" t="s">
        <v>469</v>
      </c>
      <c r="K142" s="2" t="s">
        <v>304</v>
      </c>
      <c r="L142" s="2" t="s">
        <v>537</v>
      </c>
    </row>
    <row r="143" spans="1:12" ht="36" x14ac:dyDescent="0.25">
      <c r="A143" s="7" t="s">
        <v>1761</v>
      </c>
      <c r="B143" s="2" t="s">
        <v>1762</v>
      </c>
      <c r="C143" s="4">
        <v>1</v>
      </c>
      <c r="D143" s="5">
        <v>6.85</v>
      </c>
      <c r="E143" s="5">
        <v>18</v>
      </c>
      <c r="F143" s="4" t="s">
        <v>1763</v>
      </c>
      <c r="G143" s="2" t="s">
        <v>1160</v>
      </c>
      <c r="H143" s="7" t="s">
        <v>228</v>
      </c>
      <c r="I143" s="2" t="s">
        <v>468</v>
      </c>
      <c r="J143" s="2" t="s">
        <v>469</v>
      </c>
      <c r="K143" s="2" t="s">
        <v>304</v>
      </c>
      <c r="L143" s="2" t="s">
        <v>119</v>
      </c>
    </row>
    <row r="144" spans="1:12" ht="36" x14ac:dyDescent="0.25">
      <c r="A144" s="7" t="s">
        <v>1764</v>
      </c>
      <c r="B144" s="2" t="s">
        <v>1765</v>
      </c>
      <c r="C144" s="4">
        <v>2</v>
      </c>
      <c r="D144" s="5">
        <v>6.85</v>
      </c>
      <c r="E144" s="5">
        <v>18</v>
      </c>
      <c r="F144" s="4" t="s">
        <v>1766</v>
      </c>
      <c r="G144" s="2" t="s">
        <v>62</v>
      </c>
      <c r="H144" s="7" t="s">
        <v>284</v>
      </c>
      <c r="I144" s="2" t="s">
        <v>468</v>
      </c>
      <c r="J144" s="2" t="s">
        <v>469</v>
      </c>
      <c r="K144" s="2" t="s">
        <v>304</v>
      </c>
      <c r="L144" s="2" t="s">
        <v>119</v>
      </c>
    </row>
    <row r="145" spans="1:12" ht="36" x14ac:dyDescent="0.25">
      <c r="A145" s="7" t="s">
        <v>1767</v>
      </c>
      <c r="B145" s="2" t="s">
        <v>1768</v>
      </c>
      <c r="C145" s="4">
        <v>1</v>
      </c>
      <c r="D145" s="5">
        <v>6.85</v>
      </c>
      <c r="E145" s="5">
        <v>18</v>
      </c>
      <c r="F145" s="4" t="s">
        <v>1769</v>
      </c>
      <c r="G145" s="2" t="s">
        <v>48</v>
      </c>
      <c r="H145" s="7" t="s">
        <v>217</v>
      </c>
      <c r="I145" s="2" t="s">
        <v>468</v>
      </c>
      <c r="J145" s="2" t="s">
        <v>469</v>
      </c>
      <c r="K145" s="2" t="s">
        <v>304</v>
      </c>
      <c r="L145" s="2" t="s">
        <v>100</v>
      </c>
    </row>
    <row r="146" spans="1:12" ht="36" x14ac:dyDescent="0.25">
      <c r="A146" s="7" t="s">
        <v>1770</v>
      </c>
      <c r="B146" s="2" t="s">
        <v>1768</v>
      </c>
      <c r="C146" s="4">
        <v>1</v>
      </c>
      <c r="D146" s="5">
        <v>6.85</v>
      </c>
      <c r="E146" s="5">
        <v>18</v>
      </c>
      <c r="F146" s="4" t="s">
        <v>1769</v>
      </c>
      <c r="G146" s="2" t="s">
        <v>48</v>
      </c>
      <c r="H146" s="7" t="s">
        <v>228</v>
      </c>
      <c r="I146" s="2" t="s">
        <v>468</v>
      </c>
      <c r="J146" s="2" t="s">
        <v>469</v>
      </c>
      <c r="K146" s="2" t="s">
        <v>304</v>
      </c>
      <c r="L146" s="2" t="s">
        <v>100</v>
      </c>
    </row>
    <row r="147" spans="1:12" ht="36" x14ac:dyDescent="0.25">
      <c r="A147" s="7" t="s">
        <v>1771</v>
      </c>
      <c r="B147" s="2" t="s">
        <v>1772</v>
      </c>
      <c r="C147" s="4">
        <v>1</v>
      </c>
      <c r="D147" s="5">
        <v>6.85</v>
      </c>
      <c r="E147" s="5">
        <v>18</v>
      </c>
      <c r="F147" s="4" t="s">
        <v>1773</v>
      </c>
      <c r="G147" s="2" t="s">
        <v>79</v>
      </c>
      <c r="H147" s="7" t="s">
        <v>1411</v>
      </c>
      <c r="I147" s="2" t="s">
        <v>468</v>
      </c>
      <c r="J147" s="2" t="s">
        <v>469</v>
      </c>
      <c r="K147" s="2" t="s">
        <v>304</v>
      </c>
      <c r="L147" s="2" t="s">
        <v>38</v>
      </c>
    </row>
    <row r="148" spans="1:12" ht="36" x14ac:dyDescent="0.25">
      <c r="A148" s="7" t="s">
        <v>1774</v>
      </c>
      <c r="B148" s="2" t="s">
        <v>990</v>
      </c>
      <c r="C148" s="4">
        <v>1</v>
      </c>
      <c r="D148" s="5">
        <v>6.85</v>
      </c>
      <c r="E148" s="5">
        <v>18</v>
      </c>
      <c r="F148" s="4" t="s">
        <v>991</v>
      </c>
      <c r="G148" s="2" t="s">
        <v>755</v>
      </c>
      <c r="H148" s="7" t="s">
        <v>177</v>
      </c>
      <c r="I148" s="2" t="s">
        <v>468</v>
      </c>
      <c r="J148" s="2" t="s">
        <v>469</v>
      </c>
      <c r="K148" s="2" t="s">
        <v>304</v>
      </c>
      <c r="L148" s="2" t="s">
        <v>87</v>
      </c>
    </row>
    <row r="149" spans="1:12" ht="48" x14ac:dyDescent="0.25">
      <c r="A149" s="7" t="s">
        <v>1775</v>
      </c>
      <c r="B149" s="2" t="s">
        <v>1776</v>
      </c>
      <c r="C149" s="4">
        <v>1</v>
      </c>
      <c r="D149" s="5">
        <v>6.84</v>
      </c>
      <c r="E149" s="5">
        <v>19.989999999999998</v>
      </c>
      <c r="F149" s="4" t="s">
        <v>1777</v>
      </c>
      <c r="G149" s="2" t="s">
        <v>388</v>
      </c>
      <c r="H149" s="7" t="s">
        <v>514</v>
      </c>
      <c r="I149" s="2" t="s">
        <v>1689</v>
      </c>
      <c r="J149" s="2" t="s">
        <v>354</v>
      </c>
      <c r="K149" s="2" t="s">
        <v>304</v>
      </c>
      <c r="L149" s="2" t="s">
        <v>390</v>
      </c>
    </row>
    <row r="150" spans="1:12" ht="48" x14ac:dyDescent="0.25">
      <c r="A150" s="7" t="s">
        <v>1778</v>
      </c>
      <c r="B150" s="2" t="s">
        <v>1776</v>
      </c>
      <c r="C150" s="4">
        <v>1</v>
      </c>
      <c r="D150" s="5">
        <v>6.84</v>
      </c>
      <c r="E150" s="5">
        <v>19.989999999999998</v>
      </c>
      <c r="F150" s="4" t="s">
        <v>1777</v>
      </c>
      <c r="G150" s="2" t="s">
        <v>388</v>
      </c>
      <c r="H150" s="7" t="s">
        <v>1151</v>
      </c>
      <c r="I150" s="2" t="s">
        <v>1689</v>
      </c>
      <c r="J150" s="2" t="s">
        <v>354</v>
      </c>
      <c r="K150" s="2" t="s">
        <v>304</v>
      </c>
      <c r="L150" s="2" t="s">
        <v>390</v>
      </c>
    </row>
    <row r="151" spans="1:12" ht="48" x14ac:dyDescent="0.25">
      <c r="A151" s="7" t="s">
        <v>1779</v>
      </c>
      <c r="B151" s="2" t="s">
        <v>1776</v>
      </c>
      <c r="C151" s="4">
        <v>2</v>
      </c>
      <c r="D151" s="5">
        <v>6.84</v>
      </c>
      <c r="E151" s="5">
        <v>19.989999999999998</v>
      </c>
      <c r="F151" s="4" t="s">
        <v>1777</v>
      </c>
      <c r="G151" s="2" t="s">
        <v>388</v>
      </c>
      <c r="H151" s="7" t="s">
        <v>311</v>
      </c>
      <c r="I151" s="2" t="s">
        <v>1689</v>
      </c>
      <c r="J151" s="2" t="s">
        <v>354</v>
      </c>
      <c r="K151" s="2" t="s">
        <v>304</v>
      </c>
      <c r="L151" s="2" t="s">
        <v>390</v>
      </c>
    </row>
    <row r="152" spans="1:12" ht="48" x14ac:dyDescent="0.25">
      <c r="A152" s="7" t="s">
        <v>1780</v>
      </c>
      <c r="B152" s="2" t="s">
        <v>1776</v>
      </c>
      <c r="C152" s="4">
        <v>6</v>
      </c>
      <c r="D152" s="5">
        <v>6.84</v>
      </c>
      <c r="E152" s="5">
        <v>19.989999999999998</v>
      </c>
      <c r="F152" s="4" t="s">
        <v>1777</v>
      </c>
      <c r="G152" s="2" t="s">
        <v>388</v>
      </c>
      <c r="H152" s="7" t="s">
        <v>123</v>
      </c>
      <c r="I152" s="2" t="s">
        <v>1689</v>
      </c>
      <c r="J152" s="2" t="s">
        <v>354</v>
      </c>
      <c r="K152" s="2" t="s">
        <v>304</v>
      </c>
      <c r="L152" s="2" t="s">
        <v>390</v>
      </c>
    </row>
    <row r="153" spans="1:12" ht="132" x14ac:dyDescent="0.25">
      <c r="A153" s="7" t="s">
        <v>1781</v>
      </c>
      <c r="B153" s="2" t="s">
        <v>1782</v>
      </c>
      <c r="C153" s="4">
        <v>1</v>
      </c>
      <c r="D153" s="5">
        <v>6.8</v>
      </c>
      <c r="E153" s="5">
        <v>14.99</v>
      </c>
      <c r="F153" s="4" t="s">
        <v>1783</v>
      </c>
      <c r="G153" s="2" t="s">
        <v>62</v>
      </c>
      <c r="H153" s="7" t="s">
        <v>159</v>
      </c>
      <c r="I153" s="2" t="s">
        <v>515</v>
      </c>
      <c r="J153" s="2" t="s">
        <v>827</v>
      </c>
      <c r="K153" s="2" t="s">
        <v>304</v>
      </c>
      <c r="L153" s="2" t="s">
        <v>1784</v>
      </c>
    </row>
    <row r="154" spans="1:12" ht="48" x14ac:dyDescent="0.25">
      <c r="A154" s="7" t="s">
        <v>1785</v>
      </c>
      <c r="B154" s="2" t="s">
        <v>996</v>
      </c>
      <c r="C154" s="4">
        <v>1</v>
      </c>
      <c r="D154" s="5">
        <v>6.78</v>
      </c>
      <c r="E154" s="5">
        <v>14.99</v>
      </c>
      <c r="F154" s="4" t="s">
        <v>997</v>
      </c>
      <c r="G154" s="2" t="s">
        <v>48</v>
      </c>
      <c r="H154" s="7" t="s">
        <v>63</v>
      </c>
      <c r="I154" s="2" t="s">
        <v>515</v>
      </c>
      <c r="J154" s="2" t="s">
        <v>516</v>
      </c>
      <c r="K154" s="2" t="s">
        <v>304</v>
      </c>
      <c r="L154" s="2" t="s">
        <v>358</v>
      </c>
    </row>
    <row r="155" spans="1:12" ht="60" x14ac:dyDescent="0.25">
      <c r="A155" s="7" t="s">
        <v>1786</v>
      </c>
      <c r="B155" s="2" t="s">
        <v>1787</v>
      </c>
      <c r="C155" s="4">
        <v>1</v>
      </c>
      <c r="D155" s="5">
        <v>6.75</v>
      </c>
      <c r="E155" s="5">
        <v>16.989999999999998</v>
      </c>
      <c r="F155" s="4" t="s">
        <v>1788</v>
      </c>
      <c r="G155" s="2" t="s">
        <v>62</v>
      </c>
      <c r="H155" s="7" t="s">
        <v>196</v>
      </c>
      <c r="I155" s="2" t="s">
        <v>342</v>
      </c>
      <c r="J155" s="2" t="s">
        <v>1789</v>
      </c>
      <c r="K155" s="2" t="s">
        <v>304</v>
      </c>
      <c r="L155" s="2" t="s">
        <v>712</v>
      </c>
    </row>
    <row r="156" spans="1:12" ht="48" x14ac:dyDescent="0.25">
      <c r="A156" s="7" t="s">
        <v>1790</v>
      </c>
      <c r="B156" s="2" t="s">
        <v>1791</v>
      </c>
      <c r="C156" s="4">
        <v>1</v>
      </c>
      <c r="D156" s="5">
        <v>6.75</v>
      </c>
      <c r="E156" s="5">
        <v>16.989999999999998</v>
      </c>
      <c r="F156" s="4" t="s">
        <v>1792</v>
      </c>
      <c r="G156" s="2" t="s">
        <v>41</v>
      </c>
      <c r="H156" s="7"/>
      <c r="I156" s="2" t="s">
        <v>321</v>
      </c>
      <c r="J156" s="2" t="s">
        <v>477</v>
      </c>
      <c r="K156" s="2" t="s">
        <v>304</v>
      </c>
      <c r="L156" s="2" t="s">
        <v>125</v>
      </c>
    </row>
    <row r="157" spans="1:12" ht="48" x14ac:dyDescent="0.25">
      <c r="A157" s="7" t="s">
        <v>1793</v>
      </c>
      <c r="B157" s="2" t="s">
        <v>1791</v>
      </c>
      <c r="C157" s="4">
        <v>1</v>
      </c>
      <c r="D157" s="5">
        <v>6.75</v>
      </c>
      <c r="E157" s="5">
        <v>16.989999999999998</v>
      </c>
      <c r="F157" s="4" t="s">
        <v>1792</v>
      </c>
      <c r="G157" s="2" t="s">
        <v>41</v>
      </c>
      <c r="H157" s="7"/>
      <c r="I157" s="2" t="s">
        <v>321</v>
      </c>
      <c r="J157" s="2" t="s">
        <v>477</v>
      </c>
      <c r="K157" s="2" t="s">
        <v>304</v>
      </c>
      <c r="L157" s="2" t="s">
        <v>125</v>
      </c>
    </row>
    <row r="158" spans="1:12" ht="48" x14ac:dyDescent="0.25">
      <c r="A158" s="7" t="s">
        <v>1794</v>
      </c>
      <c r="B158" s="2" t="s">
        <v>1791</v>
      </c>
      <c r="C158" s="4">
        <v>1</v>
      </c>
      <c r="D158" s="5">
        <v>6.75</v>
      </c>
      <c r="E158" s="5">
        <v>16.989999999999998</v>
      </c>
      <c r="F158" s="4" t="s">
        <v>1795</v>
      </c>
      <c r="G158" s="2" t="s">
        <v>41</v>
      </c>
      <c r="H158" s="7" t="s">
        <v>209</v>
      </c>
      <c r="I158" s="2" t="s">
        <v>321</v>
      </c>
      <c r="J158" s="2" t="s">
        <v>477</v>
      </c>
      <c r="K158" s="2" t="s">
        <v>304</v>
      </c>
      <c r="L158" s="2" t="s">
        <v>125</v>
      </c>
    </row>
    <row r="159" spans="1:12" ht="48" x14ac:dyDescent="0.25">
      <c r="A159" s="7" t="s">
        <v>1796</v>
      </c>
      <c r="B159" s="2" t="s">
        <v>1791</v>
      </c>
      <c r="C159" s="4">
        <v>1</v>
      </c>
      <c r="D159" s="5">
        <v>6.75</v>
      </c>
      <c r="E159" s="5">
        <v>16.989999999999998</v>
      </c>
      <c r="F159" s="4" t="s">
        <v>1792</v>
      </c>
      <c r="G159" s="2" t="s">
        <v>41</v>
      </c>
      <c r="H159" s="7"/>
      <c r="I159" s="2" t="s">
        <v>321</v>
      </c>
      <c r="J159" s="2" t="s">
        <v>477</v>
      </c>
      <c r="K159" s="2" t="s">
        <v>304</v>
      </c>
      <c r="L159" s="2" t="s">
        <v>125</v>
      </c>
    </row>
    <row r="160" spans="1:12" ht="84" x14ac:dyDescent="0.25">
      <c r="A160" s="7" t="s">
        <v>1797</v>
      </c>
      <c r="B160" s="2" t="s">
        <v>474</v>
      </c>
      <c r="C160" s="4">
        <v>1</v>
      </c>
      <c r="D160" s="5">
        <v>6.75</v>
      </c>
      <c r="E160" s="5">
        <v>16.989999999999998</v>
      </c>
      <c r="F160" s="4" t="s">
        <v>1798</v>
      </c>
      <c r="G160" s="2" t="s">
        <v>476</v>
      </c>
      <c r="H160" s="7"/>
      <c r="I160" s="2" t="s">
        <v>321</v>
      </c>
      <c r="J160" s="2" t="s">
        <v>477</v>
      </c>
      <c r="K160" s="2" t="s">
        <v>304</v>
      </c>
      <c r="L160" s="2" t="s">
        <v>1117</v>
      </c>
    </row>
    <row r="161" spans="1:12" ht="48" x14ac:dyDescent="0.25">
      <c r="A161" s="7" t="s">
        <v>1799</v>
      </c>
      <c r="B161" s="2" t="s">
        <v>1800</v>
      </c>
      <c r="C161" s="4">
        <v>3</v>
      </c>
      <c r="D161" s="5">
        <v>6.7</v>
      </c>
      <c r="E161" s="5">
        <v>16.989999999999998</v>
      </c>
      <c r="F161" s="4" t="s">
        <v>1801</v>
      </c>
      <c r="G161" s="2" t="s">
        <v>527</v>
      </c>
      <c r="H161" s="7" t="s">
        <v>159</v>
      </c>
      <c r="I161" s="2" t="s">
        <v>515</v>
      </c>
      <c r="J161" s="2" t="s">
        <v>827</v>
      </c>
      <c r="K161" s="2" t="s">
        <v>304</v>
      </c>
      <c r="L161" s="2" t="s">
        <v>358</v>
      </c>
    </row>
    <row r="162" spans="1:12" ht="48" x14ac:dyDescent="0.25">
      <c r="A162" s="7" t="s">
        <v>1802</v>
      </c>
      <c r="B162" s="2" t="s">
        <v>1800</v>
      </c>
      <c r="C162" s="4">
        <v>1</v>
      </c>
      <c r="D162" s="5">
        <v>6.7</v>
      </c>
      <c r="E162" s="5">
        <v>16.989999999999998</v>
      </c>
      <c r="F162" s="4" t="s">
        <v>1801</v>
      </c>
      <c r="G162" s="2" t="s">
        <v>527</v>
      </c>
      <c r="H162" s="7" t="s">
        <v>284</v>
      </c>
      <c r="I162" s="2" t="s">
        <v>515</v>
      </c>
      <c r="J162" s="2" t="s">
        <v>827</v>
      </c>
      <c r="K162" s="2" t="s">
        <v>304</v>
      </c>
      <c r="L162" s="2" t="s">
        <v>358</v>
      </c>
    </row>
    <row r="163" spans="1:12" ht="48" x14ac:dyDescent="0.25">
      <c r="A163" s="7" t="s">
        <v>1803</v>
      </c>
      <c r="B163" s="2" t="s">
        <v>1025</v>
      </c>
      <c r="C163" s="4">
        <v>1</v>
      </c>
      <c r="D163" s="5">
        <v>6.67</v>
      </c>
      <c r="E163" s="5">
        <v>16.989999999999998</v>
      </c>
      <c r="F163" s="4" t="s">
        <v>1804</v>
      </c>
      <c r="G163" s="2" t="s">
        <v>62</v>
      </c>
      <c r="H163" s="7" t="s">
        <v>284</v>
      </c>
      <c r="I163" s="2" t="s">
        <v>515</v>
      </c>
      <c r="J163" s="2" t="s">
        <v>827</v>
      </c>
      <c r="K163" s="2" t="s">
        <v>304</v>
      </c>
      <c r="L163" s="2" t="s">
        <v>358</v>
      </c>
    </row>
    <row r="164" spans="1:12" ht="48" x14ac:dyDescent="0.25">
      <c r="A164" s="7" t="s">
        <v>1805</v>
      </c>
      <c r="B164" s="2" t="s">
        <v>1025</v>
      </c>
      <c r="C164" s="4">
        <v>1</v>
      </c>
      <c r="D164" s="5">
        <v>6.67</v>
      </c>
      <c r="E164" s="5">
        <v>16.989999999999998</v>
      </c>
      <c r="F164" s="4" t="s">
        <v>1804</v>
      </c>
      <c r="G164" s="2" t="s">
        <v>62</v>
      </c>
      <c r="H164" s="7" t="s">
        <v>228</v>
      </c>
      <c r="I164" s="2" t="s">
        <v>515</v>
      </c>
      <c r="J164" s="2" t="s">
        <v>827</v>
      </c>
      <c r="K164" s="2" t="s">
        <v>304</v>
      </c>
      <c r="L164" s="2" t="s">
        <v>358</v>
      </c>
    </row>
    <row r="165" spans="1:12" ht="36" x14ac:dyDescent="0.25">
      <c r="A165" s="7" t="s">
        <v>1806</v>
      </c>
      <c r="B165" s="2" t="s">
        <v>1807</v>
      </c>
      <c r="C165" s="4">
        <v>1</v>
      </c>
      <c r="D165" s="5">
        <v>6.63</v>
      </c>
      <c r="E165" s="5">
        <v>17.989999999999998</v>
      </c>
      <c r="F165" s="4" t="s">
        <v>1808</v>
      </c>
      <c r="G165" s="2" t="s">
        <v>86</v>
      </c>
      <c r="H165" s="7" t="s">
        <v>149</v>
      </c>
      <c r="I165" s="2" t="s">
        <v>483</v>
      </c>
      <c r="J165" s="2" t="s">
        <v>536</v>
      </c>
      <c r="K165" s="2" t="s">
        <v>304</v>
      </c>
      <c r="L165" s="2" t="s">
        <v>119</v>
      </c>
    </row>
    <row r="166" spans="1:12" ht="48" x14ac:dyDescent="0.25">
      <c r="A166" s="7" t="s">
        <v>1809</v>
      </c>
      <c r="B166" s="2" t="s">
        <v>1006</v>
      </c>
      <c r="C166" s="4">
        <v>1</v>
      </c>
      <c r="D166" s="5">
        <v>6.52</v>
      </c>
      <c r="E166" s="5">
        <v>14.99</v>
      </c>
      <c r="F166" s="4" t="s">
        <v>1007</v>
      </c>
      <c r="G166" s="2" t="s">
        <v>28</v>
      </c>
      <c r="H166" s="7" t="s">
        <v>166</v>
      </c>
      <c r="I166" s="2" t="s">
        <v>292</v>
      </c>
      <c r="J166" s="2" t="s">
        <v>354</v>
      </c>
      <c r="K166" s="2" t="s">
        <v>304</v>
      </c>
      <c r="L166" s="2" t="s">
        <v>119</v>
      </c>
    </row>
    <row r="167" spans="1:12" ht="96" x14ac:dyDescent="0.25">
      <c r="A167" s="7" t="s">
        <v>1810</v>
      </c>
      <c r="B167" s="2" t="s">
        <v>1811</v>
      </c>
      <c r="C167" s="4">
        <v>1</v>
      </c>
      <c r="D167" s="5">
        <v>6.45</v>
      </c>
      <c r="E167" s="5">
        <v>16.989999999999998</v>
      </c>
      <c r="F167" s="4" t="s">
        <v>1812</v>
      </c>
      <c r="G167" s="2" t="s">
        <v>62</v>
      </c>
      <c r="H167" s="7" t="s">
        <v>228</v>
      </c>
      <c r="I167" s="2" t="s">
        <v>515</v>
      </c>
      <c r="J167" s="2" t="s">
        <v>827</v>
      </c>
      <c r="K167" s="2" t="s">
        <v>304</v>
      </c>
      <c r="L167" s="2" t="s">
        <v>1813</v>
      </c>
    </row>
    <row r="168" spans="1:12" ht="48" x14ac:dyDescent="0.25">
      <c r="A168" s="7" t="s">
        <v>1814</v>
      </c>
      <c r="B168" s="2" t="s">
        <v>1815</v>
      </c>
      <c r="C168" s="4">
        <v>1</v>
      </c>
      <c r="D168" s="5">
        <v>6.43</v>
      </c>
      <c r="E168" s="5">
        <v>16.989999999999998</v>
      </c>
      <c r="F168" s="4" t="s">
        <v>1816</v>
      </c>
      <c r="G168" s="2" t="s">
        <v>262</v>
      </c>
      <c r="H168" s="7" t="s">
        <v>159</v>
      </c>
      <c r="I168" s="2" t="s">
        <v>515</v>
      </c>
      <c r="J168" s="2" t="s">
        <v>827</v>
      </c>
      <c r="K168" s="2" t="s">
        <v>304</v>
      </c>
      <c r="L168" s="2" t="s">
        <v>358</v>
      </c>
    </row>
    <row r="169" spans="1:12" ht="48" x14ac:dyDescent="0.25">
      <c r="A169" s="7" t="s">
        <v>1817</v>
      </c>
      <c r="B169" s="2" t="s">
        <v>1815</v>
      </c>
      <c r="C169" s="4">
        <v>1</v>
      </c>
      <c r="D169" s="5">
        <v>6.43</v>
      </c>
      <c r="E169" s="5">
        <v>16.989999999999998</v>
      </c>
      <c r="F169" s="4" t="s">
        <v>1816</v>
      </c>
      <c r="G169" s="2" t="s">
        <v>262</v>
      </c>
      <c r="H169" s="7" t="s">
        <v>196</v>
      </c>
      <c r="I169" s="2" t="s">
        <v>515</v>
      </c>
      <c r="J169" s="2" t="s">
        <v>827</v>
      </c>
      <c r="K169" s="2" t="s">
        <v>304</v>
      </c>
      <c r="L169" s="2" t="s">
        <v>358</v>
      </c>
    </row>
    <row r="170" spans="1:12" ht="48" x14ac:dyDescent="0.25">
      <c r="A170" s="7" t="s">
        <v>1818</v>
      </c>
      <c r="B170" s="2" t="s">
        <v>1815</v>
      </c>
      <c r="C170" s="4">
        <v>1</v>
      </c>
      <c r="D170" s="5">
        <v>6.43</v>
      </c>
      <c r="E170" s="5">
        <v>16.989999999999998</v>
      </c>
      <c r="F170" s="4" t="s">
        <v>1816</v>
      </c>
      <c r="G170" s="2" t="s">
        <v>262</v>
      </c>
      <c r="H170" s="7" t="s">
        <v>284</v>
      </c>
      <c r="I170" s="2" t="s">
        <v>515</v>
      </c>
      <c r="J170" s="2" t="s">
        <v>827</v>
      </c>
      <c r="K170" s="2" t="s">
        <v>304</v>
      </c>
      <c r="L170" s="2" t="s">
        <v>358</v>
      </c>
    </row>
    <row r="171" spans="1:12" ht="48" x14ac:dyDescent="0.25">
      <c r="A171" s="7" t="s">
        <v>1819</v>
      </c>
      <c r="B171" s="2" t="s">
        <v>1820</v>
      </c>
      <c r="C171" s="4">
        <v>1</v>
      </c>
      <c r="D171" s="5">
        <v>6.41</v>
      </c>
      <c r="E171" s="5">
        <v>16.989999999999998</v>
      </c>
      <c r="F171" s="4" t="s">
        <v>1821</v>
      </c>
      <c r="G171" s="2" t="s">
        <v>28</v>
      </c>
      <c r="H171" s="7" t="s">
        <v>159</v>
      </c>
      <c r="I171" s="2" t="s">
        <v>515</v>
      </c>
      <c r="J171" s="2" t="s">
        <v>827</v>
      </c>
      <c r="K171" s="2" t="s">
        <v>304</v>
      </c>
      <c r="L171" s="2" t="s">
        <v>358</v>
      </c>
    </row>
    <row r="172" spans="1:12" ht="60" x14ac:dyDescent="0.25">
      <c r="A172" s="7" t="s">
        <v>1012</v>
      </c>
      <c r="B172" s="2" t="s">
        <v>1013</v>
      </c>
      <c r="C172" s="4">
        <v>1</v>
      </c>
      <c r="D172" s="5">
        <v>6.4</v>
      </c>
      <c r="E172" s="5">
        <v>16</v>
      </c>
      <c r="F172" s="4" t="s">
        <v>1014</v>
      </c>
      <c r="G172" s="2" t="s">
        <v>165</v>
      </c>
      <c r="H172" s="7"/>
      <c r="I172" s="2" t="s">
        <v>523</v>
      </c>
      <c r="J172" s="2" t="s">
        <v>937</v>
      </c>
      <c r="K172" s="2" t="s">
        <v>304</v>
      </c>
      <c r="L172" s="2" t="s">
        <v>944</v>
      </c>
    </row>
    <row r="173" spans="1:12" ht="24" x14ac:dyDescent="0.25">
      <c r="A173" s="7" t="s">
        <v>1822</v>
      </c>
      <c r="B173" s="2" t="s">
        <v>1823</v>
      </c>
      <c r="C173" s="4">
        <v>1</v>
      </c>
      <c r="D173" s="5">
        <v>6.38</v>
      </c>
      <c r="E173" s="5">
        <v>14.99</v>
      </c>
      <c r="F173" s="4" t="s">
        <v>1824</v>
      </c>
      <c r="G173" s="2" t="s">
        <v>595</v>
      </c>
      <c r="H173" s="7" t="s">
        <v>196</v>
      </c>
      <c r="I173" s="2" t="s">
        <v>515</v>
      </c>
      <c r="J173" s="2" t="s">
        <v>827</v>
      </c>
      <c r="K173" s="2" t="s">
        <v>304</v>
      </c>
      <c r="L173" s="2" t="s">
        <v>125</v>
      </c>
    </row>
    <row r="174" spans="1:12" ht="36" x14ac:dyDescent="0.25">
      <c r="A174" s="7" t="s">
        <v>1825</v>
      </c>
      <c r="B174" s="2" t="s">
        <v>1826</v>
      </c>
      <c r="C174" s="4">
        <v>1</v>
      </c>
      <c r="D174" s="5">
        <v>6.35</v>
      </c>
      <c r="E174" s="5">
        <v>14.77</v>
      </c>
      <c r="F174" s="4">
        <v>18209110</v>
      </c>
      <c r="G174" s="2" t="s">
        <v>48</v>
      </c>
      <c r="H174" s="7" t="s">
        <v>442</v>
      </c>
      <c r="I174" s="2" t="s">
        <v>153</v>
      </c>
      <c r="J174" s="2" t="s">
        <v>154</v>
      </c>
      <c r="K174" s="2" t="s">
        <v>304</v>
      </c>
      <c r="L174" s="2" t="s">
        <v>119</v>
      </c>
    </row>
    <row r="175" spans="1:12" ht="36" x14ac:dyDescent="0.25">
      <c r="A175" s="7" t="s">
        <v>1827</v>
      </c>
      <c r="B175" s="2" t="s">
        <v>1826</v>
      </c>
      <c r="C175" s="4">
        <v>1</v>
      </c>
      <c r="D175" s="5">
        <v>6.35</v>
      </c>
      <c r="E175" s="5">
        <v>14.77</v>
      </c>
      <c r="F175" s="4">
        <v>18209110</v>
      </c>
      <c r="G175" s="2" t="s">
        <v>48</v>
      </c>
      <c r="H175" s="7" t="s">
        <v>91</v>
      </c>
      <c r="I175" s="2" t="s">
        <v>153</v>
      </c>
      <c r="J175" s="2" t="s">
        <v>154</v>
      </c>
      <c r="K175" s="2" t="s">
        <v>304</v>
      </c>
      <c r="L175" s="2" t="s">
        <v>119</v>
      </c>
    </row>
    <row r="176" spans="1:12" ht="36" x14ac:dyDescent="0.25">
      <c r="A176" s="7" t="s">
        <v>1828</v>
      </c>
      <c r="B176" s="2" t="s">
        <v>1829</v>
      </c>
      <c r="C176" s="4">
        <v>1</v>
      </c>
      <c r="D176" s="5">
        <v>6.35</v>
      </c>
      <c r="E176" s="5">
        <v>14.44</v>
      </c>
      <c r="F176" s="4">
        <v>18642410</v>
      </c>
      <c r="G176" s="2" t="s">
        <v>752</v>
      </c>
      <c r="H176" s="7" t="s">
        <v>233</v>
      </c>
      <c r="I176" s="2" t="s">
        <v>153</v>
      </c>
      <c r="J176" s="2" t="s">
        <v>154</v>
      </c>
      <c r="K176" s="2" t="s">
        <v>304</v>
      </c>
      <c r="L176" s="2" t="s">
        <v>125</v>
      </c>
    </row>
    <row r="177" spans="1:12" ht="60" x14ac:dyDescent="0.25">
      <c r="A177" s="7" t="s">
        <v>1830</v>
      </c>
      <c r="B177" s="2" t="s">
        <v>480</v>
      </c>
      <c r="C177" s="4">
        <v>1</v>
      </c>
      <c r="D177" s="5">
        <v>6.25</v>
      </c>
      <c r="E177" s="5">
        <v>11.99</v>
      </c>
      <c r="F177" s="4" t="s">
        <v>481</v>
      </c>
      <c r="G177" s="2" t="s">
        <v>62</v>
      </c>
      <c r="H177" s="7"/>
      <c r="I177" s="2" t="s">
        <v>483</v>
      </c>
      <c r="J177" s="2" t="s">
        <v>484</v>
      </c>
      <c r="K177" s="2" t="s">
        <v>304</v>
      </c>
      <c r="L177" s="2" t="s">
        <v>206</v>
      </c>
    </row>
    <row r="178" spans="1:12" ht="48" x14ac:dyDescent="0.25">
      <c r="A178" s="7" t="s">
        <v>1831</v>
      </c>
      <c r="B178" s="2" t="s">
        <v>1832</v>
      </c>
      <c r="C178" s="4">
        <v>1</v>
      </c>
      <c r="D178" s="5">
        <v>6.25</v>
      </c>
      <c r="E178" s="5">
        <v>17.989999999999998</v>
      </c>
      <c r="F178" s="4" t="s">
        <v>1833</v>
      </c>
      <c r="G178" s="2" t="s">
        <v>41</v>
      </c>
      <c r="H178" s="7" t="s">
        <v>228</v>
      </c>
      <c r="I178" s="2" t="s">
        <v>342</v>
      </c>
      <c r="J178" s="2" t="s">
        <v>1834</v>
      </c>
      <c r="K178" s="2" t="s">
        <v>304</v>
      </c>
      <c r="L178" s="2" t="s">
        <v>335</v>
      </c>
    </row>
    <row r="179" spans="1:12" ht="48" x14ac:dyDescent="0.25">
      <c r="A179" s="7" t="s">
        <v>1835</v>
      </c>
      <c r="B179" s="2" t="s">
        <v>1028</v>
      </c>
      <c r="C179" s="4">
        <v>1</v>
      </c>
      <c r="D179" s="5">
        <v>6.19</v>
      </c>
      <c r="E179" s="5">
        <v>16.989999999999998</v>
      </c>
      <c r="F179" s="4" t="s">
        <v>1029</v>
      </c>
      <c r="G179" s="2" t="s">
        <v>62</v>
      </c>
      <c r="H179" s="7" t="s">
        <v>284</v>
      </c>
      <c r="I179" s="2" t="s">
        <v>515</v>
      </c>
      <c r="J179" s="2" t="s">
        <v>827</v>
      </c>
      <c r="K179" s="2" t="s">
        <v>304</v>
      </c>
      <c r="L179" s="2" t="s">
        <v>358</v>
      </c>
    </row>
    <row r="180" spans="1:12" ht="48" x14ac:dyDescent="0.25">
      <c r="A180" s="7" t="s">
        <v>1836</v>
      </c>
      <c r="B180" s="2" t="s">
        <v>1837</v>
      </c>
      <c r="C180" s="4">
        <v>1</v>
      </c>
      <c r="D180" s="5">
        <v>6.18</v>
      </c>
      <c r="E180" s="5">
        <v>16.989999999999998</v>
      </c>
      <c r="F180" s="4" t="s">
        <v>1838</v>
      </c>
      <c r="G180" s="2" t="s">
        <v>171</v>
      </c>
      <c r="H180" s="7" t="s">
        <v>228</v>
      </c>
      <c r="I180" s="2" t="s">
        <v>515</v>
      </c>
      <c r="J180" s="2" t="s">
        <v>827</v>
      </c>
      <c r="K180" s="2" t="s">
        <v>304</v>
      </c>
      <c r="L180" s="2" t="s">
        <v>358</v>
      </c>
    </row>
    <row r="181" spans="1:12" ht="48" x14ac:dyDescent="0.25">
      <c r="A181" s="7" t="s">
        <v>1839</v>
      </c>
      <c r="B181" s="2" t="s">
        <v>1840</v>
      </c>
      <c r="C181" s="4">
        <v>2</v>
      </c>
      <c r="D181" s="5">
        <v>6.18</v>
      </c>
      <c r="E181" s="5">
        <v>16.989999999999998</v>
      </c>
      <c r="F181" s="4" t="s">
        <v>1841</v>
      </c>
      <c r="G181" s="2" t="s">
        <v>28</v>
      </c>
      <c r="H181" s="7" t="s">
        <v>159</v>
      </c>
      <c r="I181" s="2" t="s">
        <v>515</v>
      </c>
      <c r="J181" s="2" t="s">
        <v>827</v>
      </c>
      <c r="K181" s="2" t="s">
        <v>304</v>
      </c>
      <c r="L181" s="2" t="s">
        <v>358</v>
      </c>
    </row>
    <row r="182" spans="1:12" ht="36" x14ac:dyDescent="0.25">
      <c r="A182" s="7" t="s">
        <v>1842</v>
      </c>
      <c r="B182" s="2" t="s">
        <v>1843</v>
      </c>
      <c r="C182" s="4">
        <v>1</v>
      </c>
      <c r="D182" s="5">
        <v>6.15</v>
      </c>
      <c r="E182" s="5">
        <v>13.37</v>
      </c>
      <c r="F182" s="4" t="s">
        <v>1844</v>
      </c>
      <c r="G182" s="2" t="s">
        <v>41</v>
      </c>
      <c r="H182" s="7" t="s">
        <v>1845</v>
      </c>
      <c r="I182" s="2" t="s">
        <v>30</v>
      </c>
      <c r="J182" s="2" t="s">
        <v>136</v>
      </c>
      <c r="K182" s="2" t="s">
        <v>304</v>
      </c>
      <c r="L182" s="2" t="s">
        <v>119</v>
      </c>
    </row>
    <row r="183" spans="1:12" ht="48" x14ac:dyDescent="0.25">
      <c r="A183" s="7" t="s">
        <v>1846</v>
      </c>
      <c r="B183" s="2" t="s">
        <v>1847</v>
      </c>
      <c r="C183" s="4">
        <v>1</v>
      </c>
      <c r="D183" s="5">
        <v>6.13</v>
      </c>
      <c r="E183" s="5">
        <v>16.989999999999998</v>
      </c>
      <c r="F183" s="4" t="s">
        <v>1848</v>
      </c>
      <c r="G183" s="2" t="s">
        <v>28</v>
      </c>
      <c r="H183" s="7" t="s">
        <v>159</v>
      </c>
      <c r="I183" s="2" t="s">
        <v>515</v>
      </c>
      <c r="J183" s="2" t="s">
        <v>827</v>
      </c>
      <c r="K183" s="2" t="s">
        <v>304</v>
      </c>
      <c r="L183" s="2" t="s">
        <v>358</v>
      </c>
    </row>
    <row r="184" spans="1:12" ht="48" x14ac:dyDescent="0.25">
      <c r="A184" s="7" t="s">
        <v>1849</v>
      </c>
      <c r="B184" s="2" t="s">
        <v>1847</v>
      </c>
      <c r="C184" s="4">
        <v>1</v>
      </c>
      <c r="D184" s="5">
        <v>6.13</v>
      </c>
      <c r="E184" s="5">
        <v>16.989999999999998</v>
      </c>
      <c r="F184" s="4" t="s">
        <v>1848</v>
      </c>
      <c r="G184" s="2" t="s">
        <v>28</v>
      </c>
      <c r="H184" s="7" t="s">
        <v>228</v>
      </c>
      <c r="I184" s="2" t="s">
        <v>515</v>
      </c>
      <c r="J184" s="2" t="s">
        <v>827</v>
      </c>
      <c r="K184" s="2" t="s">
        <v>304</v>
      </c>
      <c r="L184" s="2" t="s">
        <v>358</v>
      </c>
    </row>
    <row r="185" spans="1:12" ht="48" x14ac:dyDescent="0.25">
      <c r="A185" s="7" t="s">
        <v>1850</v>
      </c>
      <c r="B185" s="2" t="s">
        <v>1847</v>
      </c>
      <c r="C185" s="4">
        <v>1</v>
      </c>
      <c r="D185" s="5">
        <v>6.13</v>
      </c>
      <c r="E185" s="5">
        <v>16.989999999999998</v>
      </c>
      <c r="F185" s="4" t="s">
        <v>1848</v>
      </c>
      <c r="G185" s="2" t="s">
        <v>28</v>
      </c>
      <c r="H185" s="7" t="s">
        <v>284</v>
      </c>
      <c r="I185" s="2" t="s">
        <v>515</v>
      </c>
      <c r="J185" s="2" t="s">
        <v>827</v>
      </c>
      <c r="K185" s="2" t="s">
        <v>304</v>
      </c>
      <c r="L185" s="2" t="s">
        <v>358</v>
      </c>
    </row>
    <row r="186" spans="1:12" ht="96" x14ac:dyDescent="0.25">
      <c r="A186" s="7" t="s">
        <v>1851</v>
      </c>
      <c r="B186" s="2" t="s">
        <v>1852</v>
      </c>
      <c r="C186" s="4">
        <v>1</v>
      </c>
      <c r="D186" s="5">
        <v>6.11</v>
      </c>
      <c r="E186" s="5">
        <v>16.989999999999998</v>
      </c>
      <c r="F186" s="4" t="s">
        <v>1853</v>
      </c>
      <c r="G186" s="2" t="s">
        <v>171</v>
      </c>
      <c r="H186" s="7" t="s">
        <v>284</v>
      </c>
      <c r="I186" s="2" t="s">
        <v>515</v>
      </c>
      <c r="J186" s="2" t="s">
        <v>827</v>
      </c>
      <c r="K186" s="2"/>
      <c r="L186" s="2" t="s">
        <v>1755</v>
      </c>
    </row>
    <row r="187" spans="1:12" ht="36" x14ac:dyDescent="0.25">
      <c r="A187" s="7" t="s">
        <v>1854</v>
      </c>
      <c r="B187" s="2" t="s">
        <v>1855</v>
      </c>
      <c r="C187" s="4">
        <v>1</v>
      </c>
      <c r="D187" s="5">
        <v>6</v>
      </c>
      <c r="E187" s="5">
        <v>10.99</v>
      </c>
      <c r="F187" s="4" t="s">
        <v>1856</v>
      </c>
      <c r="G187" s="2" t="s">
        <v>28</v>
      </c>
      <c r="H187" s="7" t="s">
        <v>123</v>
      </c>
      <c r="I187" s="2" t="s">
        <v>80</v>
      </c>
      <c r="J187" s="2" t="s">
        <v>1857</v>
      </c>
      <c r="K187" s="2" t="s">
        <v>304</v>
      </c>
      <c r="L187" s="2" t="s">
        <v>125</v>
      </c>
    </row>
    <row r="188" spans="1:12" ht="36" x14ac:dyDescent="0.25">
      <c r="A188" s="7" t="s">
        <v>1858</v>
      </c>
      <c r="B188" s="2" t="s">
        <v>1859</v>
      </c>
      <c r="C188" s="4">
        <v>1</v>
      </c>
      <c r="D188" s="5">
        <v>6</v>
      </c>
      <c r="E188" s="5">
        <v>15.99</v>
      </c>
      <c r="F188" s="4" t="s">
        <v>1860</v>
      </c>
      <c r="G188" s="2" t="s">
        <v>657</v>
      </c>
      <c r="H188" s="7"/>
      <c r="I188" s="2" t="s">
        <v>321</v>
      </c>
      <c r="J188" s="2" t="s">
        <v>492</v>
      </c>
      <c r="K188" s="2" t="s">
        <v>304</v>
      </c>
      <c r="L188" s="2" t="s">
        <v>125</v>
      </c>
    </row>
    <row r="189" spans="1:12" ht="96" x14ac:dyDescent="0.25">
      <c r="A189" s="7" t="s">
        <v>1861</v>
      </c>
      <c r="B189" s="2" t="s">
        <v>1862</v>
      </c>
      <c r="C189" s="4">
        <v>1</v>
      </c>
      <c r="D189" s="5">
        <v>6</v>
      </c>
      <c r="E189" s="5">
        <v>14.99</v>
      </c>
      <c r="F189" s="4" t="s">
        <v>1863</v>
      </c>
      <c r="G189" s="2" t="s">
        <v>195</v>
      </c>
      <c r="H189" s="7" t="s">
        <v>311</v>
      </c>
      <c r="I189" s="2" t="s">
        <v>73</v>
      </c>
      <c r="J189" s="2" t="s">
        <v>778</v>
      </c>
      <c r="K189" s="2" t="s">
        <v>304</v>
      </c>
      <c r="L189" s="2" t="s">
        <v>1864</v>
      </c>
    </row>
    <row r="190" spans="1:12" ht="96" x14ac:dyDescent="0.25">
      <c r="A190" s="7" t="s">
        <v>1865</v>
      </c>
      <c r="B190" s="2" t="s">
        <v>1862</v>
      </c>
      <c r="C190" s="4">
        <v>1</v>
      </c>
      <c r="D190" s="5">
        <v>6</v>
      </c>
      <c r="E190" s="5">
        <v>14.99</v>
      </c>
      <c r="F190" s="4" t="s">
        <v>1863</v>
      </c>
      <c r="G190" s="2" t="s">
        <v>195</v>
      </c>
      <c r="H190" s="7" t="s">
        <v>68</v>
      </c>
      <c r="I190" s="2" t="s">
        <v>73</v>
      </c>
      <c r="J190" s="2" t="s">
        <v>778</v>
      </c>
      <c r="K190" s="2" t="s">
        <v>304</v>
      </c>
      <c r="L190" s="2" t="s">
        <v>1864</v>
      </c>
    </row>
    <row r="191" spans="1:12" ht="96" x14ac:dyDescent="0.25">
      <c r="A191" s="7" t="s">
        <v>1866</v>
      </c>
      <c r="B191" s="2" t="s">
        <v>1862</v>
      </c>
      <c r="C191" s="4">
        <v>1</v>
      </c>
      <c r="D191" s="5">
        <v>6</v>
      </c>
      <c r="E191" s="5">
        <v>14.99</v>
      </c>
      <c r="F191" s="4" t="s">
        <v>1863</v>
      </c>
      <c r="G191" s="2" t="s">
        <v>195</v>
      </c>
      <c r="H191" s="7" t="s">
        <v>317</v>
      </c>
      <c r="I191" s="2" t="s">
        <v>73</v>
      </c>
      <c r="J191" s="2" t="s">
        <v>778</v>
      </c>
      <c r="K191" s="2" t="s">
        <v>304</v>
      </c>
      <c r="L191" s="2" t="s">
        <v>1864</v>
      </c>
    </row>
    <row r="192" spans="1:12" ht="96" x14ac:dyDescent="0.25">
      <c r="A192" s="7" t="s">
        <v>1867</v>
      </c>
      <c r="B192" s="2" t="s">
        <v>1862</v>
      </c>
      <c r="C192" s="4">
        <v>2</v>
      </c>
      <c r="D192" s="5">
        <v>6</v>
      </c>
      <c r="E192" s="5">
        <v>14.99</v>
      </c>
      <c r="F192" s="4" t="s">
        <v>1863</v>
      </c>
      <c r="G192" s="2" t="s">
        <v>195</v>
      </c>
      <c r="H192" s="7" t="s">
        <v>63</v>
      </c>
      <c r="I192" s="2" t="s">
        <v>73</v>
      </c>
      <c r="J192" s="2" t="s">
        <v>778</v>
      </c>
      <c r="K192" s="2" t="s">
        <v>304</v>
      </c>
      <c r="L192" s="2" t="s">
        <v>1864</v>
      </c>
    </row>
    <row r="193" spans="1:12" ht="48" x14ac:dyDescent="0.25">
      <c r="A193" s="7" t="s">
        <v>1868</v>
      </c>
      <c r="B193" s="2" t="s">
        <v>1869</v>
      </c>
      <c r="C193" s="4">
        <v>1</v>
      </c>
      <c r="D193" s="5">
        <v>5.85</v>
      </c>
      <c r="E193" s="5">
        <v>15.99</v>
      </c>
      <c r="F193" s="4" t="s">
        <v>1870</v>
      </c>
      <c r="G193" s="2" t="s">
        <v>262</v>
      </c>
      <c r="H193" s="7" t="s">
        <v>1871</v>
      </c>
      <c r="I193" s="2" t="s">
        <v>342</v>
      </c>
      <c r="J193" s="2" t="s">
        <v>1872</v>
      </c>
      <c r="K193" s="2" t="s">
        <v>304</v>
      </c>
      <c r="L193" s="2" t="s">
        <v>390</v>
      </c>
    </row>
    <row r="194" spans="1:12" ht="48" x14ac:dyDescent="0.25">
      <c r="A194" s="7" t="s">
        <v>1873</v>
      </c>
      <c r="B194" s="2" t="s">
        <v>1874</v>
      </c>
      <c r="C194" s="4">
        <v>1</v>
      </c>
      <c r="D194" s="5">
        <v>5.85</v>
      </c>
      <c r="E194" s="5">
        <v>12.99</v>
      </c>
      <c r="F194" s="4" t="s">
        <v>1875</v>
      </c>
      <c r="G194" s="2" t="s">
        <v>41</v>
      </c>
      <c r="H194" s="7" t="s">
        <v>266</v>
      </c>
      <c r="I194" s="2" t="s">
        <v>966</v>
      </c>
      <c r="J194" s="2" t="s">
        <v>348</v>
      </c>
      <c r="K194" s="2" t="s">
        <v>304</v>
      </c>
      <c r="L194" s="2" t="s">
        <v>125</v>
      </c>
    </row>
    <row r="195" spans="1:12" ht="36" x14ac:dyDescent="0.25">
      <c r="A195" s="7" t="s">
        <v>1876</v>
      </c>
      <c r="B195" s="2" t="s">
        <v>1877</v>
      </c>
      <c r="C195" s="4">
        <v>1</v>
      </c>
      <c r="D195" s="5">
        <v>5.8</v>
      </c>
      <c r="E195" s="5">
        <v>13.19</v>
      </c>
      <c r="F195" s="4">
        <v>18634010</v>
      </c>
      <c r="G195" s="2" t="s">
        <v>28</v>
      </c>
      <c r="H195" s="7" t="s">
        <v>482</v>
      </c>
      <c r="I195" s="2" t="s">
        <v>153</v>
      </c>
      <c r="J195" s="2" t="s">
        <v>154</v>
      </c>
      <c r="K195" s="2" t="s">
        <v>304</v>
      </c>
      <c r="L195" s="2" t="s">
        <v>38</v>
      </c>
    </row>
    <row r="196" spans="1:12" ht="36" x14ac:dyDescent="0.25">
      <c r="A196" s="7" t="s">
        <v>1878</v>
      </c>
      <c r="B196" s="2" t="s">
        <v>1877</v>
      </c>
      <c r="C196" s="4">
        <v>1</v>
      </c>
      <c r="D196" s="5">
        <v>5.8</v>
      </c>
      <c r="E196" s="5">
        <v>13.19</v>
      </c>
      <c r="F196" s="4">
        <v>18633210</v>
      </c>
      <c r="G196" s="2"/>
      <c r="H196" s="7" t="s">
        <v>482</v>
      </c>
      <c r="I196" s="2" t="s">
        <v>153</v>
      </c>
      <c r="J196" s="2" t="s">
        <v>154</v>
      </c>
      <c r="K196" s="2" t="s">
        <v>304</v>
      </c>
      <c r="L196" s="2" t="s">
        <v>38</v>
      </c>
    </row>
    <row r="197" spans="1:12" ht="36" x14ac:dyDescent="0.25">
      <c r="A197" s="7" t="s">
        <v>1879</v>
      </c>
      <c r="B197" s="2" t="s">
        <v>1880</v>
      </c>
      <c r="C197" s="4">
        <v>1</v>
      </c>
      <c r="D197" s="5">
        <v>5.8</v>
      </c>
      <c r="E197" s="5">
        <v>13.19</v>
      </c>
      <c r="F197" s="4">
        <v>17894010</v>
      </c>
      <c r="G197" s="2"/>
      <c r="H197" s="7" t="s">
        <v>482</v>
      </c>
      <c r="I197" s="2" t="s">
        <v>153</v>
      </c>
      <c r="J197" s="2" t="s">
        <v>154</v>
      </c>
      <c r="K197" s="2" t="s">
        <v>304</v>
      </c>
      <c r="L197" s="2" t="s">
        <v>38</v>
      </c>
    </row>
    <row r="198" spans="1:12" ht="48" x14ac:dyDescent="0.25">
      <c r="A198" s="7" t="s">
        <v>1881</v>
      </c>
      <c r="B198" s="2" t="s">
        <v>1882</v>
      </c>
      <c r="C198" s="4">
        <v>1</v>
      </c>
      <c r="D198" s="5">
        <v>5.75</v>
      </c>
      <c r="E198" s="5">
        <v>17.989999999999998</v>
      </c>
      <c r="F198" s="4" t="s">
        <v>1883</v>
      </c>
      <c r="G198" s="2" t="s">
        <v>28</v>
      </c>
      <c r="H198" s="7" t="s">
        <v>228</v>
      </c>
      <c r="I198" s="2" t="s">
        <v>342</v>
      </c>
      <c r="J198" s="2" t="s">
        <v>1834</v>
      </c>
      <c r="K198" s="2" t="s">
        <v>304</v>
      </c>
      <c r="L198" s="2" t="s">
        <v>335</v>
      </c>
    </row>
    <row r="199" spans="1:12" ht="60" x14ac:dyDescent="0.25">
      <c r="A199" s="7" t="s">
        <v>1884</v>
      </c>
      <c r="B199" s="2" t="s">
        <v>1885</v>
      </c>
      <c r="C199" s="4">
        <v>2</v>
      </c>
      <c r="D199" s="5">
        <v>5.75</v>
      </c>
      <c r="E199" s="5">
        <v>12.99</v>
      </c>
      <c r="F199" s="4" t="s">
        <v>1886</v>
      </c>
      <c r="G199" s="2" t="s">
        <v>437</v>
      </c>
      <c r="H199" s="7" t="s">
        <v>590</v>
      </c>
      <c r="I199" s="2" t="s">
        <v>483</v>
      </c>
      <c r="J199" s="2" t="s">
        <v>536</v>
      </c>
      <c r="K199" s="2" t="s">
        <v>304</v>
      </c>
      <c r="L199" s="2" t="s">
        <v>596</v>
      </c>
    </row>
    <row r="200" spans="1:12" ht="48" x14ac:dyDescent="0.25">
      <c r="A200" s="7" t="s">
        <v>1887</v>
      </c>
      <c r="B200" s="2" t="s">
        <v>1888</v>
      </c>
      <c r="C200" s="4">
        <v>2</v>
      </c>
      <c r="D200" s="5">
        <v>5.75</v>
      </c>
      <c r="E200" s="5">
        <v>14.99</v>
      </c>
      <c r="F200" s="4" t="s">
        <v>1889</v>
      </c>
      <c r="G200" s="2" t="s">
        <v>892</v>
      </c>
      <c r="H200" s="7"/>
      <c r="I200" s="2" t="s">
        <v>30</v>
      </c>
      <c r="J200" s="2" t="s">
        <v>1890</v>
      </c>
      <c r="K200" s="2" t="s">
        <v>304</v>
      </c>
      <c r="L200" s="2" t="s">
        <v>416</v>
      </c>
    </row>
    <row r="201" spans="1:12" ht="48" x14ac:dyDescent="0.25">
      <c r="A201" s="7" t="s">
        <v>1891</v>
      </c>
      <c r="B201" s="2" t="s">
        <v>1888</v>
      </c>
      <c r="C201" s="4">
        <v>2</v>
      </c>
      <c r="D201" s="5">
        <v>5.75</v>
      </c>
      <c r="E201" s="5">
        <v>14.99</v>
      </c>
      <c r="F201" s="4" t="s">
        <v>1889</v>
      </c>
      <c r="G201" s="2" t="s">
        <v>36</v>
      </c>
      <c r="H201" s="7"/>
      <c r="I201" s="2" t="s">
        <v>30</v>
      </c>
      <c r="J201" s="2" t="s">
        <v>1890</v>
      </c>
      <c r="K201" s="2" t="s">
        <v>304</v>
      </c>
      <c r="L201" s="2" t="s">
        <v>416</v>
      </c>
    </row>
    <row r="202" spans="1:12" ht="24" x14ac:dyDescent="0.25">
      <c r="A202" s="7" t="s">
        <v>1892</v>
      </c>
      <c r="B202" s="2" t="s">
        <v>1893</v>
      </c>
      <c r="C202" s="4">
        <v>1</v>
      </c>
      <c r="D202" s="5">
        <v>5.73</v>
      </c>
      <c r="E202" s="5">
        <v>14.99</v>
      </c>
      <c r="F202" s="4" t="s">
        <v>1894</v>
      </c>
      <c r="G202" s="2" t="s">
        <v>62</v>
      </c>
      <c r="H202" s="7" t="s">
        <v>159</v>
      </c>
      <c r="I202" s="2" t="s">
        <v>515</v>
      </c>
      <c r="J202" s="2" t="s">
        <v>827</v>
      </c>
      <c r="K202" s="2" t="s">
        <v>304</v>
      </c>
      <c r="L202" s="2" t="s">
        <v>125</v>
      </c>
    </row>
    <row r="203" spans="1:12" ht="60" x14ac:dyDescent="0.25">
      <c r="A203" s="7" t="s">
        <v>1895</v>
      </c>
      <c r="B203" s="2" t="s">
        <v>1896</v>
      </c>
      <c r="C203" s="4">
        <v>1</v>
      </c>
      <c r="D203" s="5">
        <v>5.71</v>
      </c>
      <c r="E203" s="5">
        <v>12.99</v>
      </c>
      <c r="F203" s="4" t="s">
        <v>1897</v>
      </c>
      <c r="G203" s="2" t="s">
        <v>41</v>
      </c>
      <c r="H203" s="7" t="s">
        <v>149</v>
      </c>
      <c r="I203" s="2" t="s">
        <v>483</v>
      </c>
      <c r="J203" s="2" t="s">
        <v>536</v>
      </c>
      <c r="K203" s="2" t="s">
        <v>304</v>
      </c>
      <c r="L203" s="2" t="s">
        <v>596</v>
      </c>
    </row>
    <row r="204" spans="1:12" ht="48" x14ac:dyDescent="0.25">
      <c r="A204" s="7" t="s">
        <v>1898</v>
      </c>
      <c r="B204" s="2" t="s">
        <v>1899</v>
      </c>
      <c r="C204" s="4">
        <v>1</v>
      </c>
      <c r="D204" s="5">
        <v>5.68</v>
      </c>
      <c r="E204" s="5">
        <v>16.989999999999998</v>
      </c>
      <c r="F204" s="4" t="s">
        <v>1900</v>
      </c>
      <c r="G204" s="2" t="s">
        <v>165</v>
      </c>
      <c r="H204" s="7" t="s">
        <v>159</v>
      </c>
      <c r="I204" s="2" t="s">
        <v>515</v>
      </c>
      <c r="J204" s="2" t="s">
        <v>827</v>
      </c>
      <c r="K204" s="2" t="s">
        <v>304</v>
      </c>
      <c r="L204" s="2" t="s">
        <v>358</v>
      </c>
    </row>
    <row r="205" spans="1:12" ht="156" x14ac:dyDescent="0.25">
      <c r="A205" s="7" t="s">
        <v>1901</v>
      </c>
      <c r="B205" s="2" t="s">
        <v>1902</v>
      </c>
      <c r="C205" s="4">
        <v>1</v>
      </c>
      <c r="D205" s="5">
        <v>5.65</v>
      </c>
      <c r="E205" s="5">
        <v>16.989999999999998</v>
      </c>
      <c r="F205" s="4" t="s">
        <v>1903</v>
      </c>
      <c r="G205" s="2" t="s">
        <v>388</v>
      </c>
      <c r="H205" s="7" t="s">
        <v>284</v>
      </c>
      <c r="I205" s="2" t="s">
        <v>342</v>
      </c>
      <c r="J205" s="2" t="s">
        <v>1789</v>
      </c>
      <c r="K205" s="2" t="s">
        <v>304</v>
      </c>
      <c r="L205" s="2" t="s">
        <v>1904</v>
      </c>
    </row>
    <row r="206" spans="1:12" ht="48" x14ac:dyDescent="0.25">
      <c r="A206" s="7" t="s">
        <v>1905</v>
      </c>
      <c r="B206" s="2" t="s">
        <v>1906</v>
      </c>
      <c r="C206" s="4">
        <v>1</v>
      </c>
      <c r="D206" s="5">
        <v>5.59</v>
      </c>
      <c r="E206" s="5">
        <v>14.99</v>
      </c>
      <c r="F206" s="4" t="s">
        <v>1907</v>
      </c>
      <c r="G206" s="2" t="s">
        <v>28</v>
      </c>
      <c r="H206" s="7" t="s">
        <v>514</v>
      </c>
      <c r="I206" s="2" t="s">
        <v>515</v>
      </c>
      <c r="J206" s="2" t="s">
        <v>516</v>
      </c>
      <c r="K206" s="2" t="s">
        <v>304</v>
      </c>
      <c r="L206" s="2" t="s">
        <v>358</v>
      </c>
    </row>
    <row r="207" spans="1:12" ht="96" x14ac:dyDescent="0.25">
      <c r="A207" s="7" t="s">
        <v>1908</v>
      </c>
      <c r="B207" s="2" t="s">
        <v>1909</v>
      </c>
      <c r="C207" s="4">
        <v>1</v>
      </c>
      <c r="D207" s="5">
        <v>5.57</v>
      </c>
      <c r="E207" s="5">
        <v>16.989999999999998</v>
      </c>
      <c r="F207" s="4" t="s">
        <v>1910</v>
      </c>
      <c r="G207" s="2" t="s">
        <v>171</v>
      </c>
      <c r="H207" s="7" t="s">
        <v>284</v>
      </c>
      <c r="I207" s="2" t="s">
        <v>515</v>
      </c>
      <c r="J207" s="2" t="s">
        <v>827</v>
      </c>
      <c r="K207" s="2" t="s">
        <v>304</v>
      </c>
      <c r="L207" s="2" t="s">
        <v>1911</v>
      </c>
    </row>
    <row r="208" spans="1:12" ht="48" x14ac:dyDescent="0.25">
      <c r="A208" s="7" t="s">
        <v>1912</v>
      </c>
      <c r="B208" s="2" t="s">
        <v>1074</v>
      </c>
      <c r="C208" s="4">
        <v>1</v>
      </c>
      <c r="D208" s="5">
        <v>5.5</v>
      </c>
      <c r="E208" s="5">
        <v>12.99</v>
      </c>
      <c r="F208" s="4" t="s">
        <v>1075</v>
      </c>
      <c r="G208" s="2"/>
      <c r="H208" s="7" t="s">
        <v>42</v>
      </c>
      <c r="I208" s="2" t="s">
        <v>92</v>
      </c>
      <c r="J208" s="2" t="s">
        <v>1076</v>
      </c>
      <c r="K208" s="2" t="s">
        <v>304</v>
      </c>
      <c r="L208" s="2" t="s">
        <v>100</v>
      </c>
    </row>
    <row r="209" spans="1:12" ht="48" x14ac:dyDescent="0.25">
      <c r="A209" s="7" t="s">
        <v>1913</v>
      </c>
      <c r="B209" s="2" t="s">
        <v>1074</v>
      </c>
      <c r="C209" s="4">
        <v>2</v>
      </c>
      <c r="D209" s="5">
        <v>5.5</v>
      </c>
      <c r="E209" s="5">
        <v>12.99</v>
      </c>
      <c r="F209" s="4" t="s">
        <v>1075</v>
      </c>
      <c r="G209" s="2"/>
      <c r="H209" s="7" t="s">
        <v>91</v>
      </c>
      <c r="I209" s="2" t="s">
        <v>92</v>
      </c>
      <c r="J209" s="2" t="s">
        <v>1076</v>
      </c>
      <c r="K209" s="2" t="s">
        <v>304</v>
      </c>
      <c r="L209" s="2" t="s">
        <v>100</v>
      </c>
    </row>
    <row r="210" spans="1:12" ht="24" x14ac:dyDescent="0.25">
      <c r="A210" s="7" t="s">
        <v>1914</v>
      </c>
      <c r="B210" s="2" t="s">
        <v>1915</v>
      </c>
      <c r="C210" s="4">
        <v>1</v>
      </c>
      <c r="D210" s="5">
        <v>5.5</v>
      </c>
      <c r="E210" s="5">
        <v>10.99</v>
      </c>
      <c r="F210" s="4" t="s">
        <v>1916</v>
      </c>
      <c r="G210" s="2" t="s">
        <v>36</v>
      </c>
      <c r="H210" s="7" t="s">
        <v>284</v>
      </c>
      <c r="I210" s="2" t="s">
        <v>73</v>
      </c>
      <c r="J210" s="2" t="s">
        <v>1917</v>
      </c>
      <c r="K210" s="2" t="s">
        <v>304</v>
      </c>
      <c r="L210" s="2" t="s">
        <v>125</v>
      </c>
    </row>
    <row r="211" spans="1:12" ht="24" x14ac:dyDescent="0.25">
      <c r="A211" s="7" t="s">
        <v>1918</v>
      </c>
      <c r="B211" s="2" t="s">
        <v>1915</v>
      </c>
      <c r="C211" s="4">
        <v>1</v>
      </c>
      <c r="D211" s="5">
        <v>5.5</v>
      </c>
      <c r="E211" s="5">
        <v>10.99</v>
      </c>
      <c r="F211" s="4" t="s">
        <v>1916</v>
      </c>
      <c r="G211" s="2" t="s">
        <v>41</v>
      </c>
      <c r="H211" s="7" t="s">
        <v>159</v>
      </c>
      <c r="I211" s="2" t="s">
        <v>73</v>
      </c>
      <c r="J211" s="2" t="s">
        <v>1917</v>
      </c>
      <c r="K211" s="2" t="s">
        <v>304</v>
      </c>
      <c r="L211" s="2" t="s">
        <v>125</v>
      </c>
    </row>
    <row r="212" spans="1:12" ht="72" x14ac:dyDescent="0.25">
      <c r="A212" s="7" t="s">
        <v>1919</v>
      </c>
      <c r="B212" s="2" t="s">
        <v>1920</v>
      </c>
      <c r="C212" s="4">
        <v>1</v>
      </c>
      <c r="D212" s="5">
        <v>5.48</v>
      </c>
      <c r="E212" s="5">
        <v>14.99</v>
      </c>
      <c r="F212" s="4" t="s">
        <v>1921</v>
      </c>
      <c r="G212" s="2" t="s">
        <v>103</v>
      </c>
      <c r="H212" s="7" t="s">
        <v>1151</v>
      </c>
      <c r="I212" s="2" t="s">
        <v>1689</v>
      </c>
      <c r="J212" s="2" t="s">
        <v>354</v>
      </c>
      <c r="K212" s="2" t="s">
        <v>304</v>
      </c>
      <c r="L212" s="2" t="s">
        <v>1922</v>
      </c>
    </row>
    <row r="213" spans="1:12" ht="84" x14ac:dyDescent="0.25">
      <c r="A213" s="7" t="s">
        <v>1923</v>
      </c>
      <c r="B213" s="2" t="s">
        <v>1924</v>
      </c>
      <c r="C213" s="4">
        <v>1</v>
      </c>
      <c r="D213" s="5">
        <v>5.41</v>
      </c>
      <c r="E213" s="5">
        <v>16.989999999999998</v>
      </c>
      <c r="F213" s="4" t="s">
        <v>1925</v>
      </c>
      <c r="G213" s="2" t="s">
        <v>86</v>
      </c>
      <c r="H213" s="7" t="s">
        <v>159</v>
      </c>
      <c r="I213" s="2" t="s">
        <v>515</v>
      </c>
      <c r="J213" s="2" t="s">
        <v>827</v>
      </c>
      <c r="K213" s="2" t="s">
        <v>304</v>
      </c>
      <c r="L213" s="2" t="s">
        <v>1117</v>
      </c>
    </row>
    <row r="214" spans="1:12" ht="72" x14ac:dyDescent="0.25">
      <c r="A214" s="7" t="s">
        <v>1926</v>
      </c>
      <c r="B214" s="2" t="s">
        <v>1927</v>
      </c>
      <c r="C214" s="4">
        <v>1</v>
      </c>
      <c r="D214" s="5">
        <v>5.4</v>
      </c>
      <c r="E214" s="5">
        <v>12.99</v>
      </c>
      <c r="F214" s="4" t="s">
        <v>1928</v>
      </c>
      <c r="G214" s="2"/>
      <c r="H214" s="7" t="s">
        <v>442</v>
      </c>
      <c r="I214" s="2" t="s">
        <v>92</v>
      </c>
      <c r="J214" s="2" t="s">
        <v>1076</v>
      </c>
      <c r="K214" s="2" t="s">
        <v>304</v>
      </c>
      <c r="L214" s="2" t="s">
        <v>1929</v>
      </c>
    </row>
    <row r="215" spans="1:12" ht="72" x14ac:dyDescent="0.25">
      <c r="A215" s="7" t="s">
        <v>1930</v>
      </c>
      <c r="B215" s="2" t="s">
        <v>1927</v>
      </c>
      <c r="C215" s="4">
        <v>3</v>
      </c>
      <c r="D215" s="5">
        <v>5.4</v>
      </c>
      <c r="E215" s="5">
        <v>12.99</v>
      </c>
      <c r="F215" s="4" t="s">
        <v>1928</v>
      </c>
      <c r="G215" s="2"/>
      <c r="H215" s="7" t="s">
        <v>91</v>
      </c>
      <c r="I215" s="2" t="s">
        <v>92</v>
      </c>
      <c r="J215" s="2" t="s">
        <v>1076</v>
      </c>
      <c r="K215" s="2" t="s">
        <v>304</v>
      </c>
      <c r="L215" s="2" t="s">
        <v>1929</v>
      </c>
    </row>
    <row r="216" spans="1:12" ht="72" x14ac:dyDescent="0.25">
      <c r="A216" s="7" t="s">
        <v>1931</v>
      </c>
      <c r="B216" s="2" t="s">
        <v>1932</v>
      </c>
      <c r="C216" s="4">
        <v>3</v>
      </c>
      <c r="D216" s="5">
        <v>5.4</v>
      </c>
      <c r="E216" s="5">
        <v>12.99</v>
      </c>
      <c r="F216" s="4" t="s">
        <v>1933</v>
      </c>
      <c r="G216" s="2" t="s">
        <v>129</v>
      </c>
      <c r="H216" s="7" t="s">
        <v>442</v>
      </c>
      <c r="I216" s="2" t="s">
        <v>92</v>
      </c>
      <c r="J216" s="2" t="s">
        <v>1076</v>
      </c>
      <c r="K216" s="2" t="s">
        <v>304</v>
      </c>
      <c r="L216" s="2" t="s">
        <v>1929</v>
      </c>
    </row>
    <row r="217" spans="1:12" ht="72" x14ac:dyDescent="0.25">
      <c r="A217" s="7" t="s">
        <v>1934</v>
      </c>
      <c r="B217" s="2" t="s">
        <v>1932</v>
      </c>
      <c r="C217" s="4">
        <v>2</v>
      </c>
      <c r="D217" s="5">
        <v>5.4</v>
      </c>
      <c r="E217" s="5">
        <v>12.99</v>
      </c>
      <c r="F217" s="4" t="s">
        <v>1933</v>
      </c>
      <c r="G217" s="2" t="s">
        <v>129</v>
      </c>
      <c r="H217" s="7" t="s">
        <v>91</v>
      </c>
      <c r="I217" s="2" t="s">
        <v>92</v>
      </c>
      <c r="J217" s="2" t="s">
        <v>1076</v>
      </c>
      <c r="K217" s="2" t="s">
        <v>304</v>
      </c>
      <c r="L217" s="2" t="s">
        <v>1929</v>
      </c>
    </row>
    <row r="218" spans="1:12" ht="72" x14ac:dyDescent="0.25">
      <c r="A218" s="7" t="s">
        <v>1935</v>
      </c>
      <c r="B218" s="2" t="s">
        <v>1927</v>
      </c>
      <c r="C218" s="4">
        <v>1</v>
      </c>
      <c r="D218" s="5">
        <v>5.4</v>
      </c>
      <c r="E218" s="5">
        <v>12.99</v>
      </c>
      <c r="F218" s="4" t="s">
        <v>1928</v>
      </c>
      <c r="G218" s="2"/>
      <c r="H218" s="7" t="s">
        <v>42</v>
      </c>
      <c r="I218" s="2" t="s">
        <v>92</v>
      </c>
      <c r="J218" s="2" t="s">
        <v>1076</v>
      </c>
      <c r="K218" s="2" t="s">
        <v>304</v>
      </c>
      <c r="L218" s="2" t="s">
        <v>1929</v>
      </c>
    </row>
    <row r="219" spans="1:12" ht="72" x14ac:dyDescent="0.25">
      <c r="A219" s="7" t="s">
        <v>1936</v>
      </c>
      <c r="B219" s="2" t="s">
        <v>1932</v>
      </c>
      <c r="C219" s="4">
        <v>1</v>
      </c>
      <c r="D219" s="5">
        <v>5.4</v>
      </c>
      <c r="E219" s="5">
        <v>12.99</v>
      </c>
      <c r="F219" s="4" t="s">
        <v>1933</v>
      </c>
      <c r="G219" s="2" t="s">
        <v>129</v>
      </c>
      <c r="H219" s="7" t="s">
        <v>42</v>
      </c>
      <c r="I219" s="2" t="s">
        <v>92</v>
      </c>
      <c r="J219" s="2" t="s">
        <v>1076</v>
      </c>
      <c r="K219" s="2" t="s">
        <v>304</v>
      </c>
      <c r="L219" s="2" t="s">
        <v>1929</v>
      </c>
    </row>
    <row r="220" spans="1:12" ht="132" x14ac:dyDescent="0.25">
      <c r="A220" s="7" t="s">
        <v>1937</v>
      </c>
      <c r="B220" s="2" t="s">
        <v>1782</v>
      </c>
      <c r="C220" s="4">
        <v>1</v>
      </c>
      <c r="D220" s="5">
        <v>5.36</v>
      </c>
      <c r="E220" s="5">
        <v>14.99</v>
      </c>
      <c r="F220" s="4" t="s">
        <v>1783</v>
      </c>
      <c r="G220" s="2" t="s">
        <v>62</v>
      </c>
      <c r="H220" s="7" t="s">
        <v>196</v>
      </c>
      <c r="I220" s="2" t="s">
        <v>515</v>
      </c>
      <c r="J220" s="2" t="s">
        <v>827</v>
      </c>
      <c r="K220" s="2" t="s">
        <v>304</v>
      </c>
      <c r="L220" s="2" t="s">
        <v>1784</v>
      </c>
    </row>
    <row r="221" spans="1:12" ht="132" x14ac:dyDescent="0.25">
      <c r="A221" s="7" t="s">
        <v>1938</v>
      </c>
      <c r="B221" s="2" t="s">
        <v>1782</v>
      </c>
      <c r="C221" s="4">
        <v>1</v>
      </c>
      <c r="D221" s="5">
        <v>5.36</v>
      </c>
      <c r="E221" s="5">
        <v>14.99</v>
      </c>
      <c r="F221" s="4" t="s">
        <v>1783</v>
      </c>
      <c r="G221" s="2" t="s">
        <v>62</v>
      </c>
      <c r="H221" s="7" t="s">
        <v>284</v>
      </c>
      <c r="I221" s="2" t="s">
        <v>515</v>
      </c>
      <c r="J221" s="2" t="s">
        <v>827</v>
      </c>
      <c r="K221" s="2" t="s">
        <v>304</v>
      </c>
      <c r="L221" s="2" t="s">
        <v>1784</v>
      </c>
    </row>
    <row r="222" spans="1:12" ht="132" x14ac:dyDescent="0.25">
      <c r="A222" s="7" t="s">
        <v>1939</v>
      </c>
      <c r="B222" s="2" t="s">
        <v>1782</v>
      </c>
      <c r="C222" s="4">
        <v>2</v>
      </c>
      <c r="D222" s="5">
        <v>5.36</v>
      </c>
      <c r="E222" s="5">
        <v>14.99</v>
      </c>
      <c r="F222" s="4" t="s">
        <v>1783</v>
      </c>
      <c r="G222" s="2" t="s">
        <v>353</v>
      </c>
      <c r="H222" s="7" t="s">
        <v>196</v>
      </c>
      <c r="I222" s="2" t="s">
        <v>515</v>
      </c>
      <c r="J222" s="2" t="s">
        <v>827</v>
      </c>
      <c r="K222" s="2" t="s">
        <v>304</v>
      </c>
      <c r="L222" s="2" t="s">
        <v>1784</v>
      </c>
    </row>
    <row r="223" spans="1:12" ht="132" x14ac:dyDescent="0.25">
      <c r="A223" s="7" t="s">
        <v>1940</v>
      </c>
      <c r="B223" s="2" t="s">
        <v>1782</v>
      </c>
      <c r="C223" s="4">
        <v>1</v>
      </c>
      <c r="D223" s="5">
        <v>5.36</v>
      </c>
      <c r="E223" s="5">
        <v>14.99</v>
      </c>
      <c r="F223" s="4" t="s">
        <v>1783</v>
      </c>
      <c r="G223" s="2" t="s">
        <v>353</v>
      </c>
      <c r="H223" s="7" t="s">
        <v>228</v>
      </c>
      <c r="I223" s="2" t="s">
        <v>515</v>
      </c>
      <c r="J223" s="2" t="s">
        <v>827</v>
      </c>
      <c r="K223" s="2" t="s">
        <v>304</v>
      </c>
      <c r="L223" s="2" t="s">
        <v>1784</v>
      </c>
    </row>
    <row r="224" spans="1:12" ht="132" x14ac:dyDescent="0.25">
      <c r="A224" s="7" t="s">
        <v>1941</v>
      </c>
      <c r="B224" s="2" t="s">
        <v>1782</v>
      </c>
      <c r="C224" s="4">
        <v>2</v>
      </c>
      <c r="D224" s="5">
        <v>5.36</v>
      </c>
      <c r="E224" s="5">
        <v>14.99</v>
      </c>
      <c r="F224" s="4" t="s">
        <v>1783</v>
      </c>
      <c r="G224" s="2" t="s">
        <v>353</v>
      </c>
      <c r="H224" s="7" t="s">
        <v>159</v>
      </c>
      <c r="I224" s="2" t="s">
        <v>515</v>
      </c>
      <c r="J224" s="2" t="s">
        <v>827</v>
      </c>
      <c r="K224" s="2" t="s">
        <v>304</v>
      </c>
      <c r="L224" s="2" t="s">
        <v>1784</v>
      </c>
    </row>
    <row r="225" spans="1:12" ht="48" x14ac:dyDescent="0.25">
      <c r="A225" s="7" t="s">
        <v>1942</v>
      </c>
      <c r="B225" s="2" t="s">
        <v>1943</v>
      </c>
      <c r="C225" s="4">
        <v>1</v>
      </c>
      <c r="D225" s="5">
        <v>5.3</v>
      </c>
      <c r="E225" s="5">
        <v>12.99</v>
      </c>
      <c r="F225" s="4" t="s">
        <v>1944</v>
      </c>
      <c r="G225" s="2" t="s">
        <v>41</v>
      </c>
      <c r="H225" s="7" t="s">
        <v>91</v>
      </c>
      <c r="I225" s="2" t="s">
        <v>483</v>
      </c>
      <c r="J225" s="2" t="s">
        <v>536</v>
      </c>
      <c r="K225" s="2" t="s">
        <v>304</v>
      </c>
      <c r="L225" s="2" t="s">
        <v>358</v>
      </c>
    </row>
    <row r="226" spans="1:12" ht="96" x14ac:dyDescent="0.25">
      <c r="A226" s="7" t="s">
        <v>1945</v>
      </c>
      <c r="B226" s="2" t="s">
        <v>1946</v>
      </c>
      <c r="C226" s="4">
        <v>1</v>
      </c>
      <c r="D226" s="5">
        <v>5.25</v>
      </c>
      <c r="E226" s="5">
        <v>14.99</v>
      </c>
      <c r="F226" s="4" t="s">
        <v>1947</v>
      </c>
      <c r="G226" s="2"/>
      <c r="H226" s="7" t="s">
        <v>144</v>
      </c>
      <c r="I226" s="2" t="s">
        <v>92</v>
      </c>
      <c r="J226" s="2" t="s">
        <v>1076</v>
      </c>
      <c r="K226" s="2" t="s">
        <v>304</v>
      </c>
      <c r="L226" s="2" t="s">
        <v>1948</v>
      </c>
    </row>
    <row r="227" spans="1:12" ht="96" x14ac:dyDescent="0.25">
      <c r="A227" s="7" t="s">
        <v>1949</v>
      </c>
      <c r="B227" s="2" t="s">
        <v>1950</v>
      </c>
      <c r="C227" s="4">
        <v>1</v>
      </c>
      <c r="D227" s="5">
        <v>5.25</v>
      </c>
      <c r="E227" s="5">
        <v>14.99</v>
      </c>
      <c r="F227" s="4" t="s">
        <v>1951</v>
      </c>
      <c r="G227" s="2" t="s">
        <v>129</v>
      </c>
      <c r="H227" s="7" t="s">
        <v>209</v>
      </c>
      <c r="I227" s="2" t="s">
        <v>92</v>
      </c>
      <c r="J227" s="2" t="s">
        <v>1076</v>
      </c>
      <c r="K227" s="2" t="s">
        <v>304</v>
      </c>
      <c r="L227" s="2" t="s">
        <v>1948</v>
      </c>
    </row>
    <row r="228" spans="1:12" ht="96" x14ac:dyDescent="0.25">
      <c r="A228" s="7" t="s">
        <v>1952</v>
      </c>
      <c r="B228" s="2" t="s">
        <v>1950</v>
      </c>
      <c r="C228" s="4">
        <v>2</v>
      </c>
      <c r="D228" s="5">
        <v>5.25</v>
      </c>
      <c r="E228" s="5">
        <v>14.99</v>
      </c>
      <c r="F228" s="4" t="s">
        <v>1951</v>
      </c>
      <c r="G228" s="2" t="s">
        <v>129</v>
      </c>
      <c r="H228" s="7" t="s">
        <v>91</v>
      </c>
      <c r="I228" s="2" t="s">
        <v>92</v>
      </c>
      <c r="J228" s="2" t="s">
        <v>1076</v>
      </c>
      <c r="K228" s="2" t="s">
        <v>304</v>
      </c>
      <c r="L228" s="2" t="s">
        <v>1948</v>
      </c>
    </row>
    <row r="229" spans="1:12" ht="96" x14ac:dyDescent="0.25">
      <c r="A229" s="7" t="s">
        <v>1953</v>
      </c>
      <c r="B229" s="2" t="s">
        <v>1950</v>
      </c>
      <c r="C229" s="4">
        <v>1</v>
      </c>
      <c r="D229" s="5">
        <v>5.25</v>
      </c>
      <c r="E229" s="5">
        <v>14.99</v>
      </c>
      <c r="F229" s="4" t="s">
        <v>1951</v>
      </c>
      <c r="G229" s="2" t="s">
        <v>129</v>
      </c>
      <c r="H229" s="7" t="s">
        <v>42</v>
      </c>
      <c r="I229" s="2" t="s">
        <v>92</v>
      </c>
      <c r="J229" s="2" t="s">
        <v>1076</v>
      </c>
      <c r="K229" s="2" t="s">
        <v>304</v>
      </c>
      <c r="L229" s="2" t="s">
        <v>1948</v>
      </c>
    </row>
    <row r="230" spans="1:12" ht="96" x14ac:dyDescent="0.25">
      <c r="A230" s="7" t="s">
        <v>1954</v>
      </c>
      <c r="B230" s="2" t="s">
        <v>1946</v>
      </c>
      <c r="C230" s="4">
        <v>1</v>
      </c>
      <c r="D230" s="5">
        <v>5.25</v>
      </c>
      <c r="E230" s="5">
        <v>14.99</v>
      </c>
      <c r="F230" s="4" t="s">
        <v>1947</v>
      </c>
      <c r="G230" s="2"/>
      <c r="H230" s="7" t="s">
        <v>42</v>
      </c>
      <c r="I230" s="2" t="s">
        <v>92</v>
      </c>
      <c r="J230" s="2" t="s">
        <v>1076</v>
      </c>
      <c r="K230" s="2" t="s">
        <v>304</v>
      </c>
      <c r="L230" s="2" t="s">
        <v>1948</v>
      </c>
    </row>
    <row r="231" spans="1:12" ht="96" x14ac:dyDescent="0.25">
      <c r="A231" s="7" t="s">
        <v>1955</v>
      </c>
      <c r="B231" s="2" t="s">
        <v>1946</v>
      </c>
      <c r="C231" s="4">
        <v>1</v>
      </c>
      <c r="D231" s="5">
        <v>5.25</v>
      </c>
      <c r="E231" s="5">
        <v>14.99</v>
      </c>
      <c r="F231" s="4" t="s">
        <v>1947</v>
      </c>
      <c r="G231" s="2"/>
      <c r="H231" s="7" t="s">
        <v>442</v>
      </c>
      <c r="I231" s="2" t="s">
        <v>92</v>
      </c>
      <c r="J231" s="2" t="s">
        <v>1076</v>
      </c>
      <c r="K231" s="2" t="s">
        <v>304</v>
      </c>
      <c r="L231" s="2" t="s">
        <v>1948</v>
      </c>
    </row>
    <row r="232" spans="1:12" ht="96" x14ac:dyDescent="0.25">
      <c r="A232" s="7" t="s">
        <v>1956</v>
      </c>
      <c r="B232" s="2" t="s">
        <v>1946</v>
      </c>
      <c r="C232" s="4">
        <v>1</v>
      </c>
      <c r="D232" s="5">
        <v>5.25</v>
      </c>
      <c r="E232" s="5">
        <v>14.99</v>
      </c>
      <c r="F232" s="4" t="s">
        <v>1947</v>
      </c>
      <c r="G232" s="2"/>
      <c r="H232" s="7" t="s">
        <v>68</v>
      </c>
      <c r="I232" s="2" t="s">
        <v>92</v>
      </c>
      <c r="J232" s="2" t="s">
        <v>1076</v>
      </c>
      <c r="K232" s="2" t="s">
        <v>304</v>
      </c>
      <c r="L232" s="2" t="s">
        <v>1948</v>
      </c>
    </row>
    <row r="233" spans="1:12" ht="36" x14ac:dyDescent="0.25">
      <c r="A233" s="7" t="s">
        <v>533</v>
      </c>
      <c r="B233" s="2" t="s">
        <v>534</v>
      </c>
      <c r="C233" s="4">
        <v>3</v>
      </c>
      <c r="D233" s="5">
        <v>5.0999999999999996</v>
      </c>
      <c r="E233" s="5">
        <v>13.5</v>
      </c>
      <c r="F233" s="4" t="s">
        <v>535</v>
      </c>
      <c r="G233" s="2" t="s">
        <v>86</v>
      </c>
      <c r="H233" s="7"/>
      <c r="I233" s="2" t="s">
        <v>483</v>
      </c>
      <c r="J233" s="2" t="s">
        <v>536</v>
      </c>
      <c r="K233" s="2" t="s">
        <v>304</v>
      </c>
      <c r="L233" s="2" t="s">
        <v>537</v>
      </c>
    </row>
    <row r="234" spans="1:12" ht="36" x14ac:dyDescent="0.25">
      <c r="A234" s="7" t="s">
        <v>1957</v>
      </c>
      <c r="B234" s="2" t="s">
        <v>534</v>
      </c>
      <c r="C234" s="4">
        <v>1</v>
      </c>
      <c r="D234" s="5">
        <v>5.0999999999999996</v>
      </c>
      <c r="E234" s="5">
        <v>13.5</v>
      </c>
      <c r="F234" s="4">
        <v>100006338</v>
      </c>
      <c r="G234" s="2" t="s">
        <v>86</v>
      </c>
      <c r="H234" s="7" t="s">
        <v>149</v>
      </c>
      <c r="I234" s="2" t="s">
        <v>483</v>
      </c>
      <c r="J234" s="2" t="s">
        <v>536</v>
      </c>
      <c r="K234" s="2" t="s">
        <v>304</v>
      </c>
      <c r="L234" s="2" t="s">
        <v>537</v>
      </c>
    </row>
    <row r="235" spans="1:12" ht="84" x14ac:dyDescent="0.25">
      <c r="A235" s="7" t="s">
        <v>1958</v>
      </c>
      <c r="B235" s="2" t="s">
        <v>1959</v>
      </c>
      <c r="C235" s="4">
        <v>1</v>
      </c>
      <c r="D235" s="5">
        <v>5.05</v>
      </c>
      <c r="E235" s="5">
        <v>12.99</v>
      </c>
      <c r="F235" s="4" t="s">
        <v>1960</v>
      </c>
      <c r="G235" s="2" t="s">
        <v>48</v>
      </c>
      <c r="H235" s="7" t="s">
        <v>196</v>
      </c>
      <c r="I235" s="2" t="s">
        <v>515</v>
      </c>
      <c r="J235" s="2" t="s">
        <v>827</v>
      </c>
      <c r="K235" s="2" t="s">
        <v>304</v>
      </c>
      <c r="L235" s="2" t="s">
        <v>1117</v>
      </c>
    </row>
    <row r="236" spans="1:12" ht="36" x14ac:dyDescent="0.25">
      <c r="A236" s="7" t="s">
        <v>1961</v>
      </c>
      <c r="B236" s="2" t="s">
        <v>1915</v>
      </c>
      <c r="C236" s="4">
        <v>1</v>
      </c>
      <c r="D236" s="5">
        <v>5</v>
      </c>
      <c r="E236" s="5">
        <v>9.99</v>
      </c>
      <c r="F236" s="4" t="s">
        <v>1962</v>
      </c>
      <c r="G236" s="2" t="s">
        <v>41</v>
      </c>
      <c r="H236" s="7" t="s">
        <v>144</v>
      </c>
      <c r="I236" s="2" t="s">
        <v>73</v>
      </c>
      <c r="J236" s="2" t="s">
        <v>1963</v>
      </c>
      <c r="K236" s="2" t="s">
        <v>304</v>
      </c>
      <c r="L236" s="2" t="s">
        <v>125</v>
      </c>
    </row>
    <row r="237" spans="1:12" ht="36" x14ac:dyDescent="0.25">
      <c r="A237" s="7" t="s">
        <v>1964</v>
      </c>
      <c r="B237" s="2" t="s">
        <v>1965</v>
      </c>
      <c r="C237" s="4">
        <v>1</v>
      </c>
      <c r="D237" s="5">
        <v>5</v>
      </c>
      <c r="E237" s="5">
        <v>11.99</v>
      </c>
      <c r="F237" s="4" t="s">
        <v>1966</v>
      </c>
      <c r="G237" s="2" t="s">
        <v>48</v>
      </c>
      <c r="H237" s="7" t="s">
        <v>209</v>
      </c>
      <c r="I237" s="2" t="s">
        <v>173</v>
      </c>
      <c r="J237" s="2" t="s">
        <v>1967</v>
      </c>
      <c r="K237" s="2" t="s">
        <v>304</v>
      </c>
      <c r="L237" s="2" t="s">
        <v>119</v>
      </c>
    </row>
    <row r="238" spans="1:12" ht="48" x14ac:dyDescent="0.25">
      <c r="A238" s="7" t="s">
        <v>1968</v>
      </c>
      <c r="B238" s="2" t="s">
        <v>1969</v>
      </c>
      <c r="C238" s="4">
        <v>1</v>
      </c>
      <c r="D238" s="5">
        <v>4.9800000000000004</v>
      </c>
      <c r="E238" s="5">
        <v>12.99</v>
      </c>
      <c r="F238" s="4" t="s">
        <v>1970</v>
      </c>
      <c r="G238" s="2" t="s">
        <v>437</v>
      </c>
      <c r="H238" s="7" t="s">
        <v>228</v>
      </c>
      <c r="I238" s="2" t="s">
        <v>515</v>
      </c>
      <c r="J238" s="2" t="s">
        <v>1971</v>
      </c>
      <c r="K238" s="2" t="s">
        <v>304</v>
      </c>
      <c r="L238" s="2" t="s">
        <v>119</v>
      </c>
    </row>
    <row r="239" spans="1:12" ht="48" x14ac:dyDescent="0.25">
      <c r="A239" s="7" t="s">
        <v>1972</v>
      </c>
      <c r="B239" s="2" t="s">
        <v>1969</v>
      </c>
      <c r="C239" s="4">
        <v>1</v>
      </c>
      <c r="D239" s="5">
        <v>4.9800000000000004</v>
      </c>
      <c r="E239" s="5">
        <v>12.99</v>
      </c>
      <c r="F239" s="4" t="s">
        <v>1970</v>
      </c>
      <c r="G239" s="2" t="s">
        <v>48</v>
      </c>
      <c r="H239" s="7" t="s">
        <v>159</v>
      </c>
      <c r="I239" s="2" t="s">
        <v>515</v>
      </c>
      <c r="J239" s="2" t="s">
        <v>1971</v>
      </c>
      <c r="K239" s="2" t="s">
        <v>304</v>
      </c>
      <c r="L239" s="2" t="s">
        <v>119</v>
      </c>
    </row>
    <row r="240" spans="1:12" ht="48" x14ac:dyDescent="0.25">
      <c r="A240" s="7" t="s">
        <v>1973</v>
      </c>
      <c r="B240" s="2" t="s">
        <v>1969</v>
      </c>
      <c r="C240" s="4">
        <v>1</v>
      </c>
      <c r="D240" s="5">
        <v>4.9800000000000004</v>
      </c>
      <c r="E240" s="5">
        <v>12.99</v>
      </c>
      <c r="F240" s="4" t="s">
        <v>1970</v>
      </c>
      <c r="G240" s="2" t="s">
        <v>48</v>
      </c>
      <c r="H240" s="7" t="s">
        <v>196</v>
      </c>
      <c r="I240" s="2" t="s">
        <v>515</v>
      </c>
      <c r="J240" s="2" t="s">
        <v>1971</v>
      </c>
      <c r="K240" s="2" t="s">
        <v>304</v>
      </c>
      <c r="L240" s="2" t="s">
        <v>119</v>
      </c>
    </row>
    <row r="241" spans="1:12" ht="48" x14ac:dyDescent="0.25">
      <c r="A241" s="7" t="s">
        <v>1974</v>
      </c>
      <c r="B241" s="2" t="s">
        <v>1975</v>
      </c>
      <c r="C241" s="4">
        <v>1</v>
      </c>
      <c r="D241" s="5">
        <v>4.93</v>
      </c>
      <c r="E241" s="5">
        <v>12.99</v>
      </c>
      <c r="F241" s="4" t="s">
        <v>1976</v>
      </c>
      <c r="G241" s="2" t="s">
        <v>527</v>
      </c>
      <c r="H241" s="7" t="s">
        <v>284</v>
      </c>
      <c r="I241" s="2" t="s">
        <v>515</v>
      </c>
      <c r="J241" s="2" t="s">
        <v>1971</v>
      </c>
      <c r="K241" s="2" t="s">
        <v>304</v>
      </c>
      <c r="L241" s="2" t="s">
        <v>119</v>
      </c>
    </row>
    <row r="242" spans="1:12" ht="48" x14ac:dyDescent="0.25">
      <c r="A242" s="7" t="s">
        <v>1977</v>
      </c>
      <c r="B242" s="2" t="s">
        <v>1975</v>
      </c>
      <c r="C242" s="4">
        <v>1</v>
      </c>
      <c r="D242" s="5">
        <v>4.93</v>
      </c>
      <c r="E242" s="5">
        <v>12.99</v>
      </c>
      <c r="F242" s="4" t="s">
        <v>1976</v>
      </c>
      <c r="G242" s="2" t="s">
        <v>527</v>
      </c>
      <c r="H242" s="7" t="s">
        <v>159</v>
      </c>
      <c r="I242" s="2" t="s">
        <v>515</v>
      </c>
      <c r="J242" s="2" t="s">
        <v>1971</v>
      </c>
      <c r="K242" s="2" t="s">
        <v>304</v>
      </c>
      <c r="L242" s="2" t="s">
        <v>119</v>
      </c>
    </row>
    <row r="243" spans="1:12" ht="84" x14ac:dyDescent="0.25">
      <c r="A243" s="7" t="s">
        <v>1978</v>
      </c>
      <c r="B243" s="2" t="s">
        <v>1979</v>
      </c>
      <c r="C243" s="4">
        <v>1</v>
      </c>
      <c r="D243" s="5">
        <v>4.92</v>
      </c>
      <c r="E243" s="5">
        <v>12.99</v>
      </c>
      <c r="F243" s="4" t="s">
        <v>1980</v>
      </c>
      <c r="G243" s="2" t="s">
        <v>62</v>
      </c>
      <c r="H243" s="7" t="s">
        <v>284</v>
      </c>
      <c r="I243" s="2" t="s">
        <v>515</v>
      </c>
      <c r="J243" s="2" t="s">
        <v>827</v>
      </c>
      <c r="K243" s="2" t="s">
        <v>304</v>
      </c>
      <c r="L243" s="2" t="s">
        <v>1117</v>
      </c>
    </row>
    <row r="244" spans="1:12" ht="84" x14ac:dyDescent="0.25">
      <c r="A244" s="7" t="s">
        <v>1981</v>
      </c>
      <c r="B244" s="2" t="s">
        <v>1979</v>
      </c>
      <c r="C244" s="4">
        <v>1</v>
      </c>
      <c r="D244" s="5">
        <v>4.92</v>
      </c>
      <c r="E244" s="5">
        <v>12.99</v>
      </c>
      <c r="F244" s="4" t="s">
        <v>1980</v>
      </c>
      <c r="G244" s="2" t="s">
        <v>62</v>
      </c>
      <c r="H244" s="7" t="s">
        <v>228</v>
      </c>
      <c r="I244" s="2" t="s">
        <v>515</v>
      </c>
      <c r="J244" s="2" t="s">
        <v>827</v>
      </c>
      <c r="K244" s="2" t="s">
        <v>304</v>
      </c>
      <c r="L244" s="2" t="s">
        <v>1117</v>
      </c>
    </row>
    <row r="245" spans="1:12" ht="36" x14ac:dyDescent="0.25">
      <c r="A245" s="7" t="s">
        <v>1982</v>
      </c>
      <c r="B245" s="2" t="s">
        <v>1983</v>
      </c>
      <c r="C245" s="4">
        <v>1</v>
      </c>
      <c r="D245" s="5">
        <v>4.82</v>
      </c>
      <c r="E245" s="5">
        <v>12.99</v>
      </c>
      <c r="F245" s="4" t="s">
        <v>1984</v>
      </c>
      <c r="G245" s="2" t="s">
        <v>297</v>
      </c>
      <c r="H245" s="7" t="s">
        <v>42</v>
      </c>
      <c r="I245" s="2" t="s">
        <v>483</v>
      </c>
      <c r="J245" s="2" t="s">
        <v>536</v>
      </c>
      <c r="K245" s="2" t="s">
        <v>304</v>
      </c>
      <c r="L245" s="2" t="s">
        <v>38</v>
      </c>
    </row>
    <row r="246" spans="1:12" ht="36" x14ac:dyDescent="0.25">
      <c r="A246" s="7" t="s">
        <v>1985</v>
      </c>
      <c r="B246" s="2" t="s">
        <v>1986</v>
      </c>
      <c r="C246" s="4">
        <v>1</v>
      </c>
      <c r="D246" s="5">
        <v>4.8</v>
      </c>
      <c r="E246" s="5">
        <v>9.99</v>
      </c>
      <c r="F246" s="4">
        <v>16626310</v>
      </c>
      <c r="G246" s="2"/>
      <c r="H246" s="7" t="s">
        <v>438</v>
      </c>
      <c r="I246" s="2" t="s">
        <v>153</v>
      </c>
      <c r="J246" s="2" t="s">
        <v>154</v>
      </c>
      <c r="K246" s="2" t="s">
        <v>304</v>
      </c>
      <c r="L246" s="2" t="s">
        <v>206</v>
      </c>
    </row>
    <row r="247" spans="1:12" ht="48" x14ac:dyDescent="0.25">
      <c r="A247" s="7" t="s">
        <v>1987</v>
      </c>
      <c r="B247" s="2" t="s">
        <v>1988</v>
      </c>
      <c r="C247" s="4">
        <v>1</v>
      </c>
      <c r="D247" s="5">
        <v>4.79</v>
      </c>
      <c r="E247" s="5">
        <v>12.99</v>
      </c>
      <c r="F247" s="4" t="s">
        <v>1989</v>
      </c>
      <c r="G247" s="2" t="s">
        <v>48</v>
      </c>
      <c r="H247" s="7" t="s">
        <v>196</v>
      </c>
      <c r="I247" s="2" t="s">
        <v>515</v>
      </c>
      <c r="J247" s="2" t="s">
        <v>1971</v>
      </c>
      <c r="K247" s="2" t="s">
        <v>304</v>
      </c>
      <c r="L247" s="2" t="s">
        <v>119</v>
      </c>
    </row>
    <row r="248" spans="1:12" ht="24" x14ac:dyDescent="0.25">
      <c r="A248" s="7" t="s">
        <v>1990</v>
      </c>
      <c r="B248" s="2" t="s">
        <v>1991</v>
      </c>
      <c r="C248" s="4">
        <v>2</v>
      </c>
      <c r="D248" s="5">
        <v>4.75</v>
      </c>
      <c r="E248" s="5">
        <v>8.99</v>
      </c>
      <c r="F248" s="4" t="s">
        <v>1992</v>
      </c>
      <c r="G248" s="2" t="s">
        <v>653</v>
      </c>
      <c r="H248" s="7" t="s">
        <v>284</v>
      </c>
      <c r="I248" s="2" t="s">
        <v>73</v>
      </c>
      <c r="J248" s="2" t="s">
        <v>1917</v>
      </c>
      <c r="K248" s="2" t="s">
        <v>304</v>
      </c>
      <c r="L248" s="2" t="s">
        <v>125</v>
      </c>
    </row>
    <row r="249" spans="1:12" ht="24" x14ac:dyDescent="0.25">
      <c r="A249" s="7" t="s">
        <v>1993</v>
      </c>
      <c r="B249" s="2" t="s">
        <v>1991</v>
      </c>
      <c r="C249" s="4">
        <v>1</v>
      </c>
      <c r="D249" s="5">
        <v>4.75</v>
      </c>
      <c r="E249" s="5">
        <v>8.99</v>
      </c>
      <c r="F249" s="4" t="s">
        <v>1992</v>
      </c>
      <c r="G249" s="2" t="s">
        <v>653</v>
      </c>
      <c r="H249" s="7" t="s">
        <v>228</v>
      </c>
      <c r="I249" s="2" t="s">
        <v>73</v>
      </c>
      <c r="J249" s="2" t="s">
        <v>1917</v>
      </c>
      <c r="K249" s="2" t="s">
        <v>304</v>
      </c>
      <c r="L249" s="2" t="s">
        <v>125</v>
      </c>
    </row>
    <row r="250" spans="1:12" ht="24" x14ac:dyDescent="0.25">
      <c r="A250" s="7" t="s">
        <v>1994</v>
      </c>
      <c r="B250" s="2" t="s">
        <v>1991</v>
      </c>
      <c r="C250" s="4">
        <v>1</v>
      </c>
      <c r="D250" s="5">
        <v>4.75</v>
      </c>
      <c r="E250" s="5">
        <v>8.99</v>
      </c>
      <c r="F250" s="4" t="s">
        <v>1992</v>
      </c>
      <c r="G250" s="2" t="s">
        <v>653</v>
      </c>
      <c r="H250" s="7" t="s">
        <v>159</v>
      </c>
      <c r="I250" s="2" t="s">
        <v>73</v>
      </c>
      <c r="J250" s="2" t="s">
        <v>1917</v>
      </c>
      <c r="K250" s="2" t="s">
        <v>304</v>
      </c>
      <c r="L250" s="2" t="s">
        <v>125</v>
      </c>
    </row>
    <row r="251" spans="1:12" ht="108" x14ac:dyDescent="0.25">
      <c r="A251" s="7" t="s">
        <v>1995</v>
      </c>
      <c r="B251" s="2" t="s">
        <v>1996</v>
      </c>
      <c r="C251" s="4">
        <v>1</v>
      </c>
      <c r="D251" s="5">
        <v>4.67</v>
      </c>
      <c r="E251" s="5">
        <v>12</v>
      </c>
      <c r="F251" s="4" t="s">
        <v>1997</v>
      </c>
      <c r="G251" s="2" t="s">
        <v>437</v>
      </c>
      <c r="H251" s="7" t="s">
        <v>149</v>
      </c>
      <c r="I251" s="2" t="s">
        <v>483</v>
      </c>
      <c r="J251" s="2" t="s">
        <v>536</v>
      </c>
      <c r="K251" s="2" t="s">
        <v>304</v>
      </c>
      <c r="L251" s="2" t="s">
        <v>1998</v>
      </c>
    </row>
    <row r="252" spans="1:12" ht="108" x14ac:dyDescent="0.25">
      <c r="A252" s="7" t="s">
        <v>1999</v>
      </c>
      <c r="B252" s="2" t="s">
        <v>1996</v>
      </c>
      <c r="C252" s="4">
        <v>2</v>
      </c>
      <c r="D252" s="5">
        <v>4.67</v>
      </c>
      <c r="E252" s="5">
        <v>12</v>
      </c>
      <c r="F252" s="4" t="s">
        <v>1997</v>
      </c>
      <c r="G252" s="2" t="s">
        <v>437</v>
      </c>
      <c r="H252" s="7" t="s">
        <v>482</v>
      </c>
      <c r="I252" s="2" t="s">
        <v>483</v>
      </c>
      <c r="J252" s="2" t="s">
        <v>536</v>
      </c>
      <c r="K252" s="2" t="s">
        <v>304</v>
      </c>
      <c r="L252" s="2" t="s">
        <v>1998</v>
      </c>
    </row>
    <row r="253" spans="1:12" ht="108" x14ac:dyDescent="0.25">
      <c r="A253" s="7" t="s">
        <v>2000</v>
      </c>
      <c r="B253" s="2" t="s">
        <v>1996</v>
      </c>
      <c r="C253" s="4">
        <v>1</v>
      </c>
      <c r="D253" s="5">
        <v>4.67</v>
      </c>
      <c r="E253" s="5">
        <v>12</v>
      </c>
      <c r="F253" s="4" t="s">
        <v>1997</v>
      </c>
      <c r="G253" s="2" t="s">
        <v>437</v>
      </c>
      <c r="H253" s="7"/>
      <c r="I253" s="2" t="s">
        <v>483</v>
      </c>
      <c r="J253" s="2" t="s">
        <v>536</v>
      </c>
      <c r="K253" s="2" t="s">
        <v>304</v>
      </c>
      <c r="L253" s="2" t="s">
        <v>1998</v>
      </c>
    </row>
    <row r="254" spans="1:12" ht="48" x14ac:dyDescent="0.25">
      <c r="A254" s="7" t="s">
        <v>2001</v>
      </c>
      <c r="B254" s="2" t="s">
        <v>2002</v>
      </c>
      <c r="C254" s="4">
        <v>1</v>
      </c>
      <c r="D254" s="5">
        <v>4.6500000000000004</v>
      </c>
      <c r="E254" s="5">
        <v>14.99</v>
      </c>
      <c r="F254" s="4" t="s">
        <v>2003</v>
      </c>
      <c r="G254" s="2" t="s">
        <v>657</v>
      </c>
      <c r="H254" s="7" t="s">
        <v>123</v>
      </c>
      <c r="I254" s="2" t="s">
        <v>292</v>
      </c>
      <c r="J254" s="2" t="s">
        <v>354</v>
      </c>
      <c r="K254" s="2" t="s">
        <v>304</v>
      </c>
      <c r="L254" s="2" t="s">
        <v>125</v>
      </c>
    </row>
    <row r="255" spans="1:12" ht="48" x14ac:dyDescent="0.25">
      <c r="A255" s="7" t="s">
        <v>2004</v>
      </c>
      <c r="B255" s="2" t="s">
        <v>2002</v>
      </c>
      <c r="C255" s="4">
        <v>1</v>
      </c>
      <c r="D255" s="5">
        <v>4.6500000000000004</v>
      </c>
      <c r="E255" s="5">
        <v>14.99</v>
      </c>
      <c r="F255" s="4" t="s">
        <v>2003</v>
      </c>
      <c r="G255" s="2" t="s">
        <v>657</v>
      </c>
      <c r="H255" s="7" t="s">
        <v>379</v>
      </c>
      <c r="I255" s="2" t="s">
        <v>292</v>
      </c>
      <c r="J255" s="2" t="s">
        <v>354</v>
      </c>
      <c r="K255" s="2" t="s">
        <v>304</v>
      </c>
      <c r="L255" s="2" t="s">
        <v>125</v>
      </c>
    </row>
    <row r="256" spans="1:12" ht="48" x14ac:dyDescent="0.25">
      <c r="A256" s="7" t="s">
        <v>2005</v>
      </c>
      <c r="B256" s="2" t="s">
        <v>2006</v>
      </c>
      <c r="C256" s="4">
        <v>1</v>
      </c>
      <c r="D256" s="5">
        <v>4.5999999999999996</v>
      </c>
      <c r="E256" s="5">
        <v>10.99</v>
      </c>
      <c r="F256" s="4" t="s">
        <v>2007</v>
      </c>
      <c r="G256" s="2" t="s">
        <v>86</v>
      </c>
      <c r="H256" s="7" t="s">
        <v>166</v>
      </c>
      <c r="I256" s="2" t="s">
        <v>218</v>
      </c>
      <c r="J256" s="2" t="s">
        <v>2008</v>
      </c>
      <c r="K256" s="2" t="s">
        <v>304</v>
      </c>
      <c r="L256" s="2" t="s">
        <v>358</v>
      </c>
    </row>
    <row r="257" spans="1:12" ht="48" x14ac:dyDescent="0.25">
      <c r="A257" s="7" t="s">
        <v>2009</v>
      </c>
      <c r="B257" s="2" t="s">
        <v>2006</v>
      </c>
      <c r="C257" s="4">
        <v>1</v>
      </c>
      <c r="D257" s="5">
        <v>4.5999999999999996</v>
      </c>
      <c r="E257" s="5">
        <v>10.99</v>
      </c>
      <c r="F257" s="4" t="s">
        <v>2007</v>
      </c>
      <c r="G257" s="2" t="s">
        <v>62</v>
      </c>
      <c r="H257" s="7" t="s">
        <v>311</v>
      </c>
      <c r="I257" s="2" t="s">
        <v>218</v>
      </c>
      <c r="J257" s="2" t="s">
        <v>2008</v>
      </c>
      <c r="K257" s="2" t="s">
        <v>304</v>
      </c>
      <c r="L257" s="2" t="s">
        <v>358</v>
      </c>
    </row>
    <row r="258" spans="1:12" ht="84" x14ac:dyDescent="0.25">
      <c r="A258" s="7" t="s">
        <v>2010</v>
      </c>
      <c r="B258" s="2" t="s">
        <v>2011</v>
      </c>
      <c r="C258" s="4">
        <v>1</v>
      </c>
      <c r="D258" s="5">
        <v>4.59</v>
      </c>
      <c r="E258" s="5">
        <v>12.99</v>
      </c>
      <c r="F258" s="4" t="s">
        <v>2012</v>
      </c>
      <c r="G258" s="2" t="s">
        <v>28</v>
      </c>
      <c r="H258" s="7" t="s">
        <v>228</v>
      </c>
      <c r="I258" s="2" t="s">
        <v>515</v>
      </c>
      <c r="J258" s="2" t="s">
        <v>827</v>
      </c>
      <c r="K258" s="2" t="s">
        <v>304</v>
      </c>
      <c r="L258" s="2" t="s">
        <v>1117</v>
      </c>
    </row>
    <row r="259" spans="1:12" ht="48" x14ac:dyDescent="0.25">
      <c r="A259" s="7" t="s">
        <v>2013</v>
      </c>
      <c r="B259" s="2" t="s">
        <v>2014</v>
      </c>
      <c r="C259" s="4">
        <v>1</v>
      </c>
      <c r="D259" s="5">
        <v>4.54</v>
      </c>
      <c r="E259" s="5">
        <v>10.99</v>
      </c>
      <c r="F259" s="4" t="s">
        <v>2015</v>
      </c>
      <c r="G259" s="2" t="s">
        <v>134</v>
      </c>
      <c r="H259" s="7" t="s">
        <v>166</v>
      </c>
      <c r="I259" s="2" t="s">
        <v>218</v>
      </c>
      <c r="J259" s="2" t="s">
        <v>2008</v>
      </c>
      <c r="K259" s="2" t="s">
        <v>304</v>
      </c>
      <c r="L259" s="2" t="s">
        <v>119</v>
      </c>
    </row>
    <row r="260" spans="1:12" ht="96" x14ac:dyDescent="0.25">
      <c r="A260" s="7" t="s">
        <v>2016</v>
      </c>
      <c r="B260" s="2" t="s">
        <v>2017</v>
      </c>
      <c r="C260" s="4">
        <v>1</v>
      </c>
      <c r="D260" s="5">
        <v>4.54</v>
      </c>
      <c r="E260" s="5">
        <v>12.99</v>
      </c>
      <c r="F260" s="4" t="s">
        <v>2018</v>
      </c>
      <c r="G260" s="2" t="s">
        <v>36</v>
      </c>
      <c r="H260" s="7" t="s">
        <v>159</v>
      </c>
      <c r="I260" s="2" t="s">
        <v>515</v>
      </c>
      <c r="J260" s="2" t="s">
        <v>827</v>
      </c>
      <c r="K260" s="2" t="s">
        <v>304</v>
      </c>
      <c r="L260" s="2" t="s">
        <v>1516</v>
      </c>
    </row>
    <row r="261" spans="1:12" ht="48" x14ac:dyDescent="0.25">
      <c r="A261" s="7" t="s">
        <v>2019</v>
      </c>
      <c r="B261" s="2" t="s">
        <v>2020</v>
      </c>
      <c r="C261" s="4">
        <v>1</v>
      </c>
      <c r="D261" s="5">
        <v>4.49</v>
      </c>
      <c r="E261" s="5">
        <v>12.99</v>
      </c>
      <c r="F261" s="4" t="s">
        <v>2021</v>
      </c>
      <c r="G261" s="2" t="s">
        <v>41</v>
      </c>
      <c r="H261" s="7" t="s">
        <v>228</v>
      </c>
      <c r="I261" s="2" t="s">
        <v>515</v>
      </c>
      <c r="J261" s="2" t="s">
        <v>1971</v>
      </c>
      <c r="K261" s="2" t="s">
        <v>304</v>
      </c>
      <c r="L261" s="2" t="s">
        <v>119</v>
      </c>
    </row>
    <row r="262" spans="1:12" ht="60" x14ac:dyDescent="0.25">
      <c r="A262" s="7" t="s">
        <v>2022</v>
      </c>
      <c r="B262" s="2" t="s">
        <v>2023</v>
      </c>
      <c r="C262" s="4">
        <v>1</v>
      </c>
      <c r="D262" s="5">
        <v>4.46</v>
      </c>
      <c r="E262" s="5">
        <v>12</v>
      </c>
      <c r="F262" s="4" t="s">
        <v>2024</v>
      </c>
      <c r="G262" s="2" t="s">
        <v>437</v>
      </c>
      <c r="H262" s="7" t="s">
        <v>586</v>
      </c>
      <c r="I262" s="2" t="s">
        <v>483</v>
      </c>
      <c r="J262" s="2" t="s">
        <v>536</v>
      </c>
      <c r="K262" s="2" t="s">
        <v>304</v>
      </c>
      <c r="L262" s="2" t="s">
        <v>1207</v>
      </c>
    </row>
    <row r="263" spans="1:12" ht="60" x14ac:dyDescent="0.25">
      <c r="A263" s="7" t="s">
        <v>2025</v>
      </c>
      <c r="B263" s="2" t="s">
        <v>2023</v>
      </c>
      <c r="C263" s="4">
        <v>1</v>
      </c>
      <c r="D263" s="5">
        <v>4.46</v>
      </c>
      <c r="E263" s="5">
        <v>12</v>
      </c>
      <c r="F263" s="4" t="s">
        <v>2024</v>
      </c>
      <c r="G263" s="2" t="s">
        <v>437</v>
      </c>
      <c r="H263" s="7"/>
      <c r="I263" s="2" t="s">
        <v>483</v>
      </c>
      <c r="J263" s="2" t="s">
        <v>536</v>
      </c>
      <c r="K263" s="2" t="s">
        <v>304</v>
      </c>
      <c r="L263" s="2" t="s">
        <v>1207</v>
      </c>
    </row>
    <row r="264" spans="1:12" ht="60" x14ac:dyDescent="0.25">
      <c r="A264" s="7" t="s">
        <v>2026</v>
      </c>
      <c r="B264" s="2" t="s">
        <v>2023</v>
      </c>
      <c r="C264" s="4">
        <v>1</v>
      </c>
      <c r="D264" s="5">
        <v>4.46</v>
      </c>
      <c r="E264" s="5">
        <v>12</v>
      </c>
      <c r="F264" s="4" t="s">
        <v>2024</v>
      </c>
      <c r="G264" s="2" t="s">
        <v>437</v>
      </c>
      <c r="H264" s="7" t="s">
        <v>604</v>
      </c>
      <c r="I264" s="2" t="s">
        <v>483</v>
      </c>
      <c r="J264" s="2" t="s">
        <v>536</v>
      </c>
      <c r="K264" s="2" t="s">
        <v>304</v>
      </c>
      <c r="L264" s="2" t="s">
        <v>1207</v>
      </c>
    </row>
    <row r="265" spans="1:12" ht="48" x14ac:dyDescent="0.25">
      <c r="A265" s="7" t="s">
        <v>2027</v>
      </c>
      <c r="B265" s="2" t="s">
        <v>2028</v>
      </c>
      <c r="C265" s="4">
        <v>2</v>
      </c>
      <c r="D265" s="5">
        <v>4.43</v>
      </c>
      <c r="E265" s="5">
        <v>12.99</v>
      </c>
      <c r="F265" s="4" t="s">
        <v>2029</v>
      </c>
      <c r="G265" s="2" t="s">
        <v>653</v>
      </c>
      <c r="H265" s="7" t="s">
        <v>228</v>
      </c>
      <c r="I265" s="2" t="s">
        <v>515</v>
      </c>
      <c r="J265" s="2" t="s">
        <v>827</v>
      </c>
      <c r="K265" s="2" t="s">
        <v>304</v>
      </c>
      <c r="L265" s="2" t="s">
        <v>358</v>
      </c>
    </row>
    <row r="266" spans="1:12" ht="48" x14ac:dyDescent="0.25">
      <c r="A266" s="7" t="s">
        <v>2030</v>
      </c>
      <c r="B266" s="2" t="s">
        <v>2028</v>
      </c>
      <c r="C266" s="4">
        <v>1</v>
      </c>
      <c r="D266" s="5">
        <v>4.43</v>
      </c>
      <c r="E266" s="5">
        <v>12.99</v>
      </c>
      <c r="F266" s="4" t="s">
        <v>2029</v>
      </c>
      <c r="G266" s="2" t="s">
        <v>653</v>
      </c>
      <c r="H266" s="7" t="s">
        <v>159</v>
      </c>
      <c r="I266" s="2" t="s">
        <v>515</v>
      </c>
      <c r="J266" s="2" t="s">
        <v>827</v>
      </c>
      <c r="K266" s="2" t="s">
        <v>304</v>
      </c>
      <c r="L266" s="2" t="s">
        <v>358</v>
      </c>
    </row>
    <row r="267" spans="1:12" ht="84" x14ac:dyDescent="0.25">
      <c r="A267" s="7" t="s">
        <v>2031</v>
      </c>
      <c r="B267" s="2" t="s">
        <v>2032</v>
      </c>
      <c r="C267" s="4">
        <v>1</v>
      </c>
      <c r="D267" s="5">
        <v>4.43</v>
      </c>
      <c r="E267" s="5">
        <v>12.99</v>
      </c>
      <c r="F267" s="4" t="s">
        <v>2033</v>
      </c>
      <c r="G267" s="2" t="s">
        <v>653</v>
      </c>
      <c r="H267" s="7" t="s">
        <v>196</v>
      </c>
      <c r="I267" s="2" t="s">
        <v>515</v>
      </c>
      <c r="J267" s="2" t="s">
        <v>827</v>
      </c>
      <c r="K267" s="2" t="s">
        <v>304</v>
      </c>
      <c r="L267" s="2" t="s">
        <v>1117</v>
      </c>
    </row>
    <row r="268" spans="1:12" ht="48" x14ac:dyDescent="0.25">
      <c r="A268" s="7" t="s">
        <v>2034</v>
      </c>
      <c r="B268" s="2" t="s">
        <v>2028</v>
      </c>
      <c r="C268" s="4">
        <v>1</v>
      </c>
      <c r="D268" s="5">
        <v>4.43</v>
      </c>
      <c r="E268" s="5">
        <v>12.99</v>
      </c>
      <c r="F268" s="4" t="s">
        <v>2029</v>
      </c>
      <c r="G268" s="2" t="s">
        <v>653</v>
      </c>
      <c r="H268" s="7" t="s">
        <v>284</v>
      </c>
      <c r="I268" s="2" t="s">
        <v>515</v>
      </c>
      <c r="J268" s="2" t="s">
        <v>827</v>
      </c>
      <c r="K268" s="2" t="s">
        <v>304</v>
      </c>
      <c r="L268" s="2" t="s">
        <v>358</v>
      </c>
    </row>
    <row r="269" spans="1:12" ht="84" x14ac:dyDescent="0.25">
      <c r="A269" s="7" t="s">
        <v>2035</v>
      </c>
      <c r="B269" s="2" t="s">
        <v>2036</v>
      </c>
      <c r="C269" s="4">
        <v>1</v>
      </c>
      <c r="D269" s="5">
        <v>4.43</v>
      </c>
      <c r="E269" s="5">
        <v>12.99</v>
      </c>
      <c r="F269" s="4" t="s">
        <v>2037</v>
      </c>
      <c r="G269" s="2" t="s">
        <v>48</v>
      </c>
      <c r="H269" s="7" t="s">
        <v>196</v>
      </c>
      <c r="I269" s="2" t="s">
        <v>515</v>
      </c>
      <c r="J269" s="2" t="s">
        <v>827</v>
      </c>
      <c r="K269" s="2" t="s">
        <v>304</v>
      </c>
      <c r="L269" s="2" t="s">
        <v>1117</v>
      </c>
    </row>
    <row r="270" spans="1:12" ht="84" x14ac:dyDescent="0.25">
      <c r="A270" s="7" t="s">
        <v>2038</v>
      </c>
      <c r="B270" s="2" t="s">
        <v>2032</v>
      </c>
      <c r="C270" s="4">
        <v>1</v>
      </c>
      <c r="D270" s="5">
        <v>4.43</v>
      </c>
      <c r="E270" s="5">
        <v>12.99</v>
      </c>
      <c r="F270" s="4" t="s">
        <v>2033</v>
      </c>
      <c r="G270" s="2" t="s">
        <v>653</v>
      </c>
      <c r="H270" s="7" t="s">
        <v>228</v>
      </c>
      <c r="I270" s="2" t="s">
        <v>515</v>
      </c>
      <c r="J270" s="2" t="s">
        <v>827</v>
      </c>
      <c r="K270" s="2" t="s">
        <v>304</v>
      </c>
      <c r="L270" s="2" t="s">
        <v>1117</v>
      </c>
    </row>
    <row r="271" spans="1:12" ht="36" x14ac:dyDescent="0.25">
      <c r="A271" s="7" t="s">
        <v>2039</v>
      </c>
      <c r="B271" s="2" t="s">
        <v>2040</v>
      </c>
      <c r="C271" s="4">
        <v>1</v>
      </c>
      <c r="D271" s="5">
        <v>4.4000000000000004</v>
      </c>
      <c r="E271" s="5">
        <v>8.99</v>
      </c>
      <c r="F271" s="4">
        <v>16475216</v>
      </c>
      <c r="G271" s="2"/>
      <c r="H271" s="7" t="s">
        <v>675</v>
      </c>
      <c r="I271" s="2" t="s">
        <v>153</v>
      </c>
      <c r="J271" s="2" t="s">
        <v>154</v>
      </c>
      <c r="K271" s="2" t="s">
        <v>304</v>
      </c>
      <c r="L271" s="2" t="s">
        <v>206</v>
      </c>
    </row>
    <row r="272" spans="1:12" ht="36" x14ac:dyDescent="0.25">
      <c r="A272" s="7" t="s">
        <v>2041</v>
      </c>
      <c r="B272" s="2" t="s">
        <v>2042</v>
      </c>
      <c r="C272" s="4">
        <v>1</v>
      </c>
      <c r="D272" s="5">
        <v>4.4000000000000004</v>
      </c>
      <c r="E272" s="5">
        <v>8.99</v>
      </c>
      <c r="F272" s="4">
        <v>16475211</v>
      </c>
      <c r="G272" s="2"/>
      <c r="H272" s="7" t="s">
        <v>675</v>
      </c>
      <c r="I272" s="2" t="s">
        <v>153</v>
      </c>
      <c r="J272" s="2" t="s">
        <v>154</v>
      </c>
      <c r="K272" s="2" t="s">
        <v>304</v>
      </c>
      <c r="L272" s="2" t="s">
        <v>206</v>
      </c>
    </row>
    <row r="273" spans="1:12" ht="48" x14ac:dyDescent="0.25">
      <c r="A273" s="7" t="s">
        <v>2043</v>
      </c>
      <c r="B273" s="2" t="s">
        <v>2044</v>
      </c>
      <c r="C273" s="4">
        <v>1</v>
      </c>
      <c r="D273" s="5">
        <v>4.37</v>
      </c>
      <c r="E273" s="5">
        <v>12.99</v>
      </c>
      <c r="F273" s="4" t="s">
        <v>2045</v>
      </c>
      <c r="G273" s="2" t="s">
        <v>41</v>
      </c>
      <c r="H273" s="7" t="s">
        <v>196</v>
      </c>
      <c r="I273" s="2" t="s">
        <v>515</v>
      </c>
      <c r="J273" s="2" t="s">
        <v>1971</v>
      </c>
      <c r="K273" s="2" t="s">
        <v>304</v>
      </c>
      <c r="L273" s="2" t="s">
        <v>119</v>
      </c>
    </row>
    <row r="274" spans="1:12" ht="48" x14ac:dyDescent="0.25">
      <c r="A274" s="7" t="s">
        <v>2046</v>
      </c>
      <c r="B274" s="2" t="s">
        <v>1975</v>
      </c>
      <c r="C274" s="4">
        <v>1</v>
      </c>
      <c r="D274" s="5">
        <v>4.3600000000000003</v>
      </c>
      <c r="E274" s="5">
        <v>9.99</v>
      </c>
      <c r="F274" s="4" t="s">
        <v>2047</v>
      </c>
      <c r="G274" s="2" t="s">
        <v>527</v>
      </c>
      <c r="H274" s="7" t="s">
        <v>514</v>
      </c>
      <c r="I274" s="2" t="s">
        <v>515</v>
      </c>
      <c r="J274" s="2" t="s">
        <v>875</v>
      </c>
      <c r="K274" s="2" t="s">
        <v>304</v>
      </c>
      <c r="L274" s="2" t="s">
        <v>119</v>
      </c>
    </row>
    <row r="275" spans="1:12" ht="36" x14ac:dyDescent="0.25">
      <c r="A275" s="7" t="s">
        <v>2048</v>
      </c>
      <c r="B275" s="2" t="s">
        <v>2049</v>
      </c>
      <c r="C275" s="4">
        <v>2</v>
      </c>
      <c r="D275" s="5">
        <v>4.32</v>
      </c>
      <c r="E275" s="5">
        <v>10.99</v>
      </c>
      <c r="F275" s="4">
        <v>10005384800</v>
      </c>
      <c r="G275" s="2" t="s">
        <v>86</v>
      </c>
      <c r="H275" s="7" t="s">
        <v>590</v>
      </c>
      <c r="I275" s="2" t="s">
        <v>483</v>
      </c>
      <c r="J275" s="2" t="s">
        <v>536</v>
      </c>
      <c r="K275" s="2" t="s">
        <v>304</v>
      </c>
      <c r="L275" s="2" t="s">
        <v>119</v>
      </c>
    </row>
    <row r="276" spans="1:12" ht="36" x14ac:dyDescent="0.25">
      <c r="A276" s="7" t="s">
        <v>2050</v>
      </c>
      <c r="B276" s="2" t="s">
        <v>2049</v>
      </c>
      <c r="C276" s="4">
        <v>1</v>
      </c>
      <c r="D276" s="5">
        <v>4.32</v>
      </c>
      <c r="E276" s="5">
        <v>10.99</v>
      </c>
      <c r="F276" s="4">
        <v>10005384800</v>
      </c>
      <c r="G276" s="2" t="s">
        <v>1360</v>
      </c>
      <c r="H276" s="7" t="s">
        <v>442</v>
      </c>
      <c r="I276" s="2" t="s">
        <v>483</v>
      </c>
      <c r="J276" s="2" t="s">
        <v>536</v>
      </c>
      <c r="K276" s="2" t="s">
        <v>304</v>
      </c>
      <c r="L276" s="2" t="s">
        <v>119</v>
      </c>
    </row>
    <row r="277" spans="1:12" ht="36" x14ac:dyDescent="0.25">
      <c r="A277" s="7" t="s">
        <v>2051</v>
      </c>
      <c r="B277" s="2" t="s">
        <v>2049</v>
      </c>
      <c r="C277" s="4">
        <v>2</v>
      </c>
      <c r="D277" s="5">
        <v>4.32</v>
      </c>
      <c r="E277" s="5">
        <v>10.99</v>
      </c>
      <c r="F277" s="4">
        <v>10005384800</v>
      </c>
      <c r="G277" s="2" t="s">
        <v>1360</v>
      </c>
      <c r="H277" s="7" t="s">
        <v>91</v>
      </c>
      <c r="I277" s="2" t="s">
        <v>483</v>
      </c>
      <c r="J277" s="2" t="s">
        <v>536</v>
      </c>
      <c r="K277" s="2" t="s">
        <v>304</v>
      </c>
      <c r="L277" s="2" t="s">
        <v>119</v>
      </c>
    </row>
    <row r="278" spans="1:12" ht="36" x14ac:dyDescent="0.25">
      <c r="A278" s="7" t="s">
        <v>2052</v>
      </c>
      <c r="B278" s="2" t="s">
        <v>2049</v>
      </c>
      <c r="C278" s="4">
        <v>1</v>
      </c>
      <c r="D278" s="5">
        <v>4.32</v>
      </c>
      <c r="E278" s="5">
        <v>10.99</v>
      </c>
      <c r="F278" s="4">
        <v>10005384800</v>
      </c>
      <c r="G278" s="2" t="s">
        <v>86</v>
      </c>
      <c r="H278" s="7" t="s">
        <v>42</v>
      </c>
      <c r="I278" s="2" t="s">
        <v>483</v>
      </c>
      <c r="J278" s="2" t="s">
        <v>536</v>
      </c>
      <c r="K278" s="2" t="s">
        <v>304</v>
      </c>
      <c r="L278" s="2" t="s">
        <v>119</v>
      </c>
    </row>
    <row r="279" spans="1:12" ht="36" x14ac:dyDescent="0.25">
      <c r="A279" s="7" t="s">
        <v>2053</v>
      </c>
      <c r="B279" s="2" t="s">
        <v>2049</v>
      </c>
      <c r="C279" s="4">
        <v>2</v>
      </c>
      <c r="D279" s="5">
        <v>4.32</v>
      </c>
      <c r="E279" s="5">
        <v>10.99</v>
      </c>
      <c r="F279" s="4">
        <v>10005384800</v>
      </c>
      <c r="G279" s="2" t="s">
        <v>86</v>
      </c>
      <c r="H279" s="7" t="s">
        <v>442</v>
      </c>
      <c r="I279" s="2" t="s">
        <v>483</v>
      </c>
      <c r="J279" s="2" t="s">
        <v>536</v>
      </c>
      <c r="K279" s="2" t="s">
        <v>304</v>
      </c>
      <c r="L279" s="2" t="s">
        <v>119</v>
      </c>
    </row>
    <row r="280" spans="1:12" ht="48" x14ac:dyDescent="0.25">
      <c r="A280" s="7" t="s">
        <v>2054</v>
      </c>
      <c r="B280" s="2" t="s">
        <v>2055</v>
      </c>
      <c r="C280" s="4">
        <v>1</v>
      </c>
      <c r="D280" s="5">
        <v>4.3099999999999996</v>
      </c>
      <c r="E280" s="5">
        <v>10.99</v>
      </c>
      <c r="F280" s="4" t="s">
        <v>2056</v>
      </c>
      <c r="G280" s="2" t="s">
        <v>86</v>
      </c>
      <c r="H280" s="7" t="s">
        <v>159</v>
      </c>
      <c r="I280" s="2" t="s">
        <v>389</v>
      </c>
      <c r="J280" s="2" t="s">
        <v>354</v>
      </c>
      <c r="K280" s="2" t="s">
        <v>304</v>
      </c>
      <c r="L280" s="2" t="s">
        <v>358</v>
      </c>
    </row>
    <row r="281" spans="1:12" ht="36" x14ac:dyDescent="0.25">
      <c r="A281" s="7" t="s">
        <v>2057</v>
      </c>
      <c r="B281" s="2" t="s">
        <v>2058</v>
      </c>
      <c r="C281" s="4">
        <v>1</v>
      </c>
      <c r="D281" s="5">
        <v>4.25</v>
      </c>
      <c r="E281" s="5">
        <v>7.99</v>
      </c>
      <c r="F281" s="4" t="s">
        <v>2059</v>
      </c>
      <c r="G281" s="2" t="s">
        <v>41</v>
      </c>
      <c r="H281" s="7" t="s">
        <v>317</v>
      </c>
      <c r="I281" s="2" t="s">
        <v>73</v>
      </c>
      <c r="J281" s="2" t="s">
        <v>1963</v>
      </c>
      <c r="K281" s="2" t="s">
        <v>304</v>
      </c>
      <c r="L281" s="2" t="s">
        <v>119</v>
      </c>
    </row>
    <row r="282" spans="1:12" ht="36" x14ac:dyDescent="0.25">
      <c r="A282" s="7" t="s">
        <v>2060</v>
      </c>
      <c r="B282" s="2" t="s">
        <v>1991</v>
      </c>
      <c r="C282" s="4">
        <v>1</v>
      </c>
      <c r="D282" s="5">
        <v>4.25</v>
      </c>
      <c r="E282" s="5">
        <v>5.99</v>
      </c>
      <c r="F282" s="4" t="s">
        <v>2061</v>
      </c>
      <c r="G282" s="2" t="s">
        <v>653</v>
      </c>
      <c r="H282" s="7" t="s">
        <v>123</v>
      </c>
      <c r="I282" s="2" t="s">
        <v>73</v>
      </c>
      <c r="J282" s="2" t="s">
        <v>1963</v>
      </c>
      <c r="K282" s="2" t="s">
        <v>304</v>
      </c>
      <c r="L282" s="2" t="s">
        <v>125</v>
      </c>
    </row>
    <row r="283" spans="1:12" ht="36" x14ac:dyDescent="0.25">
      <c r="A283" s="7" t="s">
        <v>2062</v>
      </c>
      <c r="B283" s="2" t="s">
        <v>2063</v>
      </c>
      <c r="C283" s="4">
        <v>1</v>
      </c>
      <c r="D283" s="5">
        <v>4.25</v>
      </c>
      <c r="E283" s="5">
        <v>9.99</v>
      </c>
      <c r="F283" s="4" t="s">
        <v>2064</v>
      </c>
      <c r="G283" s="2" t="s">
        <v>800</v>
      </c>
      <c r="H283" s="7" t="s">
        <v>233</v>
      </c>
      <c r="I283" s="2" t="s">
        <v>135</v>
      </c>
      <c r="J283" s="2" t="s">
        <v>778</v>
      </c>
      <c r="K283" s="2" t="s">
        <v>304</v>
      </c>
      <c r="L283" s="2" t="s">
        <v>119</v>
      </c>
    </row>
    <row r="284" spans="1:12" ht="36" x14ac:dyDescent="0.25">
      <c r="A284" s="7" t="s">
        <v>2065</v>
      </c>
      <c r="B284" s="2" t="s">
        <v>1991</v>
      </c>
      <c r="C284" s="4">
        <v>1</v>
      </c>
      <c r="D284" s="5">
        <v>4.25</v>
      </c>
      <c r="E284" s="5">
        <v>5.99</v>
      </c>
      <c r="F284" s="4" t="s">
        <v>2061</v>
      </c>
      <c r="G284" s="2" t="s">
        <v>653</v>
      </c>
      <c r="H284" s="7" t="s">
        <v>317</v>
      </c>
      <c r="I284" s="2" t="s">
        <v>73</v>
      </c>
      <c r="J284" s="2" t="s">
        <v>1963</v>
      </c>
      <c r="K284" s="2" t="s">
        <v>304</v>
      </c>
      <c r="L284" s="2" t="s">
        <v>125</v>
      </c>
    </row>
    <row r="285" spans="1:12" ht="36" x14ac:dyDescent="0.25">
      <c r="A285" s="7" t="s">
        <v>2066</v>
      </c>
      <c r="B285" s="2" t="s">
        <v>1991</v>
      </c>
      <c r="C285" s="4">
        <v>1</v>
      </c>
      <c r="D285" s="5">
        <v>4.25</v>
      </c>
      <c r="E285" s="5">
        <v>5.99</v>
      </c>
      <c r="F285" s="4" t="s">
        <v>2061</v>
      </c>
      <c r="G285" s="2" t="s">
        <v>653</v>
      </c>
      <c r="H285" s="7" t="s">
        <v>311</v>
      </c>
      <c r="I285" s="2" t="s">
        <v>73</v>
      </c>
      <c r="J285" s="2" t="s">
        <v>1963</v>
      </c>
      <c r="K285" s="2" t="s">
        <v>304</v>
      </c>
      <c r="L285" s="2" t="s">
        <v>125</v>
      </c>
    </row>
    <row r="286" spans="1:12" ht="36" x14ac:dyDescent="0.25">
      <c r="A286" s="7" t="s">
        <v>2067</v>
      </c>
      <c r="B286" s="2" t="s">
        <v>2068</v>
      </c>
      <c r="C286" s="4">
        <v>1</v>
      </c>
      <c r="D286" s="5">
        <v>4.25</v>
      </c>
      <c r="E286" s="5">
        <v>9.99</v>
      </c>
      <c r="F286" s="4" t="s">
        <v>2069</v>
      </c>
      <c r="G286" s="2" t="s">
        <v>297</v>
      </c>
      <c r="H286" s="7" t="s">
        <v>438</v>
      </c>
      <c r="I286" s="2" t="s">
        <v>92</v>
      </c>
      <c r="J286" s="2" t="s">
        <v>778</v>
      </c>
      <c r="K286" s="2" t="s">
        <v>304</v>
      </c>
      <c r="L286" s="2" t="s">
        <v>206</v>
      </c>
    </row>
    <row r="287" spans="1:12" ht="36" x14ac:dyDescent="0.25">
      <c r="A287" s="7" t="s">
        <v>2070</v>
      </c>
      <c r="B287" s="2" t="s">
        <v>2071</v>
      </c>
      <c r="C287" s="4">
        <v>1</v>
      </c>
      <c r="D287" s="5">
        <v>4.25</v>
      </c>
      <c r="E287" s="5">
        <v>7.99</v>
      </c>
      <c r="F287" s="4" t="s">
        <v>2072</v>
      </c>
      <c r="G287" s="2" t="s">
        <v>41</v>
      </c>
      <c r="H287" s="7" t="s">
        <v>123</v>
      </c>
      <c r="I287" s="2" t="s">
        <v>73</v>
      </c>
      <c r="J287" s="2" t="s">
        <v>1963</v>
      </c>
      <c r="K287" s="2" t="s">
        <v>304</v>
      </c>
      <c r="L287" s="2" t="s">
        <v>119</v>
      </c>
    </row>
    <row r="288" spans="1:12" ht="36" x14ac:dyDescent="0.25">
      <c r="A288" s="7" t="s">
        <v>2073</v>
      </c>
      <c r="B288" s="2" t="s">
        <v>1991</v>
      </c>
      <c r="C288" s="4">
        <v>1</v>
      </c>
      <c r="D288" s="5">
        <v>4.25</v>
      </c>
      <c r="E288" s="5">
        <v>5.99</v>
      </c>
      <c r="F288" s="4" t="s">
        <v>2061</v>
      </c>
      <c r="G288" s="2" t="s">
        <v>653</v>
      </c>
      <c r="H288" s="7" t="s">
        <v>63</v>
      </c>
      <c r="I288" s="2" t="s">
        <v>73</v>
      </c>
      <c r="J288" s="2" t="s">
        <v>1963</v>
      </c>
      <c r="K288" s="2" t="s">
        <v>304</v>
      </c>
      <c r="L288" s="2" t="s">
        <v>125</v>
      </c>
    </row>
    <row r="289" spans="1:12" ht="60" x14ac:dyDescent="0.25">
      <c r="A289" s="7" t="s">
        <v>2074</v>
      </c>
      <c r="B289" s="2" t="s">
        <v>2075</v>
      </c>
      <c r="C289" s="4">
        <v>3</v>
      </c>
      <c r="D289" s="5">
        <v>4.1500000000000004</v>
      </c>
      <c r="E289" s="5">
        <v>10.99</v>
      </c>
      <c r="F289" s="4" t="s">
        <v>2076</v>
      </c>
      <c r="G289" s="2"/>
      <c r="H289" s="7"/>
      <c r="I289" s="2" t="s">
        <v>312</v>
      </c>
      <c r="J289" s="2" t="s">
        <v>2077</v>
      </c>
      <c r="K289" s="2" t="s">
        <v>304</v>
      </c>
      <c r="L289" s="2" t="s">
        <v>2078</v>
      </c>
    </row>
    <row r="290" spans="1:12" ht="60" x14ac:dyDescent="0.25">
      <c r="A290" s="7" t="s">
        <v>2079</v>
      </c>
      <c r="B290" s="2" t="s">
        <v>2075</v>
      </c>
      <c r="C290" s="4">
        <v>1</v>
      </c>
      <c r="D290" s="5">
        <v>4.1500000000000004</v>
      </c>
      <c r="E290" s="5">
        <v>10.99</v>
      </c>
      <c r="F290" s="4" t="s">
        <v>2076</v>
      </c>
      <c r="G290" s="2"/>
      <c r="H290" s="7"/>
      <c r="I290" s="2" t="s">
        <v>312</v>
      </c>
      <c r="J290" s="2" t="s">
        <v>2077</v>
      </c>
      <c r="K290" s="2" t="s">
        <v>304</v>
      </c>
      <c r="L290" s="2" t="s">
        <v>2078</v>
      </c>
    </row>
    <row r="291" spans="1:12" ht="60" x14ac:dyDescent="0.25">
      <c r="A291" s="7" t="s">
        <v>2080</v>
      </c>
      <c r="B291" s="2" t="s">
        <v>2075</v>
      </c>
      <c r="C291" s="4">
        <v>5</v>
      </c>
      <c r="D291" s="5">
        <v>4.1500000000000004</v>
      </c>
      <c r="E291" s="5">
        <v>10.99</v>
      </c>
      <c r="F291" s="4" t="s">
        <v>2076</v>
      </c>
      <c r="G291" s="2"/>
      <c r="H291" s="7"/>
      <c r="I291" s="2" t="s">
        <v>312</v>
      </c>
      <c r="J291" s="2" t="s">
        <v>2077</v>
      </c>
      <c r="K291" s="2" t="s">
        <v>304</v>
      </c>
      <c r="L291" s="2" t="s">
        <v>2078</v>
      </c>
    </row>
    <row r="292" spans="1:12" ht="60" x14ac:dyDescent="0.25">
      <c r="A292" s="7" t="s">
        <v>2081</v>
      </c>
      <c r="B292" s="2" t="s">
        <v>2075</v>
      </c>
      <c r="C292" s="4">
        <v>1</v>
      </c>
      <c r="D292" s="5">
        <v>4.1500000000000004</v>
      </c>
      <c r="E292" s="5">
        <v>10.99</v>
      </c>
      <c r="F292" s="4" t="s">
        <v>2076</v>
      </c>
      <c r="G292" s="2"/>
      <c r="H292" s="7"/>
      <c r="I292" s="2" t="s">
        <v>312</v>
      </c>
      <c r="J292" s="2" t="s">
        <v>2077</v>
      </c>
      <c r="K292" s="2" t="s">
        <v>304</v>
      </c>
      <c r="L292" s="2" t="s">
        <v>2078</v>
      </c>
    </row>
    <row r="293" spans="1:12" ht="36" x14ac:dyDescent="0.25">
      <c r="A293" s="7" t="s">
        <v>2082</v>
      </c>
      <c r="B293" s="2" t="s">
        <v>2083</v>
      </c>
      <c r="C293" s="4">
        <v>1</v>
      </c>
      <c r="D293" s="5">
        <v>4.1500000000000004</v>
      </c>
      <c r="E293" s="5">
        <v>9.99</v>
      </c>
      <c r="F293" s="4" t="s">
        <v>2084</v>
      </c>
      <c r="G293" s="2" t="s">
        <v>48</v>
      </c>
      <c r="H293" s="7" t="s">
        <v>217</v>
      </c>
      <c r="I293" s="2" t="s">
        <v>468</v>
      </c>
      <c r="J293" s="2" t="s">
        <v>469</v>
      </c>
      <c r="K293" s="2" t="s">
        <v>304</v>
      </c>
      <c r="L293" s="2" t="s">
        <v>119</v>
      </c>
    </row>
    <row r="294" spans="1:12" ht="36" x14ac:dyDescent="0.25">
      <c r="A294" s="7" t="s">
        <v>2085</v>
      </c>
      <c r="B294" s="2" t="s">
        <v>2086</v>
      </c>
      <c r="C294" s="4">
        <v>1</v>
      </c>
      <c r="D294" s="5">
        <v>4.1500000000000004</v>
      </c>
      <c r="E294" s="5">
        <v>5.99</v>
      </c>
      <c r="F294" s="4" t="s">
        <v>2087</v>
      </c>
      <c r="G294" s="2" t="s">
        <v>262</v>
      </c>
      <c r="H294" s="7" t="s">
        <v>123</v>
      </c>
      <c r="I294" s="2" t="s">
        <v>80</v>
      </c>
      <c r="J294" s="2" t="s">
        <v>1857</v>
      </c>
      <c r="K294" s="2" t="s">
        <v>304</v>
      </c>
      <c r="L294" s="2" t="s">
        <v>119</v>
      </c>
    </row>
    <row r="295" spans="1:12" ht="48" x14ac:dyDescent="0.25">
      <c r="A295" s="7" t="s">
        <v>2088</v>
      </c>
      <c r="B295" s="2" t="s">
        <v>2089</v>
      </c>
      <c r="C295" s="4">
        <v>1</v>
      </c>
      <c r="D295" s="5">
        <v>4.1100000000000003</v>
      </c>
      <c r="E295" s="5">
        <v>10.99</v>
      </c>
      <c r="F295" s="4" t="s">
        <v>2090</v>
      </c>
      <c r="G295" s="2" t="s">
        <v>36</v>
      </c>
      <c r="H295" s="7" t="s">
        <v>228</v>
      </c>
      <c r="I295" s="2" t="s">
        <v>389</v>
      </c>
      <c r="J295" s="2" t="s">
        <v>354</v>
      </c>
      <c r="K295" s="2" t="s">
        <v>304</v>
      </c>
      <c r="L295" s="2" t="s">
        <v>119</v>
      </c>
    </row>
    <row r="296" spans="1:12" ht="60" x14ac:dyDescent="0.25">
      <c r="A296" s="7" t="s">
        <v>2091</v>
      </c>
      <c r="B296" s="2" t="s">
        <v>2092</v>
      </c>
      <c r="C296" s="4">
        <v>1</v>
      </c>
      <c r="D296" s="5">
        <v>4.0199999999999996</v>
      </c>
      <c r="E296" s="5">
        <v>12</v>
      </c>
      <c r="F296" s="4" t="s">
        <v>2093</v>
      </c>
      <c r="G296" s="2" t="s">
        <v>48</v>
      </c>
      <c r="H296" s="7" t="s">
        <v>482</v>
      </c>
      <c r="I296" s="2" t="s">
        <v>483</v>
      </c>
      <c r="J296" s="2" t="s">
        <v>536</v>
      </c>
      <c r="K296" s="2" t="s">
        <v>304</v>
      </c>
      <c r="L296" s="2" t="s">
        <v>1207</v>
      </c>
    </row>
    <row r="297" spans="1:12" ht="60" x14ac:dyDescent="0.25">
      <c r="A297" s="7" t="s">
        <v>2094</v>
      </c>
      <c r="B297" s="2" t="s">
        <v>2095</v>
      </c>
      <c r="C297" s="4">
        <v>1</v>
      </c>
      <c r="D297" s="5">
        <v>4</v>
      </c>
      <c r="E297" s="5">
        <v>10.99</v>
      </c>
      <c r="F297" s="4" t="s">
        <v>2096</v>
      </c>
      <c r="G297" s="2" t="s">
        <v>28</v>
      </c>
      <c r="H297" s="7" t="s">
        <v>159</v>
      </c>
      <c r="I297" s="2" t="s">
        <v>389</v>
      </c>
      <c r="J297" s="2" t="s">
        <v>354</v>
      </c>
      <c r="K297" s="2" t="s">
        <v>304</v>
      </c>
      <c r="L297" s="2" t="s">
        <v>2097</v>
      </c>
    </row>
    <row r="298" spans="1:12" ht="36" x14ac:dyDescent="0.25">
      <c r="A298" s="7" t="s">
        <v>2098</v>
      </c>
      <c r="B298" s="2" t="s">
        <v>2099</v>
      </c>
      <c r="C298" s="4">
        <v>1</v>
      </c>
      <c r="D298" s="5">
        <v>3.89</v>
      </c>
      <c r="E298" s="5">
        <v>10.99</v>
      </c>
      <c r="F298" s="4" t="s">
        <v>2100</v>
      </c>
      <c r="G298" s="2" t="s">
        <v>171</v>
      </c>
      <c r="H298" s="7" t="s">
        <v>42</v>
      </c>
      <c r="I298" s="2" t="s">
        <v>483</v>
      </c>
      <c r="J298" s="2" t="s">
        <v>536</v>
      </c>
      <c r="K298" s="2" t="s">
        <v>304</v>
      </c>
      <c r="L298" s="2" t="s">
        <v>38</v>
      </c>
    </row>
    <row r="299" spans="1:12" ht="36" x14ac:dyDescent="0.25">
      <c r="A299" s="7" t="s">
        <v>2101</v>
      </c>
      <c r="B299" s="2" t="s">
        <v>2102</v>
      </c>
      <c r="C299" s="4">
        <v>1</v>
      </c>
      <c r="D299" s="5">
        <v>3.82</v>
      </c>
      <c r="E299" s="5">
        <v>16.8</v>
      </c>
      <c r="F299" s="4" t="s">
        <v>2103</v>
      </c>
      <c r="G299" s="2" t="s">
        <v>437</v>
      </c>
      <c r="H299" s="7" t="s">
        <v>531</v>
      </c>
      <c r="I299" s="2" t="s">
        <v>483</v>
      </c>
      <c r="J299" s="2" t="s">
        <v>536</v>
      </c>
      <c r="K299" s="2" t="s">
        <v>304</v>
      </c>
      <c r="L299" s="2"/>
    </row>
    <row r="300" spans="1:12" ht="60" x14ac:dyDescent="0.25">
      <c r="A300" s="7" t="s">
        <v>2104</v>
      </c>
      <c r="B300" s="2" t="s">
        <v>2105</v>
      </c>
      <c r="C300" s="4">
        <v>1</v>
      </c>
      <c r="D300" s="5">
        <v>3.71</v>
      </c>
      <c r="E300" s="5">
        <v>9.99</v>
      </c>
      <c r="F300" s="4" t="s">
        <v>2106</v>
      </c>
      <c r="G300" s="2" t="s">
        <v>2107</v>
      </c>
      <c r="H300" s="7" t="s">
        <v>442</v>
      </c>
      <c r="I300" s="2" t="s">
        <v>483</v>
      </c>
      <c r="J300" s="2" t="s">
        <v>536</v>
      </c>
      <c r="K300" s="2" t="s">
        <v>304</v>
      </c>
      <c r="L300" s="2" t="s">
        <v>2108</v>
      </c>
    </row>
    <row r="301" spans="1:12" ht="48" x14ac:dyDescent="0.25">
      <c r="A301" s="7" t="s">
        <v>2109</v>
      </c>
      <c r="B301" s="2" t="s">
        <v>2110</v>
      </c>
      <c r="C301" s="4">
        <v>1</v>
      </c>
      <c r="D301" s="5">
        <v>3.66</v>
      </c>
      <c r="E301" s="5">
        <v>7.99</v>
      </c>
      <c r="F301" s="4" t="s">
        <v>2111</v>
      </c>
      <c r="G301" s="2" t="s">
        <v>62</v>
      </c>
      <c r="H301" s="7" t="s">
        <v>317</v>
      </c>
      <c r="I301" s="2" t="s">
        <v>292</v>
      </c>
      <c r="J301" s="2" t="s">
        <v>354</v>
      </c>
      <c r="K301" s="2" t="s">
        <v>304</v>
      </c>
      <c r="L301" s="2" t="s">
        <v>119</v>
      </c>
    </row>
    <row r="302" spans="1:12" ht="36" x14ac:dyDescent="0.25">
      <c r="A302" s="7" t="s">
        <v>2112</v>
      </c>
      <c r="B302" s="2" t="s">
        <v>2113</v>
      </c>
      <c r="C302" s="4">
        <v>1</v>
      </c>
      <c r="D302" s="5">
        <v>3.58</v>
      </c>
      <c r="E302" s="5">
        <v>8.99</v>
      </c>
      <c r="F302" s="4" t="s">
        <v>2114</v>
      </c>
      <c r="G302" s="2" t="s">
        <v>297</v>
      </c>
      <c r="H302" s="7"/>
      <c r="I302" s="2" t="s">
        <v>483</v>
      </c>
      <c r="J302" s="2" t="s">
        <v>536</v>
      </c>
      <c r="K302" s="2" t="s">
        <v>304</v>
      </c>
      <c r="L302" s="2" t="s">
        <v>119</v>
      </c>
    </row>
    <row r="303" spans="1:12" ht="36" x14ac:dyDescent="0.25">
      <c r="A303" s="7" t="s">
        <v>2115</v>
      </c>
      <c r="B303" s="2" t="s">
        <v>2113</v>
      </c>
      <c r="C303" s="4">
        <v>1</v>
      </c>
      <c r="D303" s="5">
        <v>3.58</v>
      </c>
      <c r="E303" s="5">
        <v>8.99</v>
      </c>
      <c r="F303" s="4" t="s">
        <v>2114</v>
      </c>
      <c r="G303" s="2" t="s">
        <v>297</v>
      </c>
      <c r="H303" s="7" t="s">
        <v>149</v>
      </c>
      <c r="I303" s="2" t="s">
        <v>483</v>
      </c>
      <c r="J303" s="2" t="s">
        <v>536</v>
      </c>
      <c r="K303" s="2" t="s">
        <v>304</v>
      </c>
      <c r="L303" s="2" t="s">
        <v>119</v>
      </c>
    </row>
    <row r="304" spans="1:12" ht="36" x14ac:dyDescent="0.25">
      <c r="A304" s="7" t="s">
        <v>2116</v>
      </c>
      <c r="B304" s="2" t="s">
        <v>2117</v>
      </c>
      <c r="C304" s="4">
        <v>1</v>
      </c>
      <c r="D304" s="5">
        <v>3.51</v>
      </c>
      <c r="E304" s="5">
        <v>8.99</v>
      </c>
      <c r="F304" s="4">
        <v>10006320100</v>
      </c>
      <c r="G304" s="2" t="s">
        <v>134</v>
      </c>
      <c r="H304" s="7"/>
      <c r="I304" s="2" t="s">
        <v>483</v>
      </c>
      <c r="J304" s="2" t="s">
        <v>536</v>
      </c>
      <c r="K304" s="2" t="s">
        <v>304</v>
      </c>
      <c r="L304" s="2" t="s">
        <v>38</v>
      </c>
    </row>
    <row r="305" spans="1:12" ht="36" x14ac:dyDescent="0.25">
      <c r="A305" s="7" t="s">
        <v>2118</v>
      </c>
      <c r="B305" s="2" t="s">
        <v>2117</v>
      </c>
      <c r="C305" s="4">
        <v>1</v>
      </c>
      <c r="D305" s="5">
        <v>3.51</v>
      </c>
      <c r="E305" s="5">
        <v>8.99</v>
      </c>
      <c r="F305" s="4">
        <v>10006320100</v>
      </c>
      <c r="G305" s="2" t="s">
        <v>134</v>
      </c>
      <c r="H305" s="7" t="s">
        <v>590</v>
      </c>
      <c r="I305" s="2" t="s">
        <v>483</v>
      </c>
      <c r="J305" s="2" t="s">
        <v>536</v>
      </c>
      <c r="K305" s="2" t="s">
        <v>304</v>
      </c>
      <c r="L305" s="2" t="s">
        <v>38</v>
      </c>
    </row>
    <row r="306" spans="1:12" ht="36" x14ac:dyDescent="0.25">
      <c r="A306" s="7" t="s">
        <v>2119</v>
      </c>
      <c r="B306" s="2" t="s">
        <v>2117</v>
      </c>
      <c r="C306" s="4">
        <v>1</v>
      </c>
      <c r="D306" s="5">
        <v>3.51</v>
      </c>
      <c r="E306" s="5">
        <v>8.99</v>
      </c>
      <c r="F306" s="4">
        <v>10006320100</v>
      </c>
      <c r="G306" s="2" t="s">
        <v>134</v>
      </c>
      <c r="H306" s="7" t="s">
        <v>149</v>
      </c>
      <c r="I306" s="2" t="s">
        <v>483</v>
      </c>
      <c r="J306" s="2" t="s">
        <v>536</v>
      </c>
      <c r="K306" s="2" t="s">
        <v>304</v>
      </c>
      <c r="L306" s="2" t="s">
        <v>38</v>
      </c>
    </row>
    <row r="307" spans="1:12" ht="36" x14ac:dyDescent="0.25">
      <c r="A307" s="7" t="s">
        <v>2120</v>
      </c>
      <c r="B307" s="2" t="s">
        <v>2121</v>
      </c>
      <c r="C307" s="4">
        <v>1</v>
      </c>
      <c r="D307" s="5">
        <v>3.48</v>
      </c>
      <c r="E307" s="5">
        <v>14</v>
      </c>
      <c r="F307" s="4" t="s">
        <v>2122</v>
      </c>
      <c r="G307" s="2" t="s">
        <v>62</v>
      </c>
      <c r="H307" s="7" t="s">
        <v>159</v>
      </c>
      <c r="I307" s="2" t="s">
        <v>700</v>
      </c>
      <c r="J307" s="2" t="s">
        <v>2123</v>
      </c>
      <c r="K307" s="2" t="s">
        <v>304</v>
      </c>
      <c r="L307" s="2" t="s">
        <v>38</v>
      </c>
    </row>
    <row r="308" spans="1:12" ht="36" x14ac:dyDescent="0.25">
      <c r="A308" s="7" t="s">
        <v>2124</v>
      </c>
      <c r="B308" s="2" t="s">
        <v>2125</v>
      </c>
      <c r="C308" s="4">
        <v>1</v>
      </c>
      <c r="D308" s="5">
        <v>3.48</v>
      </c>
      <c r="E308" s="5">
        <v>5.99</v>
      </c>
      <c r="F308" s="4" t="s">
        <v>2126</v>
      </c>
      <c r="G308" s="2" t="s">
        <v>41</v>
      </c>
      <c r="H308" s="7" t="s">
        <v>166</v>
      </c>
      <c r="I308" s="2" t="s">
        <v>80</v>
      </c>
      <c r="J308" s="2" t="s">
        <v>1857</v>
      </c>
      <c r="K308" s="2" t="s">
        <v>304</v>
      </c>
      <c r="L308" s="2" t="s">
        <v>119</v>
      </c>
    </row>
    <row r="309" spans="1:12" ht="36" x14ac:dyDescent="0.25">
      <c r="A309" s="7" t="s">
        <v>2127</v>
      </c>
      <c r="B309" s="2" t="s">
        <v>2128</v>
      </c>
      <c r="C309" s="4">
        <v>1</v>
      </c>
      <c r="D309" s="5">
        <v>3.48</v>
      </c>
      <c r="E309" s="5">
        <v>5.99</v>
      </c>
      <c r="F309" s="4" t="s">
        <v>2129</v>
      </c>
      <c r="G309" s="2" t="s">
        <v>62</v>
      </c>
      <c r="H309" s="7" t="s">
        <v>166</v>
      </c>
      <c r="I309" s="2" t="s">
        <v>80</v>
      </c>
      <c r="J309" s="2" t="s">
        <v>1857</v>
      </c>
      <c r="K309" s="2" t="s">
        <v>304</v>
      </c>
      <c r="L309" s="2" t="s">
        <v>125</v>
      </c>
    </row>
    <row r="310" spans="1:12" ht="60" x14ac:dyDescent="0.25">
      <c r="A310" s="7" t="s">
        <v>562</v>
      </c>
      <c r="B310" s="2" t="s">
        <v>563</v>
      </c>
      <c r="C310" s="4">
        <v>1</v>
      </c>
      <c r="D310" s="5">
        <v>3.46</v>
      </c>
      <c r="E310" s="5">
        <v>8.99</v>
      </c>
      <c r="F310" s="4">
        <v>100007426</v>
      </c>
      <c r="G310" s="2" t="s">
        <v>41</v>
      </c>
      <c r="H310" s="7" t="s">
        <v>531</v>
      </c>
      <c r="I310" s="2" t="s">
        <v>483</v>
      </c>
      <c r="J310" s="2" t="s">
        <v>484</v>
      </c>
      <c r="K310" s="2" t="s">
        <v>304</v>
      </c>
      <c r="L310" s="2" t="s">
        <v>119</v>
      </c>
    </row>
    <row r="311" spans="1:12" ht="48" x14ac:dyDescent="0.25">
      <c r="A311" s="7" t="s">
        <v>2130</v>
      </c>
      <c r="B311" s="2" t="s">
        <v>2131</v>
      </c>
      <c r="C311" s="4">
        <v>1</v>
      </c>
      <c r="D311" s="5">
        <v>3.45</v>
      </c>
      <c r="E311" s="5">
        <v>7.99</v>
      </c>
      <c r="F311" s="4" t="s">
        <v>2132</v>
      </c>
      <c r="G311" s="2" t="s">
        <v>41</v>
      </c>
      <c r="H311" s="7" t="s">
        <v>311</v>
      </c>
      <c r="I311" s="2" t="s">
        <v>292</v>
      </c>
      <c r="J311" s="2" t="s">
        <v>354</v>
      </c>
      <c r="K311" s="2" t="s">
        <v>304</v>
      </c>
      <c r="L311" s="2" t="s">
        <v>119</v>
      </c>
    </row>
    <row r="312" spans="1:12" ht="36" x14ac:dyDescent="0.25">
      <c r="A312" s="7" t="s">
        <v>2133</v>
      </c>
      <c r="B312" s="2" t="s">
        <v>2134</v>
      </c>
      <c r="C312" s="4">
        <v>1</v>
      </c>
      <c r="D312" s="5">
        <v>3.39</v>
      </c>
      <c r="E312" s="5">
        <v>8.99</v>
      </c>
      <c r="F312" s="4" t="s">
        <v>2135</v>
      </c>
      <c r="G312" s="2" t="s">
        <v>1265</v>
      </c>
      <c r="H312" s="7"/>
      <c r="I312" s="2" t="s">
        <v>483</v>
      </c>
      <c r="J312" s="2" t="s">
        <v>536</v>
      </c>
      <c r="K312" s="2" t="s">
        <v>304</v>
      </c>
      <c r="L312" s="2" t="s">
        <v>206</v>
      </c>
    </row>
    <row r="313" spans="1:12" ht="36" x14ac:dyDescent="0.25">
      <c r="A313" s="7" t="s">
        <v>2136</v>
      </c>
      <c r="B313" s="2" t="s">
        <v>2134</v>
      </c>
      <c r="C313" s="4">
        <v>2</v>
      </c>
      <c r="D313" s="5">
        <v>3.39</v>
      </c>
      <c r="E313" s="5">
        <v>8.99</v>
      </c>
      <c r="F313" s="4" t="s">
        <v>2135</v>
      </c>
      <c r="G313" s="2" t="s">
        <v>1265</v>
      </c>
      <c r="H313" s="7" t="s">
        <v>590</v>
      </c>
      <c r="I313" s="2" t="s">
        <v>483</v>
      </c>
      <c r="J313" s="2" t="s">
        <v>536</v>
      </c>
      <c r="K313" s="2" t="s">
        <v>304</v>
      </c>
      <c r="L313" s="2" t="s">
        <v>206</v>
      </c>
    </row>
    <row r="314" spans="1:12" ht="48" x14ac:dyDescent="0.25">
      <c r="A314" s="7" t="s">
        <v>2137</v>
      </c>
      <c r="B314" s="2" t="s">
        <v>2138</v>
      </c>
      <c r="C314" s="4">
        <v>2</v>
      </c>
      <c r="D314" s="5">
        <v>3.3</v>
      </c>
      <c r="E314" s="5">
        <v>7.99</v>
      </c>
      <c r="F314" s="4" t="s">
        <v>2139</v>
      </c>
      <c r="G314" s="2" t="s">
        <v>793</v>
      </c>
      <c r="H314" s="7" t="s">
        <v>123</v>
      </c>
      <c r="I314" s="2" t="s">
        <v>1689</v>
      </c>
      <c r="J314" s="2" t="s">
        <v>354</v>
      </c>
      <c r="K314" s="2" t="s">
        <v>304</v>
      </c>
      <c r="L314" s="2" t="s">
        <v>119</v>
      </c>
    </row>
    <row r="315" spans="1:12" ht="48" x14ac:dyDescent="0.25">
      <c r="A315" s="7" t="s">
        <v>2140</v>
      </c>
      <c r="B315" s="2" t="s">
        <v>2138</v>
      </c>
      <c r="C315" s="4">
        <v>1</v>
      </c>
      <c r="D315" s="5">
        <v>3.3</v>
      </c>
      <c r="E315" s="5">
        <v>7.99</v>
      </c>
      <c r="F315" s="4" t="s">
        <v>2139</v>
      </c>
      <c r="G315" s="2" t="s">
        <v>793</v>
      </c>
      <c r="H315" s="7" t="s">
        <v>1151</v>
      </c>
      <c r="I315" s="2" t="s">
        <v>1689</v>
      </c>
      <c r="J315" s="2" t="s">
        <v>354</v>
      </c>
      <c r="K315" s="2" t="s">
        <v>304</v>
      </c>
      <c r="L315" s="2" t="s">
        <v>119</v>
      </c>
    </row>
    <row r="316" spans="1:12" ht="48" x14ac:dyDescent="0.25">
      <c r="A316" s="7" t="s">
        <v>2141</v>
      </c>
      <c r="B316" s="2" t="s">
        <v>2138</v>
      </c>
      <c r="C316" s="4">
        <v>1</v>
      </c>
      <c r="D316" s="5">
        <v>3.3</v>
      </c>
      <c r="E316" s="5">
        <v>7.99</v>
      </c>
      <c r="F316" s="4" t="s">
        <v>2139</v>
      </c>
      <c r="G316" s="2" t="s">
        <v>62</v>
      </c>
      <c r="H316" s="7" t="s">
        <v>311</v>
      </c>
      <c r="I316" s="2" t="s">
        <v>1689</v>
      </c>
      <c r="J316" s="2" t="s">
        <v>354</v>
      </c>
      <c r="K316" s="2" t="s">
        <v>304</v>
      </c>
      <c r="L316" s="2" t="s">
        <v>119</v>
      </c>
    </row>
    <row r="317" spans="1:12" ht="48" x14ac:dyDescent="0.25">
      <c r="A317" s="7" t="s">
        <v>2142</v>
      </c>
      <c r="B317" s="2" t="s">
        <v>2138</v>
      </c>
      <c r="C317" s="4">
        <v>1</v>
      </c>
      <c r="D317" s="5">
        <v>3.3</v>
      </c>
      <c r="E317" s="5">
        <v>7.99</v>
      </c>
      <c r="F317" s="4" t="s">
        <v>2139</v>
      </c>
      <c r="G317" s="2" t="s">
        <v>793</v>
      </c>
      <c r="H317" s="7" t="s">
        <v>311</v>
      </c>
      <c r="I317" s="2" t="s">
        <v>1689</v>
      </c>
      <c r="J317" s="2" t="s">
        <v>354</v>
      </c>
      <c r="K317" s="2" t="s">
        <v>304</v>
      </c>
      <c r="L317" s="2" t="s">
        <v>119</v>
      </c>
    </row>
    <row r="318" spans="1:12" ht="48" x14ac:dyDescent="0.25">
      <c r="A318" s="7" t="s">
        <v>2143</v>
      </c>
      <c r="B318" s="2" t="s">
        <v>2144</v>
      </c>
      <c r="C318" s="4">
        <v>1</v>
      </c>
      <c r="D318" s="5">
        <v>3.29</v>
      </c>
      <c r="E318" s="5">
        <v>7.99</v>
      </c>
      <c r="F318" s="4" t="s">
        <v>2145</v>
      </c>
      <c r="G318" s="2" t="s">
        <v>103</v>
      </c>
      <c r="H318" s="7" t="s">
        <v>1151</v>
      </c>
      <c r="I318" s="2" t="s">
        <v>1689</v>
      </c>
      <c r="J318" s="2" t="s">
        <v>354</v>
      </c>
      <c r="K318" s="2" t="s">
        <v>304</v>
      </c>
      <c r="L318" s="2" t="s">
        <v>119</v>
      </c>
    </row>
    <row r="319" spans="1:12" ht="48" x14ac:dyDescent="0.25">
      <c r="A319" s="7" t="s">
        <v>2146</v>
      </c>
      <c r="B319" s="2" t="s">
        <v>2147</v>
      </c>
      <c r="C319" s="4">
        <v>1</v>
      </c>
      <c r="D319" s="5">
        <v>3.29</v>
      </c>
      <c r="E319" s="5">
        <v>7.99</v>
      </c>
      <c r="F319" s="4" t="s">
        <v>2148</v>
      </c>
      <c r="G319" s="2" t="s">
        <v>103</v>
      </c>
      <c r="H319" s="7" t="s">
        <v>123</v>
      </c>
      <c r="I319" s="2" t="s">
        <v>1689</v>
      </c>
      <c r="J319" s="2" t="s">
        <v>354</v>
      </c>
      <c r="K319" s="2" t="s">
        <v>304</v>
      </c>
      <c r="L319" s="2" t="s">
        <v>119</v>
      </c>
    </row>
    <row r="320" spans="1:12" ht="48" x14ac:dyDescent="0.25">
      <c r="A320" s="7" t="s">
        <v>2149</v>
      </c>
      <c r="B320" s="2" t="s">
        <v>2150</v>
      </c>
      <c r="C320" s="4">
        <v>1</v>
      </c>
      <c r="D320" s="5">
        <v>3.29</v>
      </c>
      <c r="E320" s="5">
        <v>7.99</v>
      </c>
      <c r="F320" s="4" t="s">
        <v>2151</v>
      </c>
      <c r="G320" s="2" t="s">
        <v>86</v>
      </c>
      <c r="H320" s="7" t="s">
        <v>578</v>
      </c>
      <c r="I320" s="2" t="s">
        <v>1689</v>
      </c>
      <c r="J320" s="2" t="s">
        <v>354</v>
      </c>
      <c r="K320" s="2" t="s">
        <v>304</v>
      </c>
      <c r="L320" s="2" t="s">
        <v>119</v>
      </c>
    </row>
    <row r="321" spans="1:12" ht="48" x14ac:dyDescent="0.25">
      <c r="A321" s="7" t="s">
        <v>2152</v>
      </c>
      <c r="B321" s="2" t="s">
        <v>2153</v>
      </c>
      <c r="C321" s="4">
        <v>1</v>
      </c>
      <c r="D321" s="5">
        <v>3.29</v>
      </c>
      <c r="E321" s="5">
        <v>7.99</v>
      </c>
      <c r="F321" s="4" t="s">
        <v>2154</v>
      </c>
      <c r="G321" s="2" t="s">
        <v>103</v>
      </c>
      <c r="H321" s="7" t="s">
        <v>1151</v>
      </c>
      <c r="I321" s="2" t="s">
        <v>1689</v>
      </c>
      <c r="J321" s="2" t="s">
        <v>354</v>
      </c>
      <c r="K321" s="2" t="s">
        <v>304</v>
      </c>
      <c r="L321" s="2" t="s">
        <v>119</v>
      </c>
    </row>
    <row r="322" spans="1:12" ht="48" x14ac:dyDescent="0.25">
      <c r="A322" s="7" t="s">
        <v>2155</v>
      </c>
      <c r="B322" s="2" t="s">
        <v>2156</v>
      </c>
      <c r="C322" s="4">
        <v>1</v>
      </c>
      <c r="D322" s="5">
        <v>3.29</v>
      </c>
      <c r="E322" s="5">
        <v>7.99</v>
      </c>
      <c r="F322" s="4" t="s">
        <v>2157</v>
      </c>
      <c r="G322" s="2" t="s">
        <v>28</v>
      </c>
      <c r="H322" s="7" t="s">
        <v>514</v>
      </c>
      <c r="I322" s="2" t="s">
        <v>1689</v>
      </c>
      <c r="J322" s="2" t="s">
        <v>354</v>
      </c>
      <c r="K322" s="2" t="s">
        <v>304</v>
      </c>
      <c r="L322" s="2" t="s">
        <v>119</v>
      </c>
    </row>
    <row r="323" spans="1:12" ht="48" x14ac:dyDescent="0.25">
      <c r="A323" s="7" t="s">
        <v>2158</v>
      </c>
      <c r="B323" s="2" t="s">
        <v>2147</v>
      </c>
      <c r="C323" s="4">
        <v>1</v>
      </c>
      <c r="D323" s="5">
        <v>3.29</v>
      </c>
      <c r="E323" s="5">
        <v>7.99</v>
      </c>
      <c r="F323" s="4" t="s">
        <v>2148</v>
      </c>
      <c r="G323" s="2" t="s">
        <v>103</v>
      </c>
      <c r="H323" s="7" t="s">
        <v>311</v>
      </c>
      <c r="I323" s="2" t="s">
        <v>1689</v>
      </c>
      <c r="J323" s="2" t="s">
        <v>354</v>
      </c>
      <c r="K323" s="2" t="s">
        <v>304</v>
      </c>
      <c r="L323" s="2" t="s">
        <v>119</v>
      </c>
    </row>
    <row r="324" spans="1:12" ht="36" x14ac:dyDescent="0.25">
      <c r="A324" s="7" t="s">
        <v>2159</v>
      </c>
      <c r="B324" s="2" t="s">
        <v>2160</v>
      </c>
      <c r="C324" s="4">
        <v>1</v>
      </c>
      <c r="D324" s="5">
        <v>3.15</v>
      </c>
      <c r="E324" s="5">
        <v>7.99</v>
      </c>
      <c r="F324" s="4" t="s">
        <v>2161</v>
      </c>
      <c r="G324" s="2" t="s">
        <v>657</v>
      </c>
      <c r="H324" s="7" t="s">
        <v>1151</v>
      </c>
      <c r="I324" s="2" t="s">
        <v>483</v>
      </c>
      <c r="J324" s="2" t="s">
        <v>536</v>
      </c>
      <c r="K324" s="2" t="s">
        <v>304</v>
      </c>
      <c r="L324" s="2" t="s">
        <v>119</v>
      </c>
    </row>
    <row r="325" spans="1:12" ht="36" x14ac:dyDescent="0.25">
      <c r="A325" s="7" t="s">
        <v>2162</v>
      </c>
      <c r="B325" s="2" t="s">
        <v>2163</v>
      </c>
      <c r="C325" s="4">
        <v>1</v>
      </c>
      <c r="D325" s="5">
        <v>3.05</v>
      </c>
      <c r="E325" s="5">
        <v>7.99</v>
      </c>
      <c r="F325" s="4" t="s">
        <v>2164</v>
      </c>
      <c r="G325" s="2" t="s">
        <v>28</v>
      </c>
      <c r="H325" s="7" t="s">
        <v>1151</v>
      </c>
      <c r="I325" s="2" t="s">
        <v>483</v>
      </c>
      <c r="J325" s="2" t="s">
        <v>536</v>
      </c>
      <c r="K325" s="2" t="s">
        <v>304</v>
      </c>
      <c r="L325" s="2" t="s">
        <v>119</v>
      </c>
    </row>
    <row r="326" spans="1:12" ht="36" x14ac:dyDescent="0.25">
      <c r="A326" s="7" t="s">
        <v>2165</v>
      </c>
      <c r="B326" s="2" t="s">
        <v>1186</v>
      </c>
      <c r="C326" s="4">
        <v>1</v>
      </c>
      <c r="D326" s="5">
        <v>3.03</v>
      </c>
      <c r="E326" s="5">
        <v>7.99</v>
      </c>
      <c r="F326" s="4" t="s">
        <v>1187</v>
      </c>
      <c r="G326" s="2" t="s">
        <v>41</v>
      </c>
      <c r="H326" s="7" t="s">
        <v>1151</v>
      </c>
      <c r="I326" s="2" t="s">
        <v>483</v>
      </c>
      <c r="J326" s="2" t="s">
        <v>536</v>
      </c>
      <c r="K326" s="2" t="s">
        <v>304</v>
      </c>
      <c r="L326" s="2" t="s">
        <v>100</v>
      </c>
    </row>
    <row r="327" spans="1:12" ht="36" x14ac:dyDescent="0.25">
      <c r="A327" s="7" t="s">
        <v>2166</v>
      </c>
      <c r="B327" s="2" t="s">
        <v>1183</v>
      </c>
      <c r="C327" s="4">
        <v>1</v>
      </c>
      <c r="D327" s="5">
        <v>3.03</v>
      </c>
      <c r="E327" s="5">
        <v>7.99</v>
      </c>
      <c r="F327" s="4" t="s">
        <v>1184</v>
      </c>
      <c r="G327" s="2" t="s">
        <v>41</v>
      </c>
      <c r="H327" s="7" t="s">
        <v>1151</v>
      </c>
      <c r="I327" s="2" t="s">
        <v>483</v>
      </c>
      <c r="J327" s="2" t="s">
        <v>536</v>
      </c>
      <c r="K327" s="2" t="s">
        <v>304</v>
      </c>
      <c r="L327" s="2" t="s">
        <v>38</v>
      </c>
    </row>
    <row r="328" spans="1:12" ht="36" x14ac:dyDescent="0.25">
      <c r="A328" s="7" t="s">
        <v>2167</v>
      </c>
      <c r="B328" s="2" t="s">
        <v>2168</v>
      </c>
      <c r="C328" s="4">
        <v>1</v>
      </c>
      <c r="D328" s="5">
        <v>3.02</v>
      </c>
      <c r="E328" s="5">
        <v>7.99</v>
      </c>
      <c r="F328" s="4" t="s">
        <v>2169</v>
      </c>
      <c r="G328" s="2" t="s">
        <v>657</v>
      </c>
      <c r="H328" s="7" t="s">
        <v>578</v>
      </c>
      <c r="I328" s="2" t="s">
        <v>483</v>
      </c>
      <c r="J328" s="2" t="s">
        <v>536</v>
      </c>
      <c r="K328" s="2" t="s">
        <v>304</v>
      </c>
      <c r="L328" s="2" t="s">
        <v>119</v>
      </c>
    </row>
    <row r="329" spans="1:12" ht="36" x14ac:dyDescent="0.25">
      <c r="A329" s="7" t="s">
        <v>2170</v>
      </c>
      <c r="B329" s="2" t="s">
        <v>2171</v>
      </c>
      <c r="C329" s="4">
        <v>1</v>
      </c>
      <c r="D329" s="5">
        <v>2.98</v>
      </c>
      <c r="E329" s="5">
        <v>6.99</v>
      </c>
      <c r="F329" s="4" t="s">
        <v>2172</v>
      </c>
      <c r="G329" s="2" t="s">
        <v>657</v>
      </c>
      <c r="H329" s="7" t="s">
        <v>42</v>
      </c>
      <c r="I329" s="2" t="s">
        <v>483</v>
      </c>
      <c r="J329" s="2" t="s">
        <v>536</v>
      </c>
      <c r="K329" s="2" t="s">
        <v>304</v>
      </c>
      <c r="L329" s="2" t="s">
        <v>119</v>
      </c>
    </row>
    <row r="330" spans="1:12" ht="36" x14ac:dyDescent="0.25">
      <c r="A330" s="7" t="s">
        <v>2173</v>
      </c>
      <c r="B330" s="2" t="s">
        <v>2174</v>
      </c>
      <c r="C330" s="4">
        <v>1</v>
      </c>
      <c r="D330" s="5">
        <v>2.98</v>
      </c>
      <c r="E330" s="5">
        <v>7.99</v>
      </c>
      <c r="F330" s="4" t="s">
        <v>2175</v>
      </c>
      <c r="G330" s="2" t="s">
        <v>86</v>
      </c>
      <c r="H330" s="7" t="s">
        <v>514</v>
      </c>
      <c r="I330" s="2" t="s">
        <v>483</v>
      </c>
      <c r="J330" s="2" t="s">
        <v>536</v>
      </c>
      <c r="K330" s="2" t="s">
        <v>304</v>
      </c>
      <c r="L330" s="2" t="s">
        <v>38</v>
      </c>
    </row>
    <row r="331" spans="1:12" ht="36" x14ac:dyDescent="0.25">
      <c r="A331" s="7" t="s">
        <v>2176</v>
      </c>
      <c r="B331" s="2" t="s">
        <v>2177</v>
      </c>
      <c r="C331" s="4">
        <v>1</v>
      </c>
      <c r="D331" s="5">
        <v>2.97</v>
      </c>
      <c r="E331" s="5">
        <v>7.99</v>
      </c>
      <c r="F331" s="4" t="s">
        <v>2178</v>
      </c>
      <c r="G331" s="2" t="s">
        <v>86</v>
      </c>
      <c r="H331" s="7" t="s">
        <v>149</v>
      </c>
      <c r="I331" s="2" t="s">
        <v>483</v>
      </c>
      <c r="J331" s="2" t="s">
        <v>536</v>
      </c>
      <c r="K331" s="2" t="s">
        <v>304</v>
      </c>
      <c r="L331" s="2" t="s">
        <v>119</v>
      </c>
    </row>
    <row r="332" spans="1:12" ht="36" x14ac:dyDescent="0.25">
      <c r="A332" s="7" t="s">
        <v>2179</v>
      </c>
      <c r="B332" s="2" t="s">
        <v>2180</v>
      </c>
      <c r="C332" s="4">
        <v>1</v>
      </c>
      <c r="D332" s="5">
        <v>2.97</v>
      </c>
      <c r="E332" s="5">
        <v>7.99</v>
      </c>
      <c r="F332" s="4" t="s">
        <v>2181</v>
      </c>
      <c r="G332" s="2" t="s">
        <v>41</v>
      </c>
      <c r="H332" s="7" t="s">
        <v>149</v>
      </c>
      <c r="I332" s="2" t="s">
        <v>483</v>
      </c>
      <c r="J332" s="2" t="s">
        <v>536</v>
      </c>
      <c r="K332" s="2" t="s">
        <v>304</v>
      </c>
      <c r="L332" s="2" t="s">
        <v>119</v>
      </c>
    </row>
    <row r="333" spans="1:12" ht="36" x14ac:dyDescent="0.25">
      <c r="A333" s="7" t="s">
        <v>2182</v>
      </c>
      <c r="B333" s="2" t="s">
        <v>2183</v>
      </c>
      <c r="C333" s="4">
        <v>2</v>
      </c>
      <c r="D333" s="5">
        <v>2.97</v>
      </c>
      <c r="E333" s="5">
        <v>7.99</v>
      </c>
      <c r="F333" s="4" t="s">
        <v>2184</v>
      </c>
      <c r="G333" s="2" t="s">
        <v>595</v>
      </c>
      <c r="H333" s="7" t="s">
        <v>149</v>
      </c>
      <c r="I333" s="2" t="s">
        <v>483</v>
      </c>
      <c r="J333" s="2" t="s">
        <v>536</v>
      </c>
      <c r="K333" s="2" t="s">
        <v>304</v>
      </c>
      <c r="L333" s="2" t="s">
        <v>119</v>
      </c>
    </row>
    <row r="334" spans="1:12" ht="36" x14ac:dyDescent="0.25">
      <c r="A334" s="7" t="s">
        <v>1198</v>
      </c>
      <c r="B334" s="2" t="s">
        <v>1199</v>
      </c>
      <c r="C334" s="4">
        <v>1</v>
      </c>
      <c r="D334" s="5">
        <v>2.94</v>
      </c>
      <c r="E334" s="5">
        <v>7.99</v>
      </c>
      <c r="F334" s="4" t="s">
        <v>1200</v>
      </c>
      <c r="G334" s="2" t="s">
        <v>41</v>
      </c>
      <c r="H334" s="7" t="s">
        <v>1151</v>
      </c>
      <c r="I334" s="2" t="s">
        <v>483</v>
      </c>
      <c r="J334" s="2" t="s">
        <v>536</v>
      </c>
      <c r="K334" s="2" t="s">
        <v>304</v>
      </c>
      <c r="L334" s="2" t="s">
        <v>206</v>
      </c>
    </row>
    <row r="335" spans="1:12" ht="36" x14ac:dyDescent="0.25">
      <c r="A335" s="7" t="s">
        <v>2185</v>
      </c>
      <c r="B335" s="2" t="s">
        <v>1199</v>
      </c>
      <c r="C335" s="4">
        <v>1</v>
      </c>
      <c r="D335" s="5">
        <v>2.94</v>
      </c>
      <c r="E335" s="5">
        <v>7.99</v>
      </c>
      <c r="F335" s="4" t="s">
        <v>1200</v>
      </c>
      <c r="G335" s="2" t="s">
        <v>41</v>
      </c>
      <c r="H335" s="7" t="s">
        <v>514</v>
      </c>
      <c r="I335" s="2" t="s">
        <v>483</v>
      </c>
      <c r="J335" s="2" t="s">
        <v>536</v>
      </c>
      <c r="K335" s="2" t="s">
        <v>304</v>
      </c>
      <c r="L335" s="2" t="s">
        <v>206</v>
      </c>
    </row>
    <row r="336" spans="1:12" ht="36" x14ac:dyDescent="0.25">
      <c r="A336" s="7" t="s">
        <v>2186</v>
      </c>
      <c r="B336" s="2" t="s">
        <v>2187</v>
      </c>
      <c r="C336" s="4">
        <v>1</v>
      </c>
      <c r="D336" s="5">
        <v>2.94</v>
      </c>
      <c r="E336" s="5">
        <v>7.99</v>
      </c>
      <c r="F336" s="4" t="s">
        <v>2188</v>
      </c>
      <c r="G336" s="2" t="s">
        <v>353</v>
      </c>
      <c r="H336" s="7" t="s">
        <v>1151</v>
      </c>
      <c r="I336" s="2" t="s">
        <v>483</v>
      </c>
      <c r="J336" s="2" t="s">
        <v>536</v>
      </c>
      <c r="K336" s="2" t="s">
        <v>304</v>
      </c>
      <c r="L336" s="2" t="s">
        <v>206</v>
      </c>
    </row>
    <row r="337" spans="1:12" ht="36" x14ac:dyDescent="0.25">
      <c r="A337" s="7" t="s">
        <v>2189</v>
      </c>
      <c r="B337" s="2" t="s">
        <v>2190</v>
      </c>
      <c r="C337" s="4">
        <v>1</v>
      </c>
      <c r="D337" s="5">
        <v>2.94</v>
      </c>
      <c r="E337" s="5">
        <v>7.99</v>
      </c>
      <c r="F337" s="4" t="s">
        <v>2191</v>
      </c>
      <c r="G337" s="2" t="s">
        <v>41</v>
      </c>
      <c r="H337" s="7" t="s">
        <v>1151</v>
      </c>
      <c r="I337" s="2" t="s">
        <v>483</v>
      </c>
      <c r="J337" s="2" t="s">
        <v>536</v>
      </c>
      <c r="K337" s="2" t="s">
        <v>304</v>
      </c>
      <c r="L337" s="2" t="s">
        <v>206</v>
      </c>
    </row>
    <row r="338" spans="1:12" ht="36" x14ac:dyDescent="0.25">
      <c r="A338" s="7" t="s">
        <v>2192</v>
      </c>
      <c r="B338" s="2" t="s">
        <v>2193</v>
      </c>
      <c r="C338" s="4">
        <v>1</v>
      </c>
      <c r="D338" s="5">
        <v>2.94</v>
      </c>
      <c r="E338" s="5">
        <v>7.99</v>
      </c>
      <c r="F338" s="4" t="s">
        <v>2194</v>
      </c>
      <c r="G338" s="2" t="s">
        <v>41</v>
      </c>
      <c r="H338" s="7" t="s">
        <v>514</v>
      </c>
      <c r="I338" s="2" t="s">
        <v>483</v>
      </c>
      <c r="J338" s="2" t="s">
        <v>536</v>
      </c>
      <c r="K338" s="2" t="s">
        <v>304</v>
      </c>
      <c r="L338" s="2" t="s">
        <v>38</v>
      </c>
    </row>
    <row r="339" spans="1:12" ht="36" x14ac:dyDescent="0.25">
      <c r="A339" s="7" t="s">
        <v>2195</v>
      </c>
      <c r="B339" s="2" t="s">
        <v>2196</v>
      </c>
      <c r="C339" s="4">
        <v>1</v>
      </c>
      <c r="D339" s="5">
        <v>2.92</v>
      </c>
      <c r="E339" s="5">
        <v>7.99</v>
      </c>
      <c r="F339" s="4" t="s">
        <v>2197</v>
      </c>
      <c r="G339" s="2" t="s">
        <v>86</v>
      </c>
      <c r="H339" s="7" t="s">
        <v>1151</v>
      </c>
      <c r="I339" s="2" t="s">
        <v>483</v>
      </c>
      <c r="J339" s="2" t="s">
        <v>536</v>
      </c>
      <c r="K339" s="2" t="s">
        <v>304</v>
      </c>
      <c r="L339" s="2" t="s">
        <v>38</v>
      </c>
    </row>
    <row r="340" spans="1:12" ht="36" x14ac:dyDescent="0.25">
      <c r="A340" s="7" t="s">
        <v>2198</v>
      </c>
      <c r="B340" s="2" t="s">
        <v>2196</v>
      </c>
      <c r="C340" s="4">
        <v>1</v>
      </c>
      <c r="D340" s="5">
        <v>2.92</v>
      </c>
      <c r="E340" s="5">
        <v>7.99</v>
      </c>
      <c r="F340" s="4" t="s">
        <v>2197</v>
      </c>
      <c r="G340" s="2" t="s">
        <v>86</v>
      </c>
      <c r="H340" s="7" t="s">
        <v>514</v>
      </c>
      <c r="I340" s="2" t="s">
        <v>483</v>
      </c>
      <c r="J340" s="2" t="s">
        <v>536</v>
      </c>
      <c r="K340" s="2" t="s">
        <v>304</v>
      </c>
      <c r="L340" s="2" t="s">
        <v>38</v>
      </c>
    </row>
    <row r="341" spans="1:12" ht="60" x14ac:dyDescent="0.25">
      <c r="A341" s="7" t="s">
        <v>1204</v>
      </c>
      <c r="B341" s="2" t="s">
        <v>1205</v>
      </c>
      <c r="C341" s="4">
        <v>9</v>
      </c>
      <c r="D341" s="5">
        <v>2.87</v>
      </c>
      <c r="E341" s="5">
        <v>7.99</v>
      </c>
      <c r="F341" s="4" t="s">
        <v>1206</v>
      </c>
      <c r="G341" s="2" t="s">
        <v>437</v>
      </c>
      <c r="H341" s="7" t="s">
        <v>531</v>
      </c>
      <c r="I341" s="2" t="s">
        <v>483</v>
      </c>
      <c r="J341" s="2" t="s">
        <v>536</v>
      </c>
      <c r="K341" s="2" t="s">
        <v>304</v>
      </c>
      <c r="L341" s="2" t="s">
        <v>1207</v>
      </c>
    </row>
    <row r="342" spans="1:12" ht="120" x14ac:dyDescent="0.25">
      <c r="A342" s="7" t="s">
        <v>2199</v>
      </c>
      <c r="B342" s="2" t="s">
        <v>598</v>
      </c>
      <c r="C342" s="4">
        <v>1</v>
      </c>
      <c r="D342" s="5">
        <v>2.84</v>
      </c>
      <c r="E342" s="5">
        <v>7.99</v>
      </c>
      <c r="F342" s="4" t="s">
        <v>599</v>
      </c>
      <c r="G342" s="2" t="s">
        <v>62</v>
      </c>
      <c r="H342" s="7" t="s">
        <v>590</v>
      </c>
      <c r="I342" s="2" t="s">
        <v>483</v>
      </c>
      <c r="J342" s="2" t="s">
        <v>536</v>
      </c>
      <c r="K342" s="2" t="s">
        <v>304</v>
      </c>
      <c r="L342" s="2" t="s">
        <v>600</v>
      </c>
    </row>
    <row r="343" spans="1:12" ht="120" x14ac:dyDescent="0.25">
      <c r="A343" s="7" t="s">
        <v>2200</v>
      </c>
      <c r="B343" s="2" t="s">
        <v>598</v>
      </c>
      <c r="C343" s="4">
        <v>4</v>
      </c>
      <c r="D343" s="5">
        <v>2.84</v>
      </c>
      <c r="E343" s="5">
        <v>7.99</v>
      </c>
      <c r="F343" s="4" t="s">
        <v>599</v>
      </c>
      <c r="G343" s="2" t="s">
        <v>62</v>
      </c>
      <c r="H343" s="7" t="s">
        <v>149</v>
      </c>
      <c r="I343" s="2" t="s">
        <v>483</v>
      </c>
      <c r="J343" s="2" t="s">
        <v>536</v>
      </c>
      <c r="K343" s="2" t="s">
        <v>304</v>
      </c>
      <c r="L343" s="2" t="s">
        <v>600</v>
      </c>
    </row>
    <row r="344" spans="1:12" ht="120" x14ac:dyDescent="0.25">
      <c r="A344" s="7" t="s">
        <v>2201</v>
      </c>
      <c r="B344" s="2" t="s">
        <v>598</v>
      </c>
      <c r="C344" s="4">
        <v>1</v>
      </c>
      <c r="D344" s="5">
        <v>2.84</v>
      </c>
      <c r="E344" s="5">
        <v>7.99</v>
      </c>
      <c r="F344" s="4" t="s">
        <v>599</v>
      </c>
      <c r="G344" s="2" t="s">
        <v>62</v>
      </c>
      <c r="H344" s="7" t="s">
        <v>442</v>
      </c>
      <c r="I344" s="2" t="s">
        <v>483</v>
      </c>
      <c r="J344" s="2" t="s">
        <v>536</v>
      </c>
      <c r="K344" s="2" t="s">
        <v>304</v>
      </c>
      <c r="L344" s="2" t="s">
        <v>600</v>
      </c>
    </row>
    <row r="345" spans="1:12" ht="36" x14ac:dyDescent="0.25">
      <c r="A345" s="7" t="s">
        <v>2202</v>
      </c>
      <c r="B345" s="2" t="s">
        <v>2203</v>
      </c>
      <c r="C345" s="4">
        <v>1</v>
      </c>
      <c r="D345" s="5">
        <v>2.82</v>
      </c>
      <c r="E345" s="5">
        <v>7.99</v>
      </c>
      <c r="F345" s="4" t="s">
        <v>2204</v>
      </c>
      <c r="G345" s="2" t="s">
        <v>41</v>
      </c>
      <c r="H345" s="7" t="s">
        <v>578</v>
      </c>
      <c r="I345" s="2" t="s">
        <v>483</v>
      </c>
      <c r="J345" s="2" t="s">
        <v>536</v>
      </c>
      <c r="K345" s="2" t="s">
        <v>304</v>
      </c>
      <c r="L345" s="2" t="s">
        <v>100</v>
      </c>
    </row>
    <row r="346" spans="1:12" ht="36" x14ac:dyDescent="0.25">
      <c r="A346" s="7" t="s">
        <v>2205</v>
      </c>
      <c r="B346" s="2" t="s">
        <v>2206</v>
      </c>
      <c r="C346" s="4">
        <v>1</v>
      </c>
      <c r="D346" s="5">
        <v>2.81</v>
      </c>
      <c r="E346" s="5">
        <v>7.99</v>
      </c>
      <c r="F346" s="4" t="s">
        <v>2207</v>
      </c>
      <c r="G346" s="2" t="s">
        <v>41</v>
      </c>
      <c r="H346" s="7" t="s">
        <v>514</v>
      </c>
      <c r="I346" s="2" t="s">
        <v>483</v>
      </c>
      <c r="J346" s="2" t="s">
        <v>536</v>
      </c>
      <c r="K346" s="2" t="s">
        <v>304</v>
      </c>
      <c r="L346" s="2" t="s">
        <v>100</v>
      </c>
    </row>
    <row r="347" spans="1:12" ht="36" x14ac:dyDescent="0.25">
      <c r="A347" s="7" t="s">
        <v>2208</v>
      </c>
      <c r="B347" s="2" t="s">
        <v>2209</v>
      </c>
      <c r="C347" s="4">
        <v>1</v>
      </c>
      <c r="D347" s="5">
        <v>2.77</v>
      </c>
      <c r="E347" s="5">
        <v>7.99</v>
      </c>
      <c r="F347" s="4">
        <v>10004191600</v>
      </c>
      <c r="G347" s="2" t="s">
        <v>1360</v>
      </c>
      <c r="H347" s="7" t="s">
        <v>586</v>
      </c>
      <c r="I347" s="2" t="s">
        <v>483</v>
      </c>
      <c r="J347" s="2" t="s">
        <v>536</v>
      </c>
      <c r="K347" s="2" t="s">
        <v>304</v>
      </c>
      <c r="L347" s="2" t="s">
        <v>119</v>
      </c>
    </row>
    <row r="348" spans="1:12" ht="36" x14ac:dyDescent="0.25">
      <c r="A348" s="7" t="s">
        <v>2210</v>
      </c>
      <c r="B348" s="2" t="s">
        <v>602</v>
      </c>
      <c r="C348" s="4">
        <v>1</v>
      </c>
      <c r="D348" s="5">
        <v>2.77</v>
      </c>
      <c r="E348" s="5">
        <v>7.99</v>
      </c>
      <c r="F348" s="4" t="s">
        <v>603</v>
      </c>
      <c r="G348" s="2" t="s">
        <v>297</v>
      </c>
      <c r="H348" s="7" t="s">
        <v>586</v>
      </c>
      <c r="I348" s="2" t="s">
        <v>483</v>
      </c>
      <c r="J348" s="2" t="s">
        <v>536</v>
      </c>
      <c r="K348" s="2" t="s">
        <v>304</v>
      </c>
      <c r="L348" s="2" t="s">
        <v>119</v>
      </c>
    </row>
    <row r="349" spans="1:12" ht="36" x14ac:dyDescent="0.25">
      <c r="A349" s="7" t="s">
        <v>2211</v>
      </c>
      <c r="B349" s="2" t="s">
        <v>2209</v>
      </c>
      <c r="C349" s="4">
        <v>2</v>
      </c>
      <c r="D349" s="5">
        <v>2.77</v>
      </c>
      <c r="E349" s="5">
        <v>7.99</v>
      </c>
      <c r="F349" s="4">
        <v>10004191600</v>
      </c>
      <c r="G349" s="2" t="s">
        <v>1360</v>
      </c>
      <c r="H349" s="7" t="s">
        <v>604</v>
      </c>
      <c r="I349" s="2" t="s">
        <v>483</v>
      </c>
      <c r="J349" s="2" t="s">
        <v>536</v>
      </c>
      <c r="K349" s="2" t="s">
        <v>304</v>
      </c>
      <c r="L349" s="2" t="s">
        <v>119</v>
      </c>
    </row>
    <row r="350" spans="1:12" ht="36" x14ac:dyDescent="0.25">
      <c r="A350" s="7" t="s">
        <v>2212</v>
      </c>
      <c r="B350" s="2" t="s">
        <v>2209</v>
      </c>
      <c r="C350" s="4">
        <v>3</v>
      </c>
      <c r="D350" s="5">
        <v>2.77</v>
      </c>
      <c r="E350" s="5">
        <v>7.99</v>
      </c>
      <c r="F350" s="4">
        <v>10004191600</v>
      </c>
      <c r="G350" s="2" t="s">
        <v>1360</v>
      </c>
      <c r="H350" s="7"/>
      <c r="I350" s="2" t="s">
        <v>483</v>
      </c>
      <c r="J350" s="2" t="s">
        <v>536</v>
      </c>
      <c r="K350" s="2" t="s">
        <v>304</v>
      </c>
      <c r="L350" s="2" t="s">
        <v>119</v>
      </c>
    </row>
    <row r="351" spans="1:12" ht="36" x14ac:dyDescent="0.25">
      <c r="A351" s="7" t="s">
        <v>1216</v>
      </c>
      <c r="B351" s="2" t="s">
        <v>1217</v>
      </c>
      <c r="C351" s="4">
        <v>2</v>
      </c>
      <c r="D351" s="5">
        <v>2.77</v>
      </c>
      <c r="E351" s="5">
        <v>7.99</v>
      </c>
      <c r="F351" s="4">
        <v>10005049100</v>
      </c>
      <c r="G351" s="2" t="s">
        <v>527</v>
      </c>
      <c r="H351" s="7" t="s">
        <v>604</v>
      </c>
      <c r="I351" s="2" t="s">
        <v>483</v>
      </c>
      <c r="J351" s="2" t="s">
        <v>536</v>
      </c>
      <c r="K351" s="2" t="s">
        <v>304</v>
      </c>
      <c r="L351" s="2" t="s">
        <v>119</v>
      </c>
    </row>
    <row r="352" spans="1:12" ht="36" x14ac:dyDescent="0.25">
      <c r="A352" s="7" t="s">
        <v>605</v>
      </c>
      <c r="B352" s="2" t="s">
        <v>602</v>
      </c>
      <c r="C352" s="4">
        <v>1</v>
      </c>
      <c r="D352" s="5">
        <v>2.77</v>
      </c>
      <c r="E352" s="5">
        <v>7.99</v>
      </c>
      <c r="F352" s="4" t="s">
        <v>603</v>
      </c>
      <c r="G352" s="2" t="s">
        <v>297</v>
      </c>
      <c r="H352" s="7"/>
      <c r="I352" s="2" t="s">
        <v>483</v>
      </c>
      <c r="J352" s="2" t="s">
        <v>536</v>
      </c>
      <c r="K352" s="2" t="s">
        <v>304</v>
      </c>
      <c r="L352" s="2" t="s">
        <v>119</v>
      </c>
    </row>
    <row r="353" spans="1:12" ht="36" x14ac:dyDescent="0.25">
      <c r="A353" s="7" t="s">
        <v>601</v>
      </c>
      <c r="B353" s="2" t="s">
        <v>602</v>
      </c>
      <c r="C353" s="4">
        <v>2</v>
      </c>
      <c r="D353" s="5">
        <v>2.77</v>
      </c>
      <c r="E353" s="5">
        <v>7.99</v>
      </c>
      <c r="F353" s="4" t="s">
        <v>603</v>
      </c>
      <c r="G353" s="2" t="s">
        <v>297</v>
      </c>
      <c r="H353" s="7" t="s">
        <v>604</v>
      </c>
      <c r="I353" s="2" t="s">
        <v>483</v>
      </c>
      <c r="J353" s="2" t="s">
        <v>536</v>
      </c>
      <c r="K353" s="2" t="s">
        <v>304</v>
      </c>
      <c r="L353" s="2" t="s">
        <v>119</v>
      </c>
    </row>
    <row r="354" spans="1:12" ht="36" x14ac:dyDescent="0.25">
      <c r="A354" s="7" t="s">
        <v>2213</v>
      </c>
      <c r="B354" s="2" t="s">
        <v>1219</v>
      </c>
      <c r="C354" s="4">
        <v>1</v>
      </c>
      <c r="D354" s="5">
        <v>2.75</v>
      </c>
      <c r="E354" s="5">
        <v>6.99</v>
      </c>
      <c r="F354" s="4" t="s">
        <v>1220</v>
      </c>
      <c r="G354" s="2" t="s">
        <v>527</v>
      </c>
      <c r="H354" s="7" t="s">
        <v>442</v>
      </c>
      <c r="I354" s="2" t="s">
        <v>483</v>
      </c>
      <c r="J354" s="2" t="s">
        <v>536</v>
      </c>
      <c r="K354" s="2" t="s">
        <v>304</v>
      </c>
      <c r="L354" s="2" t="s">
        <v>119</v>
      </c>
    </row>
    <row r="355" spans="1:12" ht="36" x14ac:dyDescent="0.25">
      <c r="A355" s="7" t="s">
        <v>1218</v>
      </c>
      <c r="B355" s="2" t="s">
        <v>1219</v>
      </c>
      <c r="C355" s="4">
        <v>1</v>
      </c>
      <c r="D355" s="5">
        <v>2.75</v>
      </c>
      <c r="E355" s="5">
        <v>6.99</v>
      </c>
      <c r="F355" s="4" t="s">
        <v>1220</v>
      </c>
      <c r="G355" s="2" t="s">
        <v>527</v>
      </c>
      <c r="H355" s="7" t="s">
        <v>590</v>
      </c>
      <c r="I355" s="2" t="s">
        <v>483</v>
      </c>
      <c r="J355" s="2" t="s">
        <v>536</v>
      </c>
      <c r="K355" s="2" t="s">
        <v>304</v>
      </c>
      <c r="L355" s="2" t="s">
        <v>119</v>
      </c>
    </row>
    <row r="356" spans="1:12" ht="36" x14ac:dyDescent="0.25">
      <c r="A356" s="7" t="s">
        <v>2214</v>
      </c>
      <c r="B356" s="2" t="s">
        <v>2215</v>
      </c>
      <c r="C356" s="4">
        <v>1</v>
      </c>
      <c r="D356" s="5">
        <v>2.75</v>
      </c>
      <c r="E356" s="5">
        <v>7.99</v>
      </c>
      <c r="F356" s="4" t="s">
        <v>2216</v>
      </c>
      <c r="G356" s="2" t="s">
        <v>1360</v>
      </c>
      <c r="H356" s="7" t="s">
        <v>514</v>
      </c>
      <c r="I356" s="2" t="s">
        <v>483</v>
      </c>
      <c r="J356" s="2" t="s">
        <v>536</v>
      </c>
      <c r="K356" s="2" t="s">
        <v>304</v>
      </c>
      <c r="L356" s="2" t="s">
        <v>38</v>
      </c>
    </row>
    <row r="357" spans="1:12" ht="36" x14ac:dyDescent="0.25">
      <c r="A357" s="7" t="s">
        <v>2217</v>
      </c>
      <c r="B357" s="2" t="s">
        <v>1219</v>
      </c>
      <c r="C357" s="4">
        <v>1</v>
      </c>
      <c r="D357" s="5">
        <v>2.75</v>
      </c>
      <c r="E357" s="5">
        <v>6.99</v>
      </c>
      <c r="F357" s="4" t="s">
        <v>1220</v>
      </c>
      <c r="G357" s="2" t="s">
        <v>527</v>
      </c>
      <c r="H357" s="7" t="s">
        <v>42</v>
      </c>
      <c r="I357" s="2" t="s">
        <v>483</v>
      </c>
      <c r="J357" s="2" t="s">
        <v>536</v>
      </c>
      <c r="K357" s="2" t="s">
        <v>304</v>
      </c>
      <c r="L357" s="2" t="s">
        <v>119</v>
      </c>
    </row>
    <row r="358" spans="1:12" ht="96" x14ac:dyDescent="0.25">
      <c r="A358" s="7" t="s">
        <v>2218</v>
      </c>
      <c r="B358" s="2" t="s">
        <v>1222</v>
      </c>
      <c r="C358" s="4">
        <v>1</v>
      </c>
      <c r="D358" s="5">
        <v>2.74</v>
      </c>
      <c r="E358" s="5">
        <v>7.99</v>
      </c>
      <c r="F358" s="4" t="s">
        <v>1223</v>
      </c>
      <c r="G358" s="2" t="s">
        <v>41</v>
      </c>
      <c r="H358" s="7" t="s">
        <v>514</v>
      </c>
      <c r="I358" s="2" t="s">
        <v>483</v>
      </c>
      <c r="J358" s="2" t="s">
        <v>536</v>
      </c>
      <c r="K358" s="2" t="s">
        <v>304</v>
      </c>
      <c r="L358" s="2" t="s">
        <v>1224</v>
      </c>
    </row>
    <row r="359" spans="1:12" ht="36" x14ac:dyDescent="0.25">
      <c r="A359" s="7" t="s">
        <v>2219</v>
      </c>
      <c r="B359" s="2" t="s">
        <v>2220</v>
      </c>
      <c r="C359" s="4">
        <v>1</v>
      </c>
      <c r="D359" s="5">
        <v>2.74</v>
      </c>
      <c r="E359" s="5">
        <v>7.99</v>
      </c>
      <c r="F359" s="4" t="s">
        <v>2221</v>
      </c>
      <c r="G359" s="2" t="s">
        <v>41</v>
      </c>
      <c r="H359" s="7" t="s">
        <v>1151</v>
      </c>
      <c r="I359" s="2" t="s">
        <v>483</v>
      </c>
      <c r="J359" s="2" t="s">
        <v>536</v>
      </c>
      <c r="K359" s="2" t="s">
        <v>304</v>
      </c>
      <c r="L359" s="2" t="s">
        <v>38</v>
      </c>
    </row>
    <row r="360" spans="1:12" ht="36" x14ac:dyDescent="0.25">
      <c r="A360" s="7" t="s">
        <v>2222</v>
      </c>
      <c r="B360" s="2" t="s">
        <v>2223</v>
      </c>
      <c r="C360" s="4">
        <v>1</v>
      </c>
      <c r="D360" s="5">
        <v>2.69</v>
      </c>
      <c r="E360" s="5">
        <v>5.99</v>
      </c>
      <c r="F360" s="4" t="s">
        <v>2224</v>
      </c>
      <c r="G360" s="2" t="s">
        <v>62</v>
      </c>
      <c r="H360" s="7" t="s">
        <v>91</v>
      </c>
      <c r="I360" s="2" t="s">
        <v>483</v>
      </c>
      <c r="J360" s="2" t="s">
        <v>536</v>
      </c>
      <c r="K360" s="2" t="s">
        <v>304</v>
      </c>
      <c r="L360" s="2" t="s">
        <v>206</v>
      </c>
    </row>
    <row r="361" spans="1:12" ht="36" x14ac:dyDescent="0.25">
      <c r="A361" s="7" t="s">
        <v>2225</v>
      </c>
      <c r="B361" s="2" t="s">
        <v>2223</v>
      </c>
      <c r="C361" s="4">
        <v>2</v>
      </c>
      <c r="D361" s="5">
        <v>2.69</v>
      </c>
      <c r="E361" s="5">
        <v>5.99</v>
      </c>
      <c r="F361" s="4" t="s">
        <v>2224</v>
      </c>
      <c r="G361" s="2" t="s">
        <v>62</v>
      </c>
      <c r="H361" s="7" t="s">
        <v>590</v>
      </c>
      <c r="I361" s="2" t="s">
        <v>483</v>
      </c>
      <c r="J361" s="2" t="s">
        <v>536</v>
      </c>
      <c r="K361" s="2" t="s">
        <v>304</v>
      </c>
      <c r="L361" s="2" t="s">
        <v>206</v>
      </c>
    </row>
    <row r="362" spans="1:12" ht="36" x14ac:dyDescent="0.25">
      <c r="A362" s="7" t="s">
        <v>2226</v>
      </c>
      <c r="B362" s="2" t="s">
        <v>2223</v>
      </c>
      <c r="C362" s="4">
        <v>1</v>
      </c>
      <c r="D362" s="5">
        <v>2.69</v>
      </c>
      <c r="E362" s="5">
        <v>5.99</v>
      </c>
      <c r="F362" s="4" t="s">
        <v>2224</v>
      </c>
      <c r="G362" s="2" t="s">
        <v>28</v>
      </c>
      <c r="H362" s="7" t="s">
        <v>42</v>
      </c>
      <c r="I362" s="2" t="s">
        <v>483</v>
      </c>
      <c r="J362" s="2" t="s">
        <v>536</v>
      </c>
      <c r="K362" s="2" t="s">
        <v>304</v>
      </c>
      <c r="L362" s="2" t="s">
        <v>206</v>
      </c>
    </row>
    <row r="363" spans="1:12" ht="84" x14ac:dyDescent="0.25">
      <c r="A363" s="7" t="s">
        <v>2227</v>
      </c>
      <c r="B363" s="2" t="s">
        <v>2228</v>
      </c>
      <c r="C363" s="4">
        <v>1</v>
      </c>
      <c r="D363" s="5">
        <v>2.67</v>
      </c>
      <c r="E363" s="5">
        <v>7.99</v>
      </c>
      <c r="F363" s="4" t="s">
        <v>2229</v>
      </c>
      <c r="G363" s="2" t="s">
        <v>527</v>
      </c>
      <c r="H363" s="7" t="s">
        <v>149</v>
      </c>
      <c r="I363" s="2" t="s">
        <v>483</v>
      </c>
      <c r="J363" s="2" t="s">
        <v>536</v>
      </c>
      <c r="K363" s="2" t="s">
        <v>304</v>
      </c>
      <c r="L363" s="2" t="s">
        <v>2230</v>
      </c>
    </row>
    <row r="364" spans="1:12" ht="36" x14ac:dyDescent="0.25">
      <c r="A364" s="7" t="s">
        <v>2231</v>
      </c>
      <c r="B364" s="2" t="s">
        <v>2232</v>
      </c>
      <c r="C364" s="4">
        <v>1</v>
      </c>
      <c r="D364" s="5">
        <v>2.67</v>
      </c>
      <c r="E364" s="5">
        <v>6.99</v>
      </c>
      <c r="F364" s="4" t="s">
        <v>2233</v>
      </c>
      <c r="G364" s="2" t="s">
        <v>171</v>
      </c>
      <c r="H364" s="7" t="s">
        <v>482</v>
      </c>
      <c r="I364" s="2" t="s">
        <v>483</v>
      </c>
      <c r="J364" s="2" t="s">
        <v>536</v>
      </c>
      <c r="K364" s="2" t="s">
        <v>304</v>
      </c>
      <c r="L364" s="2" t="s">
        <v>119</v>
      </c>
    </row>
    <row r="365" spans="1:12" ht="36" x14ac:dyDescent="0.25">
      <c r="A365" s="7" t="s">
        <v>2234</v>
      </c>
      <c r="B365" s="2" t="s">
        <v>2235</v>
      </c>
      <c r="C365" s="4">
        <v>1</v>
      </c>
      <c r="D365" s="5">
        <v>2.67</v>
      </c>
      <c r="E365" s="5">
        <v>6.99</v>
      </c>
      <c r="F365" s="4" t="s">
        <v>2236</v>
      </c>
      <c r="G365" s="2" t="s">
        <v>297</v>
      </c>
      <c r="H365" s="7"/>
      <c r="I365" s="2" t="s">
        <v>483</v>
      </c>
      <c r="J365" s="2" t="s">
        <v>536</v>
      </c>
      <c r="K365" s="2" t="s">
        <v>304</v>
      </c>
      <c r="L365" s="2" t="s">
        <v>119</v>
      </c>
    </row>
    <row r="366" spans="1:12" ht="84" x14ac:dyDescent="0.25">
      <c r="A366" s="7" t="s">
        <v>2237</v>
      </c>
      <c r="B366" s="2" t="s">
        <v>2228</v>
      </c>
      <c r="C366" s="4">
        <v>1</v>
      </c>
      <c r="D366" s="5">
        <v>2.67</v>
      </c>
      <c r="E366" s="5">
        <v>7.99</v>
      </c>
      <c r="F366" s="4" t="s">
        <v>2229</v>
      </c>
      <c r="G366" s="2" t="s">
        <v>527</v>
      </c>
      <c r="H366" s="7"/>
      <c r="I366" s="2" t="s">
        <v>483</v>
      </c>
      <c r="J366" s="2" t="s">
        <v>536</v>
      </c>
      <c r="K366" s="2" t="s">
        <v>304</v>
      </c>
      <c r="L366" s="2" t="s">
        <v>2230</v>
      </c>
    </row>
    <row r="367" spans="1:12" ht="84" x14ac:dyDescent="0.25">
      <c r="A367" s="7" t="s">
        <v>2238</v>
      </c>
      <c r="B367" s="2" t="s">
        <v>2228</v>
      </c>
      <c r="C367" s="4">
        <v>1</v>
      </c>
      <c r="D367" s="5">
        <v>2.67</v>
      </c>
      <c r="E367" s="5">
        <v>7.99</v>
      </c>
      <c r="F367" s="4" t="s">
        <v>2229</v>
      </c>
      <c r="G367" s="2" t="s">
        <v>527</v>
      </c>
      <c r="H367" s="7" t="s">
        <v>590</v>
      </c>
      <c r="I367" s="2" t="s">
        <v>483</v>
      </c>
      <c r="J367" s="2" t="s">
        <v>536</v>
      </c>
      <c r="K367" s="2" t="s">
        <v>304</v>
      </c>
      <c r="L367" s="2" t="s">
        <v>2230</v>
      </c>
    </row>
    <row r="368" spans="1:12" ht="36" x14ac:dyDescent="0.25">
      <c r="A368" s="7" t="s">
        <v>2239</v>
      </c>
      <c r="B368" s="2" t="s">
        <v>2240</v>
      </c>
      <c r="C368" s="4">
        <v>1</v>
      </c>
      <c r="D368" s="5">
        <v>2.65</v>
      </c>
      <c r="E368" s="5">
        <v>7.99</v>
      </c>
      <c r="F368" s="4" t="s">
        <v>2241</v>
      </c>
      <c r="G368" s="2" t="s">
        <v>41</v>
      </c>
      <c r="H368" s="7" t="s">
        <v>514</v>
      </c>
      <c r="I368" s="2" t="s">
        <v>483</v>
      </c>
      <c r="J368" s="2" t="s">
        <v>536</v>
      </c>
      <c r="K368" s="2" t="s">
        <v>304</v>
      </c>
      <c r="L368" s="2" t="s">
        <v>206</v>
      </c>
    </row>
    <row r="369" spans="1:12" ht="36" x14ac:dyDescent="0.25">
      <c r="A369" s="7" t="s">
        <v>1235</v>
      </c>
      <c r="B369" s="2" t="s">
        <v>1236</v>
      </c>
      <c r="C369" s="4">
        <v>1</v>
      </c>
      <c r="D369" s="5">
        <v>2.65</v>
      </c>
      <c r="E369" s="5">
        <v>6.99</v>
      </c>
      <c r="F369" s="4" t="s">
        <v>1237</v>
      </c>
      <c r="G369" s="2" t="s">
        <v>41</v>
      </c>
      <c r="H369" s="7" t="s">
        <v>442</v>
      </c>
      <c r="I369" s="2" t="s">
        <v>483</v>
      </c>
      <c r="J369" s="2" t="s">
        <v>536</v>
      </c>
      <c r="K369" s="2" t="s">
        <v>304</v>
      </c>
      <c r="L369" s="2" t="s">
        <v>100</v>
      </c>
    </row>
    <row r="370" spans="1:12" ht="36" x14ac:dyDescent="0.25">
      <c r="A370" s="7" t="s">
        <v>2242</v>
      </c>
      <c r="B370" s="2" t="s">
        <v>1236</v>
      </c>
      <c r="C370" s="4">
        <v>2</v>
      </c>
      <c r="D370" s="5">
        <v>2.65</v>
      </c>
      <c r="E370" s="5">
        <v>6.99</v>
      </c>
      <c r="F370" s="4" t="s">
        <v>1237</v>
      </c>
      <c r="G370" s="2" t="s">
        <v>41</v>
      </c>
      <c r="H370" s="7" t="s">
        <v>149</v>
      </c>
      <c r="I370" s="2" t="s">
        <v>483</v>
      </c>
      <c r="J370" s="2" t="s">
        <v>536</v>
      </c>
      <c r="K370" s="2" t="s">
        <v>304</v>
      </c>
      <c r="L370" s="2" t="s">
        <v>100</v>
      </c>
    </row>
    <row r="371" spans="1:12" ht="36" x14ac:dyDescent="0.25">
      <c r="A371" s="7" t="s">
        <v>2243</v>
      </c>
      <c r="B371" s="2" t="s">
        <v>1236</v>
      </c>
      <c r="C371" s="4">
        <v>1</v>
      </c>
      <c r="D371" s="5">
        <v>2.65</v>
      </c>
      <c r="E371" s="5">
        <v>6.99</v>
      </c>
      <c r="F371" s="4" t="s">
        <v>1237</v>
      </c>
      <c r="G371" s="2" t="s">
        <v>41</v>
      </c>
      <c r="H371" s="7" t="s">
        <v>91</v>
      </c>
      <c r="I371" s="2" t="s">
        <v>483</v>
      </c>
      <c r="J371" s="2" t="s">
        <v>536</v>
      </c>
      <c r="K371" s="2" t="s">
        <v>304</v>
      </c>
      <c r="L371" s="2" t="s">
        <v>100</v>
      </c>
    </row>
    <row r="372" spans="1:12" ht="36" x14ac:dyDescent="0.25">
      <c r="A372" s="7" t="s">
        <v>2244</v>
      </c>
      <c r="B372" s="2" t="s">
        <v>1236</v>
      </c>
      <c r="C372" s="4">
        <v>1</v>
      </c>
      <c r="D372" s="5">
        <v>2.65</v>
      </c>
      <c r="E372" s="5">
        <v>6.99</v>
      </c>
      <c r="F372" s="4" t="s">
        <v>1237</v>
      </c>
      <c r="G372" s="2" t="s">
        <v>41</v>
      </c>
      <c r="H372" s="7" t="s">
        <v>590</v>
      </c>
      <c r="I372" s="2" t="s">
        <v>483</v>
      </c>
      <c r="J372" s="2" t="s">
        <v>536</v>
      </c>
      <c r="K372" s="2" t="s">
        <v>304</v>
      </c>
      <c r="L372" s="2" t="s">
        <v>100</v>
      </c>
    </row>
    <row r="373" spans="1:12" ht="36" x14ac:dyDescent="0.25">
      <c r="A373" s="7" t="s">
        <v>2245</v>
      </c>
      <c r="B373" s="2" t="s">
        <v>2246</v>
      </c>
      <c r="C373" s="4">
        <v>1</v>
      </c>
      <c r="D373" s="5">
        <v>2.64</v>
      </c>
      <c r="E373" s="5">
        <v>6.99</v>
      </c>
      <c r="F373" s="4" t="s">
        <v>2247</v>
      </c>
      <c r="G373" s="2" t="s">
        <v>262</v>
      </c>
      <c r="H373" s="7"/>
      <c r="I373" s="2" t="s">
        <v>483</v>
      </c>
      <c r="J373" s="2" t="s">
        <v>536</v>
      </c>
      <c r="K373" s="2" t="s">
        <v>304</v>
      </c>
      <c r="L373" s="2" t="s">
        <v>119</v>
      </c>
    </row>
    <row r="374" spans="1:12" ht="36" x14ac:dyDescent="0.25">
      <c r="A374" s="7" t="s">
        <v>2248</v>
      </c>
      <c r="B374" s="2" t="s">
        <v>2246</v>
      </c>
      <c r="C374" s="4">
        <v>1</v>
      </c>
      <c r="D374" s="5">
        <v>2.64</v>
      </c>
      <c r="E374" s="5">
        <v>6.99</v>
      </c>
      <c r="F374" s="4" t="s">
        <v>2247</v>
      </c>
      <c r="G374" s="2" t="s">
        <v>262</v>
      </c>
      <c r="H374" s="7" t="s">
        <v>590</v>
      </c>
      <c r="I374" s="2" t="s">
        <v>483</v>
      </c>
      <c r="J374" s="2" t="s">
        <v>536</v>
      </c>
      <c r="K374" s="2" t="s">
        <v>304</v>
      </c>
      <c r="L374" s="2" t="s">
        <v>119</v>
      </c>
    </row>
    <row r="375" spans="1:12" ht="36" x14ac:dyDescent="0.25">
      <c r="A375" s="7" t="s">
        <v>2249</v>
      </c>
      <c r="B375" s="2" t="s">
        <v>2246</v>
      </c>
      <c r="C375" s="4">
        <v>2</v>
      </c>
      <c r="D375" s="5">
        <v>2.64</v>
      </c>
      <c r="E375" s="5">
        <v>6.99</v>
      </c>
      <c r="F375" s="4" t="s">
        <v>2247</v>
      </c>
      <c r="G375" s="2" t="s">
        <v>262</v>
      </c>
      <c r="H375" s="7" t="s">
        <v>149</v>
      </c>
      <c r="I375" s="2" t="s">
        <v>483</v>
      </c>
      <c r="J375" s="2" t="s">
        <v>536</v>
      </c>
      <c r="K375" s="2" t="s">
        <v>304</v>
      </c>
      <c r="L375" s="2" t="s">
        <v>119</v>
      </c>
    </row>
    <row r="376" spans="1:12" ht="36" x14ac:dyDescent="0.25">
      <c r="A376" s="7" t="s">
        <v>2250</v>
      </c>
      <c r="B376" s="2" t="s">
        <v>2251</v>
      </c>
      <c r="C376" s="4">
        <v>1</v>
      </c>
      <c r="D376" s="5">
        <v>2.63</v>
      </c>
      <c r="E376" s="5">
        <v>5.99</v>
      </c>
      <c r="F376" s="4" t="s">
        <v>2252</v>
      </c>
      <c r="G376" s="2" t="s">
        <v>353</v>
      </c>
      <c r="H376" s="7" t="s">
        <v>42</v>
      </c>
      <c r="I376" s="2" t="s">
        <v>483</v>
      </c>
      <c r="J376" s="2" t="s">
        <v>536</v>
      </c>
      <c r="K376" s="2" t="s">
        <v>304</v>
      </c>
      <c r="L376" s="2" t="s">
        <v>206</v>
      </c>
    </row>
    <row r="377" spans="1:12" ht="36" x14ac:dyDescent="0.25">
      <c r="A377" s="7" t="s">
        <v>2253</v>
      </c>
      <c r="B377" s="2" t="s">
        <v>2254</v>
      </c>
      <c r="C377" s="4">
        <v>1</v>
      </c>
      <c r="D377" s="5">
        <v>2.62</v>
      </c>
      <c r="E377" s="5">
        <v>5.99</v>
      </c>
      <c r="F377" s="4" t="s">
        <v>2255</v>
      </c>
      <c r="G377" s="2" t="s">
        <v>657</v>
      </c>
      <c r="H377" s="7" t="s">
        <v>42</v>
      </c>
      <c r="I377" s="2" t="s">
        <v>483</v>
      </c>
      <c r="J377" s="2" t="s">
        <v>536</v>
      </c>
      <c r="K377" s="2" t="s">
        <v>304</v>
      </c>
      <c r="L377" s="2" t="s">
        <v>119</v>
      </c>
    </row>
    <row r="378" spans="1:12" ht="36" x14ac:dyDescent="0.25">
      <c r="A378" s="7" t="s">
        <v>2256</v>
      </c>
      <c r="B378" s="2" t="s">
        <v>2254</v>
      </c>
      <c r="C378" s="4">
        <v>1</v>
      </c>
      <c r="D378" s="5">
        <v>2.62</v>
      </c>
      <c r="E378" s="5">
        <v>5.99</v>
      </c>
      <c r="F378" s="4" t="s">
        <v>2255</v>
      </c>
      <c r="G378" s="2" t="s">
        <v>657</v>
      </c>
      <c r="H378" s="7" t="s">
        <v>149</v>
      </c>
      <c r="I378" s="2" t="s">
        <v>483</v>
      </c>
      <c r="J378" s="2" t="s">
        <v>536</v>
      </c>
      <c r="K378" s="2" t="s">
        <v>304</v>
      </c>
      <c r="L378" s="2" t="s">
        <v>119</v>
      </c>
    </row>
    <row r="379" spans="1:12" ht="36" x14ac:dyDescent="0.25">
      <c r="A379" s="7" t="s">
        <v>2257</v>
      </c>
      <c r="B379" s="2" t="s">
        <v>2258</v>
      </c>
      <c r="C379" s="4">
        <v>1</v>
      </c>
      <c r="D379" s="5">
        <v>2.62</v>
      </c>
      <c r="E379" s="5">
        <v>7.99</v>
      </c>
      <c r="F379" s="4" t="s">
        <v>2259</v>
      </c>
      <c r="G379" s="2" t="s">
        <v>134</v>
      </c>
      <c r="H379" s="7" t="s">
        <v>514</v>
      </c>
      <c r="I379" s="2" t="s">
        <v>483</v>
      </c>
      <c r="J379" s="2" t="s">
        <v>536</v>
      </c>
      <c r="K379" s="2" t="s">
        <v>304</v>
      </c>
      <c r="L379" s="2" t="s">
        <v>119</v>
      </c>
    </row>
    <row r="380" spans="1:12" ht="36" x14ac:dyDescent="0.25">
      <c r="A380" s="7" t="s">
        <v>2260</v>
      </c>
      <c r="B380" s="2" t="s">
        <v>2261</v>
      </c>
      <c r="C380" s="4">
        <v>3</v>
      </c>
      <c r="D380" s="5">
        <v>2.62</v>
      </c>
      <c r="E380" s="5">
        <v>5.99</v>
      </c>
      <c r="F380" s="4" t="s">
        <v>2262</v>
      </c>
      <c r="G380" s="2" t="s">
        <v>858</v>
      </c>
      <c r="H380" s="7" t="s">
        <v>149</v>
      </c>
      <c r="I380" s="2" t="s">
        <v>483</v>
      </c>
      <c r="J380" s="2" t="s">
        <v>536</v>
      </c>
      <c r="K380" s="2" t="s">
        <v>304</v>
      </c>
      <c r="L380" s="2" t="s">
        <v>119</v>
      </c>
    </row>
    <row r="381" spans="1:12" ht="36" x14ac:dyDescent="0.25">
      <c r="A381" s="7" t="s">
        <v>2263</v>
      </c>
      <c r="B381" s="2" t="s">
        <v>2261</v>
      </c>
      <c r="C381" s="4">
        <v>2</v>
      </c>
      <c r="D381" s="5">
        <v>2.62</v>
      </c>
      <c r="E381" s="5">
        <v>5.99</v>
      </c>
      <c r="F381" s="4" t="s">
        <v>2262</v>
      </c>
      <c r="G381" s="2" t="s">
        <v>858</v>
      </c>
      <c r="H381" s="7" t="s">
        <v>42</v>
      </c>
      <c r="I381" s="2" t="s">
        <v>483</v>
      </c>
      <c r="J381" s="2" t="s">
        <v>536</v>
      </c>
      <c r="K381" s="2" t="s">
        <v>304</v>
      </c>
      <c r="L381" s="2" t="s">
        <v>119</v>
      </c>
    </row>
    <row r="382" spans="1:12" ht="36" x14ac:dyDescent="0.25">
      <c r="A382" s="7" t="s">
        <v>2264</v>
      </c>
      <c r="B382" s="2" t="s">
        <v>2261</v>
      </c>
      <c r="C382" s="4">
        <v>2</v>
      </c>
      <c r="D382" s="5">
        <v>2.62</v>
      </c>
      <c r="E382" s="5">
        <v>5.99</v>
      </c>
      <c r="F382" s="4" t="s">
        <v>2262</v>
      </c>
      <c r="G382" s="2" t="s">
        <v>858</v>
      </c>
      <c r="H382" s="7" t="s">
        <v>91</v>
      </c>
      <c r="I382" s="2" t="s">
        <v>483</v>
      </c>
      <c r="J382" s="2" t="s">
        <v>536</v>
      </c>
      <c r="K382" s="2" t="s">
        <v>304</v>
      </c>
      <c r="L382" s="2" t="s">
        <v>119</v>
      </c>
    </row>
    <row r="383" spans="1:12" ht="36" x14ac:dyDescent="0.25">
      <c r="A383" s="7" t="s">
        <v>2265</v>
      </c>
      <c r="B383" s="2" t="s">
        <v>2261</v>
      </c>
      <c r="C383" s="4">
        <v>1</v>
      </c>
      <c r="D383" s="5">
        <v>2.62</v>
      </c>
      <c r="E383" s="5">
        <v>5.99</v>
      </c>
      <c r="F383" s="4" t="s">
        <v>2262</v>
      </c>
      <c r="G383" s="2" t="s">
        <v>858</v>
      </c>
      <c r="H383" s="7" t="s">
        <v>442</v>
      </c>
      <c r="I383" s="2" t="s">
        <v>483</v>
      </c>
      <c r="J383" s="2" t="s">
        <v>536</v>
      </c>
      <c r="K383" s="2" t="s">
        <v>304</v>
      </c>
      <c r="L383" s="2" t="s">
        <v>119</v>
      </c>
    </row>
    <row r="384" spans="1:12" ht="36" x14ac:dyDescent="0.25">
      <c r="A384" s="7" t="s">
        <v>2266</v>
      </c>
      <c r="B384" s="2" t="s">
        <v>2254</v>
      </c>
      <c r="C384" s="4">
        <v>1</v>
      </c>
      <c r="D384" s="5">
        <v>2.62</v>
      </c>
      <c r="E384" s="5">
        <v>5.99</v>
      </c>
      <c r="F384" s="4" t="s">
        <v>2255</v>
      </c>
      <c r="G384" s="2" t="s">
        <v>657</v>
      </c>
      <c r="H384" s="7" t="s">
        <v>442</v>
      </c>
      <c r="I384" s="2" t="s">
        <v>483</v>
      </c>
      <c r="J384" s="2" t="s">
        <v>536</v>
      </c>
      <c r="K384" s="2" t="s">
        <v>304</v>
      </c>
      <c r="L384" s="2" t="s">
        <v>119</v>
      </c>
    </row>
    <row r="385" spans="1:12" ht="36" x14ac:dyDescent="0.25">
      <c r="A385" s="7" t="s">
        <v>2267</v>
      </c>
      <c r="B385" s="2" t="s">
        <v>2254</v>
      </c>
      <c r="C385" s="4">
        <v>1</v>
      </c>
      <c r="D385" s="5">
        <v>2.62</v>
      </c>
      <c r="E385" s="5">
        <v>5.99</v>
      </c>
      <c r="F385" s="4" t="s">
        <v>2255</v>
      </c>
      <c r="G385" s="2" t="s">
        <v>657</v>
      </c>
      <c r="H385" s="7" t="s">
        <v>590</v>
      </c>
      <c r="I385" s="2" t="s">
        <v>483</v>
      </c>
      <c r="J385" s="2" t="s">
        <v>536</v>
      </c>
      <c r="K385" s="2" t="s">
        <v>304</v>
      </c>
      <c r="L385" s="2" t="s">
        <v>119</v>
      </c>
    </row>
    <row r="386" spans="1:12" ht="36" x14ac:dyDescent="0.25">
      <c r="A386" s="7" t="s">
        <v>2268</v>
      </c>
      <c r="B386" s="2" t="s">
        <v>2254</v>
      </c>
      <c r="C386" s="4">
        <v>1</v>
      </c>
      <c r="D386" s="5">
        <v>2.62</v>
      </c>
      <c r="E386" s="5">
        <v>5.99</v>
      </c>
      <c r="F386" s="4" t="s">
        <v>2255</v>
      </c>
      <c r="G386" s="2" t="s">
        <v>657</v>
      </c>
      <c r="H386" s="7" t="s">
        <v>91</v>
      </c>
      <c r="I386" s="2" t="s">
        <v>483</v>
      </c>
      <c r="J386" s="2" t="s">
        <v>536</v>
      </c>
      <c r="K386" s="2" t="s">
        <v>304</v>
      </c>
      <c r="L386" s="2" t="s">
        <v>119</v>
      </c>
    </row>
    <row r="387" spans="1:12" ht="36" x14ac:dyDescent="0.25">
      <c r="A387" s="7" t="s">
        <v>2269</v>
      </c>
      <c r="B387" s="2" t="s">
        <v>1250</v>
      </c>
      <c r="C387" s="4">
        <v>1</v>
      </c>
      <c r="D387" s="5">
        <v>2.61</v>
      </c>
      <c r="E387" s="5">
        <v>7.99</v>
      </c>
      <c r="F387" s="4" t="s">
        <v>1251</v>
      </c>
      <c r="G387" s="2" t="s">
        <v>643</v>
      </c>
      <c r="H387" s="7" t="s">
        <v>514</v>
      </c>
      <c r="I387" s="2" t="s">
        <v>483</v>
      </c>
      <c r="J387" s="2" t="s">
        <v>536</v>
      </c>
      <c r="K387" s="2" t="s">
        <v>304</v>
      </c>
      <c r="L387" s="2" t="s">
        <v>38</v>
      </c>
    </row>
    <row r="388" spans="1:12" ht="36" x14ac:dyDescent="0.25">
      <c r="A388" s="7" t="s">
        <v>2270</v>
      </c>
      <c r="B388" s="2" t="s">
        <v>2271</v>
      </c>
      <c r="C388" s="4">
        <v>1</v>
      </c>
      <c r="D388" s="5">
        <v>2.61</v>
      </c>
      <c r="E388" s="5">
        <v>6.99</v>
      </c>
      <c r="F388" s="4" t="s">
        <v>2272</v>
      </c>
      <c r="G388" s="2" t="s">
        <v>1147</v>
      </c>
      <c r="H388" s="7" t="s">
        <v>590</v>
      </c>
      <c r="I388" s="2" t="s">
        <v>483</v>
      </c>
      <c r="J388" s="2" t="s">
        <v>536</v>
      </c>
      <c r="K388" s="2" t="s">
        <v>304</v>
      </c>
      <c r="L388" s="2" t="s">
        <v>38</v>
      </c>
    </row>
    <row r="389" spans="1:12" ht="36" x14ac:dyDescent="0.25">
      <c r="A389" s="7" t="s">
        <v>2273</v>
      </c>
      <c r="B389" s="2" t="s">
        <v>1253</v>
      </c>
      <c r="C389" s="4">
        <v>1</v>
      </c>
      <c r="D389" s="5">
        <v>2.61</v>
      </c>
      <c r="E389" s="5">
        <v>6.99</v>
      </c>
      <c r="F389" s="4" t="s">
        <v>1254</v>
      </c>
      <c r="G389" s="2" t="s">
        <v>171</v>
      </c>
      <c r="H389" s="7" t="s">
        <v>442</v>
      </c>
      <c r="I389" s="2" t="s">
        <v>483</v>
      </c>
      <c r="J389" s="2" t="s">
        <v>536</v>
      </c>
      <c r="K389" s="2" t="s">
        <v>304</v>
      </c>
      <c r="L389" s="2" t="s">
        <v>38</v>
      </c>
    </row>
    <row r="390" spans="1:12" ht="36" x14ac:dyDescent="0.25">
      <c r="A390" s="7" t="s">
        <v>2274</v>
      </c>
      <c r="B390" s="2" t="s">
        <v>1253</v>
      </c>
      <c r="C390" s="4">
        <v>1</v>
      </c>
      <c r="D390" s="5">
        <v>2.61</v>
      </c>
      <c r="E390" s="5">
        <v>6.99</v>
      </c>
      <c r="F390" s="4" t="s">
        <v>1254</v>
      </c>
      <c r="G390" s="2" t="s">
        <v>171</v>
      </c>
      <c r="H390" s="7" t="s">
        <v>590</v>
      </c>
      <c r="I390" s="2" t="s">
        <v>483</v>
      </c>
      <c r="J390" s="2" t="s">
        <v>536</v>
      </c>
      <c r="K390" s="2" t="s">
        <v>304</v>
      </c>
      <c r="L390" s="2" t="s">
        <v>38</v>
      </c>
    </row>
    <row r="391" spans="1:12" ht="36" x14ac:dyDescent="0.25">
      <c r="A391" s="7" t="s">
        <v>2275</v>
      </c>
      <c r="B391" s="2" t="s">
        <v>2276</v>
      </c>
      <c r="C391" s="4">
        <v>1</v>
      </c>
      <c r="D391" s="5">
        <v>2.61</v>
      </c>
      <c r="E391" s="5">
        <v>6.99</v>
      </c>
      <c r="F391" s="4" t="s">
        <v>2277</v>
      </c>
      <c r="G391" s="2" t="s">
        <v>527</v>
      </c>
      <c r="H391" s="7" t="s">
        <v>91</v>
      </c>
      <c r="I391" s="2" t="s">
        <v>483</v>
      </c>
      <c r="J391" s="2" t="s">
        <v>536</v>
      </c>
      <c r="K391" s="2" t="s">
        <v>304</v>
      </c>
      <c r="L391" s="2" t="s">
        <v>206</v>
      </c>
    </row>
    <row r="392" spans="1:12" ht="36" x14ac:dyDescent="0.25">
      <c r="A392" s="7" t="s">
        <v>2278</v>
      </c>
      <c r="B392" s="2" t="s">
        <v>2279</v>
      </c>
      <c r="C392" s="4">
        <v>2</v>
      </c>
      <c r="D392" s="5">
        <v>2.59</v>
      </c>
      <c r="E392" s="5">
        <v>7.99</v>
      </c>
      <c r="F392" s="4" t="s">
        <v>2280</v>
      </c>
      <c r="G392" s="2" t="s">
        <v>86</v>
      </c>
      <c r="H392" s="7"/>
      <c r="I392" s="2" t="s">
        <v>483</v>
      </c>
      <c r="J392" s="2" t="s">
        <v>536</v>
      </c>
      <c r="K392" s="2" t="s">
        <v>304</v>
      </c>
      <c r="L392" s="2" t="s">
        <v>100</v>
      </c>
    </row>
    <row r="393" spans="1:12" ht="36" x14ac:dyDescent="0.25">
      <c r="A393" s="7" t="s">
        <v>2281</v>
      </c>
      <c r="B393" s="2" t="s">
        <v>1312</v>
      </c>
      <c r="C393" s="4">
        <v>1</v>
      </c>
      <c r="D393" s="5">
        <v>2.59</v>
      </c>
      <c r="E393" s="5">
        <v>7.99</v>
      </c>
      <c r="F393" s="4">
        <v>10005378600</v>
      </c>
      <c r="G393" s="2" t="s">
        <v>437</v>
      </c>
      <c r="H393" s="7" t="s">
        <v>149</v>
      </c>
      <c r="I393" s="2" t="s">
        <v>483</v>
      </c>
      <c r="J393" s="2" t="s">
        <v>536</v>
      </c>
      <c r="K393" s="2" t="s">
        <v>304</v>
      </c>
      <c r="L393" s="2" t="s">
        <v>100</v>
      </c>
    </row>
    <row r="394" spans="1:12" ht="36" x14ac:dyDescent="0.25">
      <c r="A394" s="7" t="s">
        <v>2282</v>
      </c>
      <c r="B394" s="2" t="s">
        <v>2283</v>
      </c>
      <c r="C394" s="4">
        <v>1</v>
      </c>
      <c r="D394" s="5">
        <v>2.5499999999999998</v>
      </c>
      <c r="E394" s="5">
        <v>5.99</v>
      </c>
      <c r="F394" s="4" t="s">
        <v>2284</v>
      </c>
      <c r="G394" s="2" t="s">
        <v>86</v>
      </c>
      <c r="H394" s="7" t="s">
        <v>149</v>
      </c>
      <c r="I394" s="2" t="s">
        <v>483</v>
      </c>
      <c r="J394" s="2" t="s">
        <v>536</v>
      </c>
      <c r="K394" s="2" t="s">
        <v>304</v>
      </c>
      <c r="L394" s="2" t="s">
        <v>206</v>
      </c>
    </row>
    <row r="395" spans="1:12" ht="36" x14ac:dyDescent="0.25">
      <c r="A395" s="7" t="s">
        <v>2285</v>
      </c>
      <c r="B395" s="2" t="s">
        <v>2286</v>
      </c>
      <c r="C395" s="4">
        <v>1</v>
      </c>
      <c r="D395" s="5">
        <v>2.5499999999999998</v>
      </c>
      <c r="E395" s="5">
        <v>6.99</v>
      </c>
      <c r="F395" s="4" t="s">
        <v>2287</v>
      </c>
      <c r="G395" s="2" t="s">
        <v>297</v>
      </c>
      <c r="H395" s="7" t="s">
        <v>149</v>
      </c>
      <c r="I395" s="2" t="s">
        <v>483</v>
      </c>
      <c r="J395" s="2" t="s">
        <v>536</v>
      </c>
      <c r="K395" s="2" t="s">
        <v>304</v>
      </c>
      <c r="L395" s="2" t="s">
        <v>38</v>
      </c>
    </row>
    <row r="396" spans="1:12" ht="96" x14ac:dyDescent="0.25">
      <c r="A396" s="7" t="s">
        <v>1262</v>
      </c>
      <c r="B396" s="2" t="s">
        <v>1263</v>
      </c>
      <c r="C396" s="4">
        <v>1</v>
      </c>
      <c r="D396" s="5">
        <v>2.5499999999999998</v>
      </c>
      <c r="E396" s="5">
        <v>6.99</v>
      </c>
      <c r="F396" s="4" t="s">
        <v>1264</v>
      </c>
      <c r="G396" s="2" t="s">
        <v>1265</v>
      </c>
      <c r="H396" s="7" t="s">
        <v>149</v>
      </c>
      <c r="I396" s="2" t="s">
        <v>483</v>
      </c>
      <c r="J396" s="2" t="s">
        <v>536</v>
      </c>
      <c r="K396" s="2" t="s">
        <v>304</v>
      </c>
      <c r="L396" s="2" t="s">
        <v>1266</v>
      </c>
    </row>
    <row r="397" spans="1:12" ht="36" x14ac:dyDescent="0.25">
      <c r="A397" s="7" t="s">
        <v>2288</v>
      </c>
      <c r="B397" s="2" t="s">
        <v>2283</v>
      </c>
      <c r="C397" s="4">
        <v>1</v>
      </c>
      <c r="D397" s="5">
        <v>2.5499999999999998</v>
      </c>
      <c r="E397" s="5">
        <v>5.99</v>
      </c>
      <c r="F397" s="4" t="s">
        <v>2284</v>
      </c>
      <c r="G397" s="2" t="s">
        <v>86</v>
      </c>
      <c r="H397" s="7" t="s">
        <v>442</v>
      </c>
      <c r="I397" s="2" t="s">
        <v>483</v>
      </c>
      <c r="J397" s="2" t="s">
        <v>536</v>
      </c>
      <c r="K397" s="2" t="s">
        <v>304</v>
      </c>
      <c r="L397" s="2" t="s">
        <v>206</v>
      </c>
    </row>
    <row r="398" spans="1:12" ht="96" x14ac:dyDescent="0.25">
      <c r="A398" s="7" t="s">
        <v>1267</v>
      </c>
      <c r="B398" s="2" t="s">
        <v>1263</v>
      </c>
      <c r="C398" s="4">
        <v>1</v>
      </c>
      <c r="D398" s="5">
        <v>2.5499999999999998</v>
      </c>
      <c r="E398" s="5">
        <v>6.99</v>
      </c>
      <c r="F398" s="4" t="s">
        <v>1264</v>
      </c>
      <c r="G398" s="2" t="s">
        <v>1265</v>
      </c>
      <c r="H398" s="7" t="s">
        <v>482</v>
      </c>
      <c r="I398" s="2" t="s">
        <v>483</v>
      </c>
      <c r="J398" s="2" t="s">
        <v>536</v>
      </c>
      <c r="K398" s="2" t="s">
        <v>304</v>
      </c>
      <c r="L398" s="2" t="s">
        <v>1266</v>
      </c>
    </row>
    <row r="399" spans="1:12" ht="36" x14ac:dyDescent="0.25">
      <c r="A399" s="7" t="s">
        <v>2289</v>
      </c>
      <c r="B399" s="2" t="s">
        <v>2290</v>
      </c>
      <c r="C399" s="4">
        <v>1</v>
      </c>
      <c r="D399" s="5">
        <v>2.54</v>
      </c>
      <c r="E399" s="5">
        <v>6.99</v>
      </c>
      <c r="F399" s="4" t="s">
        <v>2291</v>
      </c>
      <c r="G399" s="2" t="s">
        <v>171</v>
      </c>
      <c r="H399" s="7" t="s">
        <v>482</v>
      </c>
      <c r="I399" s="2" t="s">
        <v>483</v>
      </c>
      <c r="J399" s="2" t="s">
        <v>536</v>
      </c>
      <c r="K399" s="2" t="s">
        <v>304</v>
      </c>
      <c r="L399" s="2" t="s">
        <v>206</v>
      </c>
    </row>
    <row r="400" spans="1:12" ht="36" x14ac:dyDescent="0.25">
      <c r="A400" s="7" t="s">
        <v>2292</v>
      </c>
      <c r="B400" s="2" t="s">
        <v>1289</v>
      </c>
      <c r="C400" s="4">
        <v>1</v>
      </c>
      <c r="D400" s="5">
        <v>2.5299999999999998</v>
      </c>
      <c r="E400" s="5">
        <v>5.99</v>
      </c>
      <c r="F400" s="4" t="s">
        <v>1290</v>
      </c>
      <c r="G400" s="2" t="s">
        <v>353</v>
      </c>
      <c r="H400" s="7" t="s">
        <v>149</v>
      </c>
      <c r="I400" s="2" t="s">
        <v>483</v>
      </c>
      <c r="J400" s="2" t="s">
        <v>536</v>
      </c>
      <c r="K400" s="2" t="s">
        <v>304</v>
      </c>
      <c r="L400" s="2" t="s">
        <v>206</v>
      </c>
    </row>
    <row r="401" spans="1:12" ht="36" x14ac:dyDescent="0.25">
      <c r="A401" s="7" t="s">
        <v>2293</v>
      </c>
      <c r="B401" s="2" t="s">
        <v>1286</v>
      </c>
      <c r="C401" s="4">
        <v>1</v>
      </c>
      <c r="D401" s="5">
        <v>2.5299999999999998</v>
      </c>
      <c r="E401" s="5">
        <v>5.99</v>
      </c>
      <c r="F401" s="4" t="s">
        <v>1287</v>
      </c>
      <c r="G401" s="2" t="s">
        <v>41</v>
      </c>
      <c r="H401" s="7" t="s">
        <v>149</v>
      </c>
      <c r="I401" s="2" t="s">
        <v>483</v>
      </c>
      <c r="J401" s="2" t="s">
        <v>536</v>
      </c>
      <c r="K401" s="2" t="s">
        <v>304</v>
      </c>
      <c r="L401" s="2" t="s">
        <v>38</v>
      </c>
    </row>
    <row r="402" spans="1:12" ht="36" x14ac:dyDescent="0.25">
      <c r="A402" s="7" t="s">
        <v>2294</v>
      </c>
      <c r="B402" s="2" t="s">
        <v>2295</v>
      </c>
      <c r="C402" s="4">
        <v>1</v>
      </c>
      <c r="D402" s="5">
        <v>2.5099999999999998</v>
      </c>
      <c r="E402" s="5">
        <v>5.99</v>
      </c>
      <c r="F402" s="4" t="s">
        <v>2296</v>
      </c>
      <c r="G402" s="2" t="s">
        <v>28</v>
      </c>
      <c r="H402" s="7" t="s">
        <v>590</v>
      </c>
      <c r="I402" s="2" t="s">
        <v>483</v>
      </c>
      <c r="J402" s="2" t="s">
        <v>536</v>
      </c>
      <c r="K402" s="2" t="s">
        <v>304</v>
      </c>
      <c r="L402" s="2" t="s">
        <v>119</v>
      </c>
    </row>
    <row r="403" spans="1:12" ht="36" x14ac:dyDescent="0.25">
      <c r="A403" s="7" t="s">
        <v>2297</v>
      </c>
      <c r="B403" s="2" t="s">
        <v>2295</v>
      </c>
      <c r="C403" s="4">
        <v>1</v>
      </c>
      <c r="D403" s="5">
        <v>2.5099999999999998</v>
      </c>
      <c r="E403" s="5">
        <v>5.99</v>
      </c>
      <c r="F403" s="4" t="s">
        <v>2296</v>
      </c>
      <c r="G403" s="2" t="s">
        <v>28</v>
      </c>
      <c r="H403" s="7" t="s">
        <v>91</v>
      </c>
      <c r="I403" s="2" t="s">
        <v>483</v>
      </c>
      <c r="J403" s="2" t="s">
        <v>536</v>
      </c>
      <c r="K403" s="2" t="s">
        <v>304</v>
      </c>
      <c r="L403" s="2" t="s">
        <v>119</v>
      </c>
    </row>
    <row r="404" spans="1:12" ht="36" x14ac:dyDescent="0.25">
      <c r="A404" s="7" t="s">
        <v>2298</v>
      </c>
      <c r="B404" s="2" t="s">
        <v>2299</v>
      </c>
      <c r="C404" s="4">
        <v>1</v>
      </c>
      <c r="D404" s="5">
        <v>2.5099999999999998</v>
      </c>
      <c r="E404" s="5">
        <v>5.99</v>
      </c>
      <c r="F404" s="4" t="s">
        <v>2300</v>
      </c>
      <c r="G404" s="2" t="s">
        <v>28</v>
      </c>
      <c r="H404" s="7" t="s">
        <v>42</v>
      </c>
      <c r="I404" s="2" t="s">
        <v>483</v>
      </c>
      <c r="J404" s="2" t="s">
        <v>536</v>
      </c>
      <c r="K404" s="2" t="s">
        <v>304</v>
      </c>
      <c r="L404" s="2" t="s">
        <v>119</v>
      </c>
    </row>
    <row r="405" spans="1:12" ht="36" x14ac:dyDescent="0.25">
      <c r="A405" s="7" t="s">
        <v>1316</v>
      </c>
      <c r="B405" s="2" t="s">
        <v>1304</v>
      </c>
      <c r="C405" s="4">
        <v>1</v>
      </c>
      <c r="D405" s="5">
        <v>2.4900000000000002</v>
      </c>
      <c r="E405" s="5">
        <v>5.99</v>
      </c>
      <c r="F405" s="4" t="s">
        <v>1305</v>
      </c>
      <c r="G405" s="2" t="s">
        <v>86</v>
      </c>
      <c r="H405" s="7" t="s">
        <v>149</v>
      </c>
      <c r="I405" s="2" t="s">
        <v>483</v>
      </c>
      <c r="J405" s="2" t="s">
        <v>536</v>
      </c>
      <c r="K405" s="2" t="s">
        <v>304</v>
      </c>
      <c r="L405" s="2" t="s">
        <v>38</v>
      </c>
    </row>
    <row r="406" spans="1:12" ht="36" x14ac:dyDescent="0.25">
      <c r="A406" s="7" t="s">
        <v>1317</v>
      </c>
      <c r="B406" s="2" t="s">
        <v>1304</v>
      </c>
      <c r="C406" s="4">
        <v>3</v>
      </c>
      <c r="D406" s="5">
        <v>2.4900000000000002</v>
      </c>
      <c r="E406" s="5">
        <v>5.99</v>
      </c>
      <c r="F406" s="4" t="s">
        <v>1305</v>
      </c>
      <c r="G406" s="2" t="s">
        <v>86</v>
      </c>
      <c r="H406" s="7" t="s">
        <v>42</v>
      </c>
      <c r="I406" s="2" t="s">
        <v>483</v>
      </c>
      <c r="J406" s="2" t="s">
        <v>536</v>
      </c>
      <c r="K406" s="2" t="s">
        <v>304</v>
      </c>
      <c r="L406" s="2" t="s">
        <v>38</v>
      </c>
    </row>
    <row r="407" spans="1:12" ht="108" x14ac:dyDescent="0.25">
      <c r="A407" s="7" t="s">
        <v>2301</v>
      </c>
      <c r="B407" s="2" t="s">
        <v>2302</v>
      </c>
      <c r="C407" s="4">
        <v>1</v>
      </c>
      <c r="D407" s="5">
        <v>2.4900000000000002</v>
      </c>
      <c r="E407" s="5">
        <v>6.99</v>
      </c>
      <c r="F407" s="4" t="s">
        <v>2303</v>
      </c>
      <c r="G407" s="2" t="s">
        <v>134</v>
      </c>
      <c r="H407" s="7" t="s">
        <v>149</v>
      </c>
      <c r="I407" s="2" t="s">
        <v>483</v>
      </c>
      <c r="J407" s="2" t="s">
        <v>536</v>
      </c>
      <c r="K407" s="2" t="s">
        <v>304</v>
      </c>
      <c r="L407" s="2" t="s">
        <v>2304</v>
      </c>
    </row>
    <row r="408" spans="1:12" ht="36" x14ac:dyDescent="0.25">
      <c r="A408" s="7" t="s">
        <v>1315</v>
      </c>
      <c r="B408" s="2" t="s">
        <v>1304</v>
      </c>
      <c r="C408" s="4">
        <v>1</v>
      </c>
      <c r="D408" s="5">
        <v>2.4900000000000002</v>
      </c>
      <c r="E408" s="5">
        <v>5.99</v>
      </c>
      <c r="F408" s="4" t="s">
        <v>1305</v>
      </c>
      <c r="G408" s="2" t="s">
        <v>86</v>
      </c>
      <c r="H408" s="7" t="s">
        <v>590</v>
      </c>
      <c r="I408" s="2" t="s">
        <v>483</v>
      </c>
      <c r="J408" s="2" t="s">
        <v>536</v>
      </c>
      <c r="K408" s="2" t="s">
        <v>304</v>
      </c>
      <c r="L408" s="2" t="s">
        <v>38</v>
      </c>
    </row>
    <row r="409" spans="1:12" ht="36" x14ac:dyDescent="0.25">
      <c r="A409" s="7" t="s">
        <v>2305</v>
      </c>
      <c r="B409" s="2" t="s">
        <v>2306</v>
      </c>
      <c r="C409" s="4">
        <v>1</v>
      </c>
      <c r="D409" s="5">
        <v>2.4900000000000002</v>
      </c>
      <c r="E409" s="5">
        <v>6.99</v>
      </c>
      <c r="F409" s="4" t="s">
        <v>2307</v>
      </c>
      <c r="G409" s="2" t="s">
        <v>41</v>
      </c>
      <c r="H409" s="7" t="s">
        <v>590</v>
      </c>
      <c r="I409" s="2" t="s">
        <v>483</v>
      </c>
      <c r="J409" s="2" t="s">
        <v>536</v>
      </c>
      <c r="K409" s="2" t="s">
        <v>304</v>
      </c>
      <c r="L409" s="2" t="s">
        <v>100</v>
      </c>
    </row>
    <row r="410" spans="1:12" ht="108" x14ac:dyDescent="0.25">
      <c r="A410" s="7" t="s">
        <v>2308</v>
      </c>
      <c r="B410" s="2" t="s">
        <v>2302</v>
      </c>
      <c r="C410" s="4">
        <v>1</v>
      </c>
      <c r="D410" s="5">
        <v>2.4900000000000002</v>
      </c>
      <c r="E410" s="5">
        <v>6.99</v>
      </c>
      <c r="F410" s="4" t="s">
        <v>2303</v>
      </c>
      <c r="G410" s="2" t="s">
        <v>134</v>
      </c>
      <c r="H410" s="7" t="s">
        <v>590</v>
      </c>
      <c r="I410" s="2" t="s">
        <v>483</v>
      </c>
      <c r="J410" s="2" t="s">
        <v>536</v>
      </c>
      <c r="K410" s="2" t="s">
        <v>304</v>
      </c>
      <c r="L410" s="2" t="s">
        <v>2304</v>
      </c>
    </row>
    <row r="411" spans="1:12" ht="36" x14ac:dyDescent="0.25">
      <c r="A411" s="7" t="s">
        <v>1319</v>
      </c>
      <c r="B411" s="2" t="s">
        <v>1304</v>
      </c>
      <c r="C411" s="4">
        <v>1</v>
      </c>
      <c r="D411" s="5">
        <v>2.4900000000000002</v>
      </c>
      <c r="E411" s="5">
        <v>5.99</v>
      </c>
      <c r="F411" s="4" t="s">
        <v>1305</v>
      </c>
      <c r="G411" s="2" t="s">
        <v>86</v>
      </c>
      <c r="H411" s="7" t="s">
        <v>91</v>
      </c>
      <c r="I411" s="2" t="s">
        <v>483</v>
      </c>
      <c r="J411" s="2" t="s">
        <v>536</v>
      </c>
      <c r="K411" s="2" t="s">
        <v>304</v>
      </c>
      <c r="L411" s="2" t="s">
        <v>38</v>
      </c>
    </row>
    <row r="412" spans="1:12" ht="36" x14ac:dyDescent="0.25">
      <c r="A412" s="7" t="s">
        <v>2309</v>
      </c>
      <c r="B412" s="2" t="s">
        <v>622</v>
      </c>
      <c r="C412" s="4">
        <v>3</v>
      </c>
      <c r="D412" s="5">
        <v>2.48</v>
      </c>
      <c r="E412" s="5">
        <v>7.99</v>
      </c>
      <c r="F412" s="4">
        <v>10005379300</v>
      </c>
      <c r="G412" s="2" t="s">
        <v>437</v>
      </c>
      <c r="H412" s="7" t="s">
        <v>482</v>
      </c>
      <c r="I412" s="2" t="s">
        <v>483</v>
      </c>
      <c r="J412" s="2" t="s">
        <v>536</v>
      </c>
      <c r="K412" s="2" t="s">
        <v>304</v>
      </c>
      <c r="L412" s="2" t="s">
        <v>623</v>
      </c>
    </row>
    <row r="413" spans="1:12" ht="36" x14ac:dyDescent="0.25">
      <c r="A413" s="7" t="s">
        <v>2310</v>
      </c>
      <c r="B413" s="2" t="s">
        <v>622</v>
      </c>
      <c r="C413" s="4">
        <v>4</v>
      </c>
      <c r="D413" s="5">
        <v>2.48</v>
      </c>
      <c r="E413" s="5">
        <v>7.99</v>
      </c>
      <c r="F413" s="4">
        <v>10005379300</v>
      </c>
      <c r="G413" s="2" t="s">
        <v>62</v>
      </c>
      <c r="H413" s="7"/>
      <c r="I413" s="2" t="s">
        <v>483</v>
      </c>
      <c r="J413" s="2" t="s">
        <v>536</v>
      </c>
      <c r="K413" s="2" t="s">
        <v>304</v>
      </c>
      <c r="L413" s="2" t="s">
        <v>623</v>
      </c>
    </row>
    <row r="414" spans="1:12" ht="36" x14ac:dyDescent="0.25">
      <c r="A414" s="7" t="s">
        <v>2311</v>
      </c>
      <c r="B414" s="2" t="s">
        <v>622</v>
      </c>
      <c r="C414" s="4">
        <v>1</v>
      </c>
      <c r="D414" s="5">
        <v>2.48</v>
      </c>
      <c r="E414" s="5">
        <v>7.99</v>
      </c>
      <c r="F414" s="4">
        <v>10005379300</v>
      </c>
      <c r="G414" s="2" t="s">
        <v>62</v>
      </c>
      <c r="H414" s="7" t="s">
        <v>482</v>
      </c>
      <c r="I414" s="2" t="s">
        <v>483</v>
      </c>
      <c r="J414" s="2" t="s">
        <v>536</v>
      </c>
      <c r="K414" s="2" t="s">
        <v>304</v>
      </c>
      <c r="L414" s="2" t="s">
        <v>623</v>
      </c>
    </row>
    <row r="415" spans="1:12" ht="36" x14ac:dyDescent="0.25">
      <c r="A415" s="7" t="s">
        <v>2312</v>
      </c>
      <c r="B415" s="2" t="s">
        <v>622</v>
      </c>
      <c r="C415" s="4">
        <v>4</v>
      </c>
      <c r="D415" s="5">
        <v>2.48</v>
      </c>
      <c r="E415" s="5">
        <v>7.99</v>
      </c>
      <c r="F415" s="4">
        <v>10005379300</v>
      </c>
      <c r="G415" s="2" t="s">
        <v>62</v>
      </c>
      <c r="H415" s="7" t="s">
        <v>149</v>
      </c>
      <c r="I415" s="2" t="s">
        <v>483</v>
      </c>
      <c r="J415" s="2" t="s">
        <v>536</v>
      </c>
      <c r="K415" s="2" t="s">
        <v>304</v>
      </c>
      <c r="L415" s="2" t="s">
        <v>623</v>
      </c>
    </row>
    <row r="416" spans="1:12" ht="36" x14ac:dyDescent="0.25">
      <c r="A416" s="7" t="s">
        <v>2313</v>
      </c>
      <c r="B416" s="2" t="s">
        <v>622</v>
      </c>
      <c r="C416" s="4">
        <v>5</v>
      </c>
      <c r="D416" s="5">
        <v>2.48</v>
      </c>
      <c r="E416" s="5">
        <v>7.99</v>
      </c>
      <c r="F416" s="4">
        <v>10005379300</v>
      </c>
      <c r="G416" s="2" t="s">
        <v>437</v>
      </c>
      <c r="H416" s="7" t="s">
        <v>149</v>
      </c>
      <c r="I416" s="2" t="s">
        <v>483</v>
      </c>
      <c r="J416" s="2" t="s">
        <v>536</v>
      </c>
      <c r="K416" s="2" t="s">
        <v>304</v>
      </c>
      <c r="L416" s="2" t="s">
        <v>623</v>
      </c>
    </row>
    <row r="417" spans="1:12" ht="36" x14ac:dyDescent="0.25">
      <c r="A417" s="7" t="s">
        <v>2314</v>
      </c>
      <c r="B417" s="2" t="s">
        <v>622</v>
      </c>
      <c r="C417" s="4">
        <v>5</v>
      </c>
      <c r="D417" s="5">
        <v>2.48</v>
      </c>
      <c r="E417" s="5">
        <v>7.99</v>
      </c>
      <c r="F417" s="4">
        <v>10005379300</v>
      </c>
      <c r="G417" s="2" t="s">
        <v>437</v>
      </c>
      <c r="H417" s="7"/>
      <c r="I417" s="2" t="s">
        <v>483</v>
      </c>
      <c r="J417" s="2" t="s">
        <v>536</v>
      </c>
      <c r="K417" s="2" t="s">
        <v>304</v>
      </c>
      <c r="L417" s="2" t="s">
        <v>623</v>
      </c>
    </row>
    <row r="418" spans="1:12" ht="36" x14ac:dyDescent="0.25">
      <c r="A418" s="7" t="s">
        <v>2315</v>
      </c>
      <c r="B418" s="2" t="s">
        <v>622</v>
      </c>
      <c r="C418" s="4">
        <v>1</v>
      </c>
      <c r="D418" s="5">
        <v>2.48</v>
      </c>
      <c r="E418" s="5">
        <v>7.99</v>
      </c>
      <c r="F418" s="4">
        <v>10005379300</v>
      </c>
      <c r="G418" s="2" t="s">
        <v>62</v>
      </c>
      <c r="H418" s="7" t="s">
        <v>590</v>
      </c>
      <c r="I418" s="2" t="s">
        <v>483</v>
      </c>
      <c r="J418" s="2" t="s">
        <v>536</v>
      </c>
      <c r="K418" s="2" t="s">
        <v>304</v>
      </c>
      <c r="L418" s="2" t="s">
        <v>623</v>
      </c>
    </row>
    <row r="419" spans="1:12" ht="36" x14ac:dyDescent="0.25">
      <c r="A419" s="7" t="s">
        <v>2316</v>
      </c>
      <c r="B419" s="2" t="s">
        <v>622</v>
      </c>
      <c r="C419" s="4">
        <v>2</v>
      </c>
      <c r="D419" s="5">
        <v>2.48</v>
      </c>
      <c r="E419" s="5">
        <v>7.99</v>
      </c>
      <c r="F419" s="4">
        <v>10005379300</v>
      </c>
      <c r="G419" s="2" t="s">
        <v>437</v>
      </c>
      <c r="H419" s="7" t="s">
        <v>442</v>
      </c>
      <c r="I419" s="2" t="s">
        <v>483</v>
      </c>
      <c r="J419" s="2" t="s">
        <v>536</v>
      </c>
      <c r="K419" s="2" t="s">
        <v>304</v>
      </c>
      <c r="L419" s="2" t="s">
        <v>623</v>
      </c>
    </row>
    <row r="420" spans="1:12" ht="96" x14ac:dyDescent="0.25">
      <c r="A420" s="7" t="s">
        <v>2317</v>
      </c>
      <c r="B420" s="2" t="s">
        <v>2318</v>
      </c>
      <c r="C420" s="4">
        <v>1</v>
      </c>
      <c r="D420" s="5">
        <v>2.4700000000000002</v>
      </c>
      <c r="E420" s="5">
        <v>6.99</v>
      </c>
      <c r="F420" s="4">
        <v>10006315800</v>
      </c>
      <c r="G420" s="2" t="s">
        <v>527</v>
      </c>
      <c r="H420" s="7" t="s">
        <v>149</v>
      </c>
      <c r="I420" s="2" t="s">
        <v>483</v>
      </c>
      <c r="J420" s="2" t="s">
        <v>536</v>
      </c>
      <c r="K420" s="2" t="s">
        <v>304</v>
      </c>
      <c r="L420" s="2" t="s">
        <v>2319</v>
      </c>
    </row>
    <row r="421" spans="1:12" ht="36" x14ac:dyDescent="0.25">
      <c r="A421" s="7" t="s">
        <v>2320</v>
      </c>
      <c r="B421" s="2" t="s">
        <v>1327</v>
      </c>
      <c r="C421" s="4">
        <v>1</v>
      </c>
      <c r="D421" s="5">
        <v>2.44</v>
      </c>
      <c r="E421" s="5">
        <v>5.99</v>
      </c>
      <c r="F421" s="4" t="s">
        <v>1328</v>
      </c>
      <c r="G421" s="2" t="s">
        <v>41</v>
      </c>
      <c r="H421" s="7" t="s">
        <v>149</v>
      </c>
      <c r="I421" s="2" t="s">
        <v>483</v>
      </c>
      <c r="J421" s="2" t="s">
        <v>536</v>
      </c>
      <c r="K421" s="2" t="s">
        <v>304</v>
      </c>
      <c r="L421" s="2" t="s">
        <v>119</v>
      </c>
    </row>
    <row r="422" spans="1:12" ht="108" x14ac:dyDescent="0.25">
      <c r="A422" s="7" t="s">
        <v>2321</v>
      </c>
      <c r="B422" s="2" t="s">
        <v>2322</v>
      </c>
      <c r="C422" s="4">
        <v>2</v>
      </c>
      <c r="D422" s="5">
        <v>2.4300000000000002</v>
      </c>
      <c r="E422" s="5">
        <v>7.99</v>
      </c>
      <c r="F422" s="4" t="s">
        <v>2323</v>
      </c>
      <c r="G422" s="2" t="s">
        <v>41</v>
      </c>
      <c r="H422" s="7"/>
      <c r="I422" s="2" t="s">
        <v>483</v>
      </c>
      <c r="J422" s="2" t="s">
        <v>536</v>
      </c>
      <c r="K422" s="2" t="s">
        <v>304</v>
      </c>
      <c r="L422" s="2" t="s">
        <v>2324</v>
      </c>
    </row>
    <row r="423" spans="1:12" ht="108" x14ac:dyDescent="0.25">
      <c r="A423" s="7" t="s">
        <v>2325</v>
      </c>
      <c r="B423" s="2" t="s">
        <v>2322</v>
      </c>
      <c r="C423" s="4">
        <v>2</v>
      </c>
      <c r="D423" s="5">
        <v>2.4300000000000002</v>
      </c>
      <c r="E423" s="5">
        <v>7.99</v>
      </c>
      <c r="F423" s="4" t="s">
        <v>2323</v>
      </c>
      <c r="G423" s="2" t="s">
        <v>41</v>
      </c>
      <c r="H423" s="7" t="s">
        <v>590</v>
      </c>
      <c r="I423" s="2" t="s">
        <v>483</v>
      </c>
      <c r="J423" s="2" t="s">
        <v>536</v>
      </c>
      <c r="K423" s="2" t="s">
        <v>304</v>
      </c>
      <c r="L423" s="2" t="s">
        <v>2324</v>
      </c>
    </row>
    <row r="424" spans="1:12" ht="108" x14ac:dyDescent="0.25">
      <c r="A424" s="7" t="s">
        <v>2326</v>
      </c>
      <c r="B424" s="2" t="s">
        <v>2322</v>
      </c>
      <c r="C424" s="4">
        <v>2</v>
      </c>
      <c r="D424" s="5">
        <v>2.4300000000000002</v>
      </c>
      <c r="E424" s="5">
        <v>7.99</v>
      </c>
      <c r="F424" s="4" t="s">
        <v>2323</v>
      </c>
      <c r="G424" s="2" t="s">
        <v>41</v>
      </c>
      <c r="H424" s="7" t="s">
        <v>149</v>
      </c>
      <c r="I424" s="2" t="s">
        <v>483</v>
      </c>
      <c r="J424" s="2" t="s">
        <v>536</v>
      </c>
      <c r="K424" s="2" t="s">
        <v>304</v>
      </c>
      <c r="L424" s="2" t="s">
        <v>2324</v>
      </c>
    </row>
    <row r="425" spans="1:12" ht="36" x14ac:dyDescent="0.25">
      <c r="A425" s="7" t="s">
        <v>2327</v>
      </c>
      <c r="B425" s="2" t="s">
        <v>1336</v>
      </c>
      <c r="C425" s="4">
        <v>1</v>
      </c>
      <c r="D425" s="5">
        <v>2.4</v>
      </c>
      <c r="E425" s="5">
        <v>5.99</v>
      </c>
      <c r="F425" s="4" t="s">
        <v>1337</v>
      </c>
      <c r="G425" s="2" t="s">
        <v>657</v>
      </c>
      <c r="H425" s="7" t="s">
        <v>442</v>
      </c>
      <c r="I425" s="2" t="s">
        <v>483</v>
      </c>
      <c r="J425" s="2" t="s">
        <v>536</v>
      </c>
      <c r="K425" s="2" t="s">
        <v>304</v>
      </c>
      <c r="L425" s="2" t="s">
        <v>119</v>
      </c>
    </row>
    <row r="426" spans="1:12" ht="36" x14ac:dyDescent="0.25">
      <c r="A426" s="7" t="s">
        <v>1335</v>
      </c>
      <c r="B426" s="2" t="s">
        <v>1336</v>
      </c>
      <c r="C426" s="4">
        <v>1</v>
      </c>
      <c r="D426" s="5">
        <v>2.4</v>
      </c>
      <c r="E426" s="5">
        <v>5.99</v>
      </c>
      <c r="F426" s="4" t="s">
        <v>1337</v>
      </c>
      <c r="G426" s="2" t="s">
        <v>657</v>
      </c>
      <c r="H426" s="7" t="s">
        <v>149</v>
      </c>
      <c r="I426" s="2" t="s">
        <v>483</v>
      </c>
      <c r="J426" s="2" t="s">
        <v>536</v>
      </c>
      <c r="K426" s="2" t="s">
        <v>304</v>
      </c>
      <c r="L426" s="2" t="s">
        <v>119</v>
      </c>
    </row>
    <row r="427" spans="1:12" ht="36" x14ac:dyDescent="0.25">
      <c r="A427" s="7" t="s">
        <v>2328</v>
      </c>
      <c r="B427" s="2" t="s">
        <v>1348</v>
      </c>
      <c r="C427" s="4">
        <v>2</v>
      </c>
      <c r="D427" s="5">
        <v>2.36</v>
      </c>
      <c r="E427" s="5">
        <v>5.99</v>
      </c>
      <c r="F427" s="4" t="s">
        <v>1349</v>
      </c>
      <c r="G427" s="2" t="s">
        <v>62</v>
      </c>
      <c r="H427" s="7" t="s">
        <v>442</v>
      </c>
      <c r="I427" s="2" t="s">
        <v>483</v>
      </c>
      <c r="J427" s="2" t="s">
        <v>536</v>
      </c>
      <c r="K427" s="2" t="s">
        <v>304</v>
      </c>
      <c r="L427" s="2" t="s">
        <v>38</v>
      </c>
    </row>
    <row r="428" spans="1:12" ht="60" x14ac:dyDescent="0.25">
      <c r="A428" s="7" t="s">
        <v>2329</v>
      </c>
      <c r="B428" s="2" t="s">
        <v>2330</v>
      </c>
      <c r="C428" s="4">
        <v>1</v>
      </c>
      <c r="D428" s="5">
        <v>2.35</v>
      </c>
      <c r="E428" s="5">
        <v>5.99</v>
      </c>
      <c r="F428" s="4" t="s">
        <v>2331</v>
      </c>
      <c r="G428" s="2" t="s">
        <v>36</v>
      </c>
      <c r="H428" s="7" t="s">
        <v>442</v>
      </c>
      <c r="I428" s="2" t="s">
        <v>483</v>
      </c>
      <c r="J428" s="2" t="s">
        <v>536</v>
      </c>
      <c r="K428" s="2" t="s">
        <v>304</v>
      </c>
      <c r="L428" s="2" t="s">
        <v>596</v>
      </c>
    </row>
    <row r="429" spans="1:12" ht="60" x14ac:dyDescent="0.25">
      <c r="A429" s="7" t="s">
        <v>2332</v>
      </c>
      <c r="B429" s="2" t="s">
        <v>2330</v>
      </c>
      <c r="C429" s="4">
        <v>1</v>
      </c>
      <c r="D429" s="5">
        <v>2.35</v>
      </c>
      <c r="E429" s="5">
        <v>5.99</v>
      </c>
      <c r="F429" s="4" t="s">
        <v>2331</v>
      </c>
      <c r="G429" s="2" t="s">
        <v>36</v>
      </c>
      <c r="H429" s="7" t="s">
        <v>42</v>
      </c>
      <c r="I429" s="2" t="s">
        <v>483</v>
      </c>
      <c r="J429" s="2" t="s">
        <v>536</v>
      </c>
      <c r="K429" s="2" t="s">
        <v>304</v>
      </c>
      <c r="L429" s="2" t="s">
        <v>596</v>
      </c>
    </row>
    <row r="430" spans="1:12" ht="60" x14ac:dyDescent="0.25">
      <c r="A430" s="7" t="s">
        <v>2333</v>
      </c>
      <c r="B430" s="2" t="s">
        <v>2330</v>
      </c>
      <c r="C430" s="4">
        <v>1</v>
      </c>
      <c r="D430" s="5">
        <v>2.35</v>
      </c>
      <c r="E430" s="5">
        <v>5.99</v>
      </c>
      <c r="F430" s="4" t="s">
        <v>2331</v>
      </c>
      <c r="G430" s="2" t="s">
        <v>36</v>
      </c>
      <c r="H430" s="7" t="s">
        <v>590</v>
      </c>
      <c r="I430" s="2" t="s">
        <v>483</v>
      </c>
      <c r="J430" s="2" t="s">
        <v>536</v>
      </c>
      <c r="K430" s="2" t="s">
        <v>304</v>
      </c>
      <c r="L430" s="2" t="s">
        <v>596</v>
      </c>
    </row>
    <row r="431" spans="1:12" ht="36" x14ac:dyDescent="0.25">
      <c r="A431" s="7" t="s">
        <v>2334</v>
      </c>
      <c r="B431" s="2" t="s">
        <v>2335</v>
      </c>
      <c r="C431" s="4">
        <v>1</v>
      </c>
      <c r="D431" s="5">
        <v>2.34</v>
      </c>
      <c r="E431" s="5">
        <v>5.99</v>
      </c>
      <c r="F431" s="4" t="s">
        <v>2336</v>
      </c>
      <c r="G431" s="2" t="s">
        <v>41</v>
      </c>
      <c r="H431" s="7" t="s">
        <v>42</v>
      </c>
      <c r="I431" s="2" t="s">
        <v>483</v>
      </c>
      <c r="J431" s="2" t="s">
        <v>536</v>
      </c>
      <c r="K431" s="2" t="s">
        <v>304</v>
      </c>
      <c r="L431" s="2" t="s">
        <v>100</v>
      </c>
    </row>
    <row r="432" spans="1:12" ht="36" x14ac:dyDescent="0.25">
      <c r="A432" s="7" t="s">
        <v>2337</v>
      </c>
      <c r="B432" s="2" t="s">
        <v>2338</v>
      </c>
      <c r="C432" s="4">
        <v>1</v>
      </c>
      <c r="D432" s="5">
        <v>2.34</v>
      </c>
      <c r="E432" s="5">
        <v>5.99</v>
      </c>
      <c r="F432" s="4" t="s">
        <v>2339</v>
      </c>
      <c r="G432" s="2" t="s">
        <v>41</v>
      </c>
      <c r="H432" s="7" t="s">
        <v>442</v>
      </c>
      <c r="I432" s="2" t="s">
        <v>483</v>
      </c>
      <c r="J432" s="2" t="s">
        <v>536</v>
      </c>
      <c r="K432" s="2" t="s">
        <v>304</v>
      </c>
      <c r="L432" s="2" t="s">
        <v>38</v>
      </c>
    </row>
    <row r="433" spans="1:12" ht="36" x14ac:dyDescent="0.25">
      <c r="A433" s="7" t="s">
        <v>2340</v>
      </c>
      <c r="B433" s="2" t="s">
        <v>2338</v>
      </c>
      <c r="C433" s="4">
        <v>1</v>
      </c>
      <c r="D433" s="5">
        <v>2.34</v>
      </c>
      <c r="E433" s="5">
        <v>5.99</v>
      </c>
      <c r="F433" s="4" t="s">
        <v>2339</v>
      </c>
      <c r="G433" s="2" t="s">
        <v>41</v>
      </c>
      <c r="H433" s="7" t="s">
        <v>42</v>
      </c>
      <c r="I433" s="2" t="s">
        <v>483</v>
      </c>
      <c r="J433" s="2" t="s">
        <v>536</v>
      </c>
      <c r="K433" s="2" t="s">
        <v>304</v>
      </c>
      <c r="L433" s="2" t="s">
        <v>38</v>
      </c>
    </row>
    <row r="434" spans="1:12" ht="36" x14ac:dyDescent="0.25">
      <c r="A434" s="7" t="s">
        <v>2341</v>
      </c>
      <c r="B434" s="2" t="s">
        <v>2338</v>
      </c>
      <c r="C434" s="4">
        <v>1</v>
      </c>
      <c r="D434" s="5">
        <v>2.34</v>
      </c>
      <c r="E434" s="5">
        <v>5.99</v>
      </c>
      <c r="F434" s="4" t="s">
        <v>2339</v>
      </c>
      <c r="G434" s="2" t="s">
        <v>41</v>
      </c>
      <c r="H434" s="7" t="s">
        <v>590</v>
      </c>
      <c r="I434" s="2" t="s">
        <v>483</v>
      </c>
      <c r="J434" s="2" t="s">
        <v>536</v>
      </c>
      <c r="K434" s="2" t="s">
        <v>304</v>
      </c>
      <c r="L434" s="2" t="s">
        <v>38</v>
      </c>
    </row>
    <row r="435" spans="1:12" ht="36" x14ac:dyDescent="0.25">
      <c r="A435" s="7" t="s">
        <v>2342</v>
      </c>
      <c r="B435" s="2" t="s">
        <v>2343</v>
      </c>
      <c r="C435" s="4">
        <v>1</v>
      </c>
      <c r="D435" s="5">
        <v>2.33</v>
      </c>
      <c r="E435" s="5">
        <v>7.99</v>
      </c>
      <c r="F435" s="4">
        <v>10005049200</v>
      </c>
      <c r="G435" s="2" t="s">
        <v>527</v>
      </c>
      <c r="H435" s="7" t="s">
        <v>531</v>
      </c>
      <c r="I435" s="2" t="s">
        <v>483</v>
      </c>
      <c r="J435" s="2" t="s">
        <v>536</v>
      </c>
      <c r="K435" s="2" t="s">
        <v>304</v>
      </c>
      <c r="L435" s="2" t="s">
        <v>75</v>
      </c>
    </row>
    <row r="436" spans="1:12" ht="36" x14ac:dyDescent="0.25">
      <c r="A436" s="7" t="s">
        <v>1358</v>
      </c>
      <c r="B436" s="2" t="s">
        <v>1359</v>
      </c>
      <c r="C436" s="4">
        <v>1</v>
      </c>
      <c r="D436" s="5">
        <v>2.33</v>
      </c>
      <c r="E436" s="5">
        <v>7.99</v>
      </c>
      <c r="F436" s="4">
        <v>10004191800</v>
      </c>
      <c r="G436" s="2" t="s">
        <v>1360</v>
      </c>
      <c r="H436" s="7" t="s">
        <v>531</v>
      </c>
      <c r="I436" s="2" t="s">
        <v>483</v>
      </c>
      <c r="J436" s="2" t="s">
        <v>536</v>
      </c>
      <c r="K436" s="2" t="s">
        <v>304</v>
      </c>
      <c r="L436" s="2" t="s">
        <v>38</v>
      </c>
    </row>
    <row r="437" spans="1:12" ht="36" x14ac:dyDescent="0.25">
      <c r="A437" s="7" t="s">
        <v>2344</v>
      </c>
      <c r="B437" s="2" t="s">
        <v>2345</v>
      </c>
      <c r="C437" s="4">
        <v>1</v>
      </c>
      <c r="D437" s="5">
        <v>2.33</v>
      </c>
      <c r="E437" s="5">
        <v>7.99</v>
      </c>
      <c r="F437" s="4" t="s">
        <v>2346</v>
      </c>
      <c r="G437" s="2" t="s">
        <v>297</v>
      </c>
      <c r="H437" s="7" t="s">
        <v>531</v>
      </c>
      <c r="I437" s="2" t="s">
        <v>483</v>
      </c>
      <c r="J437" s="2" t="s">
        <v>536</v>
      </c>
      <c r="K437" s="2" t="s">
        <v>304</v>
      </c>
      <c r="L437" s="2" t="s">
        <v>75</v>
      </c>
    </row>
    <row r="438" spans="1:12" ht="36" x14ac:dyDescent="0.25">
      <c r="A438" s="7" t="s">
        <v>2347</v>
      </c>
      <c r="B438" s="2" t="s">
        <v>2348</v>
      </c>
      <c r="C438" s="4">
        <v>9</v>
      </c>
      <c r="D438" s="5">
        <v>2.31</v>
      </c>
      <c r="E438" s="5">
        <v>7.99</v>
      </c>
      <c r="F438" s="4">
        <v>10005380100</v>
      </c>
      <c r="G438" s="2" t="s">
        <v>1360</v>
      </c>
      <c r="H438" s="7" t="s">
        <v>531</v>
      </c>
      <c r="I438" s="2" t="s">
        <v>483</v>
      </c>
      <c r="J438" s="2" t="s">
        <v>536</v>
      </c>
      <c r="K438" s="2" t="s">
        <v>304</v>
      </c>
      <c r="L438" s="2" t="s">
        <v>87</v>
      </c>
    </row>
    <row r="439" spans="1:12" ht="36" x14ac:dyDescent="0.25">
      <c r="A439" s="7" t="s">
        <v>2349</v>
      </c>
      <c r="B439" s="2" t="s">
        <v>2350</v>
      </c>
      <c r="C439" s="4">
        <v>1</v>
      </c>
      <c r="D439" s="5">
        <v>2.31</v>
      </c>
      <c r="E439" s="5">
        <v>7.99</v>
      </c>
      <c r="F439" s="4" t="s">
        <v>2351</v>
      </c>
      <c r="G439" s="2" t="s">
        <v>657</v>
      </c>
      <c r="H439" s="7" t="s">
        <v>1151</v>
      </c>
      <c r="I439" s="2" t="s">
        <v>483</v>
      </c>
      <c r="J439" s="2" t="s">
        <v>536</v>
      </c>
      <c r="K439" s="2" t="s">
        <v>304</v>
      </c>
      <c r="L439" s="2" t="s">
        <v>38</v>
      </c>
    </row>
    <row r="440" spans="1:12" ht="36" x14ac:dyDescent="0.25">
      <c r="A440" s="7" t="s">
        <v>2352</v>
      </c>
      <c r="B440" s="2" t="s">
        <v>2353</v>
      </c>
      <c r="C440" s="4">
        <v>1</v>
      </c>
      <c r="D440" s="5">
        <v>2.31</v>
      </c>
      <c r="E440" s="5">
        <v>7.99</v>
      </c>
      <c r="F440" s="4" t="s">
        <v>2354</v>
      </c>
      <c r="G440" s="2" t="s">
        <v>657</v>
      </c>
      <c r="H440" s="7" t="s">
        <v>1151</v>
      </c>
      <c r="I440" s="2" t="s">
        <v>483</v>
      </c>
      <c r="J440" s="2" t="s">
        <v>536</v>
      </c>
      <c r="K440" s="2" t="s">
        <v>304</v>
      </c>
      <c r="L440" s="2" t="s">
        <v>119</v>
      </c>
    </row>
    <row r="441" spans="1:12" ht="36" x14ac:dyDescent="0.25">
      <c r="A441" s="7" t="s">
        <v>2355</v>
      </c>
      <c r="B441" s="2" t="s">
        <v>2356</v>
      </c>
      <c r="C441" s="4">
        <v>1</v>
      </c>
      <c r="D441" s="5">
        <v>2.2999999999999998</v>
      </c>
      <c r="E441" s="5">
        <v>6.99</v>
      </c>
      <c r="F441" s="4" t="s">
        <v>2357</v>
      </c>
      <c r="G441" s="2" t="s">
        <v>200</v>
      </c>
      <c r="H441" s="7" t="s">
        <v>149</v>
      </c>
      <c r="I441" s="2" t="s">
        <v>483</v>
      </c>
      <c r="J441" s="2" t="s">
        <v>536</v>
      </c>
      <c r="K441" s="2" t="s">
        <v>304</v>
      </c>
      <c r="L441" s="2" t="s">
        <v>206</v>
      </c>
    </row>
    <row r="442" spans="1:12" ht="36" x14ac:dyDescent="0.25">
      <c r="A442" s="7" t="s">
        <v>2358</v>
      </c>
      <c r="B442" s="2" t="s">
        <v>2359</v>
      </c>
      <c r="C442" s="4">
        <v>1</v>
      </c>
      <c r="D442" s="5">
        <v>2.29</v>
      </c>
      <c r="E442" s="5">
        <v>5.99</v>
      </c>
      <c r="F442" s="4" t="s">
        <v>2360</v>
      </c>
      <c r="G442" s="2" t="s">
        <v>28</v>
      </c>
      <c r="H442" s="7" t="s">
        <v>42</v>
      </c>
      <c r="I442" s="2" t="s">
        <v>483</v>
      </c>
      <c r="J442" s="2" t="s">
        <v>536</v>
      </c>
      <c r="K442" s="2" t="s">
        <v>304</v>
      </c>
      <c r="L442" s="2" t="s">
        <v>119</v>
      </c>
    </row>
    <row r="443" spans="1:12" ht="36" x14ac:dyDescent="0.25">
      <c r="A443" s="7" t="s">
        <v>2361</v>
      </c>
      <c r="B443" s="2" t="s">
        <v>1365</v>
      </c>
      <c r="C443" s="4">
        <v>2</v>
      </c>
      <c r="D443" s="5">
        <v>2.29</v>
      </c>
      <c r="E443" s="5">
        <v>5.99</v>
      </c>
      <c r="F443" s="4" t="s">
        <v>1366</v>
      </c>
      <c r="G443" s="2" t="s">
        <v>62</v>
      </c>
      <c r="H443" s="7" t="s">
        <v>149</v>
      </c>
      <c r="I443" s="2" t="s">
        <v>483</v>
      </c>
      <c r="J443" s="2" t="s">
        <v>536</v>
      </c>
      <c r="K443" s="2" t="s">
        <v>304</v>
      </c>
      <c r="L443" s="2" t="s">
        <v>206</v>
      </c>
    </row>
    <row r="444" spans="1:12" ht="36" x14ac:dyDescent="0.25">
      <c r="A444" s="7" t="s">
        <v>2362</v>
      </c>
      <c r="B444" s="2" t="s">
        <v>2359</v>
      </c>
      <c r="C444" s="4">
        <v>1</v>
      </c>
      <c r="D444" s="5">
        <v>2.29</v>
      </c>
      <c r="E444" s="5">
        <v>5.99</v>
      </c>
      <c r="F444" s="4" t="s">
        <v>2360</v>
      </c>
      <c r="G444" s="2" t="s">
        <v>28</v>
      </c>
      <c r="H444" s="7" t="s">
        <v>442</v>
      </c>
      <c r="I444" s="2" t="s">
        <v>483</v>
      </c>
      <c r="J444" s="2" t="s">
        <v>536</v>
      </c>
      <c r="K444" s="2" t="s">
        <v>304</v>
      </c>
      <c r="L444" s="2" t="s">
        <v>119</v>
      </c>
    </row>
    <row r="445" spans="1:12" ht="36" x14ac:dyDescent="0.25">
      <c r="A445" s="7" t="s">
        <v>2363</v>
      </c>
      <c r="B445" s="2" t="s">
        <v>2364</v>
      </c>
      <c r="C445" s="4">
        <v>1</v>
      </c>
      <c r="D445" s="5">
        <v>2.29</v>
      </c>
      <c r="E445" s="5">
        <v>5.99</v>
      </c>
      <c r="F445" s="4" t="s">
        <v>2365</v>
      </c>
      <c r="G445" s="2" t="s">
        <v>657</v>
      </c>
      <c r="H445" s="7" t="s">
        <v>442</v>
      </c>
      <c r="I445" s="2" t="s">
        <v>483</v>
      </c>
      <c r="J445" s="2" t="s">
        <v>536</v>
      </c>
      <c r="K445" s="2" t="s">
        <v>304</v>
      </c>
      <c r="L445" s="2" t="s">
        <v>119</v>
      </c>
    </row>
    <row r="446" spans="1:12" ht="36" x14ac:dyDescent="0.25">
      <c r="A446" s="7" t="s">
        <v>2366</v>
      </c>
      <c r="B446" s="2" t="s">
        <v>2364</v>
      </c>
      <c r="C446" s="4">
        <v>1</v>
      </c>
      <c r="D446" s="5">
        <v>2.29</v>
      </c>
      <c r="E446" s="5">
        <v>5.99</v>
      </c>
      <c r="F446" s="4" t="s">
        <v>2365</v>
      </c>
      <c r="G446" s="2" t="s">
        <v>657</v>
      </c>
      <c r="H446" s="7" t="s">
        <v>590</v>
      </c>
      <c r="I446" s="2" t="s">
        <v>483</v>
      </c>
      <c r="J446" s="2" t="s">
        <v>536</v>
      </c>
      <c r="K446" s="2" t="s">
        <v>304</v>
      </c>
      <c r="L446" s="2" t="s">
        <v>119</v>
      </c>
    </row>
    <row r="447" spans="1:12" ht="36" x14ac:dyDescent="0.25">
      <c r="A447" s="7" t="s">
        <v>2367</v>
      </c>
      <c r="B447" s="2" t="s">
        <v>1368</v>
      </c>
      <c r="C447" s="4">
        <v>1</v>
      </c>
      <c r="D447" s="5">
        <v>2.2799999999999998</v>
      </c>
      <c r="E447" s="5">
        <v>5.99</v>
      </c>
      <c r="F447" s="4" t="s">
        <v>1369</v>
      </c>
      <c r="G447" s="2" t="s">
        <v>41</v>
      </c>
      <c r="H447" s="7" t="s">
        <v>91</v>
      </c>
      <c r="I447" s="2" t="s">
        <v>483</v>
      </c>
      <c r="J447" s="2" t="s">
        <v>536</v>
      </c>
      <c r="K447" s="2" t="s">
        <v>304</v>
      </c>
      <c r="L447" s="2" t="s">
        <v>38</v>
      </c>
    </row>
    <row r="448" spans="1:12" ht="36" x14ac:dyDescent="0.25">
      <c r="A448" s="7" t="s">
        <v>2368</v>
      </c>
      <c r="B448" s="2" t="s">
        <v>1368</v>
      </c>
      <c r="C448" s="4">
        <v>3</v>
      </c>
      <c r="D448" s="5">
        <v>2.2799999999999998</v>
      </c>
      <c r="E448" s="5">
        <v>5.99</v>
      </c>
      <c r="F448" s="4" t="s">
        <v>1369</v>
      </c>
      <c r="G448" s="2" t="s">
        <v>41</v>
      </c>
      <c r="H448" s="7" t="s">
        <v>590</v>
      </c>
      <c r="I448" s="2" t="s">
        <v>483</v>
      </c>
      <c r="J448" s="2" t="s">
        <v>536</v>
      </c>
      <c r="K448" s="2" t="s">
        <v>304</v>
      </c>
      <c r="L448" s="2" t="s">
        <v>38</v>
      </c>
    </row>
    <row r="449" spans="1:12" ht="36" x14ac:dyDescent="0.25">
      <c r="A449" s="7" t="s">
        <v>1377</v>
      </c>
      <c r="B449" s="2" t="s">
        <v>1372</v>
      </c>
      <c r="C449" s="4">
        <v>1</v>
      </c>
      <c r="D449" s="5">
        <v>2.27</v>
      </c>
      <c r="E449" s="5">
        <v>5.99</v>
      </c>
      <c r="F449" s="4" t="s">
        <v>1373</v>
      </c>
      <c r="G449" s="2" t="s">
        <v>134</v>
      </c>
      <c r="H449" s="7" t="s">
        <v>91</v>
      </c>
      <c r="I449" s="2" t="s">
        <v>483</v>
      </c>
      <c r="J449" s="2" t="s">
        <v>536</v>
      </c>
      <c r="K449" s="2" t="s">
        <v>304</v>
      </c>
      <c r="L449" s="2" t="s">
        <v>119</v>
      </c>
    </row>
    <row r="450" spans="1:12" ht="36" x14ac:dyDescent="0.25">
      <c r="A450" s="7" t="s">
        <v>2369</v>
      </c>
      <c r="B450" s="2" t="s">
        <v>2370</v>
      </c>
      <c r="C450" s="4">
        <v>1</v>
      </c>
      <c r="D450" s="5">
        <v>2.27</v>
      </c>
      <c r="E450" s="5">
        <v>5.99</v>
      </c>
      <c r="F450" s="4" t="s">
        <v>2371</v>
      </c>
      <c r="G450" s="2" t="s">
        <v>41</v>
      </c>
      <c r="H450" s="7" t="s">
        <v>590</v>
      </c>
      <c r="I450" s="2" t="s">
        <v>483</v>
      </c>
      <c r="J450" s="2" t="s">
        <v>536</v>
      </c>
      <c r="K450" s="2" t="s">
        <v>304</v>
      </c>
      <c r="L450" s="2" t="s">
        <v>38</v>
      </c>
    </row>
    <row r="451" spans="1:12" ht="36" x14ac:dyDescent="0.25">
      <c r="A451" s="7" t="s">
        <v>2372</v>
      </c>
      <c r="B451" s="2" t="s">
        <v>2370</v>
      </c>
      <c r="C451" s="4">
        <v>1</v>
      </c>
      <c r="D451" s="5">
        <v>2.27</v>
      </c>
      <c r="E451" s="5">
        <v>5.99</v>
      </c>
      <c r="F451" s="4" t="s">
        <v>2371</v>
      </c>
      <c r="G451" s="2" t="s">
        <v>41</v>
      </c>
      <c r="H451" s="7" t="s">
        <v>149</v>
      </c>
      <c r="I451" s="2" t="s">
        <v>483</v>
      </c>
      <c r="J451" s="2" t="s">
        <v>536</v>
      </c>
      <c r="K451" s="2" t="s">
        <v>304</v>
      </c>
      <c r="L451" s="2" t="s">
        <v>38</v>
      </c>
    </row>
    <row r="452" spans="1:12" ht="36" x14ac:dyDescent="0.25">
      <c r="A452" s="7" t="s">
        <v>2373</v>
      </c>
      <c r="B452" s="2" t="s">
        <v>2374</v>
      </c>
      <c r="C452" s="4">
        <v>1</v>
      </c>
      <c r="D452" s="5">
        <v>2.2599999999999998</v>
      </c>
      <c r="E452" s="5">
        <v>6.99</v>
      </c>
      <c r="F452" s="4" t="s">
        <v>2375</v>
      </c>
      <c r="G452" s="2" t="s">
        <v>41</v>
      </c>
      <c r="H452" s="7" t="s">
        <v>149</v>
      </c>
      <c r="I452" s="2" t="s">
        <v>483</v>
      </c>
      <c r="J452" s="2" t="s">
        <v>536</v>
      </c>
      <c r="K452" s="2" t="s">
        <v>304</v>
      </c>
      <c r="L452" s="2" t="s">
        <v>100</v>
      </c>
    </row>
    <row r="453" spans="1:12" ht="36" x14ac:dyDescent="0.25">
      <c r="A453" s="7" t="s">
        <v>2376</v>
      </c>
      <c r="B453" s="2" t="s">
        <v>2377</v>
      </c>
      <c r="C453" s="4">
        <v>1</v>
      </c>
      <c r="D453" s="5">
        <v>2.2400000000000002</v>
      </c>
      <c r="E453" s="5">
        <v>5.99</v>
      </c>
      <c r="F453" s="4" t="s">
        <v>2378</v>
      </c>
      <c r="G453" s="2" t="s">
        <v>643</v>
      </c>
      <c r="H453" s="7" t="s">
        <v>42</v>
      </c>
      <c r="I453" s="2" t="s">
        <v>483</v>
      </c>
      <c r="J453" s="2" t="s">
        <v>536</v>
      </c>
      <c r="K453" s="2" t="s">
        <v>304</v>
      </c>
      <c r="L453" s="2" t="s">
        <v>206</v>
      </c>
    </row>
    <row r="454" spans="1:12" ht="36" x14ac:dyDescent="0.25">
      <c r="A454" s="7" t="s">
        <v>2379</v>
      </c>
      <c r="B454" s="2" t="s">
        <v>2380</v>
      </c>
      <c r="C454" s="4">
        <v>1</v>
      </c>
      <c r="D454" s="5">
        <v>2.2200000000000002</v>
      </c>
      <c r="E454" s="5">
        <v>5.99</v>
      </c>
      <c r="F454" s="4" t="s">
        <v>2381</v>
      </c>
      <c r="G454" s="2" t="s">
        <v>28</v>
      </c>
      <c r="H454" s="7" t="s">
        <v>149</v>
      </c>
      <c r="I454" s="2" t="s">
        <v>483</v>
      </c>
      <c r="J454" s="2" t="s">
        <v>536</v>
      </c>
      <c r="K454" s="2" t="s">
        <v>304</v>
      </c>
      <c r="L454" s="2" t="s">
        <v>119</v>
      </c>
    </row>
    <row r="455" spans="1:12" ht="36" x14ac:dyDescent="0.25">
      <c r="A455" s="7" t="s">
        <v>2382</v>
      </c>
      <c r="B455" s="2" t="s">
        <v>2383</v>
      </c>
      <c r="C455" s="4">
        <v>1</v>
      </c>
      <c r="D455" s="5">
        <v>2.2200000000000002</v>
      </c>
      <c r="E455" s="5">
        <v>4.99</v>
      </c>
      <c r="F455" s="4">
        <v>10004193500</v>
      </c>
      <c r="G455" s="2" t="s">
        <v>1360</v>
      </c>
      <c r="H455" s="7" t="s">
        <v>531</v>
      </c>
      <c r="I455" s="2" t="s">
        <v>483</v>
      </c>
      <c r="J455" s="2" t="s">
        <v>536</v>
      </c>
      <c r="K455" s="2" t="s">
        <v>304</v>
      </c>
      <c r="L455" s="2" t="s">
        <v>87</v>
      </c>
    </row>
    <row r="456" spans="1:12" ht="36" x14ac:dyDescent="0.25">
      <c r="A456" s="7" t="s">
        <v>2384</v>
      </c>
      <c r="B456" s="2" t="s">
        <v>2385</v>
      </c>
      <c r="C456" s="4">
        <v>1</v>
      </c>
      <c r="D456" s="5">
        <v>2.2200000000000002</v>
      </c>
      <c r="E456" s="5">
        <v>5.99</v>
      </c>
      <c r="F456" s="4" t="s">
        <v>2386</v>
      </c>
      <c r="G456" s="2" t="s">
        <v>129</v>
      </c>
      <c r="H456" s="7" t="s">
        <v>149</v>
      </c>
      <c r="I456" s="2" t="s">
        <v>483</v>
      </c>
      <c r="J456" s="2" t="s">
        <v>536</v>
      </c>
      <c r="K456" s="2" t="s">
        <v>304</v>
      </c>
      <c r="L456" s="2" t="s">
        <v>206</v>
      </c>
    </row>
    <row r="457" spans="1:12" ht="36" x14ac:dyDescent="0.25">
      <c r="A457" s="7" t="s">
        <v>2387</v>
      </c>
      <c r="B457" s="2" t="s">
        <v>2388</v>
      </c>
      <c r="C457" s="4">
        <v>1</v>
      </c>
      <c r="D457" s="5">
        <v>2.2200000000000002</v>
      </c>
      <c r="E457" s="5">
        <v>5.99</v>
      </c>
      <c r="F457" s="4" t="s">
        <v>2389</v>
      </c>
      <c r="G457" s="2" t="s">
        <v>41</v>
      </c>
      <c r="H457" s="7" t="s">
        <v>442</v>
      </c>
      <c r="I457" s="2" t="s">
        <v>483</v>
      </c>
      <c r="J457" s="2" t="s">
        <v>536</v>
      </c>
      <c r="K457" s="2" t="s">
        <v>304</v>
      </c>
      <c r="L457" s="2" t="s">
        <v>206</v>
      </c>
    </row>
    <row r="458" spans="1:12" ht="36" x14ac:dyDescent="0.25">
      <c r="A458" s="7" t="s">
        <v>2390</v>
      </c>
      <c r="B458" s="2" t="s">
        <v>641</v>
      </c>
      <c r="C458" s="4">
        <v>1</v>
      </c>
      <c r="D458" s="5">
        <v>2.21</v>
      </c>
      <c r="E458" s="5">
        <v>5.99</v>
      </c>
      <c r="F458" s="4" t="s">
        <v>642</v>
      </c>
      <c r="G458" s="2" t="s">
        <v>643</v>
      </c>
      <c r="H458" s="7" t="s">
        <v>442</v>
      </c>
      <c r="I458" s="2" t="s">
        <v>483</v>
      </c>
      <c r="J458" s="2" t="s">
        <v>536</v>
      </c>
      <c r="K458" s="2" t="s">
        <v>304</v>
      </c>
      <c r="L458" s="2" t="s">
        <v>38</v>
      </c>
    </row>
    <row r="459" spans="1:12" ht="36" x14ac:dyDescent="0.25">
      <c r="A459" s="7" t="s">
        <v>2391</v>
      </c>
      <c r="B459" s="2" t="s">
        <v>2392</v>
      </c>
      <c r="C459" s="4">
        <v>1</v>
      </c>
      <c r="D459" s="5">
        <v>2.21</v>
      </c>
      <c r="E459" s="5">
        <v>5.99</v>
      </c>
      <c r="F459" s="4" t="s">
        <v>2393</v>
      </c>
      <c r="G459" s="2" t="s">
        <v>858</v>
      </c>
      <c r="H459" s="7" t="s">
        <v>149</v>
      </c>
      <c r="I459" s="2" t="s">
        <v>483</v>
      </c>
      <c r="J459" s="2" t="s">
        <v>536</v>
      </c>
      <c r="K459" s="2" t="s">
        <v>304</v>
      </c>
      <c r="L459" s="2" t="s">
        <v>119</v>
      </c>
    </row>
    <row r="460" spans="1:12" ht="36" x14ac:dyDescent="0.25">
      <c r="A460" s="7" t="s">
        <v>1386</v>
      </c>
      <c r="B460" s="2" t="s">
        <v>641</v>
      </c>
      <c r="C460" s="4">
        <v>1</v>
      </c>
      <c r="D460" s="5">
        <v>2.21</v>
      </c>
      <c r="E460" s="5">
        <v>5.99</v>
      </c>
      <c r="F460" s="4" t="s">
        <v>642</v>
      </c>
      <c r="G460" s="2" t="s">
        <v>643</v>
      </c>
      <c r="H460" s="7" t="s">
        <v>42</v>
      </c>
      <c r="I460" s="2" t="s">
        <v>483</v>
      </c>
      <c r="J460" s="2" t="s">
        <v>536</v>
      </c>
      <c r="K460" s="2" t="s">
        <v>304</v>
      </c>
      <c r="L460" s="2" t="s">
        <v>38</v>
      </c>
    </row>
    <row r="461" spans="1:12" ht="36" x14ac:dyDescent="0.25">
      <c r="A461" s="7" t="s">
        <v>2394</v>
      </c>
      <c r="B461" s="2" t="s">
        <v>2395</v>
      </c>
      <c r="C461" s="4">
        <v>1</v>
      </c>
      <c r="D461" s="5">
        <v>2.17</v>
      </c>
      <c r="E461" s="5">
        <v>5.99</v>
      </c>
      <c r="F461" s="4" t="s">
        <v>2396</v>
      </c>
      <c r="G461" s="2" t="s">
        <v>41</v>
      </c>
      <c r="H461" s="7" t="s">
        <v>149</v>
      </c>
      <c r="I461" s="2" t="s">
        <v>483</v>
      </c>
      <c r="J461" s="2" t="s">
        <v>536</v>
      </c>
      <c r="K461" s="2" t="s">
        <v>304</v>
      </c>
      <c r="L461" s="2" t="s">
        <v>38</v>
      </c>
    </row>
    <row r="462" spans="1:12" ht="36" x14ac:dyDescent="0.25">
      <c r="A462" s="7" t="s">
        <v>2397</v>
      </c>
      <c r="B462" s="2" t="s">
        <v>2398</v>
      </c>
      <c r="C462" s="4">
        <v>1</v>
      </c>
      <c r="D462" s="5">
        <v>2.17</v>
      </c>
      <c r="E462" s="5">
        <v>5.99</v>
      </c>
      <c r="F462" s="4" t="s">
        <v>2399</v>
      </c>
      <c r="G462" s="2" t="s">
        <v>41</v>
      </c>
      <c r="H462" s="7" t="s">
        <v>91</v>
      </c>
      <c r="I462" s="2" t="s">
        <v>483</v>
      </c>
      <c r="J462" s="2" t="s">
        <v>536</v>
      </c>
      <c r="K462" s="2" t="s">
        <v>304</v>
      </c>
      <c r="L462" s="2" t="s">
        <v>87</v>
      </c>
    </row>
    <row r="463" spans="1:12" ht="36" x14ac:dyDescent="0.25">
      <c r="A463" s="7" t="s">
        <v>2400</v>
      </c>
      <c r="B463" s="2" t="s">
        <v>2401</v>
      </c>
      <c r="C463" s="4">
        <v>1</v>
      </c>
      <c r="D463" s="5">
        <v>2.16</v>
      </c>
      <c r="E463" s="5">
        <v>5.99</v>
      </c>
      <c r="F463" s="4" t="s">
        <v>2402</v>
      </c>
      <c r="G463" s="2" t="s">
        <v>874</v>
      </c>
      <c r="H463" s="7" t="s">
        <v>149</v>
      </c>
      <c r="I463" s="2" t="s">
        <v>483</v>
      </c>
      <c r="J463" s="2" t="s">
        <v>536</v>
      </c>
      <c r="K463" s="2" t="s">
        <v>304</v>
      </c>
      <c r="L463" s="2" t="s">
        <v>100</v>
      </c>
    </row>
    <row r="464" spans="1:12" ht="36" x14ac:dyDescent="0.25">
      <c r="A464" s="7" t="s">
        <v>2403</v>
      </c>
      <c r="B464" s="2" t="s">
        <v>2404</v>
      </c>
      <c r="C464" s="4">
        <v>1</v>
      </c>
      <c r="D464" s="5">
        <v>2.1</v>
      </c>
      <c r="E464" s="5">
        <v>5.99</v>
      </c>
      <c r="F464" s="4" t="s">
        <v>2405</v>
      </c>
      <c r="G464" s="2" t="s">
        <v>41</v>
      </c>
      <c r="H464" s="7" t="s">
        <v>149</v>
      </c>
      <c r="I464" s="2" t="s">
        <v>483</v>
      </c>
      <c r="J464" s="2" t="s">
        <v>536</v>
      </c>
      <c r="K464" s="2" t="s">
        <v>304</v>
      </c>
      <c r="L464" s="2" t="s">
        <v>119</v>
      </c>
    </row>
    <row r="465" spans="1:12" ht="36" x14ac:dyDescent="0.25">
      <c r="A465" s="7" t="s">
        <v>2406</v>
      </c>
      <c r="B465" s="2" t="s">
        <v>2407</v>
      </c>
      <c r="C465" s="4">
        <v>2</v>
      </c>
      <c r="D465" s="5">
        <v>2.02</v>
      </c>
      <c r="E465" s="5">
        <v>5.99</v>
      </c>
      <c r="F465" s="4" t="s">
        <v>2408</v>
      </c>
      <c r="G465" s="2" t="s">
        <v>657</v>
      </c>
      <c r="H465" s="7" t="s">
        <v>149</v>
      </c>
      <c r="I465" s="2" t="s">
        <v>483</v>
      </c>
      <c r="J465" s="2" t="s">
        <v>536</v>
      </c>
      <c r="K465" s="2" t="s">
        <v>304</v>
      </c>
      <c r="L465" s="2" t="s">
        <v>206</v>
      </c>
    </row>
    <row r="466" spans="1:12" ht="36" x14ac:dyDescent="0.25">
      <c r="A466" s="7" t="s">
        <v>2409</v>
      </c>
      <c r="B466" s="2" t="s">
        <v>2410</v>
      </c>
      <c r="C466" s="4">
        <v>1</v>
      </c>
      <c r="D466" s="5">
        <v>1.97</v>
      </c>
      <c r="E466" s="5">
        <v>5.99</v>
      </c>
      <c r="F466" s="4" t="s">
        <v>2411</v>
      </c>
      <c r="G466" s="2" t="s">
        <v>41</v>
      </c>
      <c r="H466" s="7" t="s">
        <v>149</v>
      </c>
      <c r="I466" s="2" t="s">
        <v>483</v>
      </c>
      <c r="J466" s="2" t="s">
        <v>536</v>
      </c>
      <c r="K466" s="2" t="s">
        <v>304</v>
      </c>
      <c r="L466" s="2" t="s">
        <v>206</v>
      </c>
    </row>
    <row r="467" spans="1:12" ht="36" x14ac:dyDescent="0.25">
      <c r="A467" s="7" t="s">
        <v>2412</v>
      </c>
      <c r="B467" s="2" t="s">
        <v>2413</v>
      </c>
      <c r="C467" s="4">
        <v>1</v>
      </c>
      <c r="D467" s="5">
        <v>1.95</v>
      </c>
      <c r="E467" s="5">
        <v>5.99</v>
      </c>
      <c r="F467" s="4" t="s">
        <v>2414</v>
      </c>
      <c r="G467" s="2" t="s">
        <v>28</v>
      </c>
      <c r="H467" s="7" t="s">
        <v>42</v>
      </c>
      <c r="I467" s="2" t="s">
        <v>483</v>
      </c>
      <c r="J467" s="2" t="s">
        <v>536</v>
      </c>
      <c r="K467" s="2" t="s">
        <v>304</v>
      </c>
      <c r="L467" s="2" t="s">
        <v>206</v>
      </c>
    </row>
    <row r="468" spans="1:12" ht="36" x14ac:dyDescent="0.25">
      <c r="A468" s="7" t="s">
        <v>2415</v>
      </c>
      <c r="B468" s="2" t="s">
        <v>2416</v>
      </c>
      <c r="C468" s="4">
        <v>1</v>
      </c>
      <c r="D468" s="5">
        <v>1.47</v>
      </c>
      <c r="E468" s="5">
        <v>3.99</v>
      </c>
      <c r="F468" s="4" t="s">
        <v>2417</v>
      </c>
      <c r="G468" s="2" t="s">
        <v>297</v>
      </c>
      <c r="H468" s="7" t="s">
        <v>531</v>
      </c>
      <c r="I468" s="2" t="s">
        <v>483</v>
      </c>
      <c r="J468" s="2" t="s">
        <v>536</v>
      </c>
      <c r="K468" s="2" t="s">
        <v>304</v>
      </c>
      <c r="L468" s="2" t="s">
        <v>206</v>
      </c>
    </row>
    <row r="469" spans="1:12" ht="60" x14ac:dyDescent="0.25">
      <c r="A469" s="7" t="s">
        <v>2418</v>
      </c>
      <c r="B469" s="2" t="s">
        <v>2419</v>
      </c>
      <c r="C469" s="4">
        <v>2</v>
      </c>
      <c r="D469" s="5">
        <v>1.42</v>
      </c>
      <c r="E469" s="5">
        <v>3.99</v>
      </c>
      <c r="F469" s="4" t="s">
        <v>2420</v>
      </c>
      <c r="G469" s="2" t="s">
        <v>134</v>
      </c>
      <c r="H469" s="7" t="s">
        <v>531</v>
      </c>
      <c r="I469" s="2" t="s">
        <v>483</v>
      </c>
      <c r="J469" s="2" t="s">
        <v>536</v>
      </c>
      <c r="K469" s="2" t="s">
        <v>304</v>
      </c>
      <c r="L469" s="2" t="s">
        <v>2421</v>
      </c>
    </row>
    <row r="470" spans="1:12" ht="60" x14ac:dyDescent="0.25">
      <c r="A470" s="7" t="s">
        <v>2422</v>
      </c>
      <c r="B470" s="2" t="s">
        <v>2423</v>
      </c>
      <c r="C470" s="4">
        <v>1</v>
      </c>
      <c r="D470" s="5">
        <v>10.3</v>
      </c>
      <c r="E470" s="5">
        <v>20.6</v>
      </c>
      <c r="F470" s="4">
        <v>28346410</v>
      </c>
      <c r="G470" s="2"/>
      <c r="H470" s="7" t="s">
        <v>209</v>
      </c>
      <c r="I470" s="2" t="s">
        <v>487</v>
      </c>
      <c r="J470" s="2" t="s">
        <v>2424</v>
      </c>
      <c r="K470" s="2"/>
      <c r="L470" s="2"/>
    </row>
    <row r="471" spans="1:12" ht="36" x14ac:dyDescent="0.25">
      <c r="A471" s="7" t="s">
        <v>2425</v>
      </c>
      <c r="B471" s="2" t="s">
        <v>2426</v>
      </c>
      <c r="C471" s="4">
        <v>1</v>
      </c>
      <c r="D471" s="5">
        <v>6.4</v>
      </c>
      <c r="E471" s="5">
        <v>14.55</v>
      </c>
      <c r="F471" s="4">
        <v>17890410</v>
      </c>
      <c r="G471" s="2" t="s">
        <v>36</v>
      </c>
      <c r="H471" s="7" t="s">
        <v>42</v>
      </c>
      <c r="I471" s="2" t="s">
        <v>153</v>
      </c>
      <c r="J471" s="2" t="s">
        <v>154</v>
      </c>
      <c r="K471" s="2"/>
      <c r="L471" s="2"/>
    </row>
  </sheetData>
  <pageMargins left="0.5" right="0.5" top="0.25" bottom="0.25" header="0.3" footer="0.3"/>
  <pageSetup scale="65" orientation="landscape" horizontalDpi="0" verticalDpi="0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02"/>
  <sheetViews>
    <sheetView workbookViewId="0">
      <selection activeCell="M6" sqref="M6"/>
    </sheetView>
  </sheetViews>
  <sheetFormatPr defaultRowHeight="15" x14ac:dyDescent="0.25"/>
  <cols>
    <col min="1" max="1" width="14.28515625" customWidth="1"/>
    <col min="2" max="2" width="46.5703125" customWidth="1"/>
    <col min="3" max="3" width="15" customWidth="1"/>
    <col min="4" max="4" width="10.85546875" customWidth="1"/>
    <col min="5" max="6" width="15" customWidth="1"/>
    <col min="7" max="7" width="10.28515625" customWidth="1"/>
    <col min="8" max="8" width="12.5703125" customWidth="1"/>
    <col min="9" max="10" width="11.42578125" customWidth="1"/>
    <col min="11" max="11" width="10.85546875" customWidth="1"/>
    <col min="12" max="12" width="14" customWidth="1"/>
    <col min="13" max="13" width="10.85546875" customWidth="1"/>
    <col min="14" max="14" width="12.140625" customWidth="1"/>
    <col min="15" max="15" width="36.5703125" bestFit="1" customWidth="1"/>
    <col min="16" max="17" width="20.7109375" customWidth="1"/>
    <col min="18" max="18" width="64.28515625" customWidth="1"/>
  </cols>
  <sheetData>
    <row r="1" spans="1:12" ht="36" x14ac:dyDescent="0.25">
      <c r="A1" s="9" t="s">
        <v>0</v>
      </c>
      <c r="B1" s="9" t="s">
        <v>1</v>
      </c>
      <c r="C1" s="9" t="s">
        <v>2</v>
      </c>
      <c r="D1" s="9" t="s">
        <v>3</v>
      </c>
      <c r="E1" s="9" t="s">
        <v>4</v>
      </c>
      <c r="F1" s="9" t="s">
        <v>5</v>
      </c>
      <c r="G1" s="9" t="s">
        <v>6</v>
      </c>
      <c r="H1" s="9" t="s">
        <v>7</v>
      </c>
      <c r="I1" s="9" t="s">
        <v>8</v>
      </c>
      <c r="J1" s="9" t="s">
        <v>9</v>
      </c>
    </row>
    <row r="2" spans="1:12" ht="36" x14ac:dyDescent="0.25">
      <c r="A2" s="2" t="s">
        <v>654</v>
      </c>
      <c r="B2" s="3">
        <v>12515344</v>
      </c>
      <c r="C2" s="2" t="s">
        <v>11</v>
      </c>
      <c r="D2" s="2" t="s">
        <v>12</v>
      </c>
      <c r="E2" s="4">
        <v>1</v>
      </c>
      <c r="F2" s="4">
        <v>11</v>
      </c>
      <c r="G2" s="2">
        <v>156</v>
      </c>
      <c r="H2" s="5">
        <v>3608.26</v>
      </c>
      <c r="I2" s="5">
        <v>8919.06</v>
      </c>
      <c r="J2" s="2">
        <v>564</v>
      </c>
    </row>
    <row r="4" spans="1:12" s="6" customFormat="1" x14ac:dyDescent="0.25"/>
    <row r="7" spans="1:12" s="6" customFormat="1" x14ac:dyDescent="0.25"/>
    <row r="8" spans="1:12" ht="24" x14ac:dyDescent="0.25">
      <c r="A8" s="9" t="s">
        <v>13</v>
      </c>
      <c r="B8" s="9" t="s">
        <v>14</v>
      </c>
      <c r="C8" s="9" t="s">
        <v>15</v>
      </c>
      <c r="D8" s="9" t="s">
        <v>16</v>
      </c>
      <c r="E8" s="9" t="s">
        <v>17</v>
      </c>
      <c r="F8" s="9" t="s">
        <v>18</v>
      </c>
      <c r="G8" s="9" t="s">
        <v>19</v>
      </c>
      <c r="H8" s="9" t="s">
        <v>20</v>
      </c>
      <c r="I8" s="9" t="s">
        <v>21</v>
      </c>
      <c r="J8" s="9" t="s">
        <v>22</v>
      </c>
      <c r="K8" s="9" t="s">
        <v>23</v>
      </c>
      <c r="L8" s="9" t="s">
        <v>24</v>
      </c>
    </row>
    <row r="9" spans="1:12" ht="84" x14ac:dyDescent="0.25">
      <c r="A9" s="7" t="s">
        <v>655</v>
      </c>
      <c r="B9" s="2" t="s">
        <v>34</v>
      </c>
      <c r="C9" s="4">
        <v>1</v>
      </c>
      <c r="D9" s="5">
        <v>50</v>
      </c>
      <c r="E9" s="5">
        <v>96.99</v>
      </c>
      <c r="F9" s="4" t="s">
        <v>656</v>
      </c>
      <c r="G9" s="2" t="s">
        <v>657</v>
      </c>
      <c r="H9" s="7" t="s">
        <v>37</v>
      </c>
      <c r="I9" s="2" t="s">
        <v>30</v>
      </c>
      <c r="J9" s="2" t="s">
        <v>658</v>
      </c>
      <c r="K9" s="2" t="s">
        <v>75</v>
      </c>
      <c r="L9" s="8" t="str">
        <f>HYPERLINK("http://slimages.macys.com/is/image/MCY/11958296 ")</f>
        <v xml:space="preserve">http://slimages.macys.com/is/image/MCY/11958296 </v>
      </c>
    </row>
    <row r="10" spans="1:12" ht="84" x14ac:dyDescent="0.25">
      <c r="A10" s="7" t="s">
        <v>659</v>
      </c>
      <c r="B10" s="2" t="s">
        <v>660</v>
      </c>
      <c r="C10" s="4">
        <v>1</v>
      </c>
      <c r="D10" s="5">
        <v>45</v>
      </c>
      <c r="E10" s="5">
        <v>76.989999999999995</v>
      </c>
      <c r="F10" s="4" t="s">
        <v>661</v>
      </c>
      <c r="G10" s="2"/>
      <c r="H10" s="7" t="s">
        <v>662</v>
      </c>
      <c r="I10" s="2" t="s">
        <v>30</v>
      </c>
      <c r="J10" s="2" t="s">
        <v>31</v>
      </c>
      <c r="K10" s="2" t="s">
        <v>335</v>
      </c>
      <c r="L10" s="8" t="str">
        <f>HYPERLINK("http://slimages.macys.com/is/image/MCY/2358964 ")</f>
        <v xml:space="preserve">http://slimages.macys.com/is/image/MCY/2358964 </v>
      </c>
    </row>
    <row r="11" spans="1:12" ht="84" x14ac:dyDescent="0.25">
      <c r="A11" s="7" t="s">
        <v>663</v>
      </c>
      <c r="B11" s="2" t="s">
        <v>40</v>
      </c>
      <c r="C11" s="4">
        <v>1</v>
      </c>
      <c r="D11" s="5">
        <v>26.75</v>
      </c>
      <c r="E11" s="5">
        <v>70</v>
      </c>
      <c r="F11" s="4">
        <v>1455</v>
      </c>
      <c r="G11" s="2" t="s">
        <v>41</v>
      </c>
      <c r="H11" s="7" t="s">
        <v>91</v>
      </c>
      <c r="I11" s="2" t="s">
        <v>43</v>
      </c>
      <c r="J11" s="2" t="s">
        <v>44</v>
      </c>
      <c r="K11" s="2" t="s">
        <v>125</v>
      </c>
      <c r="L11" s="8" t="str">
        <f>HYPERLINK("http://slimages.macys.com/is/image/MCY/928601 ")</f>
        <v xml:space="preserve">http://slimages.macys.com/is/image/MCY/928601 </v>
      </c>
    </row>
    <row r="12" spans="1:12" ht="84" x14ac:dyDescent="0.25">
      <c r="A12" s="7" t="s">
        <v>664</v>
      </c>
      <c r="B12" s="2" t="s">
        <v>665</v>
      </c>
      <c r="C12" s="4">
        <v>1</v>
      </c>
      <c r="D12" s="5">
        <v>23</v>
      </c>
      <c r="E12" s="5">
        <v>64.989999999999995</v>
      </c>
      <c r="F12" s="4" t="s">
        <v>666</v>
      </c>
      <c r="G12" s="2" t="s">
        <v>667</v>
      </c>
      <c r="H12" s="7"/>
      <c r="I12" s="2" t="s">
        <v>668</v>
      </c>
      <c r="J12" s="2" t="s">
        <v>239</v>
      </c>
      <c r="K12" s="2" t="s">
        <v>125</v>
      </c>
      <c r="L12" s="8" t="str">
        <f>HYPERLINK("http://slimages.macys.com/is/image/MCY/12832974 ")</f>
        <v xml:space="preserve">http://slimages.macys.com/is/image/MCY/12832974 </v>
      </c>
    </row>
    <row r="13" spans="1:12" ht="84" x14ac:dyDescent="0.25">
      <c r="A13" s="7" t="s">
        <v>669</v>
      </c>
      <c r="B13" s="2" t="s">
        <v>670</v>
      </c>
      <c r="C13" s="4">
        <v>1</v>
      </c>
      <c r="D13" s="5">
        <v>21.5</v>
      </c>
      <c r="E13" s="5">
        <v>54.99</v>
      </c>
      <c r="F13" s="4" t="s">
        <v>671</v>
      </c>
      <c r="G13" s="2" t="s">
        <v>582</v>
      </c>
      <c r="H13" s="7" t="s">
        <v>311</v>
      </c>
      <c r="I13" s="2" t="s">
        <v>668</v>
      </c>
      <c r="J13" s="2" t="s">
        <v>672</v>
      </c>
      <c r="K13" s="2" t="s">
        <v>125</v>
      </c>
      <c r="L13" s="8" t="str">
        <f>HYPERLINK("http://slimages.macys.com/is/image/MCY/8137280 ")</f>
        <v xml:space="preserve">http://slimages.macys.com/is/image/MCY/8137280 </v>
      </c>
    </row>
    <row r="14" spans="1:12" ht="84" x14ac:dyDescent="0.25">
      <c r="A14" s="7" t="s">
        <v>673</v>
      </c>
      <c r="B14" s="2" t="s">
        <v>674</v>
      </c>
      <c r="C14" s="4">
        <v>1</v>
      </c>
      <c r="D14" s="5">
        <v>20.25</v>
      </c>
      <c r="E14" s="5">
        <v>45</v>
      </c>
      <c r="F14" s="4">
        <v>310750855001</v>
      </c>
      <c r="G14" s="2" t="s">
        <v>657</v>
      </c>
      <c r="H14" s="7" t="s">
        <v>675</v>
      </c>
      <c r="I14" s="2" t="s">
        <v>676</v>
      </c>
      <c r="J14" s="2" t="s">
        <v>677</v>
      </c>
      <c r="K14" s="2" t="s">
        <v>678</v>
      </c>
      <c r="L14" s="8" t="str">
        <f>HYPERLINK("http://slimages.macys.com/is/image/MCY/14468925 ")</f>
        <v xml:space="preserve">http://slimages.macys.com/is/image/MCY/14468925 </v>
      </c>
    </row>
    <row r="15" spans="1:12" ht="84" x14ac:dyDescent="0.25">
      <c r="A15" s="7" t="s">
        <v>679</v>
      </c>
      <c r="B15" s="2" t="s">
        <v>680</v>
      </c>
      <c r="C15" s="4">
        <v>1</v>
      </c>
      <c r="D15" s="5">
        <v>19.5</v>
      </c>
      <c r="E15" s="5">
        <v>39</v>
      </c>
      <c r="F15" s="4">
        <v>289874</v>
      </c>
      <c r="G15" s="2" t="s">
        <v>79</v>
      </c>
      <c r="H15" s="7" t="s">
        <v>681</v>
      </c>
      <c r="I15" s="2" t="s">
        <v>50</v>
      </c>
      <c r="J15" s="2" t="s">
        <v>682</v>
      </c>
      <c r="K15" s="2" t="s">
        <v>683</v>
      </c>
      <c r="L15" s="8" t="str">
        <f>HYPERLINK("http://slimages.macys.com/is/image/MCY/9209529 ")</f>
        <v xml:space="preserve">http://slimages.macys.com/is/image/MCY/9209529 </v>
      </c>
    </row>
    <row r="16" spans="1:12" ht="84" x14ac:dyDescent="0.25">
      <c r="A16" s="7" t="s">
        <v>684</v>
      </c>
      <c r="B16" s="2" t="s">
        <v>685</v>
      </c>
      <c r="C16" s="4">
        <v>1</v>
      </c>
      <c r="D16" s="5">
        <v>18.899999999999999</v>
      </c>
      <c r="E16" s="5">
        <v>45</v>
      </c>
      <c r="F16" s="4" t="s">
        <v>686</v>
      </c>
      <c r="G16" s="2" t="s">
        <v>62</v>
      </c>
      <c r="H16" s="7"/>
      <c r="I16" s="2" t="s">
        <v>80</v>
      </c>
      <c r="J16" s="2" t="s">
        <v>74</v>
      </c>
      <c r="K16" s="2" t="s">
        <v>125</v>
      </c>
      <c r="L16" s="8" t="str">
        <f>HYPERLINK("http://slimages.macys.com/is/image/MCY/14838882 ")</f>
        <v xml:space="preserve">http://slimages.macys.com/is/image/MCY/14838882 </v>
      </c>
    </row>
    <row r="17" spans="1:12" ht="84" x14ac:dyDescent="0.25">
      <c r="A17" s="7" t="s">
        <v>69</v>
      </c>
      <c r="B17" s="2" t="s">
        <v>70</v>
      </c>
      <c r="C17" s="4">
        <v>1</v>
      </c>
      <c r="D17" s="5">
        <v>18.899999999999999</v>
      </c>
      <c r="E17" s="5">
        <v>45</v>
      </c>
      <c r="F17" s="4" t="s">
        <v>71</v>
      </c>
      <c r="G17" s="2" t="s">
        <v>62</v>
      </c>
      <c r="H17" s="7" t="s">
        <v>72</v>
      </c>
      <c r="I17" s="2" t="s">
        <v>73</v>
      </c>
      <c r="J17" s="2" t="s">
        <v>74</v>
      </c>
      <c r="K17" s="2" t="s">
        <v>75</v>
      </c>
      <c r="L17" s="8" t="str">
        <f>HYPERLINK("http://slimages.macys.com/is/image/MCY/11714378 ")</f>
        <v xml:space="preserve">http://slimages.macys.com/is/image/MCY/11714378 </v>
      </c>
    </row>
    <row r="18" spans="1:12" ht="84" x14ac:dyDescent="0.25">
      <c r="A18" s="7" t="s">
        <v>687</v>
      </c>
      <c r="B18" s="2" t="s">
        <v>688</v>
      </c>
      <c r="C18" s="4">
        <v>1</v>
      </c>
      <c r="D18" s="5">
        <v>18.53</v>
      </c>
      <c r="E18" s="5">
        <v>54.5</v>
      </c>
      <c r="F18" s="4" t="s">
        <v>689</v>
      </c>
      <c r="G18" s="2" t="s">
        <v>129</v>
      </c>
      <c r="H18" s="7" t="s">
        <v>123</v>
      </c>
      <c r="I18" s="2" t="s">
        <v>690</v>
      </c>
      <c r="J18" s="2" t="s">
        <v>58</v>
      </c>
      <c r="K18" s="2" t="s">
        <v>119</v>
      </c>
      <c r="L18" s="8" t="str">
        <f>HYPERLINK("http://slimages.macys.com/is/image/MCY/15216869 ")</f>
        <v xml:space="preserve">http://slimages.macys.com/is/image/MCY/15216869 </v>
      </c>
    </row>
    <row r="19" spans="1:12" ht="84" x14ac:dyDescent="0.25">
      <c r="A19" s="7" t="s">
        <v>691</v>
      </c>
      <c r="B19" s="2" t="s">
        <v>692</v>
      </c>
      <c r="C19" s="4">
        <v>1</v>
      </c>
      <c r="D19" s="5">
        <v>18.5</v>
      </c>
      <c r="E19" s="5">
        <v>41.99</v>
      </c>
      <c r="F19" s="4" t="s">
        <v>693</v>
      </c>
      <c r="G19" s="2" t="s">
        <v>62</v>
      </c>
      <c r="H19" s="7" t="s">
        <v>217</v>
      </c>
      <c r="I19" s="2" t="s">
        <v>80</v>
      </c>
      <c r="J19" s="2" t="s">
        <v>694</v>
      </c>
      <c r="K19" s="2" t="s">
        <v>125</v>
      </c>
      <c r="L19" s="8" t="str">
        <f>HYPERLINK("http://slimages.macys.com/is/image/MCY/11647400 ")</f>
        <v xml:space="preserve">http://slimages.macys.com/is/image/MCY/11647400 </v>
      </c>
    </row>
    <row r="20" spans="1:12" ht="84" x14ac:dyDescent="0.25">
      <c r="A20" s="7" t="s">
        <v>695</v>
      </c>
      <c r="B20" s="2" t="s">
        <v>696</v>
      </c>
      <c r="C20" s="4">
        <v>1</v>
      </c>
      <c r="D20" s="5">
        <v>18</v>
      </c>
      <c r="E20" s="5">
        <v>45</v>
      </c>
      <c r="F20" s="4" t="s">
        <v>697</v>
      </c>
      <c r="G20" s="2" t="s">
        <v>698</v>
      </c>
      <c r="H20" s="7" t="s">
        <v>699</v>
      </c>
      <c r="I20" s="2" t="s">
        <v>700</v>
      </c>
      <c r="J20" s="2" t="s">
        <v>701</v>
      </c>
      <c r="K20" s="2" t="s">
        <v>224</v>
      </c>
      <c r="L20" s="8" t="str">
        <f>HYPERLINK("http://slimages.macys.com/is/image/MCY/12228534 ")</f>
        <v xml:space="preserve">http://slimages.macys.com/is/image/MCY/12228534 </v>
      </c>
    </row>
    <row r="21" spans="1:12" ht="84" x14ac:dyDescent="0.25">
      <c r="A21" s="7" t="s">
        <v>702</v>
      </c>
      <c r="B21" s="2" t="s">
        <v>703</v>
      </c>
      <c r="C21" s="4">
        <v>1</v>
      </c>
      <c r="D21" s="5">
        <v>18</v>
      </c>
      <c r="E21" s="5">
        <v>49.99</v>
      </c>
      <c r="F21" s="4" t="s">
        <v>704</v>
      </c>
      <c r="G21" s="2" t="s">
        <v>41</v>
      </c>
      <c r="H21" s="7" t="s">
        <v>209</v>
      </c>
      <c r="I21" s="2" t="s">
        <v>64</v>
      </c>
      <c r="J21" s="2" t="s">
        <v>239</v>
      </c>
      <c r="K21" s="2" t="s">
        <v>705</v>
      </c>
      <c r="L21" s="8" t="str">
        <f>HYPERLINK("http://slimages.macys.com/is/image/MCY/12830492 ")</f>
        <v xml:space="preserve">http://slimages.macys.com/is/image/MCY/12830492 </v>
      </c>
    </row>
    <row r="22" spans="1:12" ht="84" x14ac:dyDescent="0.25">
      <c r="A22" s="7" t="s">
        <v>706</v>
      </c>
      <c r="B22" s="2" t="s">
        <v>707</v>
      </c>
      <c r="C22" s="4">
        <v>1</v>
      </c>
      <c r="D22" s="5">
        <v>17.7</v>
      </c>
      <c r="E22" s="5">
        <v>59</v>
      </c>
      <c r="F22" s="4">
        <v>328344</v>
      </c>
      <c r="G22" s="2" t="s">
        <v>86</v>
      </c>
      <c r="H22" s="7" t="s">
        <v>708</v>
      </c>
      <c r="I22" s="2" t="s">
        <v>50</v>
      </c>
      <c r="J22" s="2" t="s">
        <v>105</v>
      </c>
      <c r="K22" s="2" t="s">
        <v>328</v>
      </c>
      <c r="L22" s="8" t="str">
        <f>HYPERLINK("http://slimages.macys.com/is/image/MCY/10435525 ")</f>
        <v xml:space="preserve">http://slimages.macys.com/is/image/MCY/10435525 </v>
      </c>
    </row>
    <row r="23" spans="1:12" ht="84" x14ac:dyDescent="0.25">
      <c r="A23" s="7" t="s">
        <v>709</v>
      </c>
      <c r="B23" s="2" t="s">
        <v>710</v>
      </c>
      <c r="C23" s="4">
        <v>1</v>
      </c>
      <c r="D23" s="5">
        <v>17.5</v>
      </c>
      <c r="E23" s="5">
        <v>35</v>
      </c>
      <c r="F23" s="4" t="s">
        <v>711</v>
      </c>
      <c r="G23" s="2" t="s">
        <v>28</v>
      </c>
      <c r="H23" s="7" t="s">
        <v>662</v>
      </c>
      <c r="I23" s="2" t="s">
        <v>30</v>
      </c>
      <c r="J23" s="2" t="s">
        <v>31</v>
      </c>
      <c r="K23" s="2" t="s">
        <v>712</v>
      </c>
      <c r="L23" s="8" t="str">
        <f>HYPERLINK("http://slimages.macys.com/is/image/MCY/11831295 ")</f>
        <v xml:space="preserve">http://slimages.macys.com/is/image/MCY/11831295 </v>
      </c>
    </row>
    <row r="24" spans="1:12" ht="180" x14ac:dyDescent="0.25">
      <c r="A24" s="7" t="s">
        <v>713</v>
      </c>
      <c r="B24" s="2" t="s">
        <v>89</v>
      </c>
      <c r="C24" s="4">
        <v>2</v>
      </c>
      <c r="D24" s="5">
        <v>17.5</v>
      </c>
      <c r="E24" s="5">
        <v>39.99</v>
      </c>
      <c r="F24" s="4" t="s">
        <v>90</v>
      </c>
      <c r="G24" s="2" t="s">
        <v>41</v>
      </c>
      <c r="H24" s="7" t="s">
        <v>42</v>
      </c>
      <c r="I24" s="2" t="s">
        <v>92</v>
      </c>
      <c r="J24" s="2" t="s">
        <v>65</v>
      </c>
      <c r="K24" s="2" t="s">
        <v>93</v>
      </c>
      <c r="L24" s="8" t="str">
        <f>HYPERLINK("http://slimages.macys.com/is/image/MCY/14885680 ")</f>
        <v xml:space="preserve">http://slimages.macys.com/is/image/MCY/14885680 </v>
      </c>
    </row>
    <row r="25" spans="1:12" ht="84" x14ac:dyDescent="0.25">
      <c r="A25" s="7" t="s">
        <v>714</v>
      </c>
      <c r="B25" s="2" t="s">
        <v>715</v>
      </c>
      <c r="C25" s="4">
        <v>1</v>
      </c>
      <c r="D25" s="5">
        <v>17</v>
      </c>
      <c r="E25" s="5">
        <v>42.5</v>
      </c>
      <c r="F25" s="4" t="s">
        <v>716</v>
      </c>
      <c r="G25" s="2"/>
      <c r="H25" s="7" t="s">
        <v>179</v>
      </c>
      <c r="I25" s="2" t="s">
        <v>98</v>
      </c>
      <c r="J25" s="2" t="s">
        <v>99</v>
      </c>
      <c r="K25" s="2" t="s">
        <v>100</v>
      </c>
      <c r="L25" s="8" t="str">
        <f>HYPERLINK("http://slimages.macys.com/is/image/MCY/14883551 ")</f>
        <v xml:space="preserve">http://slimages.macys.com/is/image/MCY/14883551 </v>
      </c>
    </row>
    <row r="26" spans="1:12" ht="84" x14ac:dyDescent="0.25">
      <c r="A26" s="7" t="s">
        <v>717</v>
      </c>
      <c r="B26" s="2" t="s">
        <v>715</v>
      </c>
      <c r="C26" s="4">
        <v>2</v>
      </c>
      <c r="D26" s="5">
        <v>17</v>
      </c>
      <c r="E26" s="5">
        <v>42.5</v>
      </c>
      <c r="F26" s="4" t="s">
        <v>716</v>
      </c>
      <c r="G26" s="2"/>
      <c r="H26" s="7" t="s">
        <v>172</v>
      </c>
      <c r="I26" s="2" t="s">
        <v>98</v>
      </c>
      <c r="J26" s="2" t="s">
        <v>99</v>
      </c>
      <c r="K26" s="2" t="s">
        <v>100</v>
      </c>
      <c r="L26" s="8" t="str">
        <f>HYPERLINK("http://slimages.macys.com/is/image/MCY/14883551 ")</f>
        <v xml:space="preserve">http://slimages.macys.com/is/image/MCY/14883551 </v>
      </c>
    </row>
    <row r="27" spans="1:12" ht="84" x14ac:dyDescent="0.25">
      <c r="A27" s="7" t="s">
        <v>718</v>
      </c>
      <c r="B27" s="2" t="s">
        <v>715</v>
      </c>
      <c r="C27" s="4">
        <v>1</v>
      </c>
      <c r="D27" s="5">
        <v>17</v>
      </c>
      <c r="E27" s="5">
        <v>42.5</v>
      </c>
      <c r="F27" s="4" t="s">
        <v>716</v>
      </c>
      <c r="G27" s="2"/>
      <c r="H27" s="7" t="s">
        <v>56</v>
      </c>
      <c r="I27" s="2" t="s">
        <v>98</v>
      </c>
      <c r="J27" s="2" t="s">
        <v>99</v>
      </c>
      <c r="K27" s="2" t="s">
        <v>100</v>
      </c>
      <c r="L27" s="8" t="str">
        <f>HYPERLINK("http://slimages.macys.com/is/image/MCY/14883551 ")</f>
        <v xml:space="preserve">http://slimages.macys.com/is/image/MCY/14883551 </v>
      </c>
    </row>
    <row r="28" spans="1:12" ht="84" x14ac:dyDescent="0.25">
      <c r="A28" s="7" t="s">
        <v>719</v>
      </c>
      <c r="B28" s="2" t="s">
        <v>720</v>
      </c>
      <c r="C28" s="4">
        <v>1</v>
      </c>
      <c r="D28" s="5">
        <v>16</v>
      </c>
      <c r="E28" s="5">
        <v>40</v>
      </c>
      <c r="F28" s="4" t="s">
        <v>721</v>
      </c>
      <c r="G28" s="2" t="s">
        <v>698</v>
      </c>
      <c r="H28" s="7" t="s">
        <v>722</v>
      </c>
      <c r="I28" s="2" t="s">
        <v>700</v>
      </c>
      <c r="J28" s="2" t="s">
        <v>701</v>
      </c>
      <c r="K28" s="2" t="s">
        <v>224</v>
      </c>
      <c r="L28" s="8" t="str">
        <f>HYPERLINK("http://slimages.macys.com/is/image/MCY/13582261 ")</f>
        <v xml:space="preserve">http://slimages.macys.com/is/image/MCY/13582261 </v>
      </c>
    </row>
    <row r="29" spans="1:12" ht="84" x14ac:dyDescent="0.25">
      <c r="A29" s="7" t="s">
        <v>723</v>
      </c>
      <c r="B29" s="2" t="s">
        <v>720</v>
      </c>
      <c r="C29" s="4">
        <v>1</v>
      </c>
      <c r="D29" s="5">
        <v>16</v>
      </c>
      <c r="E29" s="5">
        <v>40</v>
      </c>
      <c r="F29" s="4" t="s">
        <v>721</v>
      </c>
      <c r="G29" s="2" t="s">
        <v>698</v>
      </c>
      <c r="H29" s="7"/>
      <c r="I29" s="2" t="s">
        <v>700</v>
      </c>
      <c r="J29" s="2" t="s">
        <v>701</v>
      </c>
      <c r="K29" s="2" t="s">
        <v>224</v>
      </c>
      <c r="L29" s="8" t="str">
        <f>HYPERLINK("http://slimages.macys.com/is/image/MCY/13582261 ")</f>
        <v xml:space="preserve">http://slimages.macys.com/is/image/MCY/13582261 </v>
      </c>
    </row>
    <row r="30" spans="1:12" ht="84" x14ac:dyDescent="0.25">
      <c r="A30" s="7" t="s">
        <v>724</v>
      </c>
      <c r="B30" s="2" t="s">
        <v>725</v>
      </c>
      <c r="C30" s="4">
        <v>1</v>
      </c>
      <c r="D30" s="5">
        <v>16</v>
      </c>
      <c r="E30" s="5">
        <v>40</v>
      </c>
      <c r="F30" s="4" t="s">
        <v>726</v>
      </c>
      <c r="G30" s="2" t="s">
        <v>171</v>
      </c>
      <c r="H30" s="7"/>
      <c r="I30" s="2" t="s">
        <v>700</v>
      </c>
      <c r="J30" s="2" t="s">
        <v>701</v>
      </c>
      <c r="K30" s="2" t="s">
        <v>224</v>
      </c>
      <c r="L30" s="8" t="str">
        <f>HYPERLINK("http://slimages.macys.com/is/image/MCY/13581933 ")</f>
        <v xml:space="preserve">http://slimages.macys.com/is/image/MCY/13581933 </v>
      </c>
    </row>
    <row r="31" spans="1:12" ht="84" x14ac:dyDescent="0.25">
      <c r="A31" s="7" t="s">
        <v>727</v>
      </c>
      <c r="B31" s="2" t="s">
        <v>728</v>
      </c>
      <c r="C31" s="4">
        <v>1</v>
      </c>
      <c r="D31" s="5">
        <v>15.8</v>
      </c>
      <c r="E31" s="5">
        <v>39.5</v>
      </c>
      <c r="F31" s="4" t="s">
        <v>729</v>
      </c>
      <c r="G31" s="2" t="s">
        <v>437</v>
      </c>
      <c r="H31" s="7"/>
      <c r="I31" s="2" t="s">
        <v>57</v>
      </c>
      <c r="J31" s="2" t="s">
        <v>58</v>
      </c>
      <c r="K31" s="2" t="s">
        <v>206</v>
      </c>
      <c r="L31" s="8" t="str">
        <f>HYPERLINK("http://slimages.macys.com/is/image/MCY/13049197 ")</f>
        <v xml:space="preserve">http://slimages.macys.com/is/image/MCY/13049197 </v>
      </c>
    </row>
    <row r="32" spans="1:12" ht="84" x14ac:dyDescent="0.25">
      <c r="A32" s="7" t="s">
        <v>730</v>
      </c>
      <c r="B32" s="2" t="s">
        <v>110</v>
      </c>
      <c r="C32" s="4">
        <v>2</v>
      </c>
      <c r="D32" s="5">
        <v>15.8</v>
      </c>
      <c r="E32" s="5">
        <v>39.5</v>
      </c>
      <c r="F32" s="4" t="s">
        <v>111</v>
      </c>
      <c r="G32" s="2" t="s">
        <v>41</v>
      </c>
      <c r="H32" s="7"/>
      <c r="I32" s="2" t="s">
        <v>57</v>
      </c>
      <c r="J32" s="2" t="s">
        <v>58</v>
      </c>
      <c r="K32" s="2" t="s">
        <v>100</v>
      </c>
      <c r="L32" s="8" t="str">
        <f>HYPERLINK("http://slimages.macys.com/is/image/MCY/13049173 ")</f>
        <v xml:space="preserve">http://slimages.macys.com/is/image/MCY/13049173 </v>
      </c>
    </row>
    <row r="33" spans="1:12" ht="84" x14ac:dyDescent="0.25">
      <c r="A33" s="7" t="s">
        <v>731</v>
      </c>
      <c r="B33" s="2" t="s">
        <v>732</v>
      </c>
      <c r="C33" s="4">
        <v>1</v>
      </c>
      <c r="D33" s="5">
        <v>15.25</v>
      </c>
      <c r="E33" s="5">
        <v>42.5</v>
      </c>
      <c r="F33" s="4" t="s">
        <v>733</v>
      </c>
      <c r="G33" s="2" t="s">
        <v>28</v>
      </c>
      <c r="H33" s="7" t="s">
        <v>317</v>
      </c>
      <c r="I33" s="2" t="s">
        <v>98</v>
      </c>
      <c r="J33" s="2" t="s">
        <v>99</v>
      </c>
      <c r="K33" s="2" t="s">
        <v>119</v>
      </c>
      <c r="L33" s="8" t="str">
        <f>HYPERLINK("http://slimages.macys.com/is/image/MCY/9950317 ")</f>
        <v xml:space="preserve">http://slimages.macys.com/is/image/MCY/9950317 </v>
      </c>
    </row>
    <row r="34" spans="1:12" ht="84" x14ac:dyDescent="0.25">
      <c r="A34" s="7" t="s">
        <v>734</v>
      </c>
      <c r="B34" s="2" t="s">
        <v>735</v>
      </c>
      <c r="C34" s="4">
        <v>1</v>
      </c>
      <c r="D34" s="5">
        <v>15</v>
      </c>
      <c r="E34" s="5">
        <v>39.99</v>
      </c>
      <c r="F34" s="4" t="s">
        <v>736</v>
      </c>
      <c r="G34" s="2" t="s">
        <v>595</v>
      </c>
      <c r="H34" s="7" t="s">
        <v>91</v>
      </c>
      <c r="I34" s="2" t="s">
        <v>92</v>
      </c>
      <c r="J34" s="2" t="s">
        <v>239</v>
      </c>
      <c r="K34" s="2" t="s">
        <v>737</v>
      </c>
      <c r="L34" s="8" t="str">
        <f>HYPERLINK("http://slimages.macys.com/is/image/MCY/14989275 ")</f>
        <v xml:space="preserve">http://slimages.macys.com/is/image/MCY/14989275 </v>
      </c>
    </row>
    <row r="35" spans="1:12" ht="84" x14ac:dyDescent="0.25">
      <c r="A35" s="7" t="s">
        <v>738</v>
      </c>
      <c r="B35" s="2" t="s">
        <v>739</v>
      </c>
      <c r="C35" s="4">
        <v>1</v>
      </c>
      <c r="D35" s="5">
        <v>14.75</v>
      </c>
      <c r="E35" s="5">
        <v>39.99</v>
      </c>
      <c r="F35" s="4" t="s">
        <v>740</v>
      </c>
      <c r="G35" s="2" t="s">
        <v>195</v>
      </c>
      <c r="H35" s="7" t="s">
        <v>42</v>
      </c>
      <c r="I35" s="2" t="s">
        <v>92</v>
      </c>
      <c r="J35" s="2" t="s">
        <v>239</v>
      </c>
      <c r="K35" s="2" t="s">
        <v>741</v>
      </c>
      <c r="L35" s="8" t="str">
        <f>HYPERLINK("http://slimages.macys.com/is/image/MCY/13894058 ")</f>
        <v xml:space="preserve">http://slimages.macys.com/is/image/MCY/13894058 </v>
      </c>
    </row>
    <row r="36" spans="1:12" ht="84" x14ac:dyDescent="0.25">
      <c r="A36" s="7" t="s">
        <v>742</v>
      </c>
      <c r="B36" s="2" t="s">
        <v>743</v>
      </c>
      <c r="C36" s="4">
        <v>1</v>
      </c>
      <c r="D36" s="5">
        <v>14.62</v>
      </c>
      <c r="E36" s="5">
        <v>39.5</v>
      </c>
      <c r="F36" s="4" t="s">
        <v>744</v>
      </c>
      <c r="G36" s="2" t="s">
        <v>262</v>
      </c>
      <c r="H36" s="7"/>
      <c r="I36" s="2" t="s">
        <v>57</v>
      </c>
      <c r="J36" s="2" t="s">
        <v>58</v>
      </c>
      <c r="K36" s="2" t="s">
        <v>100</v>
      </c>
      <c r="L36" s="8" t="str">
        <f>HYPERLINK("http://slimages.macys.com/is/image/MCY/15363627 ")</f>
        <v xml:space="preserve">http://slimages.macys.com/is/image/MCY/15363627 </v>
      </c>
    </row>
    <row r="37" spans="1:12" ht="84" x14ac:dyDescent="0.25">
      <c r="A37" s="7" t="s">
        <v>745</v>
      </c>
      <c r="B37" s="2" t="s">
        <v>116</v>
      </c>
      <c r="C37" s="4">
        <v>1</v>
      </c>
      <c r="D37" s="5">
        <v>14.5</v>
      </c>
      <c r="E37" s="5">
        <v>27.99</v>
      </c>
      <c r="F37" s="4" t="s">
        <v>117</v>
      </c>
      <c r="G37" s="2" t="s">
        <v>41</v>
      </c>
      <c r="H37" s="7" t="s">
        <v>662</v>
      </c>
      <c r="I37" s="2" t="s">
        <v>30</v>
      </c>
      <c r="J37" s="2" t="s">
        <v>31</v>
      </c>
      <c r="K37" s="2" t="s">
        <v>119</v>
      </c>
      <c r="L37" s="8" t="str">
        <f>HYPERLINK("http://slimages.macys.com/is/image/MCY/2940923 ")</f>
        <v xml:space="preserve">http://slimages.macys.com/is/image/MCY/2940923 </v>
      </c>
    </row>
    <row r="38" spans="1:12" ht="84" x14ac:dyDescent="0.25">
      <c r="A38" s="7" t="s">
        <v>746</v>
      </c>
      <c r="B38" s="2" t="s">
        <v>747</v>
      </c>
      <c r="C38" s="4">
        <v>1</v>
      </c>
      <c r="D38" s="5">
        <v>14.18</v>
      </c>
      <c r="E38" s="5">
        <v>34.99</v>
      </c>
      <c r="F38" s="4" t="s">
        <v>748</v>
      </c>
      <c r="G38" s="2" t="s">
        <v>353</v>
      </c>
      <c r="H38" s="7" t="s">
        <v>217</v>
      </c>
      <c r="I38" s="2" t="s">
        <v>292</v>
      </c>
      <c r="J38" s="2" t="s">
        <v>293</v>
      </c>
      <c r="K38" s="2" t="s">
        <v>125</v>
      </c>
      <c r="L38" s="8" t="str">
        <f>HYPERLINK("http://slimages.macys.com/is/image/MCY/11527670 ")</f>
        <v xml:space="preserve">http://slimages.macys.com/is/image/MCY/11527670 </v>
      </c>
    </row>
    <row r="39" spans="1:12" ht="84" x14ac:dyDescent="0.25">
      <c r="A39" s="7" t="s">
        <v>749</v>
      </c>
      <c r="B39" s="2" t="s">
        <v>750</v>
      </c>
      <c r="C39" s="4">
        <v>1</v>
      </c>
      <c r="D39" s="5">
        <v>14</v>
      </c>
      <c r="E39" s="5">
        <v>32.99</v>
      </c>
      <c r="F39" s="4" t="s">
        <v>751</v>
      </c>
      <c r="G39" s="2" t="s">
        <v>752</v>
      </c>
      <c r="H39" s="7" t="s">
        <v>68</v>
      </c>
      <c r="I39" s="2" t="s">
        <v>80</v>
      </c>
      <c r="J39" s="2" t="s">
        <v>145</v>
      </c>
      <c r="K39" s="2" t="s">
        <v>125</v>
      </c>
      <c r="L39" s="8" t="str">
        <f>HYPERLINK("http://slimages.macys.com/is/image/MCY/13356716 ")</f>
        <v xml:space="preserve">http://slimages.macys.com/is/image/MCY/13356716 </v>
      </c>
    </row>
    <row r="40" spans="1:12" ht="84" x14ac:dyDescent="0.25">
      <c r="A40" s="7" t="s">
        <v>753</v>
      </c>
      <c r="B40" s="2" t="s">
        <v>754</v>
      </c>
      <c r="C40" s="4">
        <v>1</v>
      </c>
      <c r="D40" s="5">
        <v>13.5</v>
      </c>
      <c r="E40" s="5">
        <v>30</v>
      </c>
      <c r="F40" s="4">
        <v>1327815</v>
      </c>
      <c r="G40" s="2" t="s">
        <v>755</v>
      </c>
      <c r="H40" s="7" t="s">
        <v>196</v>
      </c>
      <c r="I40" s="2" t="s">
        <v>73</v>
      </c>
      <c r="J40" s="2" t="s">
        <v>280</v>
      </c>
      <c r="K40" s="2" t="s">
        <v>119</v>
      </c>
      <c r="L40" s="8" t="str">
        <f>HYPERLINK("http://slimages.macys.com/is/image/MCY/12738323 ")</f>
        <v xml:space="preserve">http://slimages.macys.com/is/image/MCY/12738323 </v>
      </c>
    </row>
    <row r="41" spans="1:12" ht="84" x14ac:dyDescent="0.25">
      <c r="A41" s="7" t="s">
        <v>756</v>
      </c>
      <c r="B41" s="2" t="s">
        <v>754</v>
      </c>
      <c r="C41" s="4">
        <v>1</v>
      </c>
      <c r="D41" s="5">
        <v>13.5</v>
      </c>
      <c r="E41" s="5">
        <v>30</v>
      </c>
      <c r="F41" s="4">
        <v>1327815</v>
      </c>
      <c r="G41" s="2" t="s">
        <v>755</v>
      </c>
      <c r="H41" s="7" t="s">
        <v>228</v>
      </c>
      <c r="I41" s="2" t="s">
        <v>73</v>
      </c>
      <c r="J41" s="2" t="s">
        <v>280</v>
      </c>
      <c r="K41" s="2" t="s">
        <v>119</v>
      </c>
      <c r="L41" s="8" t="str">
        <f>HYPERLINK("http://slimages.macys.com/is/image/MCY/12738323 ")</f>
        <v xml:space="preserve">http://slimages.macys.com/is/image/MCY/12738323 </v>
      </c>
    </row>
    <row r="42" spans="1:12" ht="156" x14ac:dyDescent="0.25">
      <c r="A42" s="7" t="s">
        <v>757</v>
      </c>
      <c r="B42" s="2" t="s">
        <v>758</v>
      </c>
      <c r="C42" s="4">
        <v>1</v>
      </c>
      <c r="D42" s="5">
        <v>13.5</v>
      </c>
      <c r="E42" s="5">
        <v>34.99</v>
      </c>
      <c r="F42" s="4" t="s">
        <v>759</v>
      </c>
      <c r="G42" s="2" t="s">
        <v>752</v>
      </c>
      <c r="H42" s="7" t="s">
        <v>442</v>
      </c>
      <c r="I42" s="2" t="s">
        <v>92</v>
      </c>
      <c r="J42" s="2" t="s">
        <v>65</v>
      </c>
      <c r="K42" s="2" t="s">
        <v>760</v>
      </c>
      <c r="L42" s="8" t="str">
        <f>HYPERLINK("http://slimages.macys.com/is/image/MCY/14815593 ")</f>
        <v xml:space="preserve">http://slimages.macys.com/is/image/MCY/14815593 </v>
      </c>
    </row>
    <row r="43" spans="1:12" ht="84" x14ac:dyDescent="0.25">
      <c r="A43" s="7" t="s">
        <v>761</v>
      </c>
      <c r="B43" s="2" t="s">
        <v>762</v>
      </c>
      <c r="C43" s="4">
        <v>1</v>
      </c>
      <c r="D43" s="5">
        <v>13.44</v>
      </c>
      <c r="E43" s="5">
        <v>32</v>
      </c>
      <c r="F43" s="4" t="s">
        <v>763</v>
      </c>
      <c r="G43" s="2"/>
      <c r="H43" s="7" t="s">
        <v>764</v>
      </c>
      <c r="I43" s="2" t="s">
        <v>73</v>
      </c>
      <c r="J43" s="2" t="s">
        <v>74</v>
      </c>
      <c r="K43" s="2" t="s">
        <v>100</v>
      </c>
      <c r="L43" s="8" t="str">
        <f>HYPERLINK("http://slimages.macys.com/is/image/MCY/11949802 ")</f>
        <v xml:space="preserve">http://slimages.macys.com/is/image/MCY/11949802 </v>
      </c>
    </row>
    <row r="44" spans="1:12" ht="84" x14ac:dyDescent="0.25">
      <c r="A44" s="7" t="s">
        <v>765</v>
      </c>
      <c r="B44" s="2" t="s">
        <v>766</v>
      </c>
      <c r="C44" s="4">
        <v>1</v>
      </c>
      <c r="D44" s="5">
        <v>13.25</v>
      </c>
      <c r="E44" s="5">
        <v>26.99</v>
      </c>
      <c r="F44" s="4" t="s">
        <v>767</v>
      </c>
      <c r="G44" s="2" t="s">
        <v>165</v>
      </c>
      <c r="H44" s="7" t="s">
        <v>317</v>
      </c>
      <c r="I44" s="2" t="s">
        <v>380</v>
      </c>
      <c r="J44" s="2" t="s">
        <v>258</v>
      </c>
      <c r="K44" s="2" t="s">
        <v>75</v>
      </c>
      <c r="L44" s="8" t="str">
        <f>HYPERLINK("http://slimages.macys.com/is/image/MCY/10037558 ")</f>
        <v xml:space="preserve">http://slimages.macys.com/is/image/MCY/10037558 </v>
      </c>
    </row>
    <row r="45" spans="1:12" ht="84" x14ac:dyDescent="0.25">
      <c r="A45" s="7" t="s">
        <v>768</v>
      </c>
      <c r="B45" s="2" t="s">
        <v>769</v>
      </c>
      <c r="C45" s="4">
        <v>1</v>
      </c>
      <c r="D45" s="5">
        <v>13.25</v>
      </c>
      <c r="E45" s="5">
        <v>26.99</v>
      </c>
      <c r="F45" s="4" t="s">
        <v>770</v>
      </c>
      <c r="G45" s="2" t="s">
        <v>86</v>
      </c>
      <c r="H45" s="7" t="s">
        <v>311</v>
      </c>
      <c r="I45" s="2" t="s">
        <v>380</v>
      </c>
      <c r="J45" s="2" t="s">
        <v>258</v>
      </c>
      <c r="K45" s="2" t="s">
        <v>75</v>
      </c>
      <c r="L45" s="8" t="str">
        <f>HYPERLINK("http://slimages.macys.com/is/image/MCY/9906016 ")</f>
        <v xml:space="preserve">http://slimages.macys.com/is/image/MCY/9906016 </v>
      </c>
    </row>
    <row r="46" spans="1:12" ht="84" x14ac:dyDescent="0.25">
      <c r="A46" s="7" t="s">
        <v>771</v>
      </c>
      <c r="B46" s="2" t="s">
        <v>772</v>
      </c>
      <c r="C46" s="4">
        <v>1</v>
      </c>
      <c r="D46" s="5">
        <v>13</v>
      </c>
      <c r="E46" s="5">
        <v>26.99</v>
      </c>
      <c r="F46" s="4" t="s">
        <v>773</v>
      </c>
      <c r="G46" s="2" t="s">
        <v>86</v>
      </c>
      <c r="H46" s="7" t="s">
        <v>774</v>
      </c>
      <c r="I46" s="2" t="s">
        <v>173</v>
      </c>
      <c r="J46" s="2" t="s">
        <v>174</v>
      </c>
      <c r="K46" s="2" t="s">
        <v>263</v>
      </c>
      <c r="L46" s="8" t="str">
        <f>HYPERLINK("http://slimages.macys.com/is/image/MCY/10180526 ")</f>
        <v xml:space="preserve">http://slimages.macys.com/is/image/MCY/10180526 </v>
      </c>
    </row>
    <row r="47" spans="1:12" ht="84" x14ac:dyDescent="0.25">
      <c r="A47" s="7" t="s">
        <v>775</v>
      </c>
      <c r="B47" s="2" t="s">
        <v>776</v>
      </c>
      <c r="C47" s="4">
        <v>1</v>
      </c>
      <c r="D47" s="5">
        <v>12.5</v>
      </c>
      <c r="E47" s="5">
        <v>26.99</v>
      </c>
      <c r="F47" s="4" t="s">
        <v>777</v>
      </c>
      <c r="G47" s="2" t="s">
        <v>195</v>
      </c>
      <c r="H47" s="7" t="s">
        <v>233</v>
      </c>
      <c r="I47" s="2" t="s">
        <v>92</v>
      </c>
      <c r="J47" s="2" t="s">
        <v>778</v>
      </c>
      <c r="K47" s="2" t="s">
        <v>119</v>
      </c>
      <c r="L47" s="8" t="str">
        <f>HYPERLINK("http://slimages.macys.com/is/image/MCY/10339265 ")</f>
        <v xml:space="preserve">http://slimages.macys.com/is/image/MCY/10339265 </v>
      </c>
    </row>
    <row r="48" spans="1:12" ht="84" x14ac:dyDescent="0.25">
      <c r="A48" s="7" t="s">
        <v>779</v>
      </c>
      <c r="B48" s="2" t="s">
        <v>198</v>
      </c>
      <c r="C48" s="4">
        <v>1</v>
      </c>
      <c r="D48" s="5">
        <v>12.39</v>
      </c>
      <c r="E48" s="5">
        <v>29.5</v>
      </c>
      <c r="F48" s="4" t="s">
        <v>199</v>
      </c>
      <c r="G48" s="2" t="s">
        <v>200</v>
      </c>
      <c r="H48" s="7" t="s">
        <v>442</v>
      </c>
      <c r="I48" s="2" t="s">
        <v>135</v>
      </c>
      <c r="J48" s="2" t="s">
        <v>201</v>
      </c>
      <c r="K48" s="2" t="s">
        <v>87</v>
      </c>
      <c r="L48" s="8" t="str">
        <f>HYPERLINK("http://slimages.macys.com/is/image/MCY/1477012 ")</f>
        <v xml:space="preserve">http://slimages.macys.com/is/image/MCY/1477012 </v>
      </c>
    </row>
    <row r="49" spans="1:12" ht="84" x14ac:dyDescent="0.25">
      <c r="A49" s="7" t="s">
        <v>197</v>
      </c>
      <c r="B49" s="2" t="s">
        <v>198</v>
      </c>
      <c r="C49" s="4">
        <v>8</v>
      </c>
      <c r="D49" s="5">
        <v>12.39</v>
      </c>
      <c r="E49" s="5">
        <v>29.5</v>
      </c>
      <c r="F49" s="4" t="s">
        <v>199</v>
      </c>
      <c r="G49" s="2" t="s">
        <v>200</v>
      </c>
      <c r="H49" s="7" t="s">
        <v>91</v>
      </c>
      <c r="I49" s="2" t="s">
        <v>135</v>
      </c>
      <c r="J49" s="2" t="s">
        <v>201</v>
      </c>
      <c r="K49" s="2" t="s">
        <v>87</v>
      </c>
      <c r="L49" s="8" t="str">
        <f>HYPERLINK("http://slimages.macys.com/is/image/MCY/1477012 ")</f>
        <v xml:space="preserve">http://slimages.macys.com/is/image/MCY/1477012 </v>
      </c>
    </row>
    <row r="50" spans="1:12" ht="84" x14ac:dyDescent="0.25">
      <c r="A50" s="7" t="s">
        <v>780</v>
      </c>
      <c r="B50" s="2" t="s">
        <v>781</v>
      </c>
      <c r="C50" s="4">
        <v>1</v>
      </c>
      <c r="D50" s="5">
        <v>12.08</v>
      </c>
      <c r="E50" s="5">
        <v>26.99</v>
      </c>
      <c r="F50" s="4" t="s">
        <v>782</v>
      </c>
      <c r="G50" s="2" t="s">
        <v>41</v>
      </c>
      <c r="H50" s="7" t="s">
        <v>266</v>
      </c>
      <c r="I50" s="2" t="s">
        <v>73</v>
      </c>
      <c r="J50" s="2" t="s">
        <v>249</v>
      </c>
      <c r="K50" s="2" t="s">
        <v>712</v>
      </c>
      <c r="L50" s="8" t="str">
        <f>HYPERLINK("http://slimages.macys.com/is/image/MCY/12224324 ")</f>
        <v xml:space="preserve">http://slimages.macys.com/is/image/MCY/12224324 </v>
      </c>
    </row>
    <row r="51" spans="1:12" ht="84" x14ac:dyDescent="0.25">
      <c r="A51" s="7" t="s">
        <v>783</v>
      </c>
      <c r="B51" s="2" t="s">
        <v>784</v>
      </c>
      <c r="C51" s="4">
        <v>1</v>
      </c>
      <c r="D51" s="5">
        <v>12</v>
      </c>
      <c r="E51" s="5">
        <v>52</v>
      </c>
      <c r="F51" s="4">
        <v>325784</v>
      </c>
      <c r="G51" s="2" t="s">
        <v>785</v>
      </c>
      <c r="H51" s="7" t="s">
        <v>786</v>
      </c>
      <c r="I51" s="2" t="s">
        <v>50</v>
      </c>
      <c r="J51" s="2" t="s">
        <v>787</v>
      </c>
      <c r="K51" s="2"/>
      <c r="L51" s="8" t="str">
        <f>HYPERLINK("http://slimages.macys.com/is/image/MCY/10701266 ")</f>
        <v xml:space="preserve">http://slimages.macys.com/is/image/MCY/10701266 </v>
      </c>
    </row>
    <row r="52" spans="1:12" ht="84" x14ac:dyDescent="0.25">
      <c r="A52" s="7" t="s">
        <v>788</v>
      </c>
      <c r="B52" s="2" t="s">
        <v>211</v>
      </c>
      <c r="C52" s="4">
        <v>1</v>
      </c>
      <c r="D52" s="5">
        <v>11.76</v>
      </c>
      <c r="E52" s="5">
        <v>28</v>
      </c>
      <c r="F52" s="4" t="s">
        <v>212</v>
      </c>
      <c r="G52" s="2" t="s">
        <v>62</v>
      </c>
      <c r="H52" s="7" t="s">
        <v>789</v>
      </c>
      <c r="I52" s="2" t="s">
        <v>73</v>
      </c>
      <c r="J52" s="2" t="s">
        <v>74</v>
      </c>
      <c r="K52" s="2" t="s">
        <v>87</v>
      </c>
      <c r="L52" s="8" t="str">
        <f>HYPERLINK("http://slimages.macys.com/is/image/MCY/13941644 ")</f>
        <v xml:space="preserve">http://slimages.macys.com/is/image/MCY/13941644 </v>
      </c>
    </row>
    <row r="53" spans="1:12" ht="84" x14ac:dyDescent="0.25">
      <c r="A53" s="7" t="s">
        <v>790</v>
      </c>
      <c r="B53" s="2" t="s">
        <v>791</v>
      </c>
      <c r="C53" s="4">
        <v>1</v>
      </c>
      <c r="D53" s="5">
        <v>11.5</v>
      </c>
      <c r="E53" s="5">
        <v>25.99</v>
      </c>
      <c r="F53" s="4" t="s">
        <v>792</v>
      </c>
      <c r="G53" s="2" t="s">
        <v>793</v>
      </c>
      <c r="H53" s="7" t="s">
        <v>228</v>
      </c>
      <c r="I53" s="2" t="s">
        <v>73</v>
      </c>
      <c r="J53" s="2" t="s">
        <v>223</v>
      </c>
      <c r="K53" s="2" t="s">
        <v>75</v>
      </c>
      <c r="L53" s="8" t="str">
        <f>HYPERLINK("http://slimages.macys.com/is/image/MCY/14430977 ")</f>
        <v xml:space="preserve">http://slimages.macys.com/is/image/MCY/14430977 </v>
      </c>
    </row>
    <row r="54" spans="1:12" ht="84" x14ac:dyDescent="0.25">
      <c r="A54" s="7" t="s">
        <v>794</v>
      </c>
      <c r="B54" s="2" t="s">
        <v>795</v>
      </c>
      <c r="C54" s="4">
        <v>2</v>
      </c>
      <c r="D54" s="5">
        <v>11.4</v>
      </c>
      <c r="E54" s="5">
        <v>28.5</v>
      </c>
      <c r="F54" s="4" t="s">
        <v>796</v>
      </c>
      <c r="G54" s="2" t="s">
        <v>86</v>
      </c>
      <c r="H54" s="7"/>
      <c r="I54" s="2" t="s">
        <v>98</v>
      </c>
      <c r="J54" s="2" t="s">
        <v>99</v>
      </c>
      <c r="K54" s="2" t="s">
        <v>119</v>
      </c>
      <c r="L54" s="8" t="str">
        <f>HYPERLINK("http://slimages.macys.com/is/image/MCY/14384600 ")</f>
        <v xml:space="preserve">http://slimages.macys.com/is/image/MCY/14384600 </v>
      </c>
    </row>
    <row r="55" spans="1:12" ht="84" x14ac:dyDescent="0.25">
      <c r="A55" s="7" t="s">
        <v>797</v>
      </c>
      <c r="B55" s="2" t="s">
        <v>798</v>
      </c>
      <c r="C55" s="4">
        <v>1</v>
      </c>
      <c r="D55" s="5">
        <v>11.05</v>
      </c>
      <c r="E55" s="5">
        <v>39.99</v>
      </c>
      <c r="F55" s="4" t="s">
        <v>799</v>
      </c>
      <c r="G55" s="2" t="s">
        <v>800</v>
      </c>
      <c r="H55" s="7" t="s">
        <v>618</v>
      </c>
      <c r="I55" s="2" t="s">
        <v>64</v>
      </c>
      <c r="J55" s="2" t="s">
        <v>801</v>
      </c>
      <c r="K55" s="2" t="s">
        <v>38</v>
      </c>
      <c r="L55" s="8" t="str">
        <f>HYPERLINK("http://slimages.macys.com/is/image/MCY/15239131 ")</f>
        <v xml:space="preserve">http://slimages.macys.com/is/image/MCY/15239131 </v>
      </c>
    </row>
    <row r="56" spans="1:12" ht="84" x14ac:dyDescent="0.25">
      <c r="A56" s="7" t="s">
        <v>802</v>
      </c>
      <c r="B56" s="2" t="s">
        <v>803</v>
      </c>
      <c r="C56" s="4">
        <v>1</v>
      </c>
      <c r="D56" s="5">
        <v>11</v>
      </c>
      <c r="E56" s="5">
        <v>22.99</v>
      </c>
      <c r="F56" s="4" t="s">
        <v>804</v>
      </c>
      <c r="G56" s="2" t="s">
        <v>41</v>
      </c>
      <c r="H56" s="7" t="s">
        <v>266</v>
      </c>
      <c r="I56" s="2" t="s">
        <v>73</v>
      </c>
      <c r="J56" s="2" t="s">
        <v>249</v>
      </c>
      <c r="K56" s="2" t="s">
        <v>712</v>
      </c>
      <c r="L56" s="8" t="str">
        <f>HYPERLINK("http://slimages.macys.com/is/image/MCY/12225566 ")</f>
        <v xml:space="preserve">http://slimages.macys.com/is/image/MCY/12225566 </v>
      </c>
    </row>
    <row r="57" spans="1:12" ht="84" x14ac:dyDescent="0.25">
      <c r="A57" s="7" t="s">
        <v>805</v>
      </c>
      <c r="B57" s="2" t="s">
        <v>806</v>
      </c>
      <c r="C57" s="4">
        <v>1</v>
      </c>
      <c r="D57" s="5">
        <v>10.8</v>
      </c>
      <c r="E57" s="5">
        <v>24</v>
      </c>
      <c r="F57" s="4" t="s">
        <v>807</v>
      </c>
      <c r="G57" s="2" t="s">
        <v>62</v>
      </c>
      <c r="H57" s="7" t="s">
        <v>68</v>
      </c>
      <c r="I57" s="2" t="s">
        <v>80</v>
      </c>
      <c r="J57" s="2" t="s">
        <v>647</v>
      </c>
      <c r="K57" s="2" t="s">
        <v>125</v>
      </c>
      <c r="L57" s="8" t="str">
        <f>HYPERLINK("http://slimages.macys.com/is/image/MCY/11709054 ")</f>
        <v xml:space="preserve">http://slimages.macys.com/is/image/MCY/11709054 </v>
      </c>
    </row>
    <row r="58" spans="1:12" ht="84" x14ac:dyDescent="0.25">
      <c r="A58" s="7" t="s">
        <v>808</v>
      </c>
      <c r="B58" s="2" t="s">
        <v>809</v>
      </c>
      <c r="C58" s="4">
        <v>1</v>
      </c>
      <c r="D58" s="5">
        <v>10.5</v>
      </c>
      <c r="E58" s="5">
        <v>25.25</v>
      </c>
      <c r="F58" s="4">
        <v>19318710</v>
      </c>
      <c r="G58" s="2"/>
      <c r="H58" s="7" t="s">
        <v>91</v>
      </c>
      <c r="I58" s="2" t="s">
        <v>153</v>
      </c>
      <c r="J58" s="2" t="s">
        <v>154</v>
      </c>
      <c r="K58" s="2" t="s">
        <v>810</v>
      </c>
      <c r="L58" s="8" t="str">
        <f>HYPERLINK("http://slimages.macys.com/is/image/MCY/14662007 ")</f>
        <v xml:space="preserve">http://slimages.macys.com/is/image/MCY/14662007 </v>
      </c>
    </row>
    <row r="59" spans="1:12" ht="84" x14ac:dyDescent="0.25">
      <c r="A59" s="7" t="s">
        <v>811</v>
      </c>
      <c r="B59" s="2" t="s">
        <v>812</v>
      </c>
      <c r="C59" s="4">
        <v>1</v>
      </c>
      <c r="D59" s="5">
        <v>10.5</v>
      </c>
      <c r="E59" s="5">
        <v>30</v>
      </c>
      <c r="F59" s="4" t="s">
        <v>813</v>
      </c>
      <c r="G59" s="2" t="s">
        <v>814</v>
      </c>
      <c r="H59" s="7"/>
      <c r="I59" s="2" t="s">
        <v>815</v>
      </c>
      <c r="J59" s="2" t="s">
        <v>778</v>
      </c>
      <c r="K59" s="2" t="s">
        <v>816</v>
      </c>
      <c r="L59" s="8" t="str">
        <f>HYPERLINK("http://slimages.macys.com/is/image/MCY/11234392 ")</f>
        <v xml:space="preserve">http://slimages.macys.com/is/image/MCY/11234392 </v>
      </c>
    </row>
    <row r="60" spans="1:12" ht="84" x14ac:dyDescent="0.25">
      <c r="A60" s="7" t="s">
        <v>817</v>
      </c>
      <c r="B60" s="2" t="s">
        <v>818</v>
      </c>
      <c r="C60" s="4">
        <v>1</v>
      </c>
      <c r="D60" s="5">
        <v>10.5</v>
      </c>
      <c r="E60" s="5">
        <v>25.25</v>
      </c>
      <c r="F60" s="4">
        <v>19320110</v>
      </c>
      <c r="G60" s="2"/>
      <c r="H60" s="7" t="s">
        <v>482</v>
      </c>
      <c r="I60" s="2" t="s">
        <v>153</v>
      </c>
      <c r="J60" s="2" t="s">
        <v>154</v>
      </c>
      <c r="K60" s="2" t="s">
        <v>75</v>
      </c>
      <c r="L60" s="8" t="str">
        <f>HYPERLINK("http://slimages.macys.com/is/image/MCY/14608295 ")</f>
        <v xml:space="preserve">http://slimages.macys.com/is/image/MCY/14608295 </v>
      </c>
    </row>
    <row r="61" spans="1:12" ht="84" x14ac:dyDescent="0.25">
      <c r="A61" s="7" t="s">
        <v>819</v>
      </c>
      <c r="B61" s="2" t="s">
        <v>255</v>
      </c>
      <c r="C61" s="4">
        <v>2</v>
      </c>
      <c r="D61" s="5">
        <v>10.5</v>
      </c>
      <c r="E61" s="5">
        <v>24.99</v>
      </c>
      <c r="F61" s="4" t="s">
        <v>256</v>
      </c>
      <c r="G61" s="2" t="s">
        <v>262</v>
      </c>
      <c r="H61" s="7" t="s">
        <v>172</v>
      </c>
      <c r="I61" s="2" t="s">
        <v>257</v>
      </c>
      <c r="J61" s="2" t="s">
        <v>258</v>
      </c>
      <c r="K61" s="2" t="s">
        <v>206</v>
      </c>
      <c r="L61" s="8" t="str">
        <f>HYPERLINK("http://slimages.macys.com/is/image/MCY/11722982 ")</f>
        <v xml:space="preserve">http://slimages.macys.com/is/image/MCY/11722982 </v>
      </c>
    </row>
    <row r="62" spans="1:12" ht="84" x14ac:dyDescent="0.25">
      <c r="A62" s="7" t="s">
        <v>820</v>
      </c>
      <c r="B62" s="2" t="s">
        <v>255</v>
      </c>
      <c r="C62" s="4">
        <v>2</v>
      </c>
      <c r="D62" s="5">
        <v>10.5</v>
      </c>
      <c r="E62" s="5">
        <v>24.99</v>
      </c>
      <c r="F62" s="4" t="s">
        <v>256</v>
      </c>
      <c r="G62" s="2" t="s">
        <v>262</v>
      </c>
      <c r="H62" s="7" t="s">
        <v>97</v>
      </c>
      <c r="I62" s="2" t="s">
        <v>257</v>
      </c>
      <c r="J62" s="2" t="s">
        <v>258</v>
      </c>
      <c r="K62" s="2" t="s">
        <v>206</v>
      </c>
      <c r="L62" s="8" t="str">
        <f>HYPERLINK("http://slimages.macys.com/is/image/MCY/11722982 ")</f>
        <v xml:space="preserve">http://slimages.macys.com/is/image/MCY/11722982 </v>
      </c>
    </row>
    <row r="63" spans="1:12" ht="84" x14ac:dyDescent="0.25">
      <c r="A63" s="7" t="s">
        <v>821</v>
      </c>
      <c r="B63" s="2" t="s">
        <v>255</v>
      </c>
      <c r="C63" s="4">
        <v>1</v>
      </c>
      <c r="D63" s="5">
        <v>10.5</v>
      </c>
      <c r="E63" s="5">
        <v>24.99</v>
      </c>
      <c r="F63" s="4" t="s">
        <v>256</v>
      </c>
      <c r="G63" s="2" t="s">
        <v>262</v>
      </c>
      <c r="H63" s="7" t="s">
        <v>177</v>
      </c>
      <c r="I63" s="2" t="s">
        <v>257</v>
      </c>
      <c r="J63" s="2" t="s">
        <v>258</v>
      </c>
      <c r="K63" s="2" t="s">
        <v>206</v>
      </c>
      <c r="L63" s="8" t="str">
        <f>HYPERLINK("http://slimages.macys.com/is/image/MCY/11722982 ")</f>
        <v xml:space="preserve">http://slimages.macys.com/is/image/MCY/11722982 </v>
      </c>
    </row>
    <row r="64" spans="1:12" ht="84" x14ac:dyDescent="0.25">
      <c r="A64" s="7" t="s">
        <v>822</v>
      </c>
      <c r="B64" s="2" t="s">
        <v>255</v>
      </c>
      <c r="C64" s="4">
        <v>2</v>
      </c>
      <c r="D64" s="5">
        <v>10.5</v>
      </c>
      <c r="E64" s="5">
        <v>24.99</v>
      </c>
      <c r="F64" s="4" t="s">
        <v>256</v>
      </c>
      <c r="G64" s="2" t="s">
        <v>86</v>
      </c>
      <c r="H64" s="7" t="s">
        <v>97</v>
      </c>
      <c r="I64" s="2" t="s">
        <v>257</v>
      </c>
      <c r="J64" s="2" t="s">
        <v>258</v>
      </c>
      <c r="K64" s="2" t="s">
        <v>206</v>
      </c>
      <c r="L64" s="8" t="str">
        <f>HYPERLINK("http://slimages.macys.com/is/image/MCY/11722980 ")</f>
        <v xml:space="preserve">http://slimages.macys.com/is/image/MCY/11722980 </v>
      </c>
    </row>
    <row r="65" spans="1:12" ht="84" x14ac:dyDescent="0.25">
      <c r="A65" s="7" t="s">
        <v>823</v>
      </c>
      <c r="B65" s="2" t="s">
        <v>255</v>
      </c>
      <c r="C65" s="4">
        <v>1</v>
      </c>
      <c r="D65" s="5">
        <v>10.5</v>
      </c>
      <c r="E65" s="5">
        <v>24.99</v>
      </c>
      <c r="F65" s="4" t="s">
        <v>256</v>
      </c>
      <c r="G65" s="2" t="s">
        <v>262</v>
      </c>
      <c r="H65" s="7" t="s">
        <v>56</v>
      </c>
      <c r="I65" s="2" t="s">
        <v>257</v>
      </c>
      <c r="J65" s="2" t="s">
        <v>258</v>
      </c>
      <c r="K65" s="2" t="s">
        <v>206</v>
      </c>
      <c r="L65" s="8" t="str">
        <f>HYPERLINK("http://slimages.macys.com/is/image/MCY/11722982 ")</f>
        <v xml:space="preserve">http://slimages.macys.com/is/image/MCY/11722982 </v>
      </c>
    </row>
    <row r="66" spans="1:12" ht="84" x14ac:dyDescent="0.25">
      <c r="A66" s="7" t="s">
        <v>824</v>
      </c>
      <c r="B66" s="2" t="s">
        <v>825</v>
      </c>
      <c r="C66" s="4">
        <v>1</v>
      </c>
      <c r="D66" s="5">
        <v>10.18</v>
      </c>
      <c r="E66" s="5">
        <v>23.99</v>
      </c>
      <c r="F66" s="4" t="s">
        <v>826</v>
      </c>
      <c r="G66" s="2" t="s">
        <v>62</v>
      </c>
      <c r="H66" s="7" t="s">
        <v>159</v>
      </c>
      <c r="I66" s="2" t="s">
        <v>515</v>
      </c>
      <c r="J66" s="2" t="s">
        <v>827</v>
      </c>
      <c r="K66" s="2" t="s">
        <v>358</v>
      </c>
      <c r="L66" s="8" t="str">
        <f>HYPERLINK("http://slimages.macys.com/is/image/MCY/13121087 ")</f>
        <v xml:space="preserve">http://slimages.macys.com/is/image/MCY/13121087 </v>
      </c>
    </row>
    <row r="67" spans="1:12" ht="84" x14ac:dyDescent="0.25">
      <c r="A67" s="7" t="s">
        <v>828</v>
      </c>
      <c r="B67" s="2" t="s">
        <v>276</v>
      </c>
      <c r="C67" s="4">
        <v>1</v>
      </c>
      <c r="D67" s="5">
        <v>10.01</v>
      </c>
      <c r="E67" s="5">
        <v>22.99</v>
      </c>
      <c r="F67" s="4" t="s">
        <v>277</v>
      </c>
      <c r="G67" s="2" t="s">
        <v>103</v>
      </c>
      <c r="H67" s="7" t="s">
        <v>159</v>
      </c>
      <c r="I67" s="2" t="s">
        <v>80</v>
      </c>
      <c r="J67" s="2" t="s">
        <v>160</v>
      </c>
      <c r="K67" s="2" t="s">
        <v>87</v>
      </c>
      <c r="L67" s="8" t="str">
        <f>HYPERLINK("http://slimages.macys.com/is/image/MCY/13758282 ")</f>
        <v xml:space="preserve">http://slimages.macys.com/is/image/MCY/13758282 </v>
      </c>
    </row>
    <row r="68" spans="1:12" ht="84" x14ac:dyDescent="0.25">
      <c r="A68" s="7" t="s">
        <v>287</v>
      </c>
      <c r="B68" s="2" t="s">
        <v>279</v>
      </c>
      <c r="C68" s="4">
        <v>1</v>
      </c>
      <c r="D68" s="5">
        <v>10</v>
      </c>
      <c r="E68" s="5">
        <v>25</v>
      </c>
      <c r="F68" s="4">
        <v>1341126</v>
      </c>
      <c r="G68" s="2" t="s">
        <v>62</v>
      </c>
      <c r="H68" s="7" t="s">
        <v>196</v>
      </c>
      <c r="I68" s="2" t="s">
        <v>73</v>
      </c>
      <c r="J68" s="2" t="s">
        <v>280</v>
      </c>
      <c r="K68" s="2" t="s">
        <v>125</v>
      </c>
      <c r="L68" s="8" t="str">
        <f>HYPERLINK("http://slimages.macys.com/is/image/MCY/15867619 ")</f>
        <v xml:space="preserve">http://slimages.macys.com/is/image/MCY/15867619 </v>
      </c>
    </row>
    <row r="69" spans="1:12" ht="84" x14ac:dyDescent="0.25">
      <c r="A69" s="7" t="s">
        <v>829</v>
      </c>
      <c r="B69" s="2" t="s">
        <v>830</v>
      </c>
      <c r="C69" s="4">
        <v>1</v>
      </c>
      <c r="D69" s="5">
        <v>9.9</v>
      </c>
      <c r="E69" s="5">
        <v>22.52</v>
      </c>
      <c r="F69" s="4">
        <v>18505910</v>
      </c>
      <c r="G69" s="2" t="s">
        <v>36</v>
      </c>
      <c r="H69" s="7" t="s">
        <v>233</v>
      </c>
      <c r="I69" s="2" t="s">
        <v>153</v>
      </c>
      <c r="J69" s="2" t="s">
        <v>154</v>
      </c>
      <c r="K69" s="2" t="s">
        <v>831</v>
      </c>
      <c r="L69" s="8" t="str">
        <f>HYPERLINK("http://slimages.macys.com/is/image/MCY/13382390 ")</f>
        <v xml:space="preserve">http://slimages.macys.com/is/image/MCY/13382390 </v>
      </c>
    </row>
    <row r="70" spans="1:12" ht="84" x14ac:dyDescent="0.25">
      <c r="A70" s="7" t="s">
        <v>832</v>
      </c>
      <c r="B70" s="2" t="s">
        <v>833</v>
      </c>
      <c r="C70" s="4">
        <v>1</v>
      </c>
      <c r="D70" s="5">
        <v>9.69</v>
      </c>
      <c r="E70" s="5">
        <v>21.99</v>
      </c>
      <c r="F70" s="4" t="s">
        <v>834</v>
      </c>
      <c r="G70" s="2" t="s">
        <v>129</v>
      </c>
      <c r="H70" s="7" t="s">
        <v>317</v>
      </c>
      <c r="I70" s="2" t="s">
        <v>218</v>
      </c>
      <c r="J70" s="2" t="s">
        <v>835</v>
      </c>
      <c r="K70" s="2" t="s">
        <v>623</v>
      </c>
      <c r="L70" s="8" t="str">
        <f>HYPERLINK("http://slimages.macys.com/is/image/MCY/10743658 ")</f>
        <v xml:space="preserve">http://slimages.macys.com/is/image/MCY/10743658 </v>
      </c>
    </row>
    <row r="71" spans="1:12" ht="84" x14ac:dyDescent="0.25">
      <c r="A71" s="7" t="s">
        <v>836</v>
      </c>
      <c r="B71" s="2" t="s">
        <v>837</v>
      </c>
      <c r="C71" s="4">
        <v>1</v>
      </c>
      <c r="D71" s="5">
        <v>9.25</v>
      </c>
      <c r="E71" s="5">
        <v>18.5</v>
      </c>
      <c r="F71" s="4" t="s">
        <v>838</v>
      </c>
      <c r="G71" s="2" t="s">
        <v>28</v>
      </c>
      <c r="H71" s="7" t="s">
        <v>209</v>
      </c>
      <c r="I71" s="2" t="s">
        <v>487</v>
      </c>
      <c r="J71" s="2" t="s">
        <v>488</v>
      </c>
      <c r="K71" s="2" t="s">
        <v>839</v>
      </c>
      <c r="L71" s="8" t="str">
        <f>HYPERLINK("http://slimages.macys.com/is/image/MCY/10321133 ")</f>
        <v xml:space="preserve">http://slimages.macys.com/is/image/MCY/10321133 </v>
      </c>
    </row>
    <row r="72" spans="1:12" ht="84" x14ac:dyDescent="0.25">
      <c r="A72" s="7" t="s">
        <v>840</v>
      </c>
      <c r="B72" s="2" t="s">
        <v>333</v>
      </c>
      <c r="C72" s="4">
        <v>1</v>
      </c>
      <c r="D72" s="5">
        <v>9.1</v>
      </c>
      <c r="E72" s="5">
        <v>19.989999999999998</v>
      </c>
      <c r="F72" s="4" t="s">
        <v>841</v>
      </c>
      <c r="G72" s="2" t="s">
        <v>62</v>
      </c>
      <c r="H72" s="7" t="s">
        <v>266</v>
      </c>
      <c r="I72" s="2" t="s">
        <v>73</v>
      </c>
      <c r="J72" s="2" t="s">
        <v>249</v>
      </c>
      <c r="K72" s="2" t="s">
        <v>335</v>
      </c>
      <c r="L72" s="8" t="str">
        <f>HYPERLINK("http://slimages.macys.com/is/image/MCY/14365354 ")</f>
        <v xml:space="preserve">http://slimages.macys.com/is/image/MCY/14365354 </v>
      </c>
    </row>
    <row r="73" spans="1:12" ht="84" x14ac:dyDescent="0.25">
      <c r="A73" s="7" t="s">
        <v>842</v>
      </c>
      <c r="B73" s="2" t="s">
        <v>843</v>
      </c>
      <c r="C73" s="4">
        <v>1</v>
      </c>
      <c r="D73" s="5">
        <v>9.09</v>
      </c>
      <c r="E73" s="5">
        <v>24.99</v>
      </c>
      <c r="F73" s="4" t="s">
        <v>844</v>
      </c>
      <c r="G73" s="2" t="s">
        <v>48</v>
      </c>
      <c r="H73" s="7" t="s">
        <v>63</v>
      </c>
      <c r="I73" s="2" t="s">
        <v>515</v>
      </c>
      <c r="J73" s="2" t="s">
        <v>516</v>
      </c>
      <c r="K73" s="2" t="s">
        <v>358</v>
      </c>
      <c r="L73" s="8" t="str">
        <f>HYPERLINK("http://slimages.macys.com/is/image/MCY/12387525 ")</f>
        <v xml:space="preserve">http://slimages.macys.com/is/image/MCY/12387525 </v>
      </c>
    </row>
    <row r="74" spans="1:12" ht="84" x14ac:dyDescent="0.25">
      <c r="A74" s="7" t="s">
        <v>845</v>
      </c>
      <c r="B74" s="2" t="s">
        <v>846</v>
      </c>
      <c r="C74" s="4">
        <v>2</v>
      </c>
      <c r="D74" s="5">
        <v>8.98</v>
      </c>
      <c r="E74" s="5">
        <v>17.989999999999998</v>
      </c>
      <c r="F74" s="4" t="s">
        <v>847</v>
      </c>
      <c r="G74" s="2" t="s">
        <v>28</v>
      </c>
      <c r="H74" s="7" t="s">
        <v>317</v>
      </c>
      <c r="I74" s="2" t="s">
        <v>292</v>
      </c>
      <c r="J74" s="2" t="s">
        <v>354</v>
      </c>
      <c r="K74" s="2" t="s">
        <v>38</v>
      </c>
      <c r="L74" s="8" t="str">
        <f>HYPERLINK("http://slimages.macys.com/is/image/MCY/11526465 ")</f>
        <v xml:space="preserve">http://slimages.macys.com/is/image/MCY/11526465 </v>
      </c>
    </row>
    <row r="75" spans="1:12" ht="84" x14ac:dyDescent="0.25">
      <c r="A75" s="7" t="s">
        <v>848</v>
      </c>
      <c r="B75" s="2" t="s">
        <v>849</v>
      </c>
      <c r="C75" s="4">
        <v>1</v>
      </c>
      <c r="D75" s="5">
        <v>8.9600000000000009</v>
      </c>
      <c r="E75" s="5">
        <v>32</v>
      </c>
      <c r="F75" s="4">
        <v>343614</v>
      </c>
      <c r="G75" s="2" t="s">
        <v>62</v>
      </c>
      <c r="H75" s="7" t="s">
        <v>850</v>
      </c>
      <c r="I75" s="2" t="s">
        <v>50</v>
      </c>
      <c r="J75" s="2" t="s">
        <v>787</v>
      </c>
      <c r="K75" s="2" t="s">
        <v>851</v>
      </c>
      <c r="L75" s="8" t="str">
        <f>HYPERLINK("http://slimages.macys.com/is/image/MCY/11993612 ")</f>
        <v xml:space="preserve">http://slimages.macys.com/is/image/MCY/11993612 </v>
      </c>
    </row>
    <row r="76" spans="1:12" ht="84" x14ac:dyDescent="0.25">
      <c r="A76" s="7" t="s">
        <v>852</v>
      </c>
      <c r="B76" s="2" t="s">
        <v>853</v>
      </c>
      <c r="C76" s="4">
        <v>2</v>
      </c>
      <c r="D76" s="5">
        <v>8.75</v>
      </c>
      <c r="E76" s="5">
        <v>19.989999999999998</v>
      </c>
      <c r="F76" s="4" t="s">
        <v>854</v>
      </c>
      <c r="G76" s="2" t="s">
        <v>165</v>
      </c>
      <c r="H76" s="7"/>
      <c r="I76" s="2" t="s">
        <v>815</v>
      </c>
      <c r="J76" s="2" t="s">
        <v>778</v>
      </c>
      <c r="K76" s="2" t="s">
        <v>125</v>
      </c>
      <c r="L76" s="8" t="str">
        <f>HYPERLINK("http://slimages.macys.com/is/image/MCY/11724609 ")</f>
        <v xml:space="preserve">http://slimages.macys.com/is/image/MCY/11724609 </v>
      </c>
    </row>
    <row r="77" spans="1:12" ht="84" x14ac:dyDescent="0.25">
      <c r="A77" s="7" t="s">
        <v>855</v>
      </c>
      <c r="B77" s="2" t="s">
        <v>856</v>
      </c>
      <c r="C77" s="4">
        <v>1</v>
      </c>
      <c r="D77" s="5">
        <v>8.75</v>
      </c>
      <c r="E77" s="5">
        <v>19.989999999999998</v>
      </c>
      <c r="F77" s="4" t="s">
        <v>857</v>
      </c>
      <c r="G77" s="2" t="s">
        <v>858</v>
      </c>
      <c r="H77" s="7"/>
      <c r="I77" s="2" t="s">
        <v>815</v>
      </c>
      <c r="J77" s="2" t="s">
        <v>778</v>
      </c>
      <c r="K77" s="2" t="s">
        <v>816</v>
      </c>
      <c r="L77" s="8" t="str">
        <f>HYPERLINK("http://slimages.macys.com/is/image/MCY/11234478 ")</f>
        <v xml:space="preserve">http://slimages.macys.com/is/image/MCY/11234478 </v>
      </c>
    </row>
    <row r="78" spans="1:12" ht="84" x14ac:dyDescent="0.25">
      <c r="A78" s="7" t="s">
        <v>859</v>
      </c>
      <c r="B78" s="2" t="s">
        <v>860</v>
      </c>
      <c r="C78" s="4">
        <v>1</v>
      </c>
      <c r="D78" s="5">
        <v>8.75</v>
      </c>
      <c r="E78" s="5">
        <v>15.99</v>
      </c>
      <c r="F78" s="4" t="s">
        <v>861</v>
      </c>
      <c r="G78" s="2" t="s">
        <v>28</v>
      </c>
      <c r="H78" s="7"/>
      <c r="I78" s="2" t="s">
        <v>815</v>
      </c>
      <c r="J78" s="2" t="s">
        <v>778</v>
      </c>
      <c r="K78" s="2" t="s">
        <v>816</v>
      </c>
      <c r="L78" s="8" t="str">
        <f>HYPERLINK("http://slimages.macys.com/is/image/MCY/11234452 ")</f>
        <v xml:space="preserve">http://slimages.macys.com/is/image/MCY/11234452 </v>
      </c>
    </row>
    <row r="79" spans="1:12" ht="84" x14ac:dyDescent="0.25">
      <c r="A79" s="7" t="s">
        <v>862</v>
      </c>
      <c r="B79" s="2" t="s">
        <v>863</v>
      </c>
      <c r="C79" s="4">
        <v>8</v>
      </c>
      <c r="D79" s="5">
        <v>8.75</v>
      </c>
      <c r="E79" s="5">
        <v>19.989999999999998</v>
      </c>
      <c r="F79" s="4" t="s">
        <v>864</v>
      </c>
      <c r="G79" s="2" t="s">
        <v>858</v>
      </c>
      <c r="H79" s="7"/>
      <c r="I79" s="2" t="s">
        <v>815</v>
      </c>
      <c r="J79" s="2" t="s">
        <v>778</v>
      </c>
      <c r="K79" s="2" t="s">
        <v>125</v>
      </c>
      <c r="L79" s="8" t="str">
        <f>HYPERLINK("http://slimages.macys.com/is/image/MCY/11954929 ")</f>
        <v xml:space="preserve">http://slimages.macys.com/is/image/MCY/11954929 </v>
      </c>
    </row>
    <row r="80" spans="1:12" ht="84" x14ac:dyDescent="0.25">
      <c r="A80" s="7" t="s">
        <v>865</v>
      </c>
      <c r="B80" s="2" t="s">
        <v>860</v>
      </c>
      <c r="C80" s="4">
        <v>6</v>
      </c>
      <c r="D80" s="5">
        <v>8.75</v>
      </c>
      <c r="E80" s="5">
        <v>19.989999999999998</v>
      </c>
      <c r="F80" s="4" t="s">
        <v>864</v>
      </c>
      <c r="G80" s="2" t="s">
        <v>165</v>
      </c>
      <c r="H80" s="7"/>
      <c r="I80" s="2" t="s">
        <v>815</v>
      </c>
      <c r="J80" s="2" t="s">
        <v>778</v>
      </c>
      <c r="K80" s="2" t="s">
        <v>125</v>
      </c>
      <c r="L80" s="8" t="str">
        <f>HYPERLINK("http://slimages.macys.com/is/image/MCY/11954929 ")</f>
        <v xml:space="preserve">http://slimages.macys.com/is/image/MCY/11954929 </v>
      </c>
    </row>
    <row r="81" spans="1:12" ht="84" x14ac:dyDescent="0.25">
      <c r="A81" s="7" t="s">
        <v>866</v>
      </c>
      <c r="B81" s="2" t="s">
        <v>867</v>
      </c>
      <c r="C81" s="4">
        <v>13</v>
      </c>
      <c r="D81" s="5">
        <v>8.75</v>
      </c>
      <c r="E81" s="5">
        <v>19.989999999999998</v>
      </c>
      <c r="F81" s="4" t="s">
        <v>868</v>
      </c>
      <c r="G81" s="2" t="s">
        <v>858</v>
      </c>
      <c r="H81" s="7"/>
      <c r="I81" s="2" t="s">
        <v>815</v>
      </c>
      <c r="J81" s="2" t="s">
        <v>778</v>
      </c>
      <c r="K81" s="2" t="s">
        <v>125</v>
      </c>
      <c r="L81" s="8" t="str">
        <f>HYPERLINK("http://slimages.macys.com/is/image/MCY/9953202 ")</f>
        <v xml:space="preserve">http://slimages.macys.com/is/image/MCY/9953202 </v>
      </c>
    </row>
    <row r="82" spans="1:12" ht="84" x14ac:dyDescent="0.25">
      <c r="A82" s="7" t="s">
        <v>869</v>
      </c>
      <c r="B82" s="2" t="s">
        <v>867</v>
      </c>
      <c r="C82" s="4">
        <v>8</v>
      </c>
      <c r="D82" s="5">
        <v>8.75</v>
      </c>
      <c r="E82" s="5">
        <v>19.989999999999998</v>
      </c>
      <c r="F82" s="4" t="s">
        <v>868</v>
      </c>
      <c r="G82" s="2" t="s">
        <v>165</v>
      </c>
      <c r="H82" s="7"/>
      <c r="I82" s="2" t="s">
        <v>815</v>
      </c>
      <c r="J82" s="2" t="s">
        <v>778</v>
      </c>
      <c r="K82" s="2" t="s">
        <v>125</v>
      </c>
      <c r="L82" s="8" t="str">
        <f>HYPERLINK("http://slimages.macys.com/is/image/MCY/9953202 ")</f>
        <v xml:space="preserve">http://slimages.macys.com/is/image/MCY/9953202 </v>
      </c>
    </row>
    <row r="83" spans="1:12" ht="84" x14ac:dyDescent="0.25">
      <c r="A83" s="7" t="s">
        <v>870</v>
      </c>
      <c r="B83" s="2" t="s">
        <v>853</v>
      </c>
      <c r="C83" s="4">
        <v>7</v>
      </c>
      <c r="D83" s="5">
        <v>8.75</v>
      </c>
      <c r="E83" s="5">
        <v>19.989999999999998</v>
      </c>
      <c r="F83" s="4" t="s">
        <v>854</v>
      </c>
      <c r="G83" s="2" t="s">
        <v>858</v>
      </c>
      <c r="H83" s="7"/>
      <c r="I83" s="2" t="s">
        <v>815</v>
      </c>
      <c r="J83" s="2" t="s">
        <v>778</v>
      </c>
      <c r="K83" s="2" t="s">
        <v>125</v>
      </c>
      <c r="L83" s="8" t="str">
        <f>HYPERLINK("http://slimages.macys.com/is/image/MCY/11724609 ")</f>
        <v xml:space="preserve">http://slimages.macys.com/is/image/MCY/11724609 </v>
      </c>
    </row>
    <row r="84" spans="1:12" ht="84" x14ac:dyDescent="0.25">
      <c r="A84" s="7" t="s">
        <v>871</v>
      </c>
      <c r="B84" s="2" t="s">
        <v>872</v>
      </c>
      <c r="C84" s="4">
        <v>1</v>
      </c>
      <c r="D84" s="5">
        <v>8.43</v>
      </c>
      <c r="E84" s="5">
        <v>21.99</v>
      </c>
      <c r="F84" s="4" t="s">
        <v>873</v>
      </c>
      <c r="G84" s="2" t="s">
        <v>874</v>
      </c>
      <c r="H84" s="7" t="s">
        <v>63</v>
      </c>
      <c r="I84" s="2" t="s">
        <v>515</v>
      </c>
      <c r="J84" s="2" t="s">
        <v>875</v>
      </c>
      <c r="K84" s="2" t="s">
        <v>876</v>
      </c>
      <c r="L84" s="8" t="str">
        <f>HYPERLINK("http://slimages.macys.com/is/image/MCY/12387495 ")</f>
        <v xml:space="preserve">http://slimages.macys.com/is/image/MCY/12387495 </v>
      </c>
    </row>
    <row r="85" spans="1:12" ht="84" x14ac:dyDescent="0.25">
      <c r="A85" s="7" t="s">
        <v>877</v>
      </c>
      <c r="B85" s="2" t="s">
        <v>878</v>
      </c>
      <c r="C85" s="4">
        <v>1</v>
      </c>
      <c r="D85" s="5">
        <v>8.33</v>
      </c>
      <c r="E85" s="5">
        <v>22.5</v>
      </c>
      <c r="F85" s="4" t="s">
        <v>879</v>
      </c>
      <c r="G85" s="2" t="s">
        <v>41</v>
      </c>
      <c r="H85" s="7" t="s">
        <v>63</v>
      </c>
      <c r="I85" s="2" t="s">
        <v>880</v>
      </c>
      <c r="J85" s="2" t="s">
        <v>881</v>
      </c>
      <c r="K85" s="2" t="s">
        <v>206</v>
      </c>
      <c r="L85" s="8" t="str">
        <f>HYPERLINK("http://slimages.macys.com/is/image/MCY/12239555 ")</f>
        <v xml:space="preserve">http://slimages.macys.com/is/image/MCY/12239555 </v>
      </c>
    </row>
    <row r="86" spans="1:12" ht="84" x14ac:dyDescent="0.25">
      <c r="A86" s="7" t="s">
        <v>882</v>
      </c>
      <c r="B86" s="2" t="s">
        <v>883</v>
      </c>
      <c r="C86" s="4">
        <v>1</v>
      </c>
      <c r="D86" s="5">
        <v>8.3000000000000007</v>
      </c>
      <c r="E86" s="5">
        <v>19.989999999999998</v>
      </c>
      <c r="F86" s="4">
        <v>10005486000</v>
      </c>
      <c r="G86" s="2" t="s">
        <v>171</v>
      </c>
      <c r="H86" s="7"/>
      <c r="I86" s="2" t="s">
        <v>483</v>
      </c>
      <c r="J86" s="2" t="s">
        <v>536</v>
      </c>
      <c r="K86" s="2" t="s">
        <v>87</v>
      </c>
      <c r="L86" s="8" t="str">
        <f>HYPERLINK("http://slimages.macys.com/is/image/MCY/12466147 ")</f>
        <v xml:space="preserve">http://slimages.macys.com/is/image/MCY/12466147 </v>
      </c>
    </row>
    <row r="87" spans="1:12" ht="84" x14ac:dyDescent="0.25">
      <c r="A87" s="7" t="s">
        <v>884</v>
      </c>
      <c r="B87" s="2" t="s">
        <v>885</v>
      </c>
      <c r="C87" s="4">
        <v>1</v>
      </c>
      <c r="D87" s="5">
        <v>8.1</v>
      </c>
      <c r="E87" s="5">
        <v>16.2</v>
      </c>
      <c r="F87" s="4">
        <v>27879410</v>
      </c>
      <c r="G87" s="2"/>
      <c r="H87" s="7" t="s">
        <v>144</v>
      </c>
      <c r="I87" s="2" t="s">
        <v>487</v>
      </c>
      <c r="J87" s="2" t="s">
        <v>488</v>
      </c>
      <c r="K87" s="2" t="s">
        <v>38</v>
      </c>
      <c r="L87" s="8" t="str">
        <f>HYPERLINK("http://slimages.macys.com/is/image/MCY/13791568 ")</f>
        <v xml:space="preserve">http://slimages.macys.com/is/image/MCY/13791568 </v>
      </c>
    </row>
    <row r="88" spans="1:12" ht="84" x14ac:dyDescent="0.25">
      <c r="A88" s="7" t="s">
        <v>886</v>
      </c>
      <c r="B88" s="2" t="s">
        <v>887</v>
      </c>
      <c r="C88" s="4">
        <v>1</v>
      </c>
      <c r="D88" s="5">
        <v>8.01</v>
      </c>
      <c r="E88" s="5">
        <v>17.989999999999998</v>
      </c>
      <c r="F88" s="4" t="s">
        <v>888</v>
      </c>
      <c r="G88" s="2" t="s">
        <v>103</v>
      </c>
      <c r="H88" s="7" t="s">
        <v>217</v>
      </c>
      <c r="I88" s="2" t="s">
        <v>80</v>
      </c>
      <c r="J88" s="2" t="s">
        <v>160</v>
      </c>
      <c r="K88" s="2" t="s">
        <v>206</v>
      </c>
      <c r="L88" s="8" t="str">
        <f>HYPERLINK("http://slimages.macys.com/is/image/MCY/13758779 ")</f>
        <v xml:space="preserve">http://slimages.macys.com/is/image/MCY/13758779 </v>
      </c>
    </row>
    <row r="89" spans="1:12" ht="84" x14ac:dyDescent="0.25">
      <c r="A89" s="7" t="s">
        <v>889</v>
      </c>
      <c r="B89" s="2" t="s">
        <v>890</v>
      </c>
      <c r="C89" s="4">
        <v>1</v>
      </c>
      <c r="D89" s="5">
        <v>8</v>
      </c>
      <c r="E89" s="5">
        <v>14.99</v>
      </c>
      <c r="F89" s="4" t="s">
        <v>891</v>
      </c>
      <c r="G89" s="2" t="s">
        <v>892</v>
      </c>
      <c r="H89" s="7"/>
      <c r="I89" s="2" t="s">
        <v>30</v>
      </c>
      <c r="J89" s="2" t="s">
        <v>31</v>
      </c>
      <c r="K89" s="2" t="s">
        <v>416</v>
      </c>
      <c r="L89" s="8" t="str">
        <f>HYPERLINK("http://slimages.macys.com/is/image/MCY/11937971 ")</f>
        <v xml:space="preserve">http://slimages.macys.com/is/image/MCY/11937971 </v>
      </c>
    </row>
    <row r="90" spans="1:12" ht="84" x14ac:dyDescent="0.25">
      <c r="A90" s="7" t="s">
        <v>893</v>
      </c>
      <c r="B90" s="2" t="s">
        <v>894</v>
      </c>
      <c r="C90" s="4">
        <v>1</v>
      </c>
      <c r="D90" s="5">
        <v>8</v>
      </c>
      <c r="E90" s="5">
        <v>20</v>
      </c>
      <c r="F90" s="4" t="s">
        <v>895</v>
      </c>
      <c r="G90" s="2" t="s">
        <v>310</v>
      </c>
      <c r="H90" s="7" t="s">
        <v>166</v>
      </c>
      <c r="I90" s="2" t="s">
        <v>380</v>
      </c>
      <c r="J90" s="2" t="s">
        <v>896</v>
      </c>
      <c r="K90" s="2" t="s">
        <v>897</v>
      </c>
      <c r="L90" s="8" t="str">
        <f>HYPERLINK("http://slimages.macys.com/is/image/MCY/11860816 ")</f>
        <v xml:space="preserve">http://slimages.macys.com/is/image/MCY/11860816 </v>
      </c>
    </row>
    <row r="91" spans="1:12" ht="84" x14ac:dyDescent="0.25">
      <c r="A91" s="7" t="s">
        <v>898</v>
      </c>
      <c r="B91" s="2" t="s">
        <v>899</v>
      </c>
      <c r="C91" s="4">
        <v>5</v>
      </c>
      <c r="D91" s="5">
        <v>7.75</v>
      </c>
      <c r="E91" s="5">
        <v>20</v>
      </c>
      <c r="F91" s="4" t="s">
        <v>900</v>
      </c>
      <c r="G91" s="2" t="s">
        <v>129</v>
      </c>
      <c r="H91" s="7" t="s">
        <v>850</v>
      </c>
      <c r="I91" s="2" t="s">
        <v>50</v>
      </c>
      <c r="J91" s="2" t="s">
        <v>901</v>
      </c>
      <c r="K91" s="2" t="s">
        <v>902</v>
      </c>
      <c r="L91" s="8" t="str">
        <f>HYPERLINK("http://slimages.macys.com/is/image/MCY/11722134 ")</f>
        <v xml:space="preserve">http://slimages.macys.com/is/image/MCY/11722134 </v>
      </c>
    </row>
    <row r="92" spans="1:12" ht="84" x14ac:dyDescent="0.25">
      <c r="A92" s="7" t="s">
        <v>903</v>
      </c>
      <c r="B92" s="2" t="s">
        <v>904</v>
      </c>
      <c r="C92" s="4">
        <v>1</v>
      </c>
      <c r="D92" s="5">
        <v>7.75</v>
      </c>
      <c r="E92" s="5">
        <v>20</v>
      </c>
      <c r="F92" s="4" t="s">
        <v>905</v>
      </c>
      <c r="G92" s="2" t="s">
        <v>36</v>
      </c>
      <c r="H92" s="7" t="s">
        <v>108</v>
      </c>
      <c r="I92" s="2" t="s">
        <v>50</v>
      </c>
      <c r="J92" s="2" t="s">
        <v>901</v>
      </c>
      <c r="K92" s="2" t="s">
        <v>906</v>
      </c>
      <c r="L92" s="8" t="str">
        <f>HYPERLINK("http://slimages.macys.com/is/image/MCY/11722128 ")</f>
        <v xml:space="preserve">http://slimages.macys.com/is/image/MCY/11722128 </v>
      </c>
    </row>
    <row r="93" spans="1:12" ht="84" x14ac:dyDescent="0.25">
      <c r="A93" s="7" t="s">
        <v>907</v>
      </c>
      <c r="B93" s="2" t="s">
        <v>904</v>
      </c>
      <c r="C93" s="4">
        <v>2</v>
      </c>
      <c r="D93" s="5">
        <v>7.75</v>
      </c>
      <c r="E93" s="5">
        <v>20</v>
      </c>
      <c r="F93" s="4" t="s">
        <v>905</v>
      </c>
      <c r="G93" s="2" t="s">
        <v>36</v>
      </c>
      <c r="H93" s="7" t="s">
        <v>49</v>
      </c>
      <c r="I93" s="2" t="s">
        <v>50</v>
      </c>
      <c r="J93" s="2" t="s">
        <v>901</v>
      </c>
      <c r="K93" s="2" t="s">
        <v>906</v>
      </c>
      <c r="L93" s="8" t="str">
        <f>HYPERLINK("http://slimages.macys.com/is/image/MCY/11722128 ")</f>
        <v xml:space="preserve">http://slimages.macys.com/is/image/MCY/11722128 </v>
      </c>
    </row>
    <row r="94" spans="1:12" ht="84" x14ac:dyDescent="0.25">
      <c r="A94" s="7" t="s">
        <v>908</v>
      </c>
      <c r="B94" s="2" t="s">
        <v>904</v>
      </c>
      <c r="C94" s="4">
        <v>3</v>
      </c>
      <c r="D94" s="5">
        <v>7.75</v>
      </c>
      <c r="E94" s="5">
        <v>20</v>
      </c>
      <c r="F94" s="4" t="s">
        <v>905</v>
      </c>
      <c r="G94" s="2" t="s">
        <v>36</v>
      </c>
      <c r="H94" s="7" t="s">
        <v>786</v>
      </c>
      <c r="I94" s="2" t="s">
        <v>50</v>
      </c>
      <c r="J94" s="2" t="s">
        <v>901</v>
      </c>
      <c r="K94" s="2" t="s">
        <v>906</v>
      </c>
      <c r="L94" s="8" t="str">
        <f>HYPERLINK("http://slimages.macys.com/is/image/MCY/11722128 ")</f>
        <v xml:space="preserve">http://slimages.macys.com/is/image/MCY/11722128 </v>
      </c>
    </row>
    <row r="95" spans="1:12" ht="84" x14ac:dyDescent="0.25">
      <c r="A95" s="7" t="s">
        <v>909</v>
      </c>
      <c r="B95" s="2" t="s">
        <v>904</v>
      </c>
      <c r="C95" s="4">
        <v>2</v>
      </c>
      <c r="D95" s="5">
        <v>7.75</v>
      </c>
      <c r="E95" s="5">
        <v>20</v>
      </c>
      <c r="F95" s="4" t="s">
        <v>905</v>
      </c>
      <c r="G95" s="2" t="s">
        <v>36</v>
      </c>
      <c r="H95" s="7" t="s">
        <v>104</v>
      </c>
      <c r="I95" s="2" t="s">
        <v>50</v>
      </c>
      <c r="J95" s="2" t="s">
        <v>901</v>
      </c>
      <c r="K95" s="2" t="s">
        <v>906</v>
      </c>
      <c r="L95" s="8" t="str">
        <f>HYPERLINK("http://slimages.macys.com/is/image/MCY/11722128 ")</f>
        <v xml:space="preserve">http://slimages.macys.com/is/image/MCY/11722128 </v>
      </c>
    </row>
    <row r="96" spans="1:12" ht="84" x14ac:dyDescent="0.25">
      <c r="A96" s="7" t="s">
        <v>910</v>
      </c>
      <c r="B96" s="2" t="s">
        <v>911</v>
      </c>
      <c r="C96" s="4">
        <v>1</v>
      </c>
      <c r="D96" s="5">
        <v>7.75</v>
      </c>
      <c r="E96" s="5">
        <v>19.989999999999998</v>
      </c>
      <c r="F96" s="4" t="s">
        <v>912</v>
      </c>
      <c r="G96" s="2" t="s">
        <v>582</v>
      </c>
      <c r="H96" s="7" t="s">
        <v>42</v>
      </c>
      <c r="I96" s="2" t="s">
        <v>92</v>
      </c>
      <c r="J96" s="2" t="s">
        <v>65</v>
      </c>
      <c r="K96" s="2" t="s">
        <v>913</v>
      </c>
      <c r="L96" s="8" t="str">
        <f>HYPERLINK("http://slimages.macys.com/is/image/MCY/14803585 ")</f>
        <v xml:space="preserve">http://slimages.macys.com/is/image/MCY/14803585 </v>
      </c>
    </row>
    <row r="97" spans="1:12" ht="84" x14ac:dyDescent="0.25">
      <c r="A97" s="7" t="s">
        <v>914</v>
      </c>
      <c r="B97" s="2" t="s">
        <v>899</v>
      </c>
      <c r="C97" s="4">
        <v>1</v>
      </c>
      <c r="D97" s="5">
        <v>7.75</v>
      </c>
      <c r="E97" s="5">
        <v>20</v>
      </c>
      <c r="F97" s="4" t="s">
        <v>900</v>
      </c>
      <c r="G97" s="2" t="s">
        <v>129</v>
      </c>
      <c r="H97" s="7" t="s">
        <v>104</v>
      </c>
      <c r="I97" s="2" t="s">
        <v>50</v>
      </c>
      <c r="J97" s="2" t="s">
        <v>901</v>
      </c>
      <c r="K97" s="2" t="s">
        <v>902</v>
      </c>
      <c r="L97" s="8" t="str">
        <f>HYPERLINK("http://slimages.macys.com/is/image/MCY/11722134 ")</f>
        <v xml:space="preserve">http://slimages.macys.com/is/image/MCY/11722134 </v>
      </c>
    </row>
    <row r="98" spans="1:12" ht="84" x14ac:dyDescent="0.25">
      <c r="A98" s="7" t="s">
        <v>915</v>
      </c>
      <c r="B98" s="2" t="s">
        <v>904</v>
      </c>
      <c r="C98" s="4">
        <v>3</v>
      </c>
      <c r="D98" s="5">
        <v>7.75</v>
      </c>
      <c r="E98" s="5">
        <v>20</v>
      </c>
      <c r="F98" s="4" t="s">
        <v>905</v>
      </c>
      <c r="G98" s="2" t="s">
        <v>36</v>
      </c>
      <c r="H98" s="7" t="s">
        <v>850</v>
      </c>
      <c r="I98" s="2" t="s">
        <v>50</v>
      </c>
      <c r="J98" s="2" t="s">
        <v>901</v>
      </c>
      <c r="K98" s="2" t="s">
        <v>906</v>
      </c>
      <c r="L98" s="8" t="str">
        <f>HYPERLINK("http://slimages.macys.com/is/image/MCY/11722128 ")</f>
        <v xml:space="preserve">http://slimages.macys.com/is/image/MCY/11722128 </v>
      </c>
    </row>
    <row r="99" spans="1:12" ht="84" x14ac:dyDescent="0.25">
      <c r="A99" s="7" t="s">
        <v>916</v>
      </c>
      <c r="B99" s="2" t="s">
        <v>904</v>
      </c>
      <c r="C99" s="4">
        <v>2</v>
      </c>
      <c r="D99" s="5">
        <v>7.75</v>
      </c>
      <c r="E99" s="5">
        <v>20</v>
      </c>
      <c r="F99" s="4" t="s">
        <v>905</v>
      </c>
      <c r="G99" s="2" t="s">
        <v>36</v>
      </c>
      <c r="H99" s="7" t="s">
        <v>917</v>
      </c>
      <c r="I99" s="2" t="s">
        <v>50</v>
      </c>
      <c r="J99" s="2" t="s">
        <v>901</v>
      </c>
      <c r="K99" s="2" t="s">
        <v>906</v>
      </c>
      <c r="L99" s="8" t="str">
        <f>HYPERLINK("http://slimages.macys.com/is/image/MCY/11722128 ")</f>
        <v xml:space="preserve">http://slimages.macys.com/is/image/MCY/11722128 </v>
      </c>
    </row>
    <row r="100" spans="1:12" ht="84" x14ac:dyDescent="0.25">
      <c r="A100" s="7" t="s">
        <v>918</v>
      </c>
      <c r="B100" s="2" t="s">
        <v>899</v>
      </c>
      <c r="C100" s="4">
        <v>2</v>
      </c>
      <c r="D100" s="5">
        <v>7.75</v>
      </c>
      <c r="E100" s="5">
        <v>20</v>
      </c>
      <c r="F100" s="4" t="s">
        <v>900</v>
      </c>
      <c r="G100" s="2" t="s">
        <v>129</v>
      </c>
      <c r="H100" s="7" t="s">
        <v>786</v>
      </c>
      <c r="I100" s="2" t="s">
        <v>50</v>
      </c>
      <c r="J100" s="2" t="s">
        <v>901</v>
      </c>
      <c r="K100" s="2" t="s">
        <v>902</v>
      </c>
      <c r="L100" s="8" t="str">
        <f>HYPERLINK("http://slimages.macys.com/is/image/MCY/11722134 ")</f>
        <v xml:space="preserve">http://slimages.macys.com/is/image/MCY/11722134 </v>
      </c>
    </row>
    <row r="101" spans="1:12" ht="84" x14ac:dyDescent="0.25">
      <c r="A101" s="7" t="s">
        <v>919</v>
      </c>
      <c r="B101" s="2" t="s">
        <v>920</v>
      </c>
      <c r="C101" s="4">
        <v>1</v>
      </c>
      <c r="D101" s="5">
        <v>7.65</v>
      </c>
      <c r="E101" s="5">
        <v>14.99</v>
      </c>
      <c r="F101" s="4">
        <v>4489</v>
      </c>
      <c r="G101" s="2" t="s">
        <v>28</v>
      </c>
      <c r="H101" s="7" t="s">
        <v>196</v>
      </c>
      <c r="I101" s="2" t="s">
        <v>523</v>
      </c>
      <c r="J101" s="2" t="s">
        <v>921</v>
      </c>
      <c r="K101" s="2" t="s">
        <v>100</v>
      </c>
      <c r="L101" s="8" t="str">
        <f>HYPERLINK("http://slimages.macys.com/is/image/MCY/13050175 ")</f>
        <v xml:space="preserve">http://slimages.macys.com/is/image/MCY/13050175 </v>
      </c>
    </row>
    <row r="102" spans="1:12" ht="84" x14ac:dyDescent="0.25">
      <c r="A102" s="7" t="s">
        <v>922</v>
      </c>
      <c r="B102" s="2" t="s">
        <v>923</v>
      </c>
      <c r="C102" s="4">
        <v>1</v>
      </c>
      <c r="D102" s="5">
        <v>7.6</v>
      </c>
      <c r="E102" s="5">
        <v>17.28</v>
      </c>
      <c r="F102" s="4">
        <v>17958910</v>
      </c>
      <c r="G102" s="2"/>
      <c r="H102" s="7" t="s">
        <v>91</v>
      </c>
      <c r="I102" s="2" t="s">
        <v>153</v>
      </c>
      <c r="J102" s="2" t="s">
        <v>154</v>
      </c>
      <c r="K102" s="2" t="s">
        <v>206</v>
      </c>
      <c r="L102" s="8" t="str">
        <f>HYPERLINK("http://slimages.macys.com/is/image/MCY/13852945 ")</f>
        <v xml:space="preserve">http://slimages.macys.com/is/image/MCY/13852945 </v>
      </c>
    </row>
    <row r="103" spans="1:12" ht="84" x14ac:dyDescent="0.25">
      <c r="A103" s="7" t="s">
        <v>924</v>
      </c>
      <c r="B103" s="2" t="s">
        <v>925</v>
      </c>
      <c r="C103" s="4">
        <v>1</v>
      </c>
      <c r="D103" s="5">
        <v>7.4</v>
      </c>
      <c r="E103" s="5">
        <v>18.5</v>
      </c>
      <c r="F103" s="4" t="s">
        <v>926</v>
      </c>
      <c r="G103" s="2" t="s">
        <v>437</v>
      </c>
      <c r="H103" s="7" t="s">
        <v>166</v>
      </c>
      <c r="I103" s="2" t="s">
        <v>690</v>
      </c>
      <c r="J103" s="2" t="s">
        <v>58</v>
      </c>
      <c r="K103" s="2" t="s">
        <v>38</v>
      </c>
      <c r="L103" s="8" t="str">
        <f>HYPERLINK("http://slimages.macys.com/is/image/MCY/13049179 ")</f>
        <v xml:space="preserve">http://slimages.macys.com/is/image/MCY/13049179 </v>
      </c>
    </row>
    <row r="104" spans="1:12" ht="84" x14ac:dyDescent="0.25">
      <c r="A104" s="7" t="s">
        <v>927</v>
      </c>
      <c r="B104" s="2" t="s">
        <v>928</v>
      </c>
      <c r="C104" s="4">
        <v>1</v>
      </c>
      <c r="D104" s="5">
        <v>7.25</v>
      </c>
      <c r="E104" s="5">
        <v>16.989999999999998</v>
      </c>
      <c r="F104" s="4" t="s">
        <v>929</v>
      </c>
      <c r="G104" s="2" t="s">
        <v>657</v>
      </c>
      <c r="H104" s="7" t="s">
        <v>317</v>
      </c>
      <c r="I104" s="2" t="s">
        <v>80</v>
      </c>
      <c r="J104" s="2" t="s">
        <v>124</v>
      </c>
      <c r="K104" s="2" t="s">
        <v>125</v>
      </c>
      <c r="L104" s="8" t="str">
        <f>HYPERLINK("http://slimages.macys.com/is/image/MCY/12225860 ")</f>
        <v xml:space="preserve">http://slimages.macys.com/is/image/MCY/12225860 </v>
      </c>
    </row>
    <row r="105" spans="1:12" ht="84" x14ac:dyDescent="0.25">
      <c r="A105" s="7" t="s">
        <v>930</v>
      </c>
      <c r="B105" s="2" t="s">
        <v>931</v>
      </c>
      <c r="C105" s="4">
        <v>1</v>
      </c>
      <c r="D105" s="5">
        <v>7.25</v>
      </c>
      <c r="E105" s="5">
        <v>20</v>
      </c>
      <c r="F105" s="4" t="s">
        <v>932</v>
      </c>
      <c r="G105" s="2" t="s">
        <v>41</v>
      </c>
      <c r="H105" s="7" t="s">
        <v>786</v>
      </c>
      <c r="I105" s="2" t="s">
        <v>50</v>
      </c>
      <c r="J105" s="2" t="s">
        <v>901</v>
      </c>
      <c r="K105" s="2" t="s">
        <v>902</v>
      </c>
      <c r="L105" s="8" t="str">
        <f>HYPERLINK("http://slimages.macys.com/is/image/MCY/11722041 ")</f>
        <v xml:space="preserve">http://slimages.macys.com/is/image/MCY/11722041 </v>
      </c>
    </row>
    <row r="106" spans="1:12" ht="84" x14ac:dyDescent="0.25">
      <c r="A106" s="7" t="s">
        <v>933</v>
      </c>
      <c r="B106" s="2" t="s">
        <v>931</v>
      </c>
      <c r="C106" s="4">
        <v>1</v>
      </c>
      <c r="D106" s="5">
        <v>7.25</v>
      </c>
      <c r="E106" s="5">
        <v>20</v>
      </c>
      <c r="F106" s="4" t="s">
        <v>932</v>
      </c>
      <c r="G106" s="2" t="s">
        <v>41</v>
      </c>
      <c r="H106" s="7" t="s">
        <v>850</v>
      </c>
      <c r="I106" s="2" t="s">
        <v>50</v>
      </c>
      <c r="J106" s="2" t="s">
        <v>901</v>
      </c>
      <c r="K106" s="2" t="s">
        <v>902</v>
      </c>
      <c r="L106" s="8" t="str">
        <f>HYPERLINK("http://slimages.macys.com/is/image/MCY/11722041 ")</f>
        <v xml:space="preserve">http://slimages.macys.com/is/image/MCY/11722041 </v>
      </c>
    </row>
    <row r="107" spans="1:12" ht="84" x14ac:dyDescent="0.25">
      <c r="A107" s="7" t="s">
        <v>934</v>
      </c>
      <c r="B107" s="2" t="s">
        <v>935</v>
      </c>
      <c r="C107" s="4">
        <v>1</v>
      </c>
      <c r="D107" s="5">
        <v>7.2</v>
      </c>
      <c r="E107" s="5">
        <v>18</v>
      </c>
      <c r="F107" s="4" t="s">
        <v>936</v>
      </c>
      <c r="G107" s="2" t="s">
        <v>41</v>
      </c>
      <c r="H107" s="7"/>
      <c r="I107" s="2" t="s">
        <v>523</v>
      </c>
      <c r="J107" s="2" t="s">
        <v>937</v>
      </c>
      <c r="K107" s="2" t="s">
        <v>938</v>
      </c>
      <c r="L107" s="8" t="str">
        <f>HYPERLINK("http://slimages.macys.com/is/image/MCY/9628134 ")</f>
        <v xml:space="preserve">http://slimages.macys.com/is/image/MCY/9628134 </v>
      </c>
    </row>
    <row r="108" spans="1:12" ht="84" x14ac:dyDescent="0.25">
      <c r="A108" s="7" t="s">
        <v>939</v>
      </c>
      <c r="B108" s="2" t="s">
        <v>935</v>
      </c>
      <c r="C108" s="4">
        <v>1</v>
      </c>
      <c r="D108" s="5">
        <v>7.2</v>
      </c>
      <c r="E108" s="5">
        <v>18</v>
      </c>
      <c r="F108" s="4" t="s">
        <v>940</v>
      </c>
      <c r="G108" s="2" t="s">
        <v>41</v>
      </c>
      <c r="H108" s="7"/>
      <c r="I108" s="2" t="s">
        <v>523</v>
      </c>
      <c r="J108" s="2" t="s">
        <v>937</v>
      </c>
      <c r="K108" s="2" t="s">
        <v>263</v>
      </c>
      <c r="L108" s="8" t="str">
        <f>HYPERLINK("http://slimages.macys.com/is/image/MCY/9628127 ")</f>
        <v xml:space="preserve">http://slimages.macys.com/is/image/MCY/9628127 </v>
      </c>
    </row>
    <row r="109" spans="1:12" ht="84" x14ac:dyDescent="0.25">
      <c r="A109" s="7" t="s">
        <v>941</v>
      </c>
      <c r="B109" s="2" t="s">
        <v>942</v>
      </c>
      <c r="C109" s="4">
        <v>4</v>
      </c>
      <c r="D109" s="5">
        <v>7.2</v>
      </c>
      <c r="E109" s="5">
        <v>18</v>
      </c>
      <c r="F109" s="4" t="s">
        <v>943</v>
      </c>
      <c r="G109" s="2" t="s">
        <v>165</v>
      </c>
      <c r="H109" s="7"/>
      <c r="I109" s="2" t="s">
        <v>523</v>
      </c>
      <c r="J109" s="2" t="s">
        <v>937</v>
      </c>
      <c r="K109" s="2" t="s">
        <v>944</v>
      </c>
      <c r="L109" s="8" t="str">
        <f>HYPERLINK("http://slimages.macys.com/is/image/MCY/10426043 ")</f>
        <v xml:space="preserve">http://slimages.macys.com/is/image/MCY/10426043 </v>
      </c>
    </row>
    <row r="110" spans="1:12" ht="84" x14ac:dyDescent="0.25">
      <c r="A110" s="7" t="s">
        <v>945</v>
      </c>
      <c r="B110" s="2" t="s">
        <v>935</v>
      </c>
      <c r="C110" s="4">
        <v>3</v>
      </c>
      <c r="D110" s="5">
        <v>7.2</v>
      </c>
      <c r="E110" s="5">
        <v>18</v>
      </c>
      <c r="F110" s="4" t="s">
        <v>940</v>
      </c>
      <c r="G110" s="2" t="s">
        <v>62</v>
      </c>
      <c r="H110" s="7"/>
      <c r="I110" s="2" t="s">
        <v>523</v>
      </c>
      <c r="J110" s="2" t="s">
        <v>937</v>
      </c>
      <c r="K110" s="2" t="s">
        <v>263</v>
      </c>
      <c r="L110" s="8" t="str">
        <f>HYPERLINK("http://slimages.macys.com/is/image/MCY/9628127 ")</f>
        <v xml:space="preserve">http://slimages.macys.com/is/image/MCY/9628127 </v>
      </c>
    </row>
    <row r="111" spans="1:12" ht="84" x14ac:dyDescent="0.25">
      <c r="A111" s="7" t="s">
        <v>946</v>
      </c>
      <c r="B111" s="2" t="s">
        <v>935</v>
      </c>
      <c r="C111" s="4">
        <v>9</v>
      </c>
      <c r="D111" s="5">
        <v>7.2</v>
      </c>
      <c r="E111" s="5">
        <v>18</v>
      </c>
      <c r="F111" s="4" t="s">
        <v>936</v>
      </c>
      <c r="G111" s="2" t="s">
        <v>62</v>
      </c>
      <c r="H111" s="7"/>
      <c r="I111" s="2" t="s">
        <v>523</v>
      </c>
      <c r="J111" s="2" t="s">
        <v>937</v>
      </c>
      <c r="K111" s="2" t="s">
        <v>938</v>
      </c>
      <c r="L111" s="8" t="str">
        <f>HYPERLINK("http://slimages.macys.com/is/image/MCY/9628134 ")</f>
        <v xml:space="preserve">http://slimages.macys.com/is/image/MCY/9628134 </v>
      </c>
    </row>
    <row r="112" spans="1:12" ht="84" x14ac:dyDescent="0.25">
      <c r="A112" s="7" t="s">
        <v>947</v>
      </c>
      <c r="B112" s="2" t="s">
        <v>942</v>
      </c>
      <c r="C112" s="4">
        <v>3</v>
      </c>
      <c r="D112" s="5">
        <v>7.2</v>
      </c>
      <c r="E112" s="5">
        <v>18</v>
      </c>
      <c r="F112" s="4" t="s">
        <v>943</v>
      </c>
      <c r="G112" s="2" t="s">
        <v>41</v>
      </c>
      <c r="H112" s="7"/>
      <c r="I112" s="2" t="s">
        <v>523</v>
      </c>
      <c r="J112" s="2" t="s">
        <v>937</v>
      </c>
      <c r="K112" s="2" t="s">
        <v>944</v>
      </c>
      <c r="L112" s="8" t="str">
        <f>HYPERLINK("http://slimages.macys.com/is/image/MCY/10426043 ")</f>
        <v xml:space="preserve">http://slimages.macys.com/is/image/MCY/10426043 </v>
      </c>
    </row>
    <row r="113" spans="1:12" ht="84" x14ac:dyDescent="0.25">
      <c r="A113" s="7" t="s">
        <v>948</v>
      </c>
      <c r="B113" s="2" t="s">
        <v>949</v>
      </c>
      <c r="C113" s="4">
        <v>1</v>
      </c>
      <c r="D113" s="5">
        <v>7.16</v>
      </c>
      <c r="E113" s="5">
        <v>17.989999999999998</v>
      </c>
      <c r="F113" s="4" t="s">
        <v>950</v>
      </c>
      <c r="G113" s="2" t="s">
        <v>28</v>
      </c>
      <c r="H113" s="7" t="s">
        <v>317</v>
      </c>
      <c r="I113" s="2" t="s">
        <v>292</v>
      </c>
      <c r="J113" s="2" t="s">
        <v>354</v>
      </c>
      <c r="K113" s="2" t="s">
        <v>119</v>
      </c>
      <c r="L113" s="8" t="str">
        <f>HYPERLINK("http://slimages.macys.com/is/image/MCY/9932793 ")</f>
        <v xml:space="preserve">http://slimages.macys.com/is/image/MCY/9932793 </v>
      </c>
    </row>
    <row r="114" spans="1:12" ht="84" x14ac:dyDescent="0.25">
      <c r="A114" s="7" t="s">
        <v>951</v>
      </c>
      <c r="B114" s="2" t="s">
        <v>952</v>
      </c>
      <c r="C114" s="4">
        <v>1</v>
      </c>
      <c r="D114" s="5">
        <v>7.05</v>
      </c>
      <c r="E114" s="5">
        <v>15.99</v>
      </c>
      <c r="F114" s="4" t="s">
        <v>953</v>
      </c>
      <c r="G114" s="2"/>
      <c r="H114" s="7" t="s">
        <v>233</v>
      </c>
      <c r="I114" s="2" t="s">
        <v>153</v>
      </c>
      <c r="J114" s="2" t="s">
        <v>154</v>
      </c>
      <c r="K114" s="2" t="s">
        <v>439</v>
      </c>
      <c r="L114" s="8" t="str">
        <f>HYPERLINK("http://slimages.macys.com/is/image/MCY/11867448 ")</f>
        <v xml:space="preserve">http://slimages.macys.com/is/image/MCY/11867448 </v>
      </c>
    </row>
    <row r="115" spans="1:12" ht="84" x14ac:dyDescent="0.25">
      <c r="A115" s="7" t="s">
        <v>954</v>
      </c>
      <c r="B115" s="2" t="s">
        <v>955</v>
      </c>
      <c r="C115" s="4">
        <v>1</v>
      </c>
      <c r="D115" s="5">
        <v>7.05</v>
      </c>
      <c r="E115" s="5">
        <v>15.99</v>
      </c>
      <c r="F115" s="4" t="s">
        <v>956</v>
      </c>
      <c r="G115" s="2" t="s">
        <v>48</v>
      </c>
      <c r="H115" s="7" t="s">
        <v>233</v>
      </c>
      <c r="I115" s="2" t="s">
        <v>153</v>
      </c>
      <c r="J115" s="2" t="s">
        <v>154</v>
      </c>
      <c r="K115" s="2" t="s">
        <v>957</v>
      </c>
      <c r="L115" s="8" t="str">
        <f>HYPERLINK("http://slimages.macys.com/is/image/MCY/11671939 ")</f>
        <v xml:space="preserve">http://slimages.macys.com/is/image/MCY/11671939 </v>
      </c>
    </row>
    <row r="116" spans="1:12" ht="84" x14ac:dyDescent="0.25">
      <c r="A116" s="7" t="s">
        <v>958</v>
      </c>
      <c r="B116" s="2" t="s">
        <v>959</v>
      </c>
      <c r="C116" s="4">
        <v>1</v>
      </c>
      <c r="D116" s="5">
        <v>7</v>
      </c>
      <c r="E116" s="5">
        <v>44</v>
      </c>
      <c r="F116" s="4" t="s">
        <v>960</v>
      </c>
      <c r="G116" s="2" t="s">
        <v>455</v>
      </c>
      <c r="H116" s="7" t="s">
        <v>961</v>
      </c>
      <c r="I116" s="2" t="s">
        <v>50</v>
      </c>
      <c r="J116" s="2" t="s">
        <v>650</v>
      </c>
      <c r="K116" s="2" t="s">
        <v>962</v>
      </c>
      <c r="L116" s="8" t="str">
        <f>HYPERLINK("http://slimages.macys.com/is/image/MCY/15838599 ")</f>
        <v xml:space="preserve">http://slimages.macys.com/is/image/MCY/15838599 </v>
      </c>
    </row>
    <row r="117" spans="1:12" ht="84" x14ac:dyDescent="0.25">
      <c r="A117" s="7" t="s">
        <v>963</v>
      </c>
      <c r="B117" s="2" t="s">
        <v>964</v>
      </c>
      <c r="C117" s="4">
        <v>1</v>
      </c>
      <c r="D117" s="5">
        <v>7</v>
      </c>
      <c r="E117" s="5">
        <v>14.99</v>
      </c>
      <c r="F117" s="4" t="s">
        <v>965</v>
      </c>
      <c r="G117" s="2" t="s">
        <v>28</v>
      </c>
      <c r="H117" s="7" t="s">
        <v>311</v>
      </c>
      <c r="I117" s="2" t="s">
        <v>966</v>
      </c>
      <c r="J117" s="2" t="s">
        <v>348</v>
      </c>
      <c r="K117" s="2" t="s">
        <v>100</v>
      </c>
      <c r="L117" s="8" t="str">
        <f>HYPERLINK("http://slimages.macys.com/is/image/MCY/9730632 ")</f>
        <v xml:space="preserve">http://slimages.macys.com/is/image/MCY/9730632 </v>
      </c>
    </row>
    <row r="118" spans="1:12" ht="84" x14ac:dyDescent="0.25">
      <c r="A118" s="7" t="s">
        <v>967</v>
      </c>
      <c r="B118" s="2" t="s">
        <v>968</v>
      </c>
      <c r="C118" s="4">
        <v>2</v>
      </c>
      <c r="D118" s="5">
        <v>7</v>
      </c>
      <c r="E118" s="5">
        <v>14.99</v>
      </c>
      <c r="F118" s="4">
        <v>7135</v>
      </c>
      <c r="G118" s="2" t="s">
        <v>657</v>
      </c>
      <c r="H118" s="7" t="s">
        <v>159</v>
      </c>
      <c r="I118" s="2" t="s">
        <v>523</v>
      </c>
      <c r="J118" s="2" t="s">
        <v>969</v>
      </c>
      <c r="K118" s="2" t="s">
        <v>970</v>
      </c>
      <c r="L118" s="8" t="str">
        <f>HYPERLINK("http://slimages.macys.com/is/image/MCY/13040252 ")</f>
        <v xml:space="preserve">http://slimages.macys.com/is/image/MCY/13040252 </v>
      </c>
    </row>
    <row r="119" spans="1:12" ht="84" x14ac:dyDescent="0.25">
      <c r="A119" s="7" t="s">
        <v>971</v>
      </c>
      <c r="B119" s="2" t="s">
        <v>968</v>
      </c>
      <c r="C119" s="4">
        <v>1</v>
      </c>
      <c r="D119" s="5">
        <v>7</v>
      </c>
      <c r="E119" s="5">
        <v>14.99</v>
      </c>
      <c r="F119" s="4">
        <v>7135</v>
      </c>
      <c r="G119" s="2" t="s">
        <v>657</v>
      </c>
      <c r="H119" s="7" t="s">
        <v>284</v>
      </c>
      <c r="I119" s="2" t="s">
        <v>523</v>
      </c>
      <c r="J119" s="2" t="s">
        <v>969</v>
      </c>
      <c r="K119" s="2" t="s">
        <v>970</v>
      </c>
      <c r="L119" s="8" t="str">
        <f>HYPERLINK("http://slimages.macys.com/is/image/MCY/13040252 ")</f>
        <v xml:space="preserve">http://slimages.macys.com/is/image/MCY/13040252 </v>
      </c>
    </row>
    <row r="120" spans="1:12" ht="84" x14ac:dyDescent="0.25">
      <c r="A120" s="7" t="s">
        <v>972</v>
      </c>
      <c r="B120" s="2" t="s">
        <v>973</v>
      </c>
      <c r="C120" s="4">
        <v>1</v>
      </c>
      <c r="D120" s="5">
        <v>7</v>
      </c>
      <c r="E120" s="5">
        <v>14.99</v>
      </c>
      <c r="F120" s="4">
        <v>6137</v>
      </c>
      <c r="G120" s="2" t="s">
        <v>657</v>
      </c>
      <c r="H120" s="7" t="s">
        <v>228</v>
      </c>
      <c r="I120" s="2" t="s">
        <v>523</v>
      </c>
      <c r="J120" s="2" t="s">
        <v>969</v>
      </c>
      <c r="K120" s="2" t="s">
        <v>100</v>
      </c>
      <c r="L120" s="8" t="str">
        <f>HYPERLINK("http://slimages.macys.com/is/image/MCY/13040214 ")</f>
        <v xml:space="preserve">http://slimages.macys.com/is/image/MCY/13040214 </v>
      </c>
    </row>
    <row r="121" spans="1:12" ht="84" x14ac:dyDescent="0.25">
      <c r="A121" s="7" t="s">
        <v>974</v>
      </c>
      <c r="B121" s="2" t="s">
        <v>975</v>
      </c>
      <c r="C121" s="4">
        <v>11</v>
      </c>
      <c r="D121" s="5">
        <v>7</v>
      </c>
      <c r="E121" s="5">
        <v>15.99</v>
      </c>
      <c r="F121" s="4" t="s">
        <v>976</v>
      </c>
      <c r="G121" s="2" t="s">
        <v>62</v>
      </c>
      <c r="H121" s="7"/>
      <c r="I121" s="2" t="s">
        <v>815</v>
      </c>
      <c r="J121" s="2" t="s">
        <v>778</v>
      </c>
      <c r="K121" s="2" t="s">
        <v>816</v>
      </c>
      <c r="L121" s="8" t="str">
        <f>HYPERLINK("http://slimages.macys.com/is/image/MCY/11234292 ")</f>
        <v xml:space="preserve">http://slimages.macys.com/is/image/MCY/11234292 </v>
      </c>
    </row>
    <row r="122" spans="1:12" ht="84" x14ac:dyDescent="0.25">
      <c r="A122" s="7" t="s">
        <v>977</v>
      </c>
      <c r="B122" s="2" t="s">
        <v>975</v>
      </c>
      <c r="C122" s="4">
        <v>15</v>
      </c>
      <c r="D122" s="5">
        <v>7</v>
      </c>
      <c r="E122" s="5">
        <v>15.99</v>
      </c>
      <c r="F122" s="4" t="s">
        <v>976</v>
      </c>
      <c r="G122" s="2" t="s">
        <v>62</v>
      </c>
      <c r="H122" s="7"/>
      <c r="I122" s="2" t="s">
        <v>815</v>
      </c>
      <c r="J122" s="2" t="s">
        <v>778</v>
      </c>
      <c r="K122" s="2" t="s">
        <v>816</v>
      </c>
      <c r="L122" s="8" t="str">
        <f>HYPERLINK("http://slimages.macys.com/is/image/MCY/11234292 ")</f>
        <v xml:space="preserve">http://slimages.macys.com/is/image/MCY/11234292 </v>
      </c>
    </row>
    <row r="123" spans="1:12" ht="84" x14ac:dyDescent="0.25">
      <c r="A123" s="7" t="s">
        <v>978</v>
      </c>
      <c r="B123" s="2" t="s">
        <v>968</v>
      </c>
      <c r="C123" s="4">
        <v>1</v>
      </c>
      <c r="D123" s="5">
        <v>7</v>
      </c>
      <c r="E123" s="5">
        <v>14.99</v>
      </c>
      <c r="F123" s="4">
        <v>7135</v>
      </c>
      <c r="G123" s="2" t="s">
        <v>36</v>
      </c>
      <c r="H123" s="7" t="s">
        <v>228</v>
      </c>
      <c r="I123" s="2" t="s">
        <v>523</v>
      </c>
      <c r="J123" s="2" t="s">
        <v>969</v>
      </c>
      <c r="K123" s="2" t="s">
        <v>970</v>
      </c>
      <c r="L123" s="8" t="str">
        <f>HYPERLINK("http://slimages.macys.com/is/image/MCY/13040275 ")</f>
        <v xml:space="preserve">http://slimages.macys.com/is/image/MCY/13040275 </v>
      </c>
    </row>
    <row r="124" spans="1:12" ht="84" x14ac:dyDescent="0.25">
      <c r="A124" s="7" t="s">
        <v>979</v>
      </c>
      <c r="B124" s="2" t="s">
        <v>980</v>
      </c>
      <c r="C124" s="4">
        <v>1</v>
      </c>
      <c r="D124" s="5">
        <v>7</v>
      </c>
      <c r="E124" s="5">
        <v>16.989999999999998</v>
      </c>
      <c r="F124" s="4" t="s">
        <v>981</v>
      </c>
      <c r="G124" s="2" t="s">
        <v>238</v>
      </c>
      <c r="H124" s="7" t="s">
        <v>982</v>
      </c>
      <c r="I124" s="2" t="s">
        <v>966</v>
      </c>
      <c r="J124" s="2" t="s">
        <v>136</v>
      </c>
      <c r="K124" s="2" t="s">
        <v>100</v>
      </c>
      <c r="L124" s="8" t="str">
        <f>HYPERLINK("http://slimages.macys.com/is/image/MCY/3659143 ")</f>
        <v xml:space="preserve">http://slimages.macys.com/is/image/MCY/3659143 </v>
      </c>
    </row>
    <row r="125" spans="1:12" ht="84" x14ac:dyDescent="0.25">
      <c r="A125" s="7" t="s">
        <v>983</v>
      </c>
      <c r="B125" s="2" t="s">
        <v>984</v>
      </c>
      <c r="C125" s="4">
        <v>1</v>
      </c>
      <c r="D125" s="5">
        <v>6.9</v>
      </c>
      <c r="E125" s="5">
        <v>14.99</v>
      </c>
      <c r="F125" s="4" t="s">
        <v>985</v>
      </c>
      <c r="G125" s="2" t="s">
        <v>28</v>
      </c>
      <c r="H125" s="7" t="s">
        <v>196</v>
      </c>
      <c r="I125" s="2" t="s">
        <v>523</v>
      </c>
      <c r="J125" s="2" t="s">
        <v>921</v>
      </c>
      <c r="K125" s="2" t="s">
        <v>323</v>
      </c>
      <c r="L125" s="8" t="str">
        <f>HYPERLINK("http://slimages.macys.com/is/image/MCY/11247936 ")</f>
        <v xml:space="preserve">http://slimages.macys.com/is/image/MCY/11247936 </v>
      </c>
    </row>
    <row r="126" spans="1:12" ht="84" x14ac:dyDescent="0.25">
      <c r="A126" s="7" t="s">
        <v>986</v>
      </c>
      <c r="B126" s="2" t="s">
        <v>987</v>
      </c>
      <c r="C126" s="4">
        <v>1</v>
      </c>
      <c r="D126" s="5">
        <v>6.85</v>
      </c>
      <c r="E126" s="5">
        <v>13.99</v>
      </c>
      <c r="F126" s="4" t="s">
        <v>988</v>
      </c>
      <c r="G126" s="2" t="s">
        <v>303</v>
      </c>
      <c r="H126" s="7" t="s">
        <v>159</v>
      </c>
      <c r="I126" s="2" t="s">
        <v>523</v>
      </c>
      <c r="J126" s="2" t="s">
        <v>969</v>
      </c>
      <c r="K126" s="2" t="s">
        <v>970</v>
      </c>
      <c r="L126" s="8" t="str">
        <f>HYPERLINK("http://slimages.macys.com/is/image/MCY/11646814 ")</f>
        <v xml:space="preserve">http://slimages.macys.com/is/image/MCY/11646814 </v>
      </c>
    </row>
    <row r="127" spans="1:12" ht="84" x14ac:dyDescent="0.25">
      <c r="A127" s="7" t="s">
        <v>989</v>
      </c>
      <c r="B127" s="2" t="s">
        <v>990</v>
      </c>
      <c r="C127" s="4">
        <v>1</v>
      </c>
      <c r="D127" s="5">
        <v>6.85</v>
      </c>
      <c r="E127" s="5">
        <v>18</v>
      </c>
      <c r="F127" s="4" t="s">
        <v>991</v>
      </c>
      <c r="G127" s="2" t="s">
        <v>755</v>
      </c>
      <c r="H127" s="7" t="s">
        <v>172</v>
      </c>
      <c r="I127" s="2" t="s">
        <v>468</v>
      </c>
      <c r="J127" s="2" t="s">
        <v>469</v>
      </c>
      <c r="K127" s="2" t="s">
        <v>87</v>
      </c>
      <c r="L127" s="8" t="str">
        <f>HYPERLINK("http://slimages.macys.com/is/image/MCY/11959696 ")</f>
        <v xml:space="preserve">http://slimages.macys.com/is/image/MCY/11959696 </v>
      </c>
    </row>
    <row r="128" spans="1:12" ht="84" x14ac:dyDescent="0.25">
      <c r="A128" s="7" t="s">
        <v>992</v>
      </c>
      <c r="B128" s="2" t="s">
        <v>993</v>
      </c>
      <c r="C128" s="4">
        <v>2</v>
      </c>
      <c r="D128" s="5">
        <v>6.85</v>
      </c>
      <c r="E128" s="5">
        <v>18</v>
      </c>
      <c r="F128" s="4" t="s">
        <v>994</v>
      </c>
      <c r="G128" s="2" t="s">
        <v>657</v>
      </c>
      <c r="H128" s="7" t="s">
        <v>159</v>
      </c>
      <c r="I128" s="2" t="s">
        <v>468</v>
      </c>
      <c r="J128" s="2" t="s">
        <v>469</v>
      </c>
      <c r="K128" s="2" t="s">
        <v>537</v>
      </c>
      <c r="L128" s="8" t="str">
        <f>HYPERLINK("http://slimages.macys.com/is/image/MCY/13468835 ")</f>
        <v xml:space="preserve">http://slimages.macys.com/is/image/MCY/13468835 </v>
      </c>
    </row>
    <row r="129" spans="1:12" ht="84" x14ac:dyDescent="0.25">
      <c r="A129" s="7" t="s">
        <v>995</v>
      </c>
      <c r="B129" s="2" t="s">
        <v>996</v>
      </c>
      <c r="C129" s="4">
        <v>1</v>
      </c>
      <c r="D129" s="5">
        <v>6.78</v>
      </c>
      <c r="E129" s="5">
        <v>14.99</v>
      </c>
      <c r="F129" s="4" t="s">
        <v>997</v>
      </c>
      <c r="G129" s="2" t="s">
        <v>48</v>
      </c>
      <c r="H129" s="7" t="s">
        <v>311</v>
      </c>
      <c r="I129" s="2" t="s">
        <v>515</v>
      </c>
      <c r="J129" s="2" t="s">
        <v>516</v>
      </c>
      <c r="K129" s="2" t="s">
        <v>358</v>
      </c>
      <c r="L129" s="8" t="str">
        <f>HYPERLINK("http://slimages.macys.com/is/image/MCY/12953242 ")</f>
        <v xml:space="preserve">http://slimages.macys.com/is/image/MCY/12953242 </v>
      </c>
    </row>
    <row r="130" spans="1:12" ht="84" x14ac:dyDescent="0.25">
      <c r="A130" s="7" t="s">
        <v>998</v>
      </c>
      <c r="B130" s="2" t="s">
        <v>999</v>
      </c>
      <c r="C130" s="4">
        <v>1</v>
      </c>
      <c r="D130" s="5">
        <v>6.75</v>
      </c>
      <c r="E130" s="5">
        <v>16</v>
      </c>
      <c r="F130" s="4">
        <v>4043978</v>
      </c>
      <c r="G130" s="2" t="s">
        <v>393</v>
      </c>
      <c r="H130" s="7" t="s">
        <v>394</v>
      </c>
      <c r="I130" s="2" t="s">
        <v>43</v>
      </c>
      <c r="J130" s="2" t="s">
        <v>395</v>
      </c>
      <c r="K130" s="2" t="s">
        <v>1000</v>
      </c>
      <c r="L130" s="8" t="str">
        <f>HYPERLINK("http://slimages.macys.com/is/image/MCY/2415977 ")</f>
        <v xml:space="preserve">http://slimages.macys.com/is/image/MCY/2415977 </v>
      </c>
    </row>
    <row r="131" spans="1:12" ht="84" x14ac:dyDescent="0.25">
      <c r="A131" s="7" t="s">
        <v>1001</v>
      </c>
      <c r="B131" s="2" t="s">
        <v>1002</v>
      </c>
      <c r="C131" s="4">
        <v>1</v>
      </c>
      <c r="D131" s="5">
        <v>6.75</v>
      </c>
      <c r="E131" s="5">
        <v>16.989999999999998</v>
      </c>
      <c r="F131" s="4" t="s">
        <v>1003</v>
      </c>
      <c r="G131" s="2" t="s">
        <v>107</v>
      </c>
      <c r="H131" s="7" t="s">
        <v>91</v>
      </c>
      <c r="I131" s="2" t="s">
        <v>92</v>
      </c>
      <c r="J131" s="2" t="s">
        <v>65</v>
      </c>
      <c r="K131" s="2" t="s">
        <v>1004</v>
      </c>
      <c r="L131" s="8" t="str">
        <f>HYPERLINK("http://slimages.macys.com/is/image/MCY/14803429 ")</f>
        <v xml:space="preserve">http://slimages.macys.com/is/image/MCY/14803429 </v>
      </c>
    </row>
    <row r="132" spans="1:12" ht="84" x14ac:dyDescent="0.25">
      <c r="A132" s="7" t="s">
        <v>1005</v>
      </c>
      <c r="B132" s="2" t="s">
        <v>1006</v>
      </c>
      <c r="C132" s="4">
        <v>1</v>
      </c>
      <c r="D132" s="5">
        <v>6.52</v>
      </c>
      <c r="E132" s="5">
        <v>14.99</v>
      </c>
      <c r="F132" s="4" t="s">
        <v>1007</v>
      </c>
      <c r="G132" s="2" t="s">
        <v>28</v>
      </c>
      <c r="H132" s="7" t="s">
        <v>123</v>
      </c>
      <c r="I132" s="2" t="s">
        <v>292</v>
      </c>
      <c r="J132" s="2" t="s">
        <v>354</v>
      </c>
      <c r="K132" s="2" t="s">
        <v>119</v>
      </c>
      <c r="L132" s="8" t="str">
        <f>HYPERLINK("http://slimages.macys.com/is/image/MCY/11776479 ")</f>
        <v xml:space="preserve">http://slimages.macys.com/is/image/MCY/11776479 </v>
      </c>
    </row>
    <row r="133" spans="1:12" ht="84" x14ac:dyDescent="0.25">
      <c r="A133" s="7" t="s">
        <v>1008</v>
      </c>
      <c r="B133" s="2" t="s">
        <v>1009</v>
      </c>
      <c r="C133" s="4">
        <v>1</v>
      </c>
      <c r="D133" s="5">
        <v>6.4</v>
      </c>
      <c r="E133" s="5">
        <v>16</v>
      </c>
      <c r="F133" s="4" t="s">
        <v>1010</v>
      </c>
      <c r="G133" s="2" t="s">
        <v>41</v>
      </c>
      <c r="H133" s="7"/>
      <c r="I133" s="2" t="s">
        <v>523</v>
      </c>
      <c r="J133" s="2" t="s">
        <v>937</v>
      </c>
      <c r="K133" s="2" t="s">
        <v>944</v>
      </c>
      <c r="L133" s="8" t="str">
        <f>HYPERLINK("http://slimages.macys.com/is/image/MCY/10426067 ")</f>
        <v xml:space="preserve">http://slimages.macys.com/is/image/MCY/10426067 </v>
      </c>
    </row>
    <row r="134" spans="1:12" ht="84" x14ac:dyDescent="0.25">
      <c r="A134" s="7" t="s">
        <v>1011</v>
      </c>
      <c r="B134" s="2" t="s">
        <v>1009</v>
      </c>
      <c r="C134" s="4">
        <v>1</v>
      </c>
      <c r="D134" s="5">
        <v>6.4</v>
      </c>
      <c r="E134" s="5">
        <v>16</v>
      </c>
      <c r="F134" s="4" t="s">
        <v>1010</v>
      </c>
      <c r="G134" s="2" t="s">
        <v>165</v>
      </c>
      <c r="H134" s="7"/>
      <c r="I134" s="2" t="s">
        <v>523</v>
      </c>
      <c r="J134" s="2" t="s">
        <v>937</v>
      </c>
      <c r="K134" s="2" t="s">
        <v>944</v>
      </c>
      <c r="L134" s="8" t="str">
        <f>HYPERLINK("http://slimages.macys.com/is/image/MCY/10426067 ")</f>
        <v xml:space="preserve">http://slimages.macys.com/is/image/MCY/10426067 </v>
      </c>
    </row>
    <row r="135" spans="1:12" ht="84" x14ac:dyDescent="0.25">
      <c r="A135" s="7" t="s">
        <v>1012</v>
      </c>
      <c r="B135" s="2" t="s">
        <v>1013</v>
      </c>
      <c r="C135" s="4">
        <v>1</v>
      </c>
      <c r="D135" s="5">
        <v>6.4</v>
      </c>
      <c r="E135" s="5">
        <v>16</v>
      </c>
      <c r="F135" s="4" t="s">
        <v>1014</v>
      </c>
      <c r="G135" s="2" t="s">
        <v>165</v>
      </c>
      <c r="H135" s="7"/>
      <c r="I135" s="2" t="s">
        <v>523</v>
      </c>
      <c r="J135" s="2" t="s">
        <v>937</v>
      </c>
      <c r="K135" s="2" t="s">
        <v>944</v>
      </c>
      <c r="L135" s="8" t="str">
        <f>HYPERLINK("http://slimages.macys.com/is/image/MCY/10425996 ")</f>
        <v xml:space="preserve">http://slimages.macys.com/is/image/MCY/10425996 </v>
      </c>
    </row>
    <row r="136" spans="1:12" ht="84" x14ac:dyDescent="0.25">
      <c r="A136" s="7" t="s">
        <v>1015</v>
      </c>
      <c r="B136" s="2" t="s">
        <v>1016</v>
      </c>
      <c r="C136" s="4">
        <v>1</v>
      </c>
      <c r="D136" s="5">
        <v>6.35</v>
      </c>
      <c r="E136" s="5">
        <v>14.44</v>
      </c>
      <c r="F136" s="4">
        <v>18643410</v>
      </c>
      <c r="G136" s="2" t="s">
        <v>353</v>
      </c>
      <c r="H136" s="7" t="s">
        <v>42</v>
      </c>
      <c r="I136" s="2" t="s">
        <v>153</v>
      </c>
      <c r="J136" s="2" t="s">
        <v>154</v>
      </c>
      <c r="K136" s="2" t="s">
        <v>125</v>
      </c>
      <c r="L136" s="8" t="str">
        <f>HYPERLINK("http://slimages.macys.com/is/image/MCY/14661888 ")</f>
        <v xml:space="preserve">http://slimages.macys.com/is/image/MCY/14661888 </v>
      </c>
    </row>
    <row r="137" spans="1:12" ht="84" x14ac:dyDescent="0.25">
      <c r="A137" s="7" t="s">
        <v>1017</v>
      </c>
      <c r="B137" s="2" t="s">
        <v>1018</v>
      </c>
      <c r="C137" s="4">
        <v>1</v>
      </c>
      <c r="D137" s="5">
        <v>6.34</v>
      </c>
      <c r="E137" s="5">
        <v>16.989999999999998</v>
      </c>
      <c r="F137" s="4" t="s">
        <v>1019</v>
      </c>
      <c r="G137" s="2" t="s">
        <v>86</v>
      </c>
      <c r="H137" s="7"/>
      <c r="I137" s="2" t="s">
        <v>389</v>
      </c>
      <c r="J137" s="2" t="s">
        <v>354</v>
      </c>
      <c r="K137" s="2" t="s">
        <v>596</v>
      </c>
      <c r="L137" s="8" t="str">
        <f>HYPERLINK("http://slimages.macys.com/is/image/MCY/13296511 ")</f>
        <v xml:space="preserve">http://slimages.macys.com/is/image/MCY/13296511 </v>
      </c>
    </row>
    <row r="138" spans="1:12" ht="84" x14ac:dyDescent="0.25">
      <c r="A138" s="7" t="s">
        <v>1020</v>
      </c>
      <c r="B138" s="2" t="s">
        <v>1021</v>
      </c>
      <c r="C138" s="4">
        <v>1</v>
      </c>
      <c r="D138" s="5">
        <v>6.25</v>
      </c>
      <c r="E138" s="5">
        <v>18</v>
      </c>
      <c r="F138" s="4" t="s">
        <v>1022</v>
      </c>
      <c r="G138" s="2" t="s">
        <v>62</v>
      </c>
      <c r="H138" s="7"/>
      <c r="I138" s="2" t="s">
        <v>523</v>
      </c>
      <c r="J138" s="2" t="s">
        <v>1023</v>
      </c>
      <c r="K138" s="2" t="s">
        <v>596</v>
      </c>
      <c r="L138" s="8" t="str">
        <f>HYPERLINK("http://slimages.macys.com/is/image/MCY/3388218 ")</f>
        <v xml:space="preserve">http://slimages.macys.com/is/image/MCY/3388218 </v>
      </c>
    </row>
    <row r="139" spans="1:12" ht="84" x14ac:dyDescent="0.25">
      <c r="A139" s="7" t="s">
        <v>1024</v>
      </c>
      <c r="B139" s="2" t="s">
        <v>1025</v>
      </c>
      <c r="C139" s="4">
        <v>1</v>
      </c>
      <c r="D139" s="5">
        <v>6.25</v>
      </c>
      <c r="E139" s="5">
        <v>12.99</v>
      </c>
      <c r="F139" s="4" t="s">
        <v>1026</v>
      </c>
      <c r="G139" s="2" t="s">
        <v>48</v>
      </c>
      <c r="H139" s="7" t="s">
        <v>63</v>
      </c>
      <c r="I139" s="2" t="s">
        <v>515</v>
      </c>
      <c r="J139" s="2" t="s">
        <v>516</v>
      </c>
      <c r="K139" s="2" t="s">
        <v>358</v>
      </c>
      <c r="L139" s="8" t="str">
        <f>HYPERLINK("http://slimages.macys.com/is/image/MCY/12953213 ")</f>
        <v xml:space="preserve">http://slimages.macys.com/is/image/MCY/12953213 </v>
      </c>
    </row>
    <row r="140" spans="1:12" ht="84" x14ac:dyDescent="0.25">
      <c r="A140" s="7" t="s">
        <v>1027</v>
      </c>
      <c r="B140" s="2" t="s">
        <v>1028</v>
      </c>
      <c r="C140" s="4">
        <v>1</v>
      </c>
      <c r="D140" s="5">
        <v>6.19</v>
      </c>
      <c r="E140" s="5">
        <v>16.989999999999998</v>
      </c>
      <c r="F140" s="4" t="s">
        <v>1029</v>
      </c>
      <c r="G140" s="2" t="s">
        <v>62</v>
      </c>
      <c r="H140" s="7" t="s">
        <v>196</v>
      </c>
      <c r="I140" s="2" t="s">
        <v>515</v>
      </c>
      <c r="J140" s="2" t="s">
        <v>827</v>
      </c>
      <c r="K140" s="2" t="s">
        <v>358</v>
      </c>
      <c r="L140" s="8" t="str">
        <f>HYPERLINK("http://slimages.macys.com/is/image/MCY/11530992 ")</f>
        <v xml:space="preserve">http://slimages.macys.com/is/image/MCY/11530992 </v>
      </c>
    </row>
    <row r="141" spans="1:12" ht="84" x14ac:dyDescent="0.25">
      <c r="A141" s="7" t="s">
        <v>1030</v>
      </c>
      <c r="B141" s="2" t="s">
        <v>1031</v>
      </c>
      <c r="C141" s="4">
        <v>1</v>
      </c>
      <c r="D141" s="5">
        <v>6</v>
      </c>
      <c r="E141" s="5">
        <v>11.98</v>
      </c>
      <c r="F141" s="4" t="s">
        <v>1032</v>
      </c>
      <c r="G141" s="2" t="s">
        <v>171</v>
      </c>
      <c r="H141" s="7" t="s">
        <v>233</v>
      </c>
      <c r="I141" s="2" t="s">
        <v>43</v>
      </c>
      <c r="J141" s="2" t="s">
        <v>497</v>
      </c>
      <c r="K141" s="2" t="s">
        <v>87</v>
      </c>
      <c r="L141" s="8" t="str">
        <f>HYPERLINK("http://slimages.macys.com/is/image/MCY/3134527 ")</f>
        <v xml:space="preserve">http://slimages.macys.com/is/image/MCY/3134527 </v>
      </c>
    </row>
    <row r="142" spans="1:12" ht="84" x14ac:dyDescent="0.25">
      <c r="A142" s="7" t="s">
        <v>1033</v>
      </c>
      <c r="B142" s="2" t="s">
        <v>1034</v>
      </c>
      <c r="C142" s="4">
        <v>1</v>
      </c>
      <c r="D142" s="5">
        <v>5.9</v>
      </c>
      <c r="E142" s="5">
        <v>12.99</v>
      </c>
      <c r="F142" s="4" t="s">
        <v>1035</v>
      </c>
      <c r="G142" s="2" t="s">
        <v>653</v>
      </c>
      <c r="H142" s="7" t="s">
        <v>228</v>
      </c>
      <c r="I142" s="2" t="s">
        <v>523</v>
      </c>
      <c r="J142" s="2" t="s">
        <v>969</v>
      </c>
      <c r="K142" s="2" t="s">
        <v>1036</v>
      </c>
      <c r="L142" s="8" t="str">
        <f>HYPERLINK("http://slimages.macys.com/is/image/MCY/11646999 ")</f>
        <v xml:space="preserve">http://slimages.macys.com/is/image/MCY/11646999 </v>
      </c>
    </row>
    <row r="143" spans="1:12" ht="84" x14ac:dyDescent="0.25">
      <c r="A143" s="7" t="s">
        <v>1037</v>
      </c>
      <c r="B143" s="2" t="s">
        <v>1034</v>
      </c>
      <c r="C143" s="4">
        <v>1</v>
      </c>
      <c r="D143" s="5">
        <v>5.9</v>
      </c>
      <c r="E143" s="5">
        <v>12.99</v>
      </c>
      <c r="F143" s="4" t="s">
        <v>1035</v>
      </c>
      <c r="G143" s="2" t="s">
        <v>653</v>
      </c>
      <c r="H143" s="7" t="s">
        <v>159</v>
      </c>
      <c r="I143" s="2" t="s">
        <v>523</v>
      </c>
      <c r="J143" s="2" t="s">
        <v>969</v>
      </c>
      <c r="K143" s="2" t="s">
        <v>1036</v>
      </c>
      <c r="L143" s="8" t="str">
        <f>HYPERLINK("http://slimages.macys.com/is/image/MCY/11646999 ")</f>
        <v xml:space="preserve">http://slimages.macys.com/is/image/MCY/11646999 </v>
      </c>
    </row>
    <row r="144" spans="1:12" ht="84" x14ac:dyDescent="0.25">
      <c r="A144" s="7" t="s">
        <v>1038</v>
      </c>
      <c r="B144" s="2" t="s">
        <v>1039</v>
      </c>
      <c r="C144" s="4">
        <v>2</v>
      </c>
      <c r="D144" s="5">
        <v>5.87</v>
      </c>
      <c r="E144" s="5">
        <v>16</v>
      </c>
      <c r="F144" s="4" t="s">
        <v>1040</v>
      </c>
      <c r="G144" s="2" t="s">
        <v>1041</v>
      </c>
      <c r="H144" s="7" t="s">
        <v>72</v>
      </c>
      <c r="I144" s="2" t="s">
        <v>523</v>
      </c>
      <c r="J144" s="2" t="s">
        <v>1042</v>
      </c>
      <c r="K144" s="2" t="s">
        <v>1043</v>
      </c>
      <c r="L144" s="8" t="str">
        <f>HYPERLINK("http://slimages.macys.com/is/image/MCY/11647558 ")</f>
        <v xml:space="preserve">http://slimages.macys.com/is/image/MCY/11647558 </v>
      </c>
    </row>
    <row r="145" spans="1:12" ht="84" x14ac:dyDescent="0.25">
      <c r="A145" s="7" t="s">
        <v>1044</v>
      </c>
      <c r="B145" s="2" t="s">
        <v>1045</v>
      </c>
      <c r="C145" s="4">
        <v>1</v>
      </c>
      <c r="D145" s="5">
        <v>5.87</v>
      </c>
      <c r="E145" s="5">
        <v>16</v>
      </c>
      <c r="F145" s="4" t="s">
        <v>1046</v>
      </c>
      <c r="G145" s="2" t="s">
        <v>1047</v>
      </c>
      <c r="H145" s="7" t="s">
        <v>789</v>
      </c>
      <c r="I145" s="2" t="s">
        <v>523</v>
      </c>
      <c r="J145" s="2" t="s">
        <v>1042</v>
      </c>
      <c r="K145" s="2" t="s">
        <v>1043</v>
      </c>
      <c r="L145" s="8" t="str">
        <f>HYPERLINK("http://slimages.macys.com/is/image/MCY/11647571 ")</f>
        <v xml:space="preserve">http://slimages.macys.com/is/image/MCY/11647571 </v>
      </c>
    </row>
    <row r="146" spans="1:12" ht="84" x14ac:dyDescent="0.25">
      <c r="A146" s="7" t="s">
        <v>1048</v>
      </c>
      <c r="B146" s="2" t="s">
        <v>1039</v>
      </c>
      <c r="C146" s="4">
        <v>10</v>
      </c>
      <c r="D146" s="5">
        <v>5.87</v>
      </c>
      <c r="E146" s="5">
        <v>16</v>
      </c>
      <c r="F146" s="4" t="s">
        <v>1040</v>
      </c>
      <c r="G146" s="2" t="s">
        <v>1041</v>
      </c>
      <c r="H146" s="7" t="s">
        <v>789</v>
      </c>
      <c r="I146" s="2" t="s">
        <v>523</v>
      </c>
      <c r="J146" s="2" t="s">
        <v>1042</v>
      </c>
      <c r="K146" s="2" t="s">
        <v>1043</v>
      </c>
      <c r="L146" s="8" t="str">
        <f>HYPERLINK("http://slimages.macys.com/is/image/MCY/11647558 ")</f>
        <v xml:space="preserve">http://slimages.macys.com/is/image/MCY/11647558 </v>
      </c>
    </row>
    <row r="147" spans="1:12" ht="84" x14ac:dyDescent="0.25">
      <c r="A147" s="7" t="s">
        <v>1049</v>
      </c>
      <c r="B147" s="2" t="s">
        <v>1050</v>
      </c>
      <c r="C147" s="4">
        <v>1</v>
      </c>
      <c r="D147" s="5">
        <v>5.75</v>
      </c>
      <c r="E147" s="5">
        <v>11.99</v>
      </c>
      <c r="F147" s="4">
        <v>2581</v>
      </c>
      <c r="G147" s="2" t="s">
        <v>36</v>
      </c>
      <c r="H147" s="7" t="s">
        <v>284</v>
      </c>
      <c r="I147" s="2" t="s">
        <v>523</v>
      </c>
      <c r="J147" s="2" t="s">
        <v>921</v>
      </c>
      <c r="K147" s="2" t="s">
        <v>323</v>
      </c>
      <c r="L147" s="8" t="str">
        <f>HYPERLINK("http://slimages.macys.com/is/image/MCY/13050177 ")</f>
        <v xml:space="preserve">http://slimages.macys.com/is/image/MCY/13050177 </v>
      </c>
    </row>
    <row r="148" spans="1:12" ht="84" x14ac:dyDescent="0.25">
      <c r="A148" s="7" t="s">
        <v>1051</v>
      </c>
      <c r="B148" s="2" t="s">
        <v>1050</v>
      </c>
      <c r="C148" s="4">
        <v>1</v>
      </c>
      <c r="D148" s="5">
        <v>5.75</v>
      </c>
      <c r="E148" s="5">
        <v>11.99</v>
      </c>
      <c r="F148" s="4">
        <v>2581</v>
      </c>
      <c r="G148" s="2" t="s">
        <v>36</v>
      </c>
      <c r="H148" s="7" t="s">
        <v>159</v>
      </c>
      <c r="I148" s="2" t="s">
        <v>523</v>
      </c>
      <c r="J148" s="2" t="s">
        <v>921</v>
      </c>
      <c r="K148" s="2" t="s">
        <v>323</v>
      </c>
      <c r="L148" s="8" t="str">
        <f>HYPERLINK("http://slimages.macys.com/is/image/MCY/13050177 ")</f>
        <v xml:space="preserve">http://slimages.macys.com/is/image/MCY/13050177 </v>
      </c>
    </row>
    <row r="149" spans="1:12" ht="84" x14ac:dyDescent="0.25">
      <c r="A149" s="7" t="s">
        <v>1052</v>
      </c>
      <c r="B149" s="2" t="s">
        <v>1050</v>
      </c>
      <c r="C149" s="4">
        <v>1</v>
      </c>
      <c r="D149" s="5">
        <v>5.75</v>
      </c>
      <c r="E149" s="5">
        <v>11.99</v>
      </c>
      <c r="F149" s="4">
        <v>2581</v>
      </c>
      <c r="G149" s="2" t="s">
        <v>36</v>
      </c>
      <c r="H149" s="7" t="s">
        <v>228</v>
      </c>
      <c r="I149" s="2" t="s">
        <v>523</v>
      </c>
      <c r="J149" s="2" t="s">
        <v>921</v>
      </c>
      <c r="K149" s="2" t="s">
        <v>323</v>
      </c>
      <c r="L149" s="8" t="str">
        <f>HYPERLINK("http://slimages.macys.com/is/image/MCY/13050177 ")</f>
        <v xml:space="preserve">http://slimages.macys.com/is/image/MCY/13050177 </v>
      </c>
    </row>
    <row r="150" spans="1:12" ht="84" x14ac:dyDescent="0.25">
      <c r="A150" s="7" t="s">
        <v>1053</v>
      </c>
      <c r="B150" s="2" t="s">
        <v>1050</v>
      </c>
      <c r="C150" s="4">
        <v>1</v>
      </c>
      <c r="D150" s="5">
        <v>5.75</v>
      </c>
      <c r="E150" s="5">
        <v>11.99</v>
      </c>
      <c r="F150" s="4">
        <v>2581</v>
      </c>
      <c r="G150" s="2" t="s">
        <v>36</v>
      </c>
      <c r="H150" s="7" t="s">
        <v>196</v>
      </c>
      <c r="I150" s="2" t="s">
        <v>523</v>
      </c>
      <c r="J150" s="2" t="s">
        <v>921</v>
      </c>
      <c r="K150" s="2" t="s">
        <v>323</v>
      </c>
      <c r="L150" s="8" t="str">
        <f>HYPERLINK("http://slimages.macys.com/is/image/MCY/13050177 ")</f>
        <v xml:space="preserve">http://slimages.macys.com/is/image/MCY/13050177 </v>
      </c>
    </row>
    <row r="151" spans="1:12" ht="84" x14ac:dyDescent="0.25">
      <c r="A151" s="7" t="s">
        <v>1054</v>
      </c>
      <c r="B151" s="2" t="s">
        <v>1055</v>
      </c>
      <c r="C151" s="4">
        <v>1</v>
      </c>
      <c r="D151" s="5">
        <v>5.6</v>
      </c>
      <c r="E151" s="5">
        <v>14</v>
      </c>
      <c r="F151" s="4" t="s">
        <v>1056</v>
      </c>
      <c r="G151" s="2" t="s">
        <v>41</v>
      </c>
      <c r="H151" s="7" t="s">
        <v>317</v>
      </c>
      <c r="I151" s="2" t="s">
        <v>523</v>
      </c>
      <c r="J151" s="2" t="s">
        <v>937</v>
      </c>
      <c r="K151" s="2" t="s">
        <v>263</v>
      </c>
      <c r="L151" s="8" t="str">
        <f>HYPERLINK("http://slimages.macys.com/is/image/MCY/12038119 ")</f>
        <v xml:space="preserve">http://slimages.macys.com/is/image/MCY/12038119 </v>
      </c>
    </row>
    <row r="152" spans="1:12" ht="84" x14ac:dyDescent="0.25">
      <c r="A152" s="7" t="s">
        <v>1057</v>
      </c>
      <c r="B152" s="2" t="s">
        <v>1055</v>
      </c>
      <c r="C152" s="4">
        <v>1</v>
      </c>
      <c r="D152" s="5">
        <v>5.6</v>
      </c>
      <c r="E152" s="5">
        <v>14</v>
      </c>
      <c r="F152" s="4" t="s">
        <v>1058</v>
      </c>
      <c r="G152" s="2" t="s">
        <v>41</v>
      </c>
      <c r="H152" s="7" t="s">
        <v>311</v>
      </c>
      <c r="I152" s="2" t="s">
        <v>523</v>
      </c>
      <c r="J152" s="2" t="s">
        <v>937</v>
      </c>
      <c r="K152" s="2" t="s">
        <v>263</v>
      </c>
      <c r="L152" s="8" t="str">
        <f>HYPERLINK("http://slimages.macys.com/is/image/MCY/12038119 ")</f>
        <v xml:space="preserve">http://slimages.macys.com/is/image/MCY/12038119 </v>
      </c>
    </row>
    <row r="153" spans="1:12" ht="84" x14ac:dyDescent="0.25">
      <c r="A153" s="7" t="s">
        <v>1059</v>
      </c>
      <c r="B153" s="2" t="s">
        <v>1060</v>
      </c>
      <c r="C153" s="4">
        <v>4</v>
      </c>
      <c r="D153" s="5">
        <v>5.6</v>
      </c>
      <c r="E153" s="5">
        <v>14</v>
      </c>
      <c r="F153" s="4" t="s">
        <v>1061</v>
      </c>
      <c r="G153" s="2" t="s">
        <v>752</v>
      </c>
      <c r="H153" s="7"/>
      <c r="I153" s="2" t="s">
        <v>523</v>
      </c>
      <c r="J153" s="2" t="s">
        <v>937</v>
      </c>
      <c r="K153" s="2" t="s">
        <v>944</v>
      </c>
      <c r="L153" s="8" t="str">
        <f>HYPERLINK("http://slimages.macys.com/is/image/MCY/10425971 ")</f>
        <v xml:space="preserve">http://slimages.macys.com/is/image/MCY/10425971 </v>
      </c>
    </row>
    <row r="154" spans="1:12" ht="84" x14ac:dyDescent="0.25">
      <c r="A154" s="7" t="s">
        <v>1062</v>
      </c>
      <c r="B154" s="2" t="s">
        <v>1063</v>
      </c>
      <c r="C154" s="4">
        <v>1</v>
      </c>
      <c r="D154" s="5">
        <v>5.6</v>
      </c>
      <c r="E154" s="5">
        <v>14</v>
      </c>
      <c r="F154" s="4" t="s">
        <v>1064</v>
      </c>
      <c r="G154" s="2" t="s">
        <v>262</v>
      </c>
      <c r="H154" s="7"/>
      <c r="I154" s="2" t="s">
        <v>523</v>
      </c>
      <c r="J154" s="2" t="s">
        <v>937</v>
      </c>
      <c r="K154" s="2" t="s">
        <v>1065</v>
      </c>
      <c r="L154" s="8" t="str">
        <f>HYPERLINK("http://slimages.macys.com/is/image/MCY/10426134 ")</f>
        <v xml:space="preserve">http://slimages.macys.com/is/image/MCY/10426134 </v>
      </c>
    </row>
    <row r="155" spans="1:12" ht="84" x14ac:dyDescent="0.25">
      <c r="A155" s="7" t="s">
        <v>1066</v>
      </c>
      <c r="B155" s="2" t="s">
        <v>1055</v>
      </c>
      <c r="C155" s="4">
        <v>9</v>
      </c>
      <c r="D155" s="5">
        <v>5.6</v>
      </c>
      <c r="E155" s="5">
        <v>14</v>
      </c>
      <c r="F155" s="4" t="s">
        <v>1067</v>
      </c>
      <c r="G155" s="2" t="s">
        <v>41</v>
      </c>
      <c r="H155" s="7"/>
      <c r="I155" s="2" t="s">
        <v>523</v>
      </c>
      <c r="J155" s="2" t="s">
        <v>937</v>
      </c>
      <c r="K155" s="2" t="s">
        <v>263</v>
      </c>
      <c r="L155" s="8" t="str">
        <f>HYPERLINK("http://slimages.macys.com/is/image/MCY/12038119 ")</f>
        <v xml:space="preserve">http://slimages.macys.com/is/image/MCY/12038119 </v>
      </c>
    </row>
    <row r="156" spans="1:12" ht="84" x14ac:dyDescent="0.25">
      <c r="A156" s="7" t="s">
        <v>1068</v>
      </c>
      <c r="B156" s="2" t="s">
        <v>1069</v>
      </c>
      <c r="C156" s="4">
        <v>1</v>
      </c>
      <c r="D156" s="5">
        <v>5.6</v>
      </c>
      <c r="E156" s="5">
        <v>14</v>
      </c>
      <c r="F156" s="4" t="s">
        <v>1070</v>
      </c>
      <c r="G156" s="2" t="s">
        <v>165</v>
      </c>
      <c r="H156" s="7"/>
      <c r="I156" s="2" t="s">
        <v>523</v>
      </c>
      <c r="J156" s="2" t="s">
        <v>937</v>
      </c>
      <c r="K156" s="2" t="s">
        <v>224</v>
      </c>
      <c r="L156" s="8" t="str">
        <f>HYPERLINK("http://slimages.macys.com/is/image/MCY/11954954 ")</f>
        <v xml:space="preserve">http://slimages.macys.com/is/image/MCY/11954954 </v>
      </c>
    </row>
    <row r="157" spans="1:12" ht="84" x14ac:dyDescent="0.25">
      <c r="A157" s="7" t="s">
        <v>1071</v>
      </c>
      <c r="B157" s="2" t="s">
        <v>1060</v>
      </c>
      <c r="C157" s="4">
        <v>1</v>
      </c>
      <c r="D157" s="5">
        <v>5.6</v>
      </c>
      <c r="E157" s="5">
        <v>14</v>
      </c>
      <c r="F157" s="4" t="s">
        <v>1072</v>
      </c>
      <c r="G157" s="2" t="s">
        <v>752</v>
      </c>
      <c r="H157" s="7"/>
      <c r="I157" s="2" t="s">
        <v>523</v>
      </c>
      <c r="J157" s="2" t="s">
        <v>937</v>
      </c>
      <c r="K157" s="2" t="s">
        <v>944</v>
      </c>
      <c r="L157" s="8" t="str">
        <f>HYPERLINK("http://slimages.macys.com/is/image/MCY/10425971 ")</f>
        <v xml:space="preserve">http://slimages.macys.com/is/image/MCY/10425971 </v>
      </c>
    </row>
    <row r="158" spans="1:12" ht="84" x14ac:dyDescent="0.25">
      <c r="A158" s="7" t="s">
        <v>1073</v>
      </c>
      <c r="B158" s="2" t="s">
        <v>1074</v>
      </c>
      <c r="C158" s="4">
        <v>1</v>
      </c>
      <c r="D158" s="5">
        <v>5.5</v>
      </c>
      <c r="E158" s="5">
        <v>12.99</v>
      </c>
      <c r="F158" s="4" t="s">
        <v>1075</v>
      </c>
      <c r="G158" s="2"/>
      <c r="H158" s="7" t="s">
        <v>442</v>
      </c>
      <c r="I158" s="2" t="s">
        <v>92</v>
      </c>
      <c r="J158" s="2" t="s">
        <v>1076</v>
      </c>
      <c r="K158" s="2" t="s">
        <v>100</v>
      </c>
      <c r="L158" s="8" t="str">
        <f>HYPERLINK("http://slimages.macys.com/is/image/MCY/15654522 ")</f>
        <v xml:space="preserve">http://slimages.macys.com/is/image/MCY/15654522 </v>
      </c>
    </row>
    <row r="159" spans="1:12" ht="84" x14ac:dyDescent="0.25">
      <c r="A159" s="7" t="s">
        <v>1077</v>
      </c>
      <c r="B159" s="2" t="s">
        <v>1078</v>
      </c>
      <c r="C159" s="4">
        <v>1</v>
      </c>
      <c r="D159" s="5">
        <v>5.5</v>
      </c>
      <c r="E159" s="5">
        <v>12.99</v>
      </c>
      <c r="F159" s="4">
        <v>6133</v>
      </c>
      <c r="G159" s="2" t="s">
        <v>28</v>
      </c>
      <c r="H159" s="7" t="s">
        <v>196</v>
      </c>
      <c r="I159" s="2" t="s">
        <v>523</v>
      </c>
      <c r="J159" s="2" t="s">
        <v>969</v>
      </c>
      <c r="K159" s="2" t="s">
        <v>1036</v>
      </c>
      <c r="L159" s="8" t="str">
        <f>HYPERLINK("http://slimages.macys.com/is/image/MCY/13403932 ")</f>
        <v xml:space="preserve">http://slimages.macys.com/is/image/MCY/13403932 </v>
      </c>
    </row>
    <row r="160" spans="1:12" ht="84" x14ac:dyDescent="0.25">
      <c r="A160" s="7" t="s">
        <v>1079</v>
      </c>
      <c r="B160" s="2" t="s">
        <v>1078</v>
      </c>
      <c r="C160" s="4">
        <v>1</v>
      </c>
      <c r="D160" s="5">
        <v>5.5</v>
      </c>
      <c r="E160" s="5">
        <v>12.99</v>
      </c>
      <c r="F160" s="4">
        <v>6133</v>
      </c>
      <c r="G160" s="2" t="s">
        <v>36</v>
      </c>
      <c r="H160" s="7" t="s">
        <v>196</v>
      </c>
      <c r="I160" s="2" t="s">
        <v>523</v>
      </c>
      <c r="J160" s="2" t="s">
        <v>969</v>
      </c>
      <c r="K160" s="2" t="s">
        <v>1036</v>
      </c>
      <c r="L160" s="8" t="str">
        <f>HYPERLINK("http://slimages.macys.com/is/image/MCY/13403932 ")</f>
        <v xml:space="preserve">http://slimages.macys.com/is/image/MCY/13403932 </v>
      </c>
    </row>
    <row r="161" spans="1:12" ht="84" x14ac:dyDescent="0.25">
      <c r="A161" s="7" t="s">
        <v>1080</v>
      </c>
      <c r="B161" s="2" t="s">
        <v>1081</v>
      </c>
      <c r="C161" s="4">
        <v>1</v>
      </c>
      <c r="D161" s="5">
        <v>5.35</v>
      </c>
      <c r="E161" s="5">
        <v>13.99</v>
      </c>
      <c r="F161" s="4" t="s">
        <v>1082</v>
      </c>
      <c r="G161" s="2" t="s">
        <v>41</v>
      </c>
      <c r="H161" s="7" t="s">
        <v>590</v>
      </c>
      <c r="I161" s="2" t="s">
        <v>483</v>
      </c>
      <c r="J161" s="2" t="s">
        <v>536</v>
      </c>
      <c r="K161" s="2" t="s">
        <v>125</v>
      </c>
      <c r="L161" s="8" t="str">
        <f>HYPERLINK("http://slimages.macys.com/is/image/MCY/14447244 ")</f>
        <v xml:space="preserve">http://slimages.macys.com/is/image/MCY/14447244 </v>
      </c>
    </row>
    <row r="162" spans="1:12" ht="84" x14ac:dyDescent="0.25">
      <c r="A162" s="7" t="s">
        <v>1083</v>
      </c>
      <c r="B162" s="2" t="s">
        <v>1084</v>
      </c>
      <c r="C162" s="4">
        <v>12</v>
      </c>
      <c r="D162" s="5">
        <v>5.32</v>
      </c>
      <c r="E162" s="5">
        <v>14.98</v>
      </c>
      <c r="F162" s="4">
        <v>100002529</v>
      </c>
      <c r="G162" s="2" t="s">
        <v>793</v>
      </c>
      <c r="H162" s="7" t="s">
        <v>531</v>
      </c>
      <c r="I162" s="2" t="s">
        <v>483</v>
      </c>
      <c r="J162" s="2" t="s">
        <v>536</v>
      </c>
      <c r="K162" s="2" t="s">
        <v>125</v>
      </c>
      <c r="L162" s="8" t="str">
        <f>HYPERLINK("http://slimages.macys.com/is/image/MCY/8691428 ")</f>
        <v xml:space="preserve">http://slimages.macys.com/is/image/MCY/8691428 </v>
      </c>
    </row>
    <row r="163" spans="1:12" ht="84" x14ac:dyDescent="0.25">
      <c r="A163" s="7" t="s">
        <v>1085</v>
      </c>
      <c r="B163" s="2" t="s">
        <v>1086</v>
      </c>
      <c r="C163" s="4">
        <v>1</v>
      </c>
      <c r="D163" s="5">
        <v>5.15</v>
      </c>
      <c r="E163" s="5">
        <v>11.99</v>
      </c>
      <c r="F163" s="4">
        <v>4217</v>
      </c>
      <c r="G163" s="2" t="s">
        <v>653</v>
      </c>
      <c r="H163" s="7" t="s">
        <v>159</v>
      </c>
      <c r="I163" s="2" t="s">
        <v>523</v>
      </c>
      <c r="J163" s="2" t="s">
        <v>921</v>
      </c>
      <c r="K163" s="2" t="s">
        <v>323</v>
      </c>
      <c r="L163" s="8" t="str">
        <f>HYPERLINK("http://slimages.macys.com/is/image/MCY/13050187 ")</f>
        <v xml:space="preserve">http://slimages.macys.com/is/image/MCY/13050187 </v>
      </c>
    </row>
    <row r="164" spans="1:12" ht="84" x14ac:dyDescent="0.25">
      <c r="A164" s="7" t="s">
        <v>1087</v>
      </c>
      <c r="B164" s="2" t="s">
        <v>1086</v>
      </c>
      <c r="C164" s="4">
        <v>2</v>
      </c>
      <c r="D164" s="5">
        <v>5.15</v>
      </c>
      <c r="E164" s="5">
        <v>11.99</v>
      </c>
      <c r="F164" s="4">
        <v>4217</v>
      </c>
      <c r="G164" s="2" t="s">
        <v>653</v>
      </c>
      <c r="H164" s="7" t="s">
        <v>228</v>
      </c>
      <c r="I164" s="2" t="s">
        <v>523</v>
      </c>
      <c r="J164" s="2" t="s">
        <v>921</v>
      </c>
      <c r="K164" s="2" t="s">
        <v>323</v>
      </c>
      <c r="L164" s="8" t="str">
        <f>HYPERLINK("http://slimages.macys.com/is/image/MCY/13050187 ")</f>
        <v xml:space="preserve">http://slimages.macys.com/is/image/MCY/13050187 </v>
      </c>
    </row>
    <row r="165" spans="1:12" ht="84" x14ac:dyDescent="0.25">
      <c r="A165" s="7" t="s">
        <v>1088</v>
      </c>
      <c r="B165" s="2" t="s">
        <v>1089</v>
      </c>
      <c r="C165" s="4">
        <v>6</v>
      </c>
      <c r="D165" s="5">
        <v>5.13</v>
      </c>
      <c r="E165" s="5">
        <v>14.98</v>
      </c>
      <c r="F165" s="4" t="s">
        <v>1090</v>
      </c>
      <c r="G165" s="2" t="s">
        <v>1091</v>
      </c>
      <c r="H165" s="7" t="s">
        <v>531</v>
      </c>
      <c r="I165" s="2" t="s">
        <v>483</v>
      </c>
      <c r="J165" s="2" t="s">
        <v>536</v>
      </c>
      <c r="K165" s="2" t="s">
        <v>125</v>
      </c>
      <c r="L165" s="8" t="str">
        <f>HYPERLINK("http://slimages.macys.com/is/image/MCY/12646584 ")</f>
        <v xml:space="preserve">http://slimages.macys.com/is/image/MCY/12646584 </v>
      </c>
    </row>
    <row r="166" spans="1:12" ht="84" x14ac:dyDescent="0.25">
      <c r="A166" s="7" t="s">
        <v>528</v>
      </c>
      <c r="B166" s="2" t="s">
        <v>529</v>
      </c>
      <c r="C166" s="4">
        <v>4</v>
      </c>
      <c r="D166" s="5">
        <v>5.0999999999999996</v>
      </c>
      <c r="E166" s="5">
        <v>10.99</v>
      </c>
      <c r="F166" s="4" t="s">
        <v>530</v>
      </c>
      <c r="G166" s="2" t="s">
        <v>41</v>
      </c>
      <c r="H166" s="7" t="s">
        <v>531</v>
      </c>
      <c r="I166" s="2" t="s">
        <v>483</v>
      </c>
      <c r="J166" s="2" t="s">
        <v>484</v>
      </c>
      <c r="K166" s="2" t="s">
        <v>532</v>
      </c>
      <c r="L166" s="8" t="str">
        <f>HYPERLINK("http://slimages.macys.com/is/image/MCY/8549851 ")</f>
        <v xml:space="preserve">http://slimages.macys.com/is/image/MCY/8549851 </v>
      </c>
    </row>
    <row r="167" spans="1:12" ht="84" x14ac:dyDescent="0.25">
      <c r="A167" s="7" t="s">
        <v>1092</v>
      </c>
      <c r="B167" s="2" t="s">
        <v>1093</v>
      </c>
      <c r="C167" s="4">
        <v>6</v>
      </c>
      <c r="D167" s="5">
        <v>5.09</v>
      </c>
      <c r="E167" s="5">
        <v>14.98</v>
      </c>
      <c r="F167" s="4" t="s">
        <v>1094</v>
      </c>
      <c r="G167" s="2" t="s">
        <v>297</v>
      </c>
      <c r="H167" s="7" t="s">
        <v>531</v>
      </c>
      <c r="I167" s="2" t="s">
        <v>483</v>
      </c>
      <c r="J167" s="2" t="s">
        <v>536</v>
      </c>
      <c r="K167" s="2" t="s">
        <v>125</v>
      </c>
      <c r="L167" s="8" t="str">
        <f>HYPERLINK("http://slimages.macys.com/is/image/MCY/12646583 ")</f>
        <v xml:space="preserve">http://slimages.macys.com/is/image/MCY/12646583 </v>
      </c>
    </row>
    <row r="168" spans="1:12" ht="84" x14ac:dyDescent="0.25">
      <c r="A168" s="7" t="s">
        <v>1095</v>
      </c>
      <c r="B168" s="2" t="s">
        <v>1096</v>
      </c>
      <c r="C168" s="4">
        <v>2</v>
      </c>
      <c r="D168" s="5">
        <v>5.01</v>
      </c>
      <c r="E168" s="5">
        <v>11.98</v>
      </c>
      <c r="F168" s="4">
        <v>100027907</v>
      </c>
      <c r="G168" s="2" t="s">
        <v>582</v>
      </c>
      <c r="H168" s="7" t="s">
        <v>531</v>
      </c>
      <c r="I168" s="2" t="s">
        <v>483</v>
      </c>
      <c r="J168" s="2" t="s">
        <v>536</v>
      </c>
      <c r="K168" s="2" t="s">
        <v>1097</v>
      </c>
      <c r="L168" s="8" t="str">
        <f>HYPERLINK("http://slimages.macys.com/is/image/MCY/9888300 ")</f>
        <v xml:space="preserve">http://slimages.macys.com/is/image/MCY/9888300 </v>
      </c>
    </row>
    <row r="169" spans="1:12" ht="84" x14ac:dyDescent="0.25">
      <c r="A169" s="7" t="s">
        <v>1098</v>
      </c>
      <c r="B169" s="2" t="s">
        <v>1099</v>
      </c>
      <c r="C169" s="4">
        <v>2</v>
      </c>
      <c r="D169" s="5">
        <v>5</v>
      </c>
      <c r="E169" s="5">
        <v>11.99</v>
      </c>
      <c r="F169" s="4">
        <v>2581</v>
      </c>
      <c r="G169" s="2" t="s">
        <v>28</v>
      </c>
      <c r="H169" s="7" t="s">
        <v>196</v>
      </c>
      <c r="I169" s="2" t="s">
        <v>523</v>
      </c>
      <c r="J169" s="2" t="s">
        <v>921</v>
      </c>
      <c r="K169" s="2" t="s">
        <v>323</v>
      </c>
      <c r="L169" s="8" t="str">
        <f>HYPERLINK("http://slimages.macys.com/is/image/MCY/13050178 ")</f>
        <v xml:space="preserve">http://slimages.macys.com/is/image/MCY/13050178 </v>
      </c>
    </row>
    <row r="170" spans="1:12" ht="84" x14ac:dyDescent="0.25">
      <c r="A170" s="7" t="s">
        <v>1100</v>
      </c>
      <c r="B170" s="2" t="s">
        <v>1099</v>
      </c>
      <c r="C170" s="4">
        <v>3</v>
      </c>
      <c r="D170" s="5">
        <v>5</v>
      </c>
      <c r="E170" s="5">
        <v>11.99</v>
      </c>
      <c r="F170" s="4">
        <v>2581</v>
      </c>
      <c r="G170" s="2" t="s">
        <v>28</v>
      </c>
      <c r="H170" s="7" t="s">
        <v>228</v>
      </c>
      <c r="I170" s="2" t="s">
        <v>523</v>
      </c>
      <c r="J170" s="2" t="s">
        <v>921</v>
      </c>
      <c r="K170" s="2" t="s">
        <v>323</v>
      </c>
      <c r="L170" s="8" t="str">
        <f>HYPERLINK("http://slimages.macys.com/is/image/MCY/13050178 ")</f>
        <v xml:space="preserve">http://slimages.macys.com/is/image/MCY/13050178 </v>
      </c>
    </row>
    <row r="171" spans="1:12" ht="96" x14ac:dyDescent="0.25">
      <c r="A171" s="7" t="s">
        <v>1101</v>
      </c>
      <c r="B171" s="2" t="s">
        <v>1102</v>
      </c>
      <c r="C171" s="4">
        <v>2</v>
      </c>
      <c r="D171" s="5">
        <v>4.97</v>
      </c>
      <c r="E171" s="5">
        <v>11.98</v>
      </c>
      <c r="F171" s="4">
        <v>100002521</v>
      </c>
      <c r="G171" s="2" t="s">
        <v>793</v>
      </c>
      <c r="H171" s="7" t="s">
        <v>531</v>
      </c>
      <c r="I171" s="2" t="s">
        <v>483</v>
      </c>
      <c r="J171" s="2" t="s">
        <v>536</v>
      </c>
      <c r="K171" s="2" t="s">
        <v>1103</v>
      </c>
      <c r="L171" s="8" t="str">
        <f>HYPERLINK("http://slimages.macys.com/is/image/MCY/8691447 ")</f>
        <v xml:space="preserve">http://slimages.macys.com/is/image/MCY/8691447 </v>
      </c>
    </row>
    <row r="172" spans="1:12" ht="84" x14ac:dyDescent="0.25">
      <c r="A172" s="7" t="s">
        <v>1104</v>
      </c>
      <c r="B172" s="2" t="s">
        <v>1105</v>
      </c>
      <c r="C172" s="4">
        <v>1</v>
      </c>
      <c r="D172" s="5">
        <v>4.8499999999999996</v>
      </c>
      <c r="E172" s="5">
        <v>11.99</v>
      </c>
      <c r="F172" s="4" t="s">
        <v>1106</v>
      </c>
      <c r="G172" s="2" t="s">
        <v>28</v>
      </c>
      <c r="H172" s="7" t="s">
        <v>228</v>
      </c>
      <c r="I172" s="2" t="s">
        <v>523</v>
      </c>
      <c r="J172" s="2" t="s">
        <v>921</v>
      </c>
      <c r="K172" s="2" t="s">
        <v>323</v>
      </c>
      <c r="L172" s="8" t="str">
        <f>HYPERLINK("http://slimages.macys.com/is/image/MCY/11722256 ")</f>
        <v xml:space="preserve">http://slimages.macys.com/is/image/MCY/11722256 </v>
      </c>
    </row>
    <row r="173" spans="1:12" ht="84" x14ac:dyDescent="0.25">
      <c r="A173" s="7" t="s">
        <v>1107</v>
      </c>
      <c r="B173" s="2" t="s">
        <v>1105</v>
      </c>
      <c r="C173" s="4">
        <v>1</v>
      </c>
      <c r="D173" s="5">
        <v>4.8499999999999996</v>
      </c>
      <c r="E173" s="5">
        <v>11.99</v>
      </c>
      <c r="F173" s="4" t="s">
        <v>1106</v>
      </c>
      <c r="G173" s="2" t="s">
        <v>28</v>
      </c>
      <c r="H173" s="7" t="s">
        <v>284</v>
      </c>
      <c r="I173" s="2" t="s">
        <v>523</v>
      </c>
      <c r="J173" s="2" t="s">
        <v>921</v>
      </c>
      <c r="K173" s="2" t="s">
        <v>323</v>
      </c>
      <c r="L173" s="8" t="str">
        <f>HYPERLINK("http://slimages.macys.com/is/image/MCY/11722256 ")</f>
        <v xml:space="preserve">http://slimages.macys.com/is/image/MCY/11722256 </v>
      </c>
    </row>
    <row r="174" spans="1:12" ht="84" x14ac:dyDescent="0.25">
      <c r="A174" s="7" t="s">
        <v>1108</v>
      </c>
      <c r="B174" s="2" t="s">
        <v>1086</v>
      </c>
      <c r="C174" s="4">
        <v>1</v>
      </c>
      <c r="D174" s="5">
        <v>4.75</v>
      </c>
      <c r="E174" s="5">
        <v>11.99</v>
      </c>
      <c r="F174" s="4">
        <v>4217</v>
      </c>
      <c r="G174" s="2" t="s">
        <v>41</v>
      </c>
      <c r="H174" s="7" t="s">
        <v>228</v>
      </c>
      <c r="I174" s="2" t="s">
        <v>523</v>
      </c>
      <c r="J174" s="2" t="s">
        <v>921</v>
      </c>
      <c r="K174" s="2" t="s">
        <v>323</v>
      </c>
      <c r="L174" s="8" t="str">
        <f>HYPERLINK("http://slimages.macys.com/is/image/MCY/13050184 ")</f>
        <v xml:space="preserve">http://slimages.macys.com/is/image/MCY/13050184 </v>
      </c>
    </row>
    <row r="175" spans="1:12" ht="84" x14ac:dyDescent="0.25">
      <c r="A175" s="7" t="s">
        <v>1109</v>
      </c>
      <c r="B175" s="2" t="s">
        <v>1086</v>
      </c>
      <c r="C175" s="4">
        <v>2</v>
      </c>
      <c r="D175" s="5">
        <v>4.75</v>
      </c>
      <c r="E175" s="5">
        <v>11.99</v>
      </c>
      <c r="F175" s="4">
        <v>4217</v>
      </c>
      <c r="G175" s="2" t="s">
        <v>582</v>
      </c>
      <c r="H175" s="7" t="s">
        <v>284</v>
      </c>
      <c r="I175" s="2" t="s">
        <v>523</v>
      </c>
      <c r="J175" s="2" t="s">
        <v>921</v>
      </c>
      <c r="K175" s="2" t="s">
        <v>323</v>
      </c>
      <c r="L175" s="8" t="str">
        <f>HYPERLINK("http://slimages.macys.com/is/image/MCY/13050181 ")</f>
        <v xml:space="preserve">http://slimages.macys.com/is/image/MCY/13050181 </v>
      </c>
    </row>
    <row r="176" spans="1:12" ht="84" x14ac:dyDescent="0.25">
      <c r="A176" s="7" t="s">
        <v>1110</v>
      </c>
      <c r="B176" s="2" t="s">
        <v>1086</v>
      </c>
      <c r="C176" s="4">
        <v>2</v>
      </c>
      <c r="D176" s="5">
        <v>4.75</v>
      </c>
      <c r="E176" s="5">
        <v>11.99</v>
      </c>
      <c r="F176" s="4">
        <v>4217</v>
      </c>
      <c r="G176" s="2" t="s">
        <v>41</v>
      </c>
      <c r="H176" s="7" t="s">
        <v>284</v>
      </c>
      <c r="I176" s="2" t="s">
        <v>523</v>
      </c>
      <c r="J176" s="2" t="s">
        <v>921</v>
      </c>
      <c r="K176" s="2" t="s">
        <v>323</v>
      </c>
      <c r="L176" s="8" t="str">
        <f>HYPERLINK("http://slimages.macys.com/is/image/MCY/13050184 ")</f>
        <v xml:space="preserve">http://slimages.macys.com/is/image/MCY/13050184 </v>
      </c>
    </row>
    <row r="177" spans="1:12" ht="84" x14ac:dyDescent="0.25">
      <c r="A177" s="7" t="s">
        <v>1111</v>
      </c>
      <c r="B177" s="2" t="s">
        <v>1112</v>
      </c>
      <c r="C177" s="4">
        <v>1</v>
      </c>
      <c r="D177" s="5">
        <v>4.7</v>
      </c>
      <c r="E177" s="5">
        <v>11.99</v>
      </c>
      <c r="F177" s="4" t="s">
        <v>1113</v>
      </c>
      <c r="G177" s="2" t="s">
        <v>28</v>
      </c>
      <c r="H177" s="7" t="s">
        <v>284</v>
      </c>
      <c r="I177" s="2" t="s">
        <v>523</v>
      </c>
      <c r="J177" s="2" t="s">
        <v>921</v>
      </c>
      <c r="K177" s="2" t="s">
        <v>323</v>
      </c>
      <c r="L177" s="8" t="str">
        <f>HYPERLINK("http://slimages.macys.com/is/image/MCY/8345564 ")</f>
        <v xml:space="preserve">http://slimages.macys.com/is/image/MCY/8345564 </v>
      </c>
    </row>
    <row r="178" spans="1:12" ht="84" x14ac:dyDescent="0.25">
      <c r="A178" s="7" t="s">
        <v>1114</v>
      </c>
      <c r="B178" s="2" t="s">
        <v>1115</v>
      </c>
      <c r="C178" s="4">
        <v>1</v>
      </c>
      <c r="D178" s="5">
        <v>4.59</v>
      </c>
      <c r="E178" s="5">
        <v>12.99</v>
      </c>
      <c r="F178" s="4" t="s">
        <v>1116</v>
      </c>
      <c r="G178" s="2" t="s">
        <v>28</v>
      </c>
      <c r="H178" s="7" t="s">
        <v>196</v>
      </c>
      <c r="I178" s="2" t="s">
        <v>515</v>
      </c>
      <c r="J178" s="2" t="s">
        <v>827</v>
      </c>
      <c r="K178" s="2" t="s">
        <v>1117</v>
      </c>
      <c r="L178" s="8" t="str">
        <f>HYPERLINK("http://slimages.macys.com/is/image/MCY/11606022 ")</f>
        <v xml:space="preserve">http://slimages.macys.com/is/image/MCY/11606022 </v>
      </c>
    </row>
    <row r="179" spans="1:12" ht="84" x14ac:dyDescent="0.25">
      <c r="A179" s="7" t="s">
        <v>1118</v>
      </c>
      <c r="B179" s="2" t="s">
        <v>1119</v>
      </c>
      <c r="C179" s="4">
        <v>1</v>
      </c>
      <c r="D179" s="5">
        <v>4.59</v>
      </c>
      <c r="E179" s="5">
        <v>11.99</v>
      </c>
      <c r="F179" s="4" t="s">
        <v>1120</v>
      </c>
      <c r="G179" s="2" t="s">
        <v>476</v>
      </c>
      <c r="H179" s="7" t="s">
        <v>217</v>
      </c>
      <c r="I179" s="2" t="s">
        <v>292</v>
      </c>
      <c r="J179" s="2" t="s">
        <v>293</v>
      </c>
      <c r="K179" s="2" t="s">
        <v>119</v>
      </c>
      <c r="L179" s="8" t="str">
        <f>HYPERLINK("http://slimages.macys.com/is/image/MCY/12685624 ")</f>
        <v xml:space="preserve">http://slimages.macys.com/is/image/MCY/12685624 </v>
      </c>
    </row>
    <row r="180" spans="1:12" ht="84" x14ac:dyDescent="0.25">
      <c r="A180" s="7" t="s">
        <v>1121</v>
      </c>
      <c r="B180" s="2" t="s">
        <v>1122</v>
      </c>
      <c r="C180" s="4">
        <v>1</v>
      </c>
      <c r="D180" s="5">
        <v>4.55</v>
      </c>
      <c r="E180" s="5">
        <v>11.99</v>
      </c>
      <c r="F180" s="4" t="s">
        <v>1123</v>
      </c>
      <c r="G180" s="2" t="s">
        <v>36</v>
      </c>
      <c r="H180" s="7" t="s">
        <v>159</v>
      </c>
      <c r="I180" s="2" t="s">
        <v>523</v>
      </c>
      <c r="J180" s="2" t="s">
        <v>921</v>
      </c>
      <c r="K180" s="2" t="s">
        <v>323</v>
      </c>
      <c r="L180" s="8" t="str">
        <f>HYPERLINK("http://slimages.macys.com/is/image/MCY/8345547 ")</f>
        <v xml:space="preserve">http://slimages.macys.com/is/image/MCY/8345547 </v>
      </c>
    </row>
    <row r="181" spans="1:12" ht="84" x14ac:dyDescent="0.25">
      <c r="A181" s="7" t="s">
        <v>1124</v>
      </c>
      <c r="B181" s="2" t="s">
        <v>1122</v>
      </c>
      <c r="C181" s="4">
        <v>1</v>
      </c>
      <c r="D181" s="5">
        <v>4.55</v>
      </c>
      <c r="E181" s="5">
        <v>11.99</v>
      </c>
      <c r="F181" s="4" t="s">
        <v>1123</v>
      </c>
      <c r="G181" s="2" t="s">
        <v>36</v>
      </c>
      <c r="H181" s="7" t="s">
        <v>196</v>
      </c>
      <c r="I181" s="2" t="s">
        <v>523</v>
      </c>
      <c r="J181" s="2" t="s">
        <v>921</v>
      </c>
      <c r="K181" s="2" t="s">
        <v>323</v>
      </c>
      <c r="L181" s="8" t="str">
        <f>HYPERLINK("http://slimages.macys.com/is/image/MCY/8345547 ")</f>
        <v xml:space="preserve">http://slimages.macys.com/is/image/MCY/8345547 </v>
      </c>
    </row>
    <row r="182" spans="1:12" ht="84" x14ac:dyDescent="0.25">
      <c r="A182" s="7" t="s">
        <v>1125</v>
      </c>
      <c r="B182" s="2" t="s">
        <v>1122</v>
      </c>
      <c r="C182" s="4">
        <v>2</v>
      </c>
      <c r="D182" s="5">
        <v>4.55</v>
      </c>
      <c r="E182" s="5">
        <v>11.99</v>
      </c>
      <c r="F182" s="4" t="s">
        <v>1123</v>
      </c>
      <c r="G182" s="2" t="s">
        <v>36</v>
      </c>
      <c r="H182" s="7" t="s">
        <v>284</v>
      </c>
      <c r="I182" s="2" t="s">
        <v>523</v>
      </c>
      <c r="J182" s="2" t="s">
        <v>921</v>
      </c>
      <c r="K182" s="2" t="s">
        <v>323</v>
      </c>
      <c r="L182" s="8" t="str">
        <f>HYPERLINK("http://slimages.macys.com/is/image/MCY/8345547 ")</f>
        <v xml:space="preserve">http://slimages.macys.com/is/image/MCY/8345547 </v>
      </c>
    </row>
    <row r="183" spans="1:12" ht="84" x14ac:dyDescent="0.25">
      <c r="A183" s="7" t="s">
        <v>1126</v>
      </c>
      <c r="B183" s="2" t="s">
        <v>1127</v>
      </c>
      <c r="C183" s="4">
        <v>11</v>
      </c>
      <c r="D183" s="5">
        <v>4.51</v>
      </c>
      <c r="E183" s="5">
        <v>11.98</v>
      </c>
      <c r="F183" s="4">
        <v>100045787</v>
      </c>
      <c r="G183" s="2" t="s">
        <v>41</v>
      </c>
      <c r="H183" s="7" t="s">
        <v>531</v>
      </c>
      <c r="I183" s="2" t="s">
        <v>483</v>
      </c>
      <c r="J183" s="2" t="s">
        <v>536</v>
      </c>
      <c r="K183" s="2" t="s">
        <v>1128</v>
      </c>
      <c r="L183" s="8" t="str">
        <f>HYPERLINK("http://slimages.macys.com/is/image/MCY/11793226 ")</f>
        <v xml:space="preserve">http://slimages.macys.com/is/image/MCY/11793226 </v>
      </c>
    </row>
    <row r="184" spans="1:12" ht="84" x14ac:dyDescent="0.25">
      <c r="A184" s="7" t="s">
        <v>1129</v>
      </c>
      <c r="B184" s="2" t="s">
        <v>1130</v>
      </c>
      <c r="C184" s="4">
        <v>1</v>
      </c>
      <c r="D184" s="5">
        <v>4.5</v>
      </c>
      <c r="E184" s="5">
        <v>11.99</v>
      </c>
      <c r="F184" s="4" t="s">
        <v>1131</v>
      </c>
      <c r="G184" s="2" t="s">
        <v>657</v>
      </c>
      <c r="H184" s="7" t="s">
        <v>228</v>
      </c>
      <c r="I184" s="2" t="s">
        <v>523</v>
      </c>
      <c r="J184" s="2" t="s">
        <v>921</v>
      </c>
      <c r="K184" s="2" t="s">
        <v>1132</v>
      </c>
      <c r="L184" s="8" t="str">
        <f>HYPERLINK("http://slimages.macys.com/is/image/MCY/9186402 ")</f>
        <v xml:space="preserve">http://slimages.macys.com/is/image/MCY/9186402 </v>
      </c>
    </row>
    <row r="185" spans="1:12" ht="84" x14ac:dyDescent="0.25">
      <c r="A185" s="7" t="s">
        <v>1133</v>
      </c>
      <c r="B185" s="2" t="s">
        <v>1134</v>
      </c>
      <c r="C185" s="4">
        <v>2</v>
      </c>
      <c r="D185" s="5">
        <v>4.4800000000000004</v>
      </c>
      <c r="E185" s="5">
        <v>11.98</v>
      </c>
      <c r="F185" s="4">
        <v>100045786</v>
      </c>
      <c r="G185" s="2" t="s">
        <v>1091</v>
      </c>
      <c r="H185" s="7" t="s">
        <v>531</v>
      </c>
      <c r="I185" s="2" t="s">
        <v>483</v>
      </c>
      <c r="J185" s="2" t="s">
        <v>536</v>
      </c>
      <c r="K185" s="2" t="s">
        <v>125</v>
      </c>
      <c r="L185" s="8" t="str">
        <f>HYPERLINK("http://slimages.macys.com/is/image/MCY/11519674 ")</f>
        <v xml:space="preserve">http://slimages.macys.com/is/image/MCY/11519674 </v>
      </c>
    </row>
    <row r="186" spans="1:12" ht="84" x14ac:dyDescent="0.25">
      <c r="A186" s="7" t="s">
        <v>1135</v>
      </c>
      <c r="B186" s="2" t="s">
        <v>1136</v>
      </c>
      <c r="C186" s="4">
        <v>7</v>
      </c>
      <c r="D186" s="5">
        <v>4.38</v>
      </c>
      <c r="E186" s="5">
        <v>11.98</v>
      </c>
      <c r="F186" s="4">
        <v>10006013400</v>
      </c>
      <c r="G186" s="2" t="s">
        <v>107</v>
      </c>
      <c r="H186" s="7" t="s">
        <v>531</v>
      </c>
      <c r="I186" s="2" t="s">
        <v>483</v>
      </c>
      <c r="J186" s="2" t="s">
        <v>536</v>
      </c>
      <c r="K186" s="2" t="s">
        <v>125</v>
      </c>
      <c r="L186" s="8" t="str">
        <f>HYPERLINK("http://slimages.macys.com/is/image/MCY/12646586 ")</f>
        <v xml:space="preserve">http://slimages.macys.com/is/image/MCY/12646586 </v>
      </c>
    </row>
    <row r="187" spans="1:12" ht="84" x14ac:dyDescent="0.25">
      <c r="A187" s="7" t="s">
        <v>1137</v>
      </c>
      <c r="B187" s="2" t="s">
        <v>1122</v>
      </c>
      <c r="C187" s="4">
        <v>2</v>
      </c>
      <c r="D187" s="5">
        <v>4.3499999999999996</v>
      </c>
      <c r="E187" s="5">
        <v>10.99</v>
      </c>
      <c r="F187" s="4" t="s">
        <v>1123</v>
      </c>
      <c r="G187" s="2" t="s">
        <v>892</v>
      </c>
      <c r="H187" s="7" t="s">
        <v>159</v>
      </c>
      <c r="I187" s="2" t="s">
        <v>523</v>
      </c>
      <c r="J187" s="2" t="s">
        <v>921</v>
      </c>
      <c r="K187" s="2" t="s">
        <v>323</v>
      </c>
      <c r="L187" s="8" t="str">
        <f>HYPERLINK("http://slimages.macys.com/is/image/MCY/11722264 ")</f>
        <v xml:space="preserve">http://slimages.macys.com/is/image/MCY/11722264 </v>
      </c>
    </row>
    <row r="188" spans="1:12" ht="84" x14ac:dyDescent="0.25">
      <c r="A188" s="7" t="s">
        <v>1138</v>
      </c>
      <c r="B188" s="2" t="s">
        <v>1139</v>
      </c>
      <c r="C188" s="4">
        <v>1</v>
      </c>
      <c r="D188" s="5">
        <v>4.3099999999999996</v>
      </c>
      <c r="E188" s="5">
        <v>10.99</v>
      </c>
      <c r="F188" s="4" t="s">
        <v>1140</v>
      </c>
      <c r="G188" s="2" t="s">
        <v>62</v>
      </c>
      <c r="H188" s="7" t="s">
        <v>159</v>
      </c>
      <c r="I188" s="2" t="s">
        <v>389</v>
      </c>
      <c r="J188" s="2" t="s">
        <v>354</v>
      </c>
      <c r="K188" s="2" t="s">
        <v>358</v>
      </c>
      <c r="L188" s="8" t="str">
        <f>HYPERLINK("http://slimages.macys.com/is/image/MCY/11855530 ")</f>
        <v xml:space="preserve">http://slimages.macys.com/is/image/MCY/11855530 </v>
      </c>
    </row>
    <row r="189" spans="1:12" ht="84" x14ac:dyDescent="0.25">
      <c r="A189" s="7" t="s">
        <v>1141</v>
      </c>
      <c r="B189" s="2" t="s">
        <v>1122</v>
      </c>
      <c r="C189" s="4">
        <v>1</v>
      </c>
      <c r="D189" s="5">
        <v>4.2</v>
      </c>
      <c r="E189" s="5">
        <v>11.99</v>
      </c>
      <c r="F189" s="4" t="s">
        <v>1123</v>
      </c>
      <c r="G189" s="2" t="s">
        <v>41</v>
      </c>
      <c r="H189" s="7" t="s">
        <v>196</v>
      </c>
      <c r="I189" s="2" t="s">
        <v>523</v>
      </c>
      <c r="J189" s="2" t="s">
        <v>921</v>
      </c>
      <c r="K189" s="2" t="s">
        <v>323</v>
      </c>
      <c r="L189" s="8" t="str">
        <f>HYPERLINK("http://slimages.macys.com/is/image/MCY/11722264 ")</f>
        <v xml:space="preserve">http://slimages.macys.com/is/image/MCY/11722264 </v>
      </c>
    </row>
    <row r="190" spans="1:12" ht="84" x14ac:dyDescent="0.25">
      <c r="A190" s="7" t="s">
        <v>1142</v>
      </c>
      <c r="B190" s="2" t="s">
        <v>1143</v>
      </c>
      <c r="C190" s="4">
        <v>1</v>
      </c>
      <c r="D190" s="5">
        <v>4.08</v>
      </c>
      <c r="E190" s="5">
        <v>10.99</v>
      </c>
      <c r="F190" s="4" t="s">
        <v>1144</v>
      </c>
      <c r="G190" s="2" t="s">
        <v>86</v>
      </c>
      <c r="H190" s="7" t="s">
        <v>42</v>
      </c>
      <c r="I190" s="2" t="s">
        <v>483</v>
      </c>
      <c r="J190" s="2" t="s">
        <v>536</v>
      </c>
      <c r="K190" s="2" t="s">
        <v>206</v>
      </c>
      <c r="L190" s="8" t="str">
        <f>HYPERLINK("http://slimages.macys.com/is/image/MCY/11857595 ")</f>
        <v xml:space="preserve">http://slimages.macys.com/is/image/MCY/11857595 </v>
      </c>
    </row>
    <row r="191" spans="1:12" ht="84" x14ac:dyDescent="0.25">
      <c r="A191" s="7" t="s">
        <v>1145</v>
      </c>
      <c r="B191" s="2" t="s">
        <v>1146</v>
      </c>
      <c r="C191" s="4">
        <v>6</v>
      </c>
      <c r="D191" s="5">
        <v>4.03</v>
      </c>
      <c r="E191" s="5">
        <v>11.98</v>
      </c>
      <c r="F191" s="4">
        <v>10006013300</v>
      </c>
      <c r="G191" s="2" t="s">
        <v>1147</v>
      </c>
      <c r="H191" s="7" t="s">
        <v>531</v>
      </c>
      <c r="I191" s="2" t="s">
        <v>483</v>
      </c>
      <c r="J191" s="2" t="s">
        <v>536</v>
      </c>
      <c r="K191" s="2" t="s">
        <v>125</v>
      </c>
      <c r="L191" s="8" t="str">
        <f>HYPERLINK("http://slimages.macys.com/is/image/MCY/12465711 ")</f>
        <v xml:space="preserve">http://slimages.macys.com/is/image/MCY/12465711 </v>
      </c>
    </row>
    <row r="192" spans="1:12" ht="84" x14ac:dyDescent="0.25">
      <c r="A192" s="7" t="s">
        <v>1148</v>
      </c>
      <c r="B192" s="2" t="s">
        <v>1149</v>
      </c>
      <c r="C192" s="4">
        <v>1</v>
      </c>
      <c r="D192" s="5">
        <v>4.01</v>
      </c>
      <c r="E192" s="5">
        <v>9.99</v>
      </c>
      <c r="F192" s="4" t="s">
        <v>1150</v>
      </c>
      <c r="G192" s="2" t="s">
        <v>858</v>
      </c>
      <c r="H192" s="7" t="s">
        <v>1151</v>
      </c>
      <c r="I192" s="2" t="s">
        <v>515</v>
      </c>
      <c r="J192" s="2" t="s">
        <v>875</v>
      </c>
      <c r="K192" s="2" t="s">
        <v>119</v>
      </c>
      <c r="L192" s="8" t="str">
        <f>HYPERLINK("http://slimages.macys.com/is/image/MCY/12387459 ")</f>
        <v xml:space="preserve">http://slimages.macys.com/is/image/MCY/12387459 </v>
      </c>
    </row>
    <row r="193" spans="1:12" ht="84" x14ac:dyDescent="0.25">
      <c r="A193" s="7" t="s">
        <v>1152</v>
      </c>
      <c r="B193" s="2" t="s">
        <v>1153</v>
      </c>
      <c r="C193" s="4">
        <v>1</v>
      </c>
      <c r="D193" s="5">
        <v>4</v>
      </c>
      <c r="E193" s="5">
        <v>9.99</v>
      </c>
      <c r="F193" s="4" t="s">
        <v>1154</v>
      </c>
      <c r="G193" s="2" t="s">
        <v>86</v>
      </c>
      <c r="H193" s="7" t="s">
        <v>217</v>
      </c>
      <c r="I193" s="2" t="s">
        <v>468</v>
      </c>
      <c r="J193" s="2" t="s">
        <v>469</v>
      </c>
      <c r="K193" s="2" t="s">
        <v>119</v>
      </c>
      <c r="L193" s="8" t="str">
        <f>HYPERLINK("http://slimages.macys.com/is/image/MCY/12506792 ")</f>
        <v xml:space="preserve">http://slimages.macys.com/is/image/MCY/12506792 </v>
      </c>
    </row>
    <row r="194" spans="1:12" ht="84" x14ac:dyDescent="0.25">
      <c r="A194" s="7" t="s">
        <v>1155</v>
      </c>
      <c r="B194" s="2" t="s">
        <v>1156</v>
      </c>
      <c r="C194" s="4">
        <v>2</v>
      </c>
      <c r="D194" s="5">
        <v>3.89</v>
      </c>
      <c r="E194" s="5">
        <v>11.98</v>
      </c>
      <c r="F194" s="4">
        <v>100002522</v>
      </c>
      <c r="G194" s="2" t="s">
        <v>800</v>
      </c>
      <c r="H194" s="7" t="s">
        <v>531</v>
      </c>
      <c r="I194" s="2" t="s">
        <v>483</v>
      </c>
      <c r="J194" s="2" t="s">
        <v>536</v>
      </c>
      <c r="K194" s="2" t="s">
        <v>1157</v>
      </c>
      <c r="L194" s="8" t="str">
        <f>HYPERLINK("http://slimages.macys.com/is/image/MCY/8691442 ")</f>
        <v xml:space="preserve">http://slimages.macys.com/is/image/MCY/8691442 </v>
      </c>
    </row>
    <row r="195" spans="1:12" ht="84" x14ac:dyDescent="0.25">
      <c r="A195" s="7" t="s">
        <v>1158</v>
      </c>
      <c r="B195" s="2" t="s">
        <v>1159</v>
      </c>
      <c r="C195" s="4">
        <v>3</v>
      </c>
      <c r="D195" s="5">
        <v>3.78</v>
      </c>
      <c r="E195" s="5">
        <v>11.98</v>
      </c>
      <c r="F195" s="4">
        <v>100002524</v>
      </c>
      <c r="G195" s="2" t="s">
        <v>1160</v>
      </c>
      <c r="H195" s="7" t="s">
        <v>531</v>
      </c>
      <c r="I195" s="2" t="s">
        <v>483</v>
      </c>
      <c r="J195" s="2" t="s">
        <v>536</v>
      </c>
      <c r="K195" s="2" t="s">
        <v>125</v>
      </c>
      <c r="L195" s="8" t="str">
        <f>HYPERLINK("http://slimages.macys.com/is/image/MCY/8691446 ")</f>
        <v xml:space="preserve">http://slimages.macys.com/is/image/MCY/8691446 </v>
      </c>
    </row>
    <row r="196" spans="1:12" ht="84" x14ac:dyDescent="0.25">
      <c r="A196" s="7" t="s">
        <v>1161</v>
      </c>
      <c r="B196" s="2" t="s">
        <v>1162</v>
      </c>
      <c r="C196" s="4">
        <v>1</v>
      </c>
      <c r="D196" s="5">
        <v>3.5</v>
      </c>
      <c r="E196" s="5">
        <v>7.99</v>
      </c>
      <c r="F196" s="4">
        <v>18184510</v>
      </c>
      <c r="G196" s="2" t="s">
        <v>41</v>
      </c>
      <c r="H196" s="7" t="s">
        <v>91</v>
      </c>
      <c r="I196" s="2" t="s">
        <v>153</v>
      </c>
      <c r="J196" s="2" t="s">
        <v>154</v>
      </c>
      <c r="K196" s="2" t="s">
        <v>38</v>
      </c>
      <c r="L196" s="8" t="str">
        <f>HYPERLINK("http://slimages.macys.com/is/image/MCY/13852969 ")</f>
        <v xml:space="preserve">http://slimages.macys.com/is/image/MCY/13852969 </v>
      </c>
    </row>
    <row r="197" spans="1:12" ht="84" x14ac:dyDescent="0.25">
      <c r="A197" s="7" t="s">
        <v>1163</v>
      </c>
      <c r="B197" s="2" t="s">
        <v>1164</v>
      </c>
      <c r="C197" s="4">
        <v>1</v>
      </c>
      <c r="D197" s="5">
        <v>3.49</v>
      </c>
      <c r="E197" s="5">
        <v>7.99</v>
      </c>
      <c r="F197" s="4" t="s">
        <v>1165</v>
      </c>
      <c r="G197" s="2" t="s">
        <v>353</v>
      </c>
      <c r="H197" s="7" t="s">
        <v>1151</v>
      </c>
      <c r="I197" s="2" t="s">
        <v>292</v>
      </c>
      <c r="J197" s="2" t="s">
        <v>354</v>
      </c>
      <c r="K197" s="2" t="s">
        <v>119</v>
      </c>
      <c r="L197" s="8" t="str">
        <f>HYPERLINK("http://slimages.macys.com/is/image/MCY/13077249 ")</f>
        <v xml:space="preserve">http://slimages.macys.com/is/image/MCY/13077249 </v>
      </c>
    </row>
    <row r="198" spans="1:12" ht="84" x14ac:dyDescent="0.25">
      <c r="A198" s="7" t="s">
        <v>1166</v>
      </c>
      <c r="B198" s="2" t="s">
        <v>1167</v>
      </c>
      <c r="C198" s="4">
        <v>2</v>
      </c>
      <c r="D198" s="5">
        <v>3.46</v>
      </c>
      <c r="E198" s="5">
        <v>8.99</v>
      </c>
      <c r="F198" s="4" t="s">
        <v>1168</v>
      </c>
      <c r="G198" s="2" t="s">
        <v>793</v>
      </c>
      <c r="H198" s="7" t="s">
        <v>531</v>
      </c>
      <c r="I198" s="2" t="s">
        <v>483</v>
      </c>
      <c r="J198" s="2" t="s">
        <v>484</v>
      </c>
      <c r="K198" s="2" t="s">
        <v>532</v>
      </c>
      <c r="L198" s="8" t="str">
        <f>HYPERLINK("http://slimages.macys.com/is/image/MCY/8549849 ")</f>
        <v xml:space="preserve">http://slimages.macys.com/is/image/MCY/8549849 </v>
      </c>
    </row>
    <row r="199" spans="1:12" ht="84" x14ac:dyDescent="0.25">
      <c r="A199" s="7" t="s">
        <v>1169</v>
      </c>
      <c r="B199" s="2" t="s">
        <v>1170</v>
      </c>
      <c r="C199" s="4">
        <v>3</v>
      </c>
      <c r="D199" s="5">
        <v>3.46</v>
      </c>
      <c r="E199" s="5">
        <v>8.99</v>
      </c>
      <c r="F199" s="4" t="s">
        <v>1171</v>
      </c>
      <c r="G199" s="2" t="s">
        <v>41</v>
      </c>
      <c r="H199" s="7" t="s">
        <v>531</v>
      </c>
      <c r="I199" s="2" t="s">
        <v>483</v>
      </c>
      <c r="J199" s="2" t="s">
        <v>484</v>
      </c>
      <c r="K199" s="2" t="s">
        <v>532</v>
      </c>
      <c r="L199" s="8" t="str">
        <f>HYPERLINK("http://slimages.macys.com/is/image/MCY/8484391 ")</f>
        <v xml:space="preserve">http://slimages.macys.com/is/image/MCY/8484391 </v>
      </c>
    </row>
    <row r="200" spans="1:12" ht="84" x14ac:dyDescent="0.25">
      <c r="A200" s="7" t="s">
        <v>562</v>
      </c>
      <c r="B200" s="2" t="s">
        <v>563</v>
      </c>
      <c r="C200" s="4">
        <v>38</v>
      </c>
      <c r="D200" s="5">
        <v>3.46</v>
      </c>
      <c r="E200" s="5">
        <v>8.99</v>
      </c>
      <c r="F200" s="4">
        <v>100007426</v>
      </c>
      <c r="G200" s="2" t="s">
        <v>41</v>
      </c>
      <c r="H200" s="7" t="s">
        <v>531</v>
      </c>
      <c r="I200" s="2" t="s">
        <v>483</v>
      </c>
      <c r="J200" s="2" t="s">
        <v>484</v>
      </c>
      <c r="K200" s="2" t="s">
        <v>119</v>
      </c>
      <c r="L200" s="8" t="str">
        <f>HYPERLINK("http://slimages.macys.com/is/image/MCY/9157888 ")</f>
        <v xml:space="preserve">http://slimages.macys.com/is/image/MCY/9157888 </v>
      </c>
    </row>
    <row r="201" spans="1:12" ht="84" x14ac:dyDescent="0.25">
      <c r="A201" s="7" t="s">
        <v>1172</v>
      </c>
      <c r="B201" s="2" t="s">
        <v>1173</v>
      </c>
      <c r="C201" s="4">
        <v>1</v>
      </c>
      <c r="D201" s="5">
        <v>3.4</v>
      </c>
      <c r="E201" s="5">
        <v>6.99</v>
      </c>
      <c r="F201" s="4">
        <v>7128</v>
      </c>
      <c r="G201" s="2" t="s">
        <v>86</v>
      </c>
      <c r="H201" s="7" t="s">
        <v>196</v>
      </c>
      <c r="I201" s="2" t="s">
        <v>523</v>
      </c>
      <c r="J201" s="2" t="s">
        <v>969</v>
      </c>
      <c r="K201" s="2" t="s">
        <v>1036</v>
      </c>
      <c r="L201" s="8" t="str">
        <f>HYPERLINK("http://slimages.macys.com/is/image/MCY/14718518 ")</f>
        <v xml:space="preserve">http://slimages.macys.com/is/image/MCY/14718518 </v>
      </c>
    </row>
    <row r="202" spans="1:12" ht="84" x14ac:dyDescent="0.25">
      <c r="A202" s="7" t="s">
        <v>1174</v>
      </c>
      <c r="B202" s="2" t="s">
        <v>1173</v>
      </c>
      <c r="C202" s="4">
        <v>1</v>
      </c>
      <c r="D202" s="5">
        <v>3.4</v>
      </c>
      <c r="E202" s="5">
        <v>6.99</v>
      </c>
      <c r="F202" s="4">
        <v>7128</v>
      </c>
      <c r="G202" s="2" t="s">
        <v>103</v>
      </c>
      <c r="H202" s="7" t="s">
        <v>196</v>
      </c>
      <c r="I202" s="2" t="s">
        <v>523</v>
      </c>
      <c r="J202" s="2" t="s">
        <v>969</v>
      </c>
      <c r="K202" s="2" t="s">
        <v>1036</v>
      </c>
      <c r="L202" s="8" t="str">
        <f>HYPERLINK("http://slimages.macys.com/is/image/MCY/14718518 ")</f>
        <v xml:space="preserve">http://slimages.macys.com/is/image/MCY/14718518 </v>
      </c>
    </row>
    <row r="203" spans="1:12" ht="84" x14ac:dyDescent="0.25">
      <c r="A203" s="7" t="s">
        <v>1175</v>
      </c>
      <c r="B203" s="2" t="s">
        <v>1176</v>
      </c>
      <c r="C203" s="4">
        <v>2</v>
      </c>
      <c r="D203" s="5">
        <v>3.21</v>
      </c>
      <c r="E203" s="5">
        <v>7.99</v>
      </c>
      <c r="F203" s="4" t="s">
        <v>1177</v>
      </c>
      <c r="G203" s="2" t="s">
        <v>527</v>
      </c>
      <c r="H203" s="7" t="s">
        <v>514</v>
      </c>
      <c r="I203" s="2" t="s">
        <v>483</v>
      </c>
      <c r="J203" s="2" t="s">
        <v>536</v>
      </c>
      <c r="K203" s="2" t="s">
        <v>119</v>
      </c>
      <c r="L203" s="8" t="str">
        <f>HYPERLINK("http://slimages.macys.com/is/image/MCY/13987326 ")</f>
        <v xml:space="preserve">http://slimages.macys.com/is/image/MCY/13987326 </v>
      </c>
    </row>
    <row r="204" spans="1:12" ht="84" x14ac:dyDescent="0.25">
      <c r="A204" s="7" t="s">
        <v>1178</v>
      </c>
      <c r="B204" s="2" t="s">
        <v>1176</v>
      </c>
      <c r="C204" s="4">
        <v>1</v>
      </c>
      <c r="D204" s="5">
        <v>3.21</v>
      </c>
      <c r="E204" s="5">
        <v>7.99</v>
      </c>
      <c r="F204" s="4" t="s">
        <v>1177</v>
      </c>
      <c r="G204" s="2" t="s">
        <v>527</v>
      </c>
      <c r="H204" s="7" t="s">
        <v>1151</v>
      </c>
      <c r="I204" s="2" t="s">
        <v>483</v>
      </c>
      <c r="J204" s="2" t="s">
        <v>536</v>
      </c>
      <c r="K204" s="2" t="s">
        <v>119</v>
      </c>
      <c r="L204" s="8" t="str">
        <f>HYPERLINK("http://slimages.macys.com/is/image/MCY/13987326 ")</f>
        <v xml:space="preserve">http://slimages.macys.com/is/image/MCY/13987326 </v>
      </c>
    </row>
    <row r="205" spans="1:12" ht="84" x14ac:dyDescent="0.25">
      <c r="A205" s="7" t="s">
        <v>584</v>
      </c>
      <c r="B205" s="2" t="s">
        <v>585</v>
      </c>
      <c r="C205" s="4">
        <v>1</v>
      </c>
      <c r="D205" s="5">
        <v>3.14</v>
      </c>
      <c r="E205" s="5">
        <v>7.99</v>
      </c>
      <c r="F205" s="4">
        <v>10004192500</v>
      </c>
      <c r="G205" s="2" t="s">
        <v>171</v>
      </c>
      <c r="H205" s="7" t="s">
        <v>586</v>
      </c>
      <c r="I205" s="2" t="s">
        <v>483</v>
      </c>
      <c r="J205" s="2" t="s">
        <v>536</v>
      </c>
      <c r="K205" s="2" t="s">
        <v>75</v>
      </c>
      <c r="L205" s="8" t="str">
        <f>HYPERLINK("http://slimages.macys.com/is/image/MCY/11519409 ")</f>
        <v xml:space="preserve">http://slimages.macys.com/is/image/MCY/11519409 </v>
      </c>
    </row>
    <row r="206" spans="1:12" ht="84" x14ac:dyDescent="0.25">
      <c r="A206" s="7" t="s">
        <v>1179</v>
      </c>
      <c r="B206" s="2" t="s">
        <v>1180</v>
      </c>
      <c r="C206" s="4">
        <v>1</v>
      </c>
      <c r="D206" s="5">
        <v>3.05</v>
      </c>
      <c r="E206" s="5">
        <v>7.99</v>
      </c>
      <c r="F206" s="4" t="s">
        <v>1181</v>
      </c>
      <c r="G206" s="2" t="s">
        <v>41</v>
      </c>
      <c r="H206" s="7" t="s">
        <v>514</v>
      </c>
      <c r="I206" s="2" t="s">
        <v>483</v>
      </c>
      <c r="J206" s="2" t="s">
        <v>536</v>
      </c>
      <c r="K206" s="2" t="s">
        <v>38</v>
      </c>
      <c r="L206" s="8" t="str">
        <f>HYPERLINK("http://slimages.macys.com/is/image/MCY/13337374 ")</f>
        <v xml:space="preserve">http://slimages.macys.com/is/image/MCY/13337374 </v>
      </c>
    </row>
    <row r="207" spans="1:12" ht="84" x14ac:dyDescent="0.25">
      <c r="A207" s="7" t="s">
        <v>1182</v>
      </c>
      <c r="B207" s="2" t="s">
        <v>1183</v>
      </c>
      <c r="C207" s="4">
        <v>3</v>
      </c>
      <c r="D207" s="5">
        <v>3.03</v>
      </c>
      <c r="E207" s="5">
        <v>7.99</v>
      </c>
      <c r="F207" s="4" t="s">
        <v>1184</v>
      </c>
      <c r="G207" s="2" t="s">
        <v>41</v>
      </c>
      <c r="H207" s="7" t="s">
        <v>514</v>
      </c>
      <c r="I207" s="2" t="s">
        <v>483</v>
      </c>
      <c r="J207" s="2" t="s">
        <v>536</v>
      </c>
      <c r="K207" s="2" t="s">
        <v>38</v>
      </c>
      <c r="L207" s="8" t="str">
        <f>HYPERLINK("http://slimages.macys.com/is/image/MCY/13987599 ")</f>
        <v xml:space="preserve">http://slimages.macys.com/is/image/MCY/13987599 </v>
      </c>
    </row>
    <row r="208" spans="1:12" ht="84" x14ac:dyDescent="0.25">
      <c r="A208" s="7" t="s">
        <v>1185</v>
      </c>
      <c r="B208" s="2" t="s">
        <v>1186</v>
      </c>
      <c r="C208" s="4">
        <v>3</v>
      </c>
      <c r="D208" s="5">
        <v>3.03</v>
      </c>
      <c r="E208" s="5">
        <v>7.99</v>
      </c>
      <c r="F208" s="4" t="s">
        <v>1187</v>
      </c>
      <c r="G208" s="2" t="s">
        <v>41</v>
      </c>
      <c r="H208" s="7" t="s">
        <v>514</v>
      </c>
      <c r="I208" s="2" t="s">
        <v>483</v>
      </c>
      <c r="J208" s="2" t="s">
        <v>536</v>
      </c>
      <c r="K208" s="2" t="s">
        <v>100</v>
      </c>
      <c r="L208" s="8" t="str">
        <f>HYPERLINK("http://slimages.macys.com/is/image/MCY/13337544 ")</f>
        <v xml:space="preserve">http://slimages.macys.com/is/image/MCY/13337544 </v>
      </c>
    </row>
    <row r="209" spans="1:12" ht="84" x14ac:dyDescent="0.25">
      <c r="A209" s="7" t="s">
        <v>1188</v>
      </c>
      <c r="B209" s="2" t="s">
        <v>1186</v>
      </c>
      <c r="C209" s="4">
        <v>1</v>
      </c>
      <c r="D209" s="5">
        <v>3.03</v>
      </c>
      <c r="E209" s="5">
        <v>7.99</v>
      </c>
      <c r="F209" s="4" t="s">
        <v>1187</v>
      </c>
      <c r="G209" s="2" t="s">
        <v>41</v>
      </c>
      <c r="H209" s="7" t="s">
        <v>578</v>
      </c>
      <c r="I209" s="2" t="s">
        <v>483</v>
      </c>
      <c r="J209" s="2" t="s">
        <v>536</v>
      </c>
      <c r="K209" s="2" t="s">
        <v>100</v>
      </c>
      <c r="L209" s="8" t="str">
        <f>HYPERLINK("http://slimages.macys.com/is/image/MCY/13337544 ")</f>
        <v xml:space="preserve">http://slimages.macys.com/is/image/MCY/13337544 </v>
      </c>
    </row>
    <row r="210" spans="1:12" ht="84" x14ac:dyDescent="0.25">
      <c r="A210" s="7" t="s">
        <v>1189</v>
      </c>
      <c r="B210" s="2" t="s">
        <v>1190</v>
      </c>
      <c r="C210" s="4">
        <v>2</v>
      </c>
      <c r="D210" s="5">
        <v>3.01</v>
      </c>
      <c r="E210" s="5">
        <v>7.99</v>
      </c>
      <c r="F210" s="4" t="s">
        <v>1191</v>
      </c>
      <c r="G210" s="2" t="s">
        <v>527</v>
      </c>
      <c r="H210" s="7" t="s">
        <v>514</v>
      </c>
      <c r="I210" s="2" t="s">
        <v>483</v>
      </c>
      <c r="J210" s="2" t="s">
        <v>536</v>
      </c>
      <c r="K210" s="2" t="s">
        <v>206</v>
      </c>
      <c r="L210" s="8" t="str">
        <f>HYPERLINK("http://slimages.macys.com/is/image/MCY/13336562 ")</f>
        <v xml:space="preserve">http://slimages.macys.com/is/image/MCY/13336562 </v>
      </c>
    </row>
    <row r="211" spans="1:12" ht="84" x14ac:dyDescent="0.25">
      <c r="A211" s="7" t="s">
        <v>1192</v>
      </c>
      <c r="B211" s="2" t="s">
        <v>1193</v>
      </c>
      <c r="C211" s="4">
        <v>1</v>
      </c>
      <c r="D211" s="5">
        <v>3.01</v>
      </c>
      <c r="E211" s="5">
        <v>7.99</v>
      </c>
      <c r="F211" s="4" t="s">
        <v>1194</v>
      </c>
      <c r="G211" s="2" t="s">
        <v>1147</v>
      </c>
      <c r="H211" s="7" t="s">
        <v>1151</v>
      </c>
      <c r="I211" s="2" t="s">
        <v>483</v>
      </c>
      <c r="J211" s="2" t="s">
        <v>536</v>
      </c>
      <c r="K211" s="2" t="s">
        <v>100</v>
      </c>
      <c r="L211" s="8" t="str">
        <f>HYPERLINK("http://slimages.macys.com/is/image/MCY/13987297 ")</f>
        <v xml:space="preserve">http://slimages.macys.com/is/image/MCY/13987297 </v>
      </c>
    </row>
    <row r="212" spans="1:12" ht="84" x14ac:dyDescent="0.25">
      <c r="A212" s="7" t="s">
        <v>1195</v>
      </c>
      <c r="B212" s="2" t="s">
        <v>1196</v>
      </c>
      <c r="C212" s="4">
        <v>3</v>
      </c>
      <c r="D212" s="5">
        <v>2.98</v>
      </c>
      <c r="E212" s="5">
        <v>7.99</v>
      </c>
      <c r="F212" s="4" t="s">
        <v>1197</v>
      </c>
      <c r="G212" s="2" t="s">
        <v>297</v>
      </c>
      <c r="H212" s="7" t="s">
        <v>514</v>
      </c>
      <c r="I212" s="2" t="s">
        <v>483</v>
      </c>
      <c r="J212" s="2" t="s">
        <v>536</v>
      </c>
      <c r="K212" s="2" t="s">
        <v>100</v>
      </c>
      <c r="L212" s="8" t="str">
        <f>HYPERLINK("http://slimages.macys.com/is/image/MCY/14384900 ")</f>
        <v xml:space="preserve">http://slimages.macys.com/is/image/MCY/14384900 </v>
      </c>
    </row>
    <row r="213" spans="1:12" ht="84" x14ac:dyDescent="0.25">
      <c r="A213" s="7" t="s">
        <v>1198</v>
      </c>
      <c r="B213" s="2" t="s">
        <v>1199</v>
      </c>
      <c r="C213" s="4">
        <v>1</v>
      </c>
      <c r="D213" s="5">
        <v>2.94</v>
      </c>
      <c r="E213" s="5">
        <v>7.99</v>
      </c>
      <c r="F213" s="4" t="s">
        <v>1200</v>
      </c>
      <c r="G213" s="2" t="s">
        <v>41</v>
      </c>
      <c r="H213" s="7" t="s">
        <v>1151</v>
      </c>
      <c r="I213" s="2" t="s">
        <v>483</v>
      </c>
      <c r="J213" s="2" t="s">
        <v>536</v>
      </c>
      <c r="K213" s="2" t="s">
        <v>206</v>
      </c>
      <c r="L213" s="8" t="str">
        <f>HYPERLINK("http://slimages.macys.com/is/image/MCY/13337388 ")</f>
        <v xml:space="preserve">http://slimages.macys.com/is/image/MCY/13337388 </v>
      </c>
    </row>
    <row r="214" spans="1:12" ht="84" x14ac:dyDescent="0.25">
      <c r="A214" s="7" t="s">
        <v>1201</v>
      </c>
      <c r="B214" s="2" t="s">
        <v>1202</v>
      </c>
      <c r="C214" s="4">
        <v>1</v>
      </c>
      <c r="D214" s="5">
        <v>2.94</v>
      </c>
      <c r="E214" s="5">
        <v>6.99</v>
      </c>
      <c r="F214" s="4" t="s">
        <v>1203</v>
      </c>
      <c r="G214" s="2" t="s">
        <v>86</v>
      </c>
      <c r="H214" s="7" t="s">
        <v>149</v>
      </c>
      <c r="I214" s="2" t="s">
        <v>483</v>
      </c>
      <c r="J214" s="2" t="s">
        <v>536</v>
      </c>
      <c r="K214" s="2" t="s">
        <v>119</v>
      </c>
      <c r="L214" s="8" t="str">
        <f>HYPERLINK("http://slimages.macys.com/is/image/MCY/14384895 ")</f>
        <v xml:space="preserve">http://slimages.macys.com/is/image/MCY/14384895 </v>
      </c>
    </row>
    <row r="215" spans="1:12" ht="84" x14ac:dyDescent="0.25">
      <c r="A215" s="7" t="s">
        <v>1204</v>
      </c>
      <c r="B215" s="2" t="s">
        <v>1205</v>
      </c>
      <c r="C215" s="4">
        <v>9</v>
      </c>
      <c r="D215" s="5">
        <v>2.87</v>
      </c>
      <c r="E215" s="5">
        <v>7.99</v>
      </c>
      <c r="F215" s="4" t="s">
        <v>1206</v>
      </c>
      <c r="G215" s="2" t="s">
        <v>437</v>
      </c>
      <c r="H215" s="7" t="s">
        <v>531</v>
      </c>
      <c r="I215" s="2" t="s">
        <v>483</v>
      </c>
      <c r="J215" s="2" t="s">
        <v>536</v>
      </c>
      <c r="K215" s="2" t="s">
        <v>1207</v>
      </c>
      <c r="L215" s="8" t="str">
        <f>HYPERLINK("http://slimages.macys.com/is/image/MCY/12466264 ")</f>
        <v xml:space="preserve">http://slimages.macys.com/is/image/MCY/12466264 </v>
      </c>
    </row>
    <row r="216" spans="1:12" ht="84" x14ac:dyDescent="0.25">
      <c r="A216" s="7" t="s">
        <v>1208</v>
      </c>
      <c r="B216" s="2" t="s">
        <v>1209</v>
      </c>
      <c r="C216" s="4">
        <v>3</v>
      </c>
      <c r="D216" s="5">
        <v>2.85</v>
      </c>
      <c r="E216" s="5">
        <v>4.99</v>
      </c>
      <c r="F216" s="4">
        <v>4114</v>
      </c>
      <c r="G216" s="2" t="s">
        <v>653</v>
      </c>
      <c r="H216" s="7" t="s">
        <v>228</v>
      </c>
      <c r="I216" s="2" t="s">
        <v>523</v>
      </c>
      <c r="J216" s="2" t="s">
        <v>921</v>
      </c>
      <c r="K216" s="2" t="s">
        <v>323</v>
      </c>
      <c r="L216" s="8" t="str">
        <f>HYPERLINK("http://slimages.macys.com/is/image/MCY/13050228 ")</f>
        <v xml:space="preserve">http://slimages.macys.com/is/image/MCY/13050228 </v>
      </c>
    </row>
    <row r="217" spans="1:12" ht="84" x14ac:dyDescent="0.25">
      <c r="A217" s="7" t="s">
        <v>1210</v>
      </c>
      <c r="B217" s="2" t="s">
        <v>1209</v>
      </c>
      <c r="C217" s="4">
        <v>3</v>
      </c>
      <c r="D217" s="5">
        <v>2.85</v>
      </c>
      <c r="E217" s="5">
        <v>4.99</v>
      </c>
      <c r="F217" s="4">
        <v>4114</v>
      </c>
      <c r="G217" s="2" t="s">
        <v>653</v>
      </c>
      <c r="H217" s="7" t="s">
        <v>196</v>
      </c>
      <c r="I217" s="2" t="s">
        <v>523</v>
      </c>
      <c r="J217" s="2" t="s">
        <v>921</v>
      </c>
      <c r="K217" s="2" t="s">
        <v>323</v>
      </c>
      <c r="L217" s="8" t="str">
        <f>HYPERLINK("http://slimages.macys.com/is/image/MCY/13050228 ")</f>
        <v xml:space="preserve">http://slimages.macys.com/is/image/MCY/13050228 </v>
      </c>
    </row>
    <row r="218" spans="1:12" ht="84" x14ac:dyDescent="0.25">
      <c r="A218" s="7" t="s">
        <v>1211</v>
      </c>
      <c r="B218" s="2" t="s">
        <v>1209</v>
      </c>
      <c r="C218" s="4">
        <v>1</v>
      </c>
      <c r="D218" s="5">
        <v>2.85</v>
      </c>
      <c r="E218" s="5">
        <v>4.99</v>
      </c>
      <c r="F218" s="4">
        <v>4114</v>
      </c>
      <c r="G218" s="2" t="s">
        <v>653</v>
      </c>
      <c r="H218" s="7" t="s">
        <v>159</v>
      </c>
      <c r="I218" s="2" t="s">
        <v>523</v>
      </c>
      <c r="J218" s="2" t="s">
        <v>921</v>
      </c>
      <c r="K218" s="2" t="s">
        <v>323</v>
      </c>
      <c r="L218" s="8" t="str">
        <f>HYPERLINK("http://slimages.macys.com/is/image/MCY/13050228 ")</f>
        <v xml:space="preserve">http://slimages.macys.com/is/image/MCY/13050228 </v>
      </c>
    </row>
    <row r="219" spans="1:12" ht="84" x14ac:dyDescent="0.25">
      <c r="A219" s="7" t="s">
        <v>1212</v>
      </c>
      <c r="B219" s="2" t="s">
        <v>1213</v>
      </c>
      <c r="C219" s="4">
        <v>1</v>
      </c>
      <c r="D219" s="5">
        <v>2.82</v>
      </c>
      <c r="E219" s="5">
        <v>7.99</v>
      </c>
      <c r="F219" s="4" t="s">
        <v>1214</v>
      </c>
      <c r="G219" s="2" t="s">
        <v>657</v>
      </c>
      <c r="H219" s="7" t="s">
        <v>1151</v>
      </c>
      <c r="I219" s="2" t="s">
        <v>483</v>
      </c>
      <c r="J219" s="2" t="s">
        <v>536</v>
      </c>
      <c r="K219" s="2" t="s">
        <v>119</v>
      </c>
      <c r="L219" s="8" t="str">
        <f>HYPERLINK("http://slimages.macys.com/is/image/MCY/13987252 ")</f>
        <v xml:space="preserve">http://slimages.macys.com/is/image/MCY/13987252 </v>
      </c>
    </row>
    <row r="220" spans="1:12" ht="84" x14ac:dyDescent="0.25">
      <c r="A220" s="7" t="s">
        <v>1215</v>
      </c>
      <c r="B220" s="2" t="s">
        <v>1213</v>
      </c>
      <c r="C220" s="4">
        <v>1</v>
      </c>
      <c r="D220" s="5">
        <v>2.82</v>
      </c>
      <c r="E220" s="5">
        <v>7.99</v>
      </c>
      <c r="F220" s="4" t="s">
        <v>1214</v>
      </c>
      <c r="G220" s="2" t="s">
        <v>657</v>
      </c>
      <c r="H220" s="7" t="s">
        <v>578</v>
      </c>
      <c r="I220" s="2" t="s">
        <v>483</v>
      </c>
      <c r="J220" s="2" t="s">
        <v>536</v>
      </c>
      <c r="K220" s="2" t="s">
        <v>119</v>
      </c>
      <c r="L220" s="8" t="str">
        <f>HYPERLINK("http://slimages.macys.com/is/image/MCY/13987252 ")</f>
        <v xml:space="preserve">http://slimages.macys.com/is/image/MCY/13987252 </v>
      </c>
    </row>
    <row r="221" spans="1:12" ht="84" x14ac:dyDescent="0.25">
      <c r="A221" s="7" t="s">
        <v>1216</v>
      </c>
      <c r="B221" s="2" t="s">
        <v>1217</v>
      </c>
      <c r="C221" s="4">
        <v>1</v>
      </c>
      <c r="D221" s="5">
        <v>2.77</v>
      </c>
      <c r="E221" s="5">
        <v>7.99</v>
      </c>
      <c r="F221" s="4">
        <v>10005049100</v>
      </c>
      <c r="G221" s="2" t="s">
        <v>527</v>
      </c>
      <c r="H221" s="7" t="s">
        <v>604</v>
      </c>
      <c r="I221" s="2" t="s">
        <v>483</v>
      </c>
      <c r="J221" s="2" t="s">
        <v>536</v>
      </c>
      <c r="K221" s="2" t="s">
        <v>119</v>
      </c>
      <c r="L221" s="8" t="str">
        <f>HYPERLINK("http://slimages.macys.com/is/image/MCY/11520375 ")</f>
        <v xml:space="preserve">http://slimages.macys.com/is/image/MCY/11520375 </v>
      </c>
    </row>
    <row r="222" spans="1:12" ht="84" x14ac:dyDescent="0.25">
      <c r="A222" s="7" t="s">
        <v>1218</v>
      </c>
      <c r="B222" s="2" t="s">
        <v>1219</v>
      </c>
      <c r="C222" s="4">
        <v>1</v>
      </c>
      <c r="D222" s="5">
        <v>2.75</v>
      </c>
      <c r="E222" s="5">
        <v>6.99</v>
      </c>
      <c r="F222" s="4" t="s">
        <v>1220</v>
      </c>
      <c r="G222" s="2" t="s">
        <v>527</v>
      </c>
      <c r="H222" s="7" t="s">
        <v>590</v>
      </c>
      <c r="I222" s="2" t="s">
        <v>483</v>
      </c>
      <c r="J222" s="2" t="s">
        <v>536</v>
      </c>
      <c r="K222" s="2" t="s">
        <v>119</v>
      </c>
      <c r="L222" s="8" t="str">
        <f>HYPERLINK("http://slimages.macys.com/is/image/MCY/13987326 ")</f>
        <v xml:space="preserve">http://slimages.macys.com/is/image/MCY/13987326 </v>
      </c>
    </row>
    <row r="223" spans="1:12" ht="84" x14ac:dyDescent="0.25">
      <c r="A223" s="7" t="s">
        <v>1221</v>
      </c>
      <c r="B223" s="2" t="s">
        <v>1222</v>
      </c>
      <c r="C223" s="4">
        <v>1</v>
      </c>
      <c r="D223" s="5">
        <v>2.74</v>
      </c>
      <c r="E223" s="5">
        <v>7.99</v>
      </c>
      <c r="F223" s="4" t="s">
        <v>1223</v>
      </c>
      <c r="G223" s="2" t="s">
        <v>41</v>
      </c>
      <c r="H223" s="7" t="s">
        <v>1151</v>
      </c>
      <c r="I223" s="2" t="s">
        <v>483</v>
      </c>
      <c r="J223" s="2" t="s">
        <v>536</v>
      </c>
      <c r="K223" s="2" t="s">
        <v>1224</v>
      </c>
      <c r="L223" s="8" t="str">
        <f>HYPERLINK("http://slimages.macys.com/is/image/MCY/13386590 ")</f>
        <v xml:space="preserve">http://slimages.macys.com/is/image/MCY/13386590 </v>
      </c>
    </row>
    <row r="224" spans="1:12" ht="84" x14ac:dyDescent="0.25">
      <c r="A224" s="7" t="s">
        <v>1225</v>
      </c>
      <c r="B224" s="2" t="s">
        <v>1226</v>
      </c>
      <c r="C224" s="4">
        <v>1</v>
      </c>
      <c r="D224" s="5">
        <v>2.7</v>
      </c>
      <c r="E224" s="5">
        <v>11.99</v>
      </c>
      <c r="F224" s="4">
        <v>64773</v>
      </c>
      <c r="G224" s="2" t="s">
        <v>643</v>
      </c>
      <c r="H224" s="7"/>
      <c r="I224" s="2" t="s">
        <v>523</v>
      </c>
      <c r="J224" s="2" t="s">
        <v>1227</v>
      </c>
      <c r="K224" s="2" t="s">
        <v>323</v>
      </c>
      <c r="L224" s="8" t="str">
        <f>HYPERLINK("http://slimages.macys.com/is/image/MCY/10324811 ")</f>
        <v xml:space="preserve">http://slimages.macys.com/is/image/MCY/10324811 </v>
      </c>
    </row>
    <row r="225" spans="1:12" ht="84" x14ac:dyDescent="0.25">
      <c r="A225" s="7" t="s">
        <v>1228</v>
      </c>
      <c r="B225" s="2" t="s">
        <v>1229</v>
      </c>
      <c r="C225" s="4">
        <v>1</v>
      </c>
      <c r="D225" s="5">
        <v>2.68</v>
      </c>
      <c r="E225" s="5">
        <v>7.99</v>
      </c>
      <c r="F225" s="4" t="s">
        <v>1230</v>
      </c>
      <c r="G225" s="2" t="s">
        <v>41</v>
      </c>
      <c r="H225" s="7" t="s">
        <v>1151</v>
      </c>
      <c r="I225" s="2" t="s">
        <v>483</v>
      </c>
      <c r="J225" s="2" t="s">
        <v>536</v>
      </c>
      <c r="K225" s="2" t="s">
        <v>38</v>
      </c>
      <c r="L225" s="8" t="str">
        <f>HYPERLINK("http://slimages.macys.com/is/image/MCY/13987603 ")</f>
        <v xml:space="preserve">http://slimages.macys.com/is/image/MCY/13987603 </v>
      </c>
    </row>
    <row r="226" spans="1:12" ht="84" x14ac:dyDescent="0.25">
      <c r="A226" s="7" t="s">
        <v>1231</v>
      </c>
      <c r="B226" s="2" t="s">
        <v>1229</v>
      </c>
      <c r="C226" s="4">
        <v>4</v>
      </c>
      <c r="D226" s="5">
        <v>2.68</v>
      </c>
      <c r="E226" s="5">
        <v>7.99</v>
      </c>
      <c r="F226" s="4" t="s">
        <v>1230</v>
      </c>
      <c r="G226" s="2" t="s">
        <v>41</v>
      </c>
      <c r="H226" s="7" t="s">
        <v>514</v>
      </c>
      <c r="I226" s="2" t="s">
        <v>483</v>
      </c>
      <c r="J226" s="2" t="s">
        <v>536</v>
      </c>
      <c r="K226" s="2" t="s">
        <v>38</v>
      </c>
      <c r="L226" s="8" t="str">
        <f>HYPERLINK("http://slimages.macys.com/is/image/MCY/13987603 ")</f>
        <v xml:space="preserve">http://slimages.macys.com/is/image/MCY/13987603 </v>
      </c>
    </row>
    <row r="227" spans="1:12" ht="84" x14ac:dyDescent="0.25">
      <c r="A227" s="7" t="s">
        <v>1232</v>
      </c>
      <c r="B227" s="2" t="s">
        <v>1233</v>
      </c>
      <c r="C227" s="4">
        <v>1</v>
      </c>
      <c r="D227" s="5">
        <v>2.67</v>
      </c>
      <c r="E227" s="5">
        <v>6.99</v>
      </c>
      <c r="F227" s="4" t="s">
        <v>1234</v>
      </c>
      <c r="G227" s="2" t="s">
        <v>171</v>
      </c>
      <c r="H227" s="7" t="s">
        <v>590</v>
      </c>
      <c r="I227" s="2" t="s">
        <v>483</v>
      </c>
      <c r="J227" s="2" t="s">
        <v>536</v>
      </c>
      <c r="K227" s="2" t="s">
        <v>119</v>
      </c>
      <c r="L227" s="8" t="str">
        <f>HYPERLINK("http://slimages.macys.com/is/image/MCY/12646582 ")</f>
        <v xml:space="preserve">http://slimages.macys.com/is/image/MCY/12646582 </v>
      </c>
    </row>
    <row r="228" spans="1:12" ht="84" x14ac:dyDescent="0.25">
      <c r="A228" s="7" t="s">
        <v>1235</v>
      </c>
      <c r="B228" s="2" t="s">
        <v>1236</v>
      </c>
      <c r="C228" s="4">
        <v>2</v>
      </c>
      <c r="D228" s="5">
        <v>2.65</v>
      </c>
      <c r="E228" s="5">
        <v>6.99</v>
      </c>
      <c r="F228" s="4" t="s">
        <v>1237</v>
      </c>
      <c r="G228" s="2" t="s">
        <v>41</v>
      </c>
      <c r="H228" s="7" t="s">
        <v>442</v>
      </c>
      <c r="I228" s="2" t="s">
        <v>483</v>
      </c>
      <c r="J228" s="2" t="s">
        <v>536</v>
      </c>
      <c r="K228" s="2" t="s">
        <v>100</v>
      </c>
      <c r="L228" s="8" t="str">
        <f>HYPERLINK("http://slimages.macys.com/is/image/MCY/13337374 ")</f>
        <v xml:space="preserve">http://slimages.macys.com/is/image/MCY/13337374 </v>
      </c>
    </row>
    <row r="229" spans="1:12" ht="84" x14ac:dyDescent="0.25">
      <c r="A229" s="7" t="s">
        <v>1238</v>
      </c>
      <c r="B229" s="2" t="s">
        <v>607</v>
      </c>
      <c r="C229" s="4">
        <v>1</v>
      </c>
      <c r="D229" s="5">
        <v>2.62</v>
      </c>
      <c r="E229" s="5">
        <v>6.99</v>
      </c>
      <c r="F229" s="4" t="s">
        <v>608</v>
      </c>
      <c r="G229" s="2" t="s">
        <v>41</v>
      </c>
      <c r="H229" s="7" t="s">
        <v>91</v>
      </c>
      <c r="I229" s="2" t="s">
        <v>483</v>
      </c>
      <c r="J229" s="2" t="s">
        <v>536</v>
      </c>
      <c r="K229" s="2" t="s">
        <v>100</v>
      </c>
      <c r="L229" s="8" t="str">
        <f>HYPERLINK("http://slimages.macys.com/is/image/MCY/13336572 ")</f>
        <v xml:space="preserve">http://slimages.macys.com/is/image/MCY/13336572 </v>
      </c>
    </row>
    <row r="230" spans="1:12" ht="84" x14ac:dyDescent="0.25">
      <c r="A230" s="7" t="s">
        <v>1239</v>
      </c>
      <c r="B230" s="2" t="s">
        <v>1240</v>
      </c>
      <c r="C230" s="4">
        <v>1</v>
      </c>
      <c r="D230" s="5">
        <v>2.62</v>
      </c>
      <c r="E230" s="5">
        <v>6.99</v>
      </c>
      <c r="F230" s="4" t="s">
        <v>1241</v>
      </c>
      <c r="G230" s="2" t="s">
        <v>28</v>
      </c>
      <c r="H230" s="7" t="s">
        <v>149</v>
      </c>
      <c r="I230" s="2" t="s">
        <v>483</v>
      </c>
      <c r="J230" s="2" t="s">
        <v>536</v>
      </c>
      <c r="K230" s="2" t="s">
        <v>100</v>
      </c>
      <c r="L230" s="8" t="str">
        <f>HYPERLINK("http://slimages.macys.com/is/image/MCY/13336558 ")</f>
        <v xml:space="preserve">http://slimages.macys.com/is/image/MCY/13336558 </v>
      </c>
    </row>
    <row r="231" spans="1:12" ht="84" x14ac:dyDescent="0.25">
      <c r="A231" s="7" t="s">
        <v>1242</v>
      </c>
      <c r="B231" s="2" t="s">
        <v>1243</v>
      </c>
      <c r="C231" s="4">
        <v>1</v>
      </c>
      <c r="D231" s="5">
        <v>2.62</v>
      </c>
      <c r="E231" s="5">
        <v>6.99</v>
      </c>
      <c r="F231" s="4" t="s">
        <v>1244</v>
      </c>
      <c r="G231" s="2" t="s">
        <v>41</v>
      </c>
      <c r="H231" s="7" t="s">
        <v>149</v>
      </c>
      <c r="I231" s="2" t="s">
        <v>483</v>
      </c>
      <c r="J231" s="2" t="s">
        <v>536</v>
      </c>
      <c r="K231" s="2" t="s">
        <v>38</v>
      </c>
      <c r="L231" s="8" t="str">
        <f>HYPERLINK("http://slimages.macys.com/is/image/MCY/13987599 ")</f>
        <v xml:space="preserve">http://slimages.macys.com/is/image/MCY/13987599 </v>
      </c>
    </row>
    <row r="232" spans="1:12" ht="84" x14ac:dyDescent="0.25">
      <c r="A232" s="7" t="s">
        <v>1245</v>
      </c>
      <c r="B232" s="2" t="s">
        <v>1246</v>
      </c>
      <c r="C232" s="4">
        <v>1</v>
      </c>
      <c r="D232" s="5">
        <v>2.62</v>
      </c>
      <c r="E232" s="5">
        <v>6.99</v>
      </c>
      <c r="F232" s="4" t="s">
        <v>1247</v>
      </c>
      <c r="G232" s="2" t="s">
        <v>41</v>
      </c>
      <c r="H232" s="7" t="s">
        <v>149</v>
      </c>
      <c r="I232" s="2" t="s">
        <v>483</v>
      </c>
      <c r="J232" s="2" t="s">
        <v>536</v>
      </c>
      <c r="K232" s="2" t="s">
        <v>100</v>
      </c>
      <c r="L232" s="8" t="str">
        <f>HYPERLINK("http://slimages.macys.com/is/image/MCY/13337544 ")</f>
        <v xml:space="preserve">http://slimages.macys.com/is/image/MCY/13337544 </v>
      </c>
    </row>
    <row r="233" spans="1:12" ht="84" x14ac:dyDescent="0.25">
      <c r="A233" s="7" t="s">
        <v>1248</v>
      </c>
      <c r="B233" s="2" t="s">
        <v>1243</v>
      </c>
      <c r="C233" s="4">
        <v>1</v>
      </c>
      <c r="D233" s="5">
        <v>2.62</v>
      </c>
      <c r="E233" s="5">
        <v>6.99</v>
      </c>
      <c r="F233" s="4" t="s">
        <v>1244</v>
      </c>
      <c r="G233" s="2" t="s">
        <v>41</v>
      </c>
      <c r="H233" s="7" t="s">
        <v>590</v>
      </c>
      <c r="I233" s="2" t="s">
        <v>483</v>
      </c>
      <c r="J233" s="2" t="s">
        <v>536</v>
      </c>
      <c r="K233" s="2" t="s">
        <v>38</v>
      </c>
      <c r="L233" s="8" t="str">
        <f>HYPERLINK("http://slimages.macys.com/is/image/MCY/13987599 ")</f>
        <v xml:space="preserve">http://slimages.macys.com/is/image/MCY/13987599 </v>
      </c>
    </row>
    <row r="234" spans="1:12" ht="84" x14ac:dyDescent="0.25">
      <c r="A234" s="7" t="s">
        <v>1249</v>
      </c>
      <c r="B234" s="2" t="s">
        <v>1250</v>
      </c>
      <c r="C234" s="4">
        <v>1</v>
      </c>
      <c r="D234" s="5">
        <v>2.61</v>
      </c>
      <c r="E234" s="5">
        <v>7.99</v>
      </c>
      <c r="F234" s="4" t="s">
        <v>1251</v>
      </c>
      <c r="G234" s="2" t="s">
        <v>643</v>
      </c>
      <c r="H234" s="7" t="s">
        <v>578</v>
      </c>
      <c r="I234" s="2" t="s">
        <v>483</v>
      </c>
      <c r="J234" s="2" t="s">
        <v>536</v>
      </c>
      <c r="K234" s="2" t="s">
        <v>38</v>
      </c>
      <c r="L234" s="8" t="str">
        <f>HYPERLINK("http://slimages.macys.com/is/image/MCY/13987601 ")</f>
        <v xml:space="preserve">http://slimages.macys.com/is/image/MCY/13987601 </v>
      </c>
    </row>
    <row r="235" spans="1:12" ht="84" x14ac:dyDescent="0.25">
      <c r="A235" s="7" t="s">
        <v>1252</v>
      </c>
      <c r="B235" s="2" t="s">
        <v>1253</v>
      </c>
      <c r="C235" s="4">
        <v>1</v>
      </c>
      <c r="D235" s="5">
        <v>2.61</v>
      </c>
      <c r="E235" s="5">
        <v>6.99</v>
      </c>
      <c r="F235" s="4" t="s">
        <v>1254</v>
      </c>
      <c r="G235" s="2" t="s">
        <v>171</v>
      </c>
      <c r="H235" s="7" t="s">
        <v>149</v>
      </c>
      <c r="I235" s="2" t="s">
        <v>483</v>
      </c>
      <c r="J235" s="2" t="s">
        <v>536</v>
      </c>
      <c r="K235" s="2" t="s">
        <v>38</v>
      </c>
      <c r="L235" s="8" t="str">
        <f>HYPERLINK("http://slimages.macys.com/is/image/MCY/13987491 ")</f>
        <v xml:space="preserve">http://slimages.macys.com/is/image/MCY/13987491 </v>
      </c>
    </row>
    <row r="236" spans="1:12" ht="84" x14ac:dyDescent="0.25">
      <c r="A236" s="7" t="s">
        <v>1255</v>
      </c>
      <c r="B236" s="2" t="s">
        <v>1250</v>
      </c>
      <c r="C236" s="4">
        <v>1</v>
      </c>
      <c r="D236" s="5">
        <v>2.61</v>
      </c>
      <c r="E236" s="5">
        <v>7.99</v>
      </c>
      <c r="F236" s="4" t="s">
        <v>1251</v>
      </c>
      <c r="G236" s="2" t="s">
        <v>643</v>
      </c>
      <c r="H236" s="7" t="s">
        <v>1151</v>
      </c>
      <c r="I236" s="2" t="s">
        <v>483</v>
      </c>
      <c r="J236" s="2" t="s">
        <v>536</v>
      </c>
      <c r="K236" s="2" t="s">
        <v>38</v>
      </c>
      <c r="L236" s="8" t="str">
        <f>HYPERLINK("http://slimages.macys.com/is/image/MCY/13987601 ")</f>
        <v xml:space="preserve">http://slimages.macys.com/is/image/MCY/13987601 </v>
      </c>
    </row>
    <row r="237" spans="1:12" ht="84" x14ac:dyDescent="0.25">
      <c r="A237" s="7" t="s">
        <v>1256</v>
      </c>
      <c r="B237" s="2" t="s">
        <v>1257</v>
      </c>
      <c r="C237" s="4">
        <v>1</v>
      </c>
      <c r="D237" s="5">
        <v>2.59</v>
      </c>
      <c r="E237" s="5">
        <v>7.99</v>
      </c>
      <c r="F237" s="4" t="s">
        <v>1258</v>
      </c>
      <c r="G237" s="2" t="s">
        <v>195</v>
      </c>
      <c r="H237" s="7" t="s">
        <v>149</v>
      </c>
      <c r="I237" s="2" t="s">
        <v>483</v>
      </c>
      <c r="J237" s="2" t="s">
        <v>536</v>
      </c>
      <c r="K237" s="2" t="s">
        <v>100</v>
      </c>
      <c r="L237" s="8" t="str">
        <f>HYPERLINK("http://slimages.macys.com/is/image/MCY/12384238 ")</f>
        <v xml:space="preserve">http://slimages.macys.com/is/image/MCY/12384238 </v>
      </c>
    </row>
    <row r="238" spans="1:12" ht="84" x14ac:dyDescent="0.25">
      <c r="A238" s="7" t="s">
        <v>1259</v>
      </c>
      <c r="B238" s="2" t="s">
        <v>1260</v>
      </c>
      <c r="C238" s="4">
        <v>1</v>
      </c>
      <c r="D238" s="5">
        <v>2.56</v>
      </c>
      <c r="E238" s="5">
        <v>6.99</v>
      </c>
      <c r="F238" s="4" t="s">
        <v>1261</v>
      </c>
      <c r="G238" s="2" t="s">
        <v>437</v>
      </c>
      <c r="H238" s="7" t="s">
        <v>42</v>
      </c>
      <c r="I238" s="2" t="s">
        <v>483</v>
      </c>
      <c r="J238" s="2" t="s">
        <v>536</v>
      </c>
      <c r="K238" s="2" t="s">
        <v>100</v>
      </c>
      <c r="L238" s="8" t="str">
        <f>HYPERLINK("http://slimages.macys.com/is/image/MCY/11779082 ")</f>
        <v xml:space="preserve">http://slimages.macys.com/is/image/MCY/11779082 </v>
      </c>
    </row>
    <row r="239" spans="1:12" ht="84" x14ac:dyDescent="0.25">
      <c r="A239" s="7" t="s">
        <v>1262</v>
      </c>
      <c r="B239" s="2" t="s">
        <v>1263</v>
      </c>
      <c r="C239" s="4">
        <v>1</v>
      </c>
      <c r="D239" s="5">
        <v>2.5499999999999998</v>
      </c>
      <c r="E239" s="5">
        <v>6.99</v>
      </c>
      <c r="F239" s="4" t="s">
        <v>1264</v>
      </c>
      <c r="G239" s="2" t="s">
        <v>1265</v>
      </c>
      <c r="H239" s="7" t="s">
        <v>149</v>
      </c>
      <c r="I239" s="2" t="s">
        <v>483</v>
      </c>
      <c r="J239" s="2" t="s">
        <v>536</v>
      </c>
      <c r="K239" s="2" t="s">
        <v>1266</v>
      </c>
      <c r="L239" s="8" t="str">
        <f>HYPERLINK("http://slimages.macys.com/is/image/MCY/13337503 ")</f>
        <v xml:space="preserve">http://slimages.macys.com/is/image/MCY/13337503 </v>
      </c>
    </row>
    <row r="240" spans="1:12" ht="84" x14ac:dyDescent="0.25">
      <c r="A240" s="7" t="s">
        <v>1267</v>
      </c>
      <c r="B240" s="2" t="s">
        <v>1263</v>
      </c>
      <c r="C240" s="4">
        <v>1</v>
      </c>
      <c r="D240" s="5">
        <v>2.5499999999999998</v>
      </c>
      <c r="E240" s="5">
        <v>6.99</v>
      </c>
      <c r="F240" s="4" t="s">
        <v>1264</v>
      </c>
      <c r="G240" s="2" t="s">
        <v>1265</v>
      </c>
      <c r="H240" s="7" t="s">
        <v>482</v>
      </c>
      <c r="I240" s="2" t="s">
        <v>483</v>
      </c>
      <c r="J240" s="2" t="s">
        <v>536</v>
      </c>
      <c r="K240" s="2" t="s">
        <v>1266</v>
      </c>
      <c r="L240" s="8" t="str">
        <f>HYPERLINK("http://slimages.macys.com/is/image/MCY/13337503 ")</f>
        <v xml:space="preserve">http://slimages.macys.com/is/image/MCY/13337503 </v>
      </c>
    </row>
    <row r="241" spans="1:12" ht="84" x14ac:dyDescent="0.25">
      <c r="A241" s="7" t="s">
        <v>1268</v>
      </c>
      <c r="B241" s="2" t="s">
        <v>1269</v>
      </c>
      <c r="C241" s="4">
        <v>1</v>
      </c>
      <c r="D241" s="5">
        <v>2.54</v>
      </c>
      <c r="E241" s="5">
        <v>6.99</v>
      </c>
      <c r="F241" s="4" t="s">
        <v>1270</v>
      </c>
      <c r="G241" s="2" t="s">
        <v>41</v>
      </c>
      <c r="H241" s="7"/>
      <c r="I241" s="2" t="s">
        <v>483</v>
      </c>
      <c r="J241" s="2" t="s">
        <v>536</v>
      </c>
      <c r="K241" s="2" t="s">
        <v>38</v>
      </c>
      <c r="L241" s="8" t="str">
        <f>HYPERLINK("http://slimages.macys.com/is/image/MCY/13987495 ")</f>
        <v xml:space="preserve">http://slimages.macys.com/is/image/MCY/13987495 </v>
      </c>
    </row>
    <row r="242" spans="1:12" ht="84" x14ac:dyDescent="0.25">
      <c r="A242" s="7" t="s">
        <v>1271</v>
      </c>
      <c r="B242" s="2" t="s">
        <v>1269</v>
      </c>
      <c r="C242" s="4">
        <v>1</v>
      </c>
      <c r="D242" s="5">
        <v>2.54</v>
      </c>
      <c r="E242" s="5">
        <v>6.99</v>
      </c>
      <c r="F242" s="4" t="s">
        <v>1270</v>
      </c>
      <c r="G242" s="2" t="s">
        <v>41</v>
      </c>
      <c r="H242" s="7" t="s">
        <v>590</v>
      </c>
      <c r="I242" s="2" t="s">
        <v>483</v>
      </c>
      <c r="J242" s="2" t="s">
        <v>536</v>
      </c>
      <c r="K242" s="2" t="s">
        <v>38</v>
      </c>
      <c r="L242" s="8" t="str">
        <f>HYPERLINK("http://slimages.macys.com/is/image/MCY/13987495 ")</f>
        <v xml:space="preserve">http://slimages.macys.com/is/image/MCY/13987495 </v>
      </c>
    </row>
    <row r="243" spans="1:12" ht="84" x14ac:dyDescent="0.25">
      <c r="A243" s="7" t="s">
        <v>1272</v>
      </c>
      <c r="B243" s="2" t="s">
        <v>1269</v>
      </c>
      <c r="C243" s="4">
        <v>1</v>
      </c>
      <c r="D243" s="5">
        <v>2.54</v>
      </c>
      <c r="E243" s="5">
        <v>6.99</v>
      </c>
      <c r="F243" s="4" t="s">
        <v>1270</v>
      </c>
      <c r="G243" s="2" t="s">
        <v>41</v>
      </c>
      <c r="H243" s="7" t="s">
        <v>149</v>
      </c>
      <c r="I243" s="2" t="s">
        <v>483</v>
      </c>
      <c r="J243" s="2" t="s">
        <v>536</v>
      </c>
      <c r="K243" s="2" t="s">
        <v>38</v>
      </c>
      <c r="L243" s="8" t="str">
        <f>HYPERLINK("http://slimages.macys.com/is/image/MCY/13987495 ")</f>
        <v xml:space="preserve">http://slimages.macys.com/is/image/MCY/13987495 </v>
      </c>
    </row>
    <row r="244" spans="1:12" ht="84" x14ac:dyDescent="0.25">
      <c r="A244" s="7" t="s">
        <v>1273</v>
      </c>
      <c r="B244" s="2" t="s">
        <v>1274</v>
      </c>
      <c r="C244" s="4">
        <v>1</v>
      </c>
      <c r="D244" s="5">
        <v>2.5299999999999998</v>
      </c>
      <c r="E244" s="5">
        <v>5.99</v>
      </c>
      <c r="F244" s="4" t="s">
        <v>1275</v>
      </c>
      <c r="G244" s="2" t="s">
        <v>41</v>
      </c>
      <c r="H244" s="7" t="s">
        <v>149</v>
      </c>
      <c r="I244" s="2" t="s">
        <v>483</v>
      </c>
      <c r="J244" s="2" t="s">
        <v>536</v>
      </c>
      <c r="K244" s="2" t="s">
        <v>100</v>
      </c>
      <c r="L244" s="8" t="str">
        <f>HYPERLINK("http://slimages.macys.com/is/image/MCY/12466326 ")</f>
        <v xml:space="preserve">http://slimages.macys.com/is/image/MCY/12466326 </v>
      </c>
    </row>
    <row r="245" spans="1:12" ht="84" x14ac:dyDescent="0.25">
      <c r="A245" s="7" t="s">
        <v>1276</v>
      </c>
      <c r="B245" s="2" t="s">
        <v>1277</v>
      </c>
      <c r="C245" s="4">
        <v>1</v>
      </c>
      <c r="D245" s="5">
        <v>2.5299999999999998</v>
      </c>
      <c r="E245" s="5">
        <v>5.99</v>
      </c>
      <c r="F245" s="4" t="s">
        <v>1278</v>
      </c>
      <c r="G245" s="2" t="s">
        <v>527</v>
      </c>
      <c r="H245" s="7" t="s">
        <v>442</v>
      </c>
      <c r="I245" s="2" t="s">
        <v>483</v>
      </c>
      <c r="J245" s="2" t="s">
        <v>536</v>
      </c>
      <c r="K245" s="2" t="s">
        <v>119</v>
      </c>
      <c r="L245" s="8" t="str">
        <f>HYPERLINK("http://slimages.macys.com/is/image/MCY/13987179 ")</f>
        <v xml:space="preserve">http://slimages.macys.com/is/image/MCY/13987179 </v>
      </c>
    </row>
    <row r="246" spans="1:12" ht="84" x14ac:dyDescent="0.25">
      <c r="A246" s="7" t="s">
        <v>1279</v>
      </c>
      <c r="B246" s="2" t="s">
        <v>1280</v>
      </c>
      <c r="C246" s="4">
        <v>1</v>
      </c>
      <c r="D246" s="5">
        <v>2.5299999999999998</v>
      </c>
      <c r="E246" s="5">
        <v>5.99</v>
      </c>
      <c r="F246" s="4" t="s">
        <v>1281</v>
      </c>
      <c r="G246" s="2" t="s">
        <v>41</v>
      </c>
      <c r="H246" s="7" t="s">
        <v>149</v>
      </c>
      <c r="I246" s="2" t="s">
        <v>483</v>
      </c>
      <c r="J246" s="2" t="s">
        <v>536</v>
      </c>
      <c r="K246" s="2" t="s">
        <v>206</v>
      </c>
      <c r="L246" s="8" t="str">
        <f>HYPERLINK("http://slimages.macys.com/is/image/MCY/13385820 ")</f>
        <v xml:space="preserve">http://slimages.macys.com/is/image/MCY/13385820 </v>
      </c>
    </row>
    <row r="247" spans="1:12" ht="84" x14ac:dyDescent="0.25">
      <c r="A247" s="7" t="s">
        <v>1282</v>
      </c>
      <c r="B247" s="2" t="s">
        <v>1283</v>
      </c>
      <c r="C247" s="4">
        <v>1</v>
      </c>
      <c r="D247" s="5">
        <v>2.5299999999999998</v>
      </c>
      <c r="E247" s="5">
        <v>5.99</v>
      </c>
      <c r="F247" s="4" t="s">
        <v>1284</v>
      </c>
      <c r="G247" s="2" t="s">
        <v>41</v>
      </c>
      <c r="H247" s="7" t="s">
        <v>590</v>
      </c>
      <c r="I247" s="2" t="s">
        <v>483</v>
      </c>
      <c r="J247" s="2" t="s">
        <v>536</v>
      </c>
      <c r="K247" s="2" t="s">
        <v>38</v>
      </c>
      <c r="L247" s="8" t="str">
        <f>HYPERLINK("http://slimages.macys.com/is/image/MCY/13337388 ")</f>
        <v xml:space="preserve">http://slimages.macys.com/is/image/MCY/13337388 </v>
      </c>
    </row>
    <row r="248" spans="1:12" ht="84" x14ac:dyDescent="0.25">
      <c r="A248" s="7" t="s">
        <v>1285</v>
      </c>
      <c r="B248" s="2" t="s">
        <v>1286</v>
      </c>
      <c r="C248" s="4">
        <v>1</v>
      </c>
      <c r="D248" s="5">
        <v>2.5299999999999998</v>
      </c>
      <c r="E248" s="5">
        <v>5.99</v>
      </c>
      <c r="F248" s="4" t="s">
        <v>1287</v>
      </c>
      <c r="G248" s="2" t="s">
        <v>41</v>
      </c>
      <c r="H248" s="7" t="s">
        <v>442</v>
      </c>
      <c r="I248" s="2" t="s">
        <v>483</v>
      </c>
      <c r="J248" s="2" t="s">
        <v>536</v>
      </c>
      <c r="K248" s="2" t="s">
        <v>38</v>
      </c>
      <c r="L248" s="8" t="str">
        <f>HYPERLINK("http://slimages.macys.com/is/image/MCY/13987272 ")</f>
        <v xml:space="preserve">http://slimages.macys.com/is/image/MCY/13987272 </v>
      </c>
    </row>
    <row r="249" spans="1:12" ht="84" x14ac:dyDescent="0.25">
      <c r="A249" s="7" t="s">
        <v>1288</v>
      </c>
      <c r="B249" s="2" t="s">
        <v>1289</v>
      </c>
      <c r="C249" s="4">
        <v>1</v>
      </c>
      <c r="D249" s="5">
        <v>2.5299999999999998</v>
      </c>
      <c r="E249" s="5">
        <v>5.99</v>
      </c>
      <c r="F249" s="4" t="s">
        <v>1290</v>
      </c>
      <c r="G249" s="2" t="s">
        <v>353</v>
      </c>
      <c r="H249" s="7" t="s">
        <v>590</v>
      </c>
      <c r="I249" s="2" t="s">
        <v>483</v>
      </c>
      <c r="J249" s="2" t="s">
        <v>536</v>
      </c>
      <c r="K249" s="2" t="s">
        <v>206</v>
      </c>
      <c r="L249" s="8" t="str">
        <f>HYPERLINK("http://slimages.macys.com/is/image/MCY/13386702 ")</f>
        <v xml:space="preserve">http://slimages.macys.com/is/image/MCY/13386702 </v>
      </c>
    </row>
    <row r="250" spans="1:12" ht="84" x14ac:dyDescent="0.25">
      <c r="A250" s="7" t="s">
        <v>1291</v>
      </c>
      <c r="B250" s="2" t="s">
        <v>1277</v>
      </c>
      <c r="C250" s="4">
        <v>1</v>
      </c>
      <c r="D250" s="5">
        <v>2.5299999999999998</v>
      </c>
      <c r="E250" s="5">
        <v>5.99</v>
      </c>
      <c r="F250" s="4" t="s">
        <v>1278</v>
      </c>
      <c r="G250" s="2" t="s">
        <v>527</v>
      </c>
      <c r="H250" s="7" t="s">
        <v>91</v>
      </c>
      <c r="I250" s="2" t="s">
        <v>483</v>
      </c>
      <c r="J250" s="2" t="s">
        <v>536</v>
      </c>
      <c r="K250" s="2" t="s">
        <v>119</v>
      </c>
      <c r="L250" s="8" t="str">
        <f>HYPERLINK("http://slimages.macys.com/is/image/MCY/13987179 ")</f>
        <v xml:space="preserve">http://slimages.macys.com/is/image/MCY/13987179 </v>
      </c>
    </row>
    <row r="251" spans="1:12" ht="84" x14ac:dyDescent="0.25">
      <c r="A251" s="7" t="s">
        <v>1292</v>
      </c>
      <c r="B251" s="2" t="s">
        <v>1293</v>
      </c>
      <c r="C251" s="4">
        <v>1</v>
      </c>
      <c r="D251" s="5">
        <v>2.52</v>
      </c>
      <c r="E251" s="5">
        <v>6.99</v>
      </c>
      <c r="F251" s="4" t="s">
        <v>1294</v>
      </c>
      <c r="G251" s="2" t="s">
        <v>297</v>
      </c>
      <c r="H251" s="7"/>
      <c r="I251" s="2" t="s">
        <v>483</v>
      </c>
      <c r="J251" s="2" t="s">
        <v>536</v>
      </c>
      <c r="K251" s="2" t="s">
        <v>100</v>
      </c>
      <c r="L251" s="8" t="str">
        <f>HYPERLINK("http://slimages.macys.com/is/image/MCY/13987466 ")</f>
        <v xml:space="preserve">http://slimages.macys.com/is/image/MCY/13987466 </v>
      </c>
    </row>
    <row r="252" spans="1:12" ht="84" x14ac:dyDescent="0.25">
      <c r="A252" s="7" t="s">
        <v>1295</v>
      </c>
      <c r="B252" s="2" t="s">
        <v>1293</v>
      </c>
      <c r="C252" s="4">
        <v>1</v>
      </c>
      <c r="D252" s="5">
        <v>2.52</v>
      </c>
      <c r="E252" s="5">
        <v>6.99</v>
      </c>
      <c r="F252" s="4" t="s">
        <v>1294</v>
      </c>
      <c r="G252" s="2" t="s">
        <v>297</v>
      </c>
      <c r="H252" s="7" t="s">
        <v>149</v>
      </c>
      <c r="I252" s="2" t="s">
        <v>483</v>
      </c>
      <c r="J252" s="2" t="s">
        <v>536</v>
      </c>
      <c r="K252" s="2" t="s">
        <v>100</v>
      </c>
      <c r="L252" s="8" t="str">
        <f>HYPERLINK("http://slimages.macys.com/is/image/MCY/13987466 ")</f>
        <v xml:space="preserve">http://slimages.macys.com/is/image/MCY/13987466 </v>
      </c>
    </row>
    <row r="253" spans="1:12" ht="84" x14ac:dyDescent="0.25">
      <c r="A253" s="7" t="s">
        <v>1296</v>
      </c>
      <c r="B253" s="2" t="s">
        <v>1297</v>
      </c>
      <c r="C253" s="4">
        <v>1</v>
      </c>
      <c r="D253" s="5">
        <v>2.4900000000000002</v>
      </c>
      <c r="E253" s="5">
        <v>6.99</v>
      </c>
      <c r="F253" s="4" t="s">
        <v>1298</v>
      </c>
      <c r="G253" s="2" t="s">
        <v>171</v>
      </c>
      <c r="H253" s="7"/>
      <c r="I253" s="2" t="s">
        <v>483</v>
      </c>
      <c r="J253" s="2" t="s">
        <v>536</v>
      </c>
      <c r="K253" s="2" t="s">
        <v>100</v>
      </c>
      <c r="L253" s="8" t="str">
        <f>HYPERLINK("http://slimages.macys.com/is/image/MCY/13987459 ")</f>
        <v xml:space="preserve">http://slimages.macys.com/is/image/MCY/13987459 </v>
      </c>
    </row>
    <row r="254" spans="1:12" ht="84" x14ac:dyDescent="0.25">
      <c r="A254" s="7" t="s">
        <v>1299</v>
      </c>
      <c r="B254" s="2" t="s">
        <v>1300</v>
      </c>
      <c r="C254" s="4">
        <v>1</v>
      </c>
      <c r="D254" s="5">
        <v>2.4900000000000002</v>
      </c>
      <c r="E254" s="5">
        <v>6.99</v>
      </c>
      <c r="F254" s="4" t="s">
        <v>1301</v>
      </c>
      <c r="G254" s="2" t="s">
        <v>1302</v>
      </c>
      <c r="H254" s="7" t="s">
        <v>590</v>
      </c>
      <c r="I254" s="2" t="s">
        <v>483</v>
      </c>
      <c r="J254" s="2" t="s">
        <v>536</v>
      </c>
      <c r="K254" s="2" t="s">
        <v>596</v>
      </c>
      <c r="L254" s="8" t="str">
        <f>HYPERLINK("http://slimages.macys.com/is/image/MCY/13337498 ")</f>
        <v xml:space="preserve">http://slimages.macys.com/is/image/MCY/13337498 </v>
      </c>
    </row>
    <row r="255" spans="1:12" ht="84" x14ac:dyDescent="0.25">
      <c r="A255" s="7" t="s">
        <v>1303</v>
      </c>
      <c r="B255" s="2" t="s">
        <v>1304</v>
      </c>
      <c r="C255" s="4">
        <v>2</v>
      </c>
      <c r="D255" s="5">
        <v>2.4900000000000002</v>
      </c>
      <c r="E255" s="5">
        <v>5.99</v>
      </c>
      <c r="F255" s="4" t="s">
        <v>1305</v>
      </c>
      <c r="G255" s="2" t="s">
        <v>86</v>
      </c>
      <c r="H255" s="7" t="s">
        <v>442</v>
      </c>
      <c r="I255" s="2" t="s">
        <v>483</v>
      </c>
      <c r="J255" s="2" t="s">
        <v>536</v>
      </c>
      <c r="K255" s="2" t="s">
        <v>38</v>
      </c>
      <c r="L255" s="8" t="str">
        <f>HYPERLINK("http://slimages.macys.com/is/image/MCY/11855486 ")</f>
        <v xml:space="preserve">http://slimages.macys.com/is/image/MCY/11855486 </v>
      </c>
    </row>
    <row r="256" spans="1:12" ht="84" x14ac:dyDescent="0.25">
      <c r="A256" s="7" t="s">
        <v>1306</v>
      </c>
      <c r="B256" s="2" t="s">
        <v>1307</v>
      </c>
      <c r="C256" s="4">
        <v>1</v>
      </c>
      <c r="D256" s="5">
        <v>2.4900000000000002</v>
      </c>
      <c r="E256" s="5">
        <v>6.99</v>
      </c>
      <c r="F256" s="4">
        <v>10006315700</v>
      </c>
      <c r="G256" s="2" t="s">
        <v>41</v>
      </c>
      <c r="H256" s="7" t="s">
        <v>590</v>
      </c>
      <c r="I256" s="2" t="s">
        <v>483</v>
      </c>
      <c r="J256" s="2" t="s">
        <v>536</v>
      </c>
      <c r="K256" s="2" t="s">
        <v>1308</v>
      </c>
      <c r="L256" s="8" t="str">
        <f>HYPERLINK("http://slimages.macys.com/is/image/MCY/13987457 ")</f>
        <v xml:space="preserve">http://slimages.macys.com/is/image/MCY/13987457 </v>
      </c>
    </row>
    <row r="257" spans="1:12" ht="84" x14ac:dyDescent="0.25">
      <c r="A257" s="7" t="s">
        <v>1309</v>
      </c>
      <c r="B257" s="2" t="s">
        <v>1300</v>
      </c>
      <c r="C257" s="4">
        <v>1</v>
      </c>
      <c r="D257" s="5">
        <v>2.4900000000000002</v>
      </c>
      <c r="E257" s="5">
        <v>6.99</v>
      </c>
      <c r="F257" s="4" t="s">
        <v>1301</v>
      </c>
      <c r="G257" s="2" t="s">
        <v>1302</v>
      </c>
      <c r="H257" s="7"/>
      <c r="I257" s="2" t="s">
        <v>483</v>
      </c>
      <c r="J257" s="2" t="s">
        <v>536</v>
      </c>
      <c r="K257" s="2" t="s">
        <v>596</v>
      </c>
      <c r="L257" s="8" t="str">
        <f>HYPERLINK("http://slimages.macys.com/is/image/MCY/13337498 ")</f>
        <v xml:space="preserve">http://slimages.macys.com/is/image/MCY/13337498 </v>
      </c>
    </row>
    <row r="258" spans="1:12" ht="84" x14ac:dyDescent="0.25">
      <c r="A258" s="7" t="s">
        <v>1310</v>
      </c>
      <c r="B258" s="2" t="s">
        <v>1297</v>
      </c>
      <c r="C258" s="4">
        <v>1</v>
      </c>
      <c r="D258" s="5">
        <v>2.4900000000000002</v>
      </c>
      <c r="E258" s="5">
        <v>6.99</v>
      </c>
      <c r="F258" s="4" t="s">
        <v>1298</v>
      </c>
      <c r="G258" s="2" t="s">
        <v>171</v>
      </c>
      <c r="H258" s="7" t="s">
        <v>590</v>
      </c>
      <c r="I258" s="2" t="s">
        <v>483</v>
      </c>
      <c r="J258" s="2" t="s">
        <v>536</v>
      </c>
      <c r="K258" s="2" t="s">
        <v>100</v>
      </c>
      <c r="L258" s="8" t="str">
        <f>HYPERLINK("http://slimages.macys.com/is/image/MCY/13987459 ")</f>
        <v xml:space="preserve">http://slimages.macys.com/is/image/MCY/13987459 </v>
      </c>
    </row>
    <row r="259" spans="1:12" ht="84" x14ac:dyDescent="0.25">
      <c r="A259" s="7" t="s">
        <v>1311</v>
      </c>
      <c r="B259" s="2" t="s">
        <v>1312</v>
      </c>
      <c r="C259" s="4">
        <v>2</v>
      </c>
      <c r="D259" s="5">
        <v>2.4900000000000002</v>
      </c>
      <c r="E259" s="5">
        <v>6.99</v>
      </c>
      <c r="F259" s="4" t="s">
        <v>1313</v>
      </c>
      <c r="G259" s="2" t="s">
        <v>41</v>
      </c>
      <c r="H259" s="7"/>
      <c r="I259" s="2" t="s">
        <v>483</v>
      </c>
      <c r="J259" s="2" t="s">
        <v>536</v>
      </c>
      <c r="K259" s="2" t="s">
        <v>1314</v>
      </c>
      <c r="L259" s="8" t="str">
        <f>HYPERLINK("http://slimages.macys.com/is/image/MCY/13987469 ")</f>
        <v xml:space="preserve">http://slimages.macys.com/is/image/MCY/13987469 </v>
      </c>
    </row>
    <row r="260" spans="1:12" ht="84" x14ac:dyDescent="0.25">
      <c r="A260" s="7" t="s">
        <v>1315</v>
      </c>
      <c r="B260" s="2" t="s">
        <v>1304</v>
      </c>
      <c r="C260" s="4">
        <v>2</v>
      </c>
      <c r="D260" s="5">
        <v>2.4900000000000002</v>
      </c>
      <c r="E260" s="5">
        <v>5.99</v>
      </c>
      <c r="F260" s="4" t="s">
        <v>1305</v>
      </c>
      <c r="G260" s="2" t="s">
        <v>86</v>
      </c>
      <c r="H260" s="7" t="s">
        <v>590</v>
      </c>
      <c r="I260" s="2" t="s">
        <v>483</v>
      </c>
      <c r="J260" s="2" t="s">
        <v>536</v>
      </c>
      <c r="K260" s="2" t="s">
        <v>38</v>
      </c>
      <c r="L260" s="8" t="str">
        <f>HYPERLINK("http://slimages.macys.com/is/image/MCY/11855486 ")</f>
        <v xml:space="preserve">http://slimages.macys.com/is/image/MCY/11855486 </v>
      </c>
    </row>
    <row r="261" spans="1:12" ht="84" x14ac:dyDescent="0.25">
      <c r="A261" s="7" t="s">
        <v>1316</v>
      </c>
      <c r="B261" s="2" t="s">
        <v>1304</v>
      </c>
      <c r="C261" s="4">
        <v>1</v>
      </c>
      <c r="D261" s="5">
        <v>2.4900000000000002</v>
      </c>
      <c r="E261" s="5">
        <v>5.99</v>
      </c>
      <c r="F261" s="4" t="s">
        <v>1305</v>
      </c>
      <c r="G261" s="2" t="s">
        <v>86</v>
      </c>
      <c r="H261" s="7" t="s">
        <v>149</v>
      </c>
      <c r="I261" s="2" t="s">
        <v>483</v>
      </c>
      <c r="J261" s="2" t="s">
        <v>536</v>
      </c>
      <c r="K261" s="2" t="s">
        <v>38</v>
      </c>
      <c r="L261" s="8" t="str">
        <f>HYPERLINK("http://slimages.macys.com/is/image/MCY/11855486 ")</f>
        <v xml:space="preserve">http://slimages.macys.com/is/image/MCY/11855486 </v>
      </c>
    </row>
    <row r="262" spans="1:12" ht="84" x14ac:dyDescent="0.25">
      <c r="A262" s="7" t="s">
        <v>1317</v>
      </c>
      <c r="B262" s="2" t="s">
        <v>1304</v>
      </c>
      <c r="C262" s="4">
        <v>1</v>
      </c>
      <c r="D262" s="5">
        <v>2.4900000000000002</v>
      </c>
      <c r="E262" s="5">
        <v>5.99</v>
      </c>
      <c r="F262" s="4" t="s">
        <v>1305</v>
      </c>
      <c r="G262" s="2" t="s">
        <v>86</v>
      </c>
      <c r="H262" s="7" t="s">
        <v>42</v>
      </c>
      <c r="I262" s="2" t="s">
        <v>483</v>
      </c>
      <c r="J262" s="2" t="s">
        <v>536</v>
      </c>
      <c r="K262" s="2" t="s">
        <v>38</v>
      </c>
      <c r="L262" s="8" t="str">
        <f>HYPERLINK("http://slimages.macys.com/is/image/MCY/11855486 ")</f>
        <v xml:space="preserve">http://slimages.macys.com/is/image/MCY/11855486 </v>
      </c>
    </row>
    <row r="263" spans="1:12" ht="84" x14ac:dyDescent="0.25">
      <c r="A263" s="7" t="s">
        <v>1318</v>
      </c>
      <c r="B263" s="2" t="s">
        <v>1300</v>
      </c>
      <c r="C263" s="4">
        <v>2</v>
      </c>
      <c r="D263" s="5">
        <v>2.4900000000000002</v>
      </c>
      <c r="E263" s="5">
        <v>6.99</v>
      </c>
      <c r="F263" s="4" t="s">
        <v>1301</v>
      </c>
      <c r="G263" s="2" t="s">
        <v>1302</v>
      </c>
      <c r="H263" s="7" t="s">
        <v>149</v>
      </c>
      <c r="I263" s="2" t="s">
        <v>483</v>
      </c>
      <c r="J263" s="2" t="s">
        <v>536</v>
      </c>
      <c r="K263" s="2" t="s">
        <v>596</v>
      </c>
      <c r="L263" s="8" t="str">
        <f>HYPERLINK("http://slimages.macys.com/is/image/MCY/13337498 ")</f>
        <v xml:space="preserve">http://slimages.macys.com/is/image/MCY/13337498 </v>
      </c>
    </row>
    <row r="264" spans="1:12" ht="84" x14ac:dyDescent="0.25">
      <c r="A264" s="7" t="s">
        <v>1319</v>
      </c>
      <c r="B264" s="2" t="s">
        <v>1304</v>
      </c>
      <c r="C264" s="4">
        <v>1</v>
      </c>
      <c r="D264" s="5">
        <v>2.4900000000000002</v>
      </c>
      <c r="E264" s="5">
        <v>5.99</v>
      </c>
      <c r="F264" s="4" t="s">
        <v>1305</v>
      </c>
      <c r="G264" s="2" t="s">
        <v>86</v>
      </c>
      <c r="H264" s="7" t="s">
        <v>91</v>
      </c>
      <c r="I264" s="2" t="s">
        <v>483</v>
      </c>
      <c r="J264" s="2" t="s">
        <v>536</v>
      </c>
      <c r="K264" s="2" t="s">
        <v>38</v>
      </c>
      <c r="L264" s="8" t="str">
        <f>HYPERLINK("http://slimages.macys.com/is/image/MCY/11855486 ")</f>
        <v xml:space="preserve">http://slimages.macys.com/is/image/MCY/11855486 </v>
      </c>
    </row>
    <row r="265" spans="1:12" ht="84" x14ac:dyDescent="0.25">
      <c r="A265" s="7" t="s">
        <v>1320</v>
      </c>
      <c r="B265" s="2" t="s">
        <v>1321</v>
      </c>
      <c r="C265" s="4">
        <v>1</v>
      </c>
      <c r="D265" s="5">
        <v>2.4700000000000002</v>
      </c>
      <c r="E265" s="5">
        <v>6.99</v>
      </c>
      <c r="F265" s="4" t="s">
        <v>1322</v>
      </c>
      <c r="G265" s="2" t="s">
        <v>353</v>
      </c>
      <c r="H265" s="7" t="s">
        <v>442</v>
      </c>
      <c r="I265" s="2" t="s">
        <v>483</v>
      </c>
      <c r="J265" s="2" t="s">
        <v>536</v>
      </c>
      <c r="K265" s="2" t="s">
        <v>206</v>
      </c>
      <c r="L265" s="8" t="str">
        <f>HYPERLINK("http://slimages.macys.com/is/image/MCY/13386818 ")</f>
        <v xml:space="preserve">http://slimages.macys.com/is/image/MCY/13386818 </v>
      </c>
    </row>
    <row r="266" spans="1:12" ht="84" x14ac:dyDescent="0.25">
      <c r="A266" s="7" t="s">
        <v>1323</v>
      </c>
      <c r="B266" s="2" t="s">
        <v>1324</v>
      </c>
      <c r="C266" s="4">
        <v>1</v>
      </c>
      <c r="D266" s="5">
        <v>2.4700000000000002</v>
      </c>
      <c r="E266" s="5">
        <v>4.99</v>
      </c>
      <c r="F266" s="4" t="s">
        <v>1325</v>
      </c>
      <c r="G266" s="2" t="s">
        <v>86</v>
      </c>
      <c r="H266" s="7" t="s">
        <v>228</v>
      </c>
      <c r="I266" s="2" t="s">
        <v>523</v>
      </c>
      <c r="J266" s="2" t="s">
        <v>921</v>
      </c>
      <c r="K266" s="2" t="s">
        <v>323</v>
      </c>
      <c r="L266" s="8" t="str">
        <f>HYPERLINK("http://slimages.macys.com/is/image/MCY/11722365 ")</f>
        <v xml:space="preserve">http://slimages.macys.com/is/image/MCY/11722365 </v>
      </c>
    </row>
    <row r="267" spans="1:12" ht="84" x14ac:dyDescent="0.25">
      <c r="A267" s="7" t="s">
        <v>1326</v>
      </c>
      <c r="B267" s="2" t="s">
        <v>1327</v>
      </c>
      <c r="C267" s="4">
        <v>1</v>
      </c>
      <c r="D267" s="5">
        <v>2.44</v>
      </c>
      <c r="E267" s="5">
        <v>5.99</v>
      </c>
      <c r="F267" s="4" t="s">
        <v>1328</v>
      </c>
      <c r="G267" s="2" t="s">
        <v>41</v>
      </c>
      <c r="H267" s="7" t="s">
        <v>91</v>
      </c>
      <c r="I267" s="2" t="s">
        <v>483</v>
      </c>
      <c r="J267" s="2" t="s">
        <v>536</v>
      </c>
      <c r="K267" s="2" t="s">
        <v>119</v>
      </c>
      <c r="L267" s="8" t="str">
        <f>HYPERLINK("http://slimages.macys.com/is/image/MCY/12466322 ")</f>
        <v xml:space="preserve">http://slimages.macys.com/is/image/MCY/12466322 </v>
      </c>
    </row>
    <row r="268" spans="1:12" ht="84" x14ac:dyDescent="0.25">
      <c r="A268" s="7" t="s">
        <v>1329</v>
      </c>
      <c r="B268" s="2" t="s">
        <v>1330</v>
      </c>
      <c r="C268" s="4">
        <v>1</v>
      </c>
      <c r="D268" s="5">
        <v>2.4300000000000002</v>
      </c>
      <c r="E268" s="5">
        <v>6.99</v>
      </c>
      <c r="F268" s="4" t="s">
        <v>1331</v>
      </c>
      <c r="G268" s="2" t="s">
        <v>41</v>
      </c>
      <c r="H268" s="7" t="s">
        <v>482</v>
      </c>
      <c r="I268" s="2" t="s">
        <v>483</v>
      </c>
      <c r="J268" s="2" t="s">
        <v>536</v>
      </c>
      <c r="K268" s="2" t="s">
        <v>38</v>
      </c>
      <c r="L268" s="8" t="str">
        <f>HYPERLINK("http://slimages.macys.com/is/image/MCY/12465718 ")</f>
        <v xml:space="preserve">http://slimages.macys.com/is/image/MCY/12465718 </v>
      </c>
    </row>
    <row r="269" spans="1:12" ht="84" x14ac:dyDescent="0.25">
      <c r="A269" s="7" t="s">
        <v>1332</v>
      </c>
      <c r="B269" s="2" t="s">
        <v>1333</v>
      </c>
      <c r="C269" s="4">
        <v>7</v>
      </c>
      <c r="D269" s="5">
        <v>2.4</v>
      </c>
      <c r="E269" s="5">
        <v>4.99</v>
      </c>
      <c r="F269" s="4" t="s">
        <v>1325</v>
      </c>
      <c r="G269" s="2" t="s">
        <v>36</v>
      </c>
      <c r="H269" s="7" t="s">
        <v>284</v>
      </c>
      <c r="I269" s="2" t="s">
        <v>523</v>
      </c>
      <c r="J269" s="2" t="s">
        <v>921</v>
      </c>
      <c r="K269" s="2" t="s">
        <v>1334</v>
      </c>
      <c r="L269" s="8" t="str">
        <f>HYPERLINK("http://slimages.macys.com/is/image/MCY/8345543 ")</f>
        <v xml:space="preserve">http://slimages.macys.com/is/image/MCY/8345543 </v>
      </c>
    </row>
    <row r="270" spans="1:12" ht="84" x14ac:dyDescent="0.25">
      <c r="A270" s="7" t="s">
        <v>1335</v>
      </c>
      <c r="B270" s="2" t="s">
        <v>1336</v>
      </c>
      <c r="C270" s="4">
        <v>1</v>
      </c>
      <c r="D270" s="5">
        <v>2.4</v>
      </c>
      <c r="E270" s="5">
        <v>5.99</v>
      </c>
      <c r="F270" s="4" t="s">
        <v>1337</v>
      </c>
      <c r="G270" s="2" t="s">
        <v>657</v>
      </c>
      <c r="H270" s="7" t="s">
        <v>149</v>
      </c>
      <c r="I270" s="2" t="s">
        <v>483</v>
      </c>
      <c r="J270" s="2" t="s">
        <v>536</v>
      </c>
      <c r="K270" s="2" t="s">
        <v>119</v>
      </c>
      <c r="L270" s="8" t="str">
        <f>HYPERLINK("http://slimages.macys.com/is/image/MCY/13987252 ")</f>
        <v xml:space="preserve">http://slimages.macys.com/is/image/MCY/13987252 </v>
      </c>
    </row>
    <row r="271" spans="1:12" ht="84" x14ac:dyDescent="0.25">
      <c r="A271" s="7" t="s">
        <v>1338</v>
      </c>
      <c r="B271" s="2" t="s">
        <v>1339</v>
      </c>
      <c r="C271" s="4">
        <v>2</v>
      </c>
      <c r="D271" s="5">
        <v>2.4</v>
      </c>
      <c r="E271" s="5">
        <v>4.99</v>
      </c>
      <c r="F271" s="4" t="s">
        <v>1340</v>
      </c>
      <c r="G271" s="2" t="s">
        <v>41</v>
      </c>
      <c r="H271" s="7" t="s">
        <v>196</v>
      </c>
      <c r="I271" s="2" t="s">
        <v>523</v>
      </c>
      <c r="J271" s="2" t="s">
        <v>921</v>
      </c>
      <c r="K271" s="2" t="s">
        <v>323</v>
      </c>
      <c r="L271" s="8" t="str">
        <f>HYPERLINK("http://slimages.macys.com/is/image/MCY/12083632 ")</f>
        <v xml:space="preserve">http://slimages.macys.com/is/image/MCY/12083632 </v>
      </c>
    </row>
    <row r="272" spans="1:12" ht="84" x14ac:dyDescent="0.25">
      <c r="A272" s="7" t="s">
        <v>1341</v>
      </c>
      <c r="B272" s="2" t="s">
        <v>1342</v>
      </c>
      <c r="C272" s="4">
        <v>1</v>
      </c>
      <c r="D272" s="5">
        <v>2.4</v>
      </c>
      <c r="E272" s="5">
        <v>5.99</v>
      </c>
      <c r="F272" s="4" t="s">
        <v>1343</v>
      </c>
      <c r="G272" s="2" t="s">
        <v>41</v>
      </c>
      <c r="H272" s="7" t="s">
        <v>590</v>
      </c>
      <c r="I272" s="2" t="s">
        <v>483</v>
      </c>
      <c r="J272" s="2" t="s">
        <v>536</v>
      </c>
      <c r="K272" s="2" t="s">
        <v>206</v>
      </c>
      <c r="L272" s="8" t="str">
        <f>HYPERLINK("http://slimages.macys.com/is/image/MCY/13337389 ")</f>
        <v xml:space="preserve">http://slimages.macys.com/is/image/MCY/13337389 </v>
      </c>
    </row>
    <row r="273" spans="1:12" ht="84" x14ac:dyDescent="0.25">
      <c r="A273" s="7" t="s">
        <v>1344</v>
      </c>
      <c r="B273" s="2" t="s">
        <v>1333</v>
      </c>
      <c r="C273" s="4">
        <v>1</v>
      </c>
      <c r="D273" s="5">
        <v>2.4</v>
      </c>
      <c r="E273" s="5">
        <v>4.99</v>
      </c>
      <c r="F273" s="4" t="s">
        <v>1325</v>
      </c>
      <c r="G273" s="2" t="s">
        <v>36</v>
      </c>
      <c r="H273" s="7" t="s">
        <v>159</v>
      </c>
      <c r="I273" s="2" t="s">
        <v>523</v>
      </c>
      <c r="J273" s="2" t="s">
        <v>921</v>
      </c>
      <c r="K273" s="2" t="s">
        <v>1334</v>
      </c>
      <c r="L273" s="8" t="str">
        <f>HYPERLINK("http://slimages.macys.com/is/image/MCY/8345543 ")</f>
        <v xml:space="preserve">http://slimages.macys.com/is/image/MCY/8345543 </v>
      </c>
    </row>
    <row r="274" spans="1:12" ht="84" x14ac:dyDescent="0.25">
      <c r="A274" s="7" t="s">
        <v>1345</v>
      </c>
      <c r="B274" s="2" t="s">
        <v>1324</v>
      </c>
      <c r="C274" s="4">
        <v>1</v>
      </c>
      <c r="D274" s="5">
        <v>2.38</v>
      </c>
      <c r="E274" s="5">
        <v>4.99</v>
      </c>
      <c r="F274" s="4" t="s">
        <v>1325</v>
      </c>
      <c r="G274" s="2" t="s">
        <v>62</v>
      </c>
      <c r="H274" s="7" t="s">
        <v>284</v>
      </c>
      <c r="I274" s="2" t="s">
        <v>523</v>
      </c>
      <c r="J274" s="2" t="s">
        <v>921</v>
      </c>
      <c r="K274" s="2" t="s">
        <v>323</v>
      </c>
      <c r="L274" s="8" t="str">
        <f>HYPERLINK("http://slimages.macys.com/is/image/MCY/11722365 ")</f>
        <v xml:space="preserve">http://slimages.macys.com/is/image/MCY/11722365 </v>
      </c>
    </row>
    <row r="275" spans="1:12" ht="84" x14ac:dyDescent="0.25">
      <c r="A275" s="7" t="s">
        <v>1346</v>
      </c>
      <c r="B275" s="2" t="s">
        <v>628</v>
      </c>
      <c r="C275" s="4">
        <v>1</v>
      </c>
      <c r="D275" s="5">
        <v>2.36</v>
      </c>
      <c r="E275" s="5">
        <v>6.99</v>
      </c>
      <c r="F275" s="4" t="s">
        <v>629</v>
      </c>
      <c r="G275" s="2" t="s">
        <v>388</v>
      </c>
      <c r="H275" s="7" t="s">
        <v>91</v>
      </c>
      <c r="I275" s="2" t="s">
        <v>483</v>
      </c>
      <c r="J275" s="2" t="s">
        <v>536</v>
      </c>
      <c r="K275" s="2" t="s">
        <v>87</v>
      </c>
      <c r="L275" s="8" t="str">
        <f>HYPERLINK("http://slimages.macys.com/is/image/MCY/14532052 ")</f>
        <v xml:space="preserve">http://slimages.macys.com/is/image/MCY/14532052 </v>
      </c>
    </row>
    <row r="276" spans="1:12" ht="84" x14ac:dyDescent="0.25">
      <c r="A276" s="7" t="s">
        <v>1347</v>
      </c>
      <c r="B276" s="2" t="s">
        <v>1348</v>
      </c>
      <c r="C276" s="4">
        <v>1</v>
      </c>
      <c r="D276" s="5">
        <v>2.36</v>
      </c>
      <c r="E276" s="5">
        <v>5.99</v>
      </c>
      <c r="F276" s="4" t="s">
        <v>1349</v>
      </c>
      <c r="G276" s="2" t="s">
        <v>62</v>
      </c>
      <c r="H276" s="7" t="s">
        <v>590</v>
      </c>
      <c r="I276" s="2" t="s">
        <v>483</v>
      </c>
      <c r="J276" s="2" t="s">
        <v>536</v>
      </c>
      <c r="K276" s="2" t="s">
        <v>38</v>
      </c>
      <c r="L276" s="8" t="str">
        <f>HYPERLINK("http://slimages.macys.com/is/image/MCY/13337362 ")</f>
        <v xml:space="preserve">http://slimages.macys.com/is/image/MCY/13337362 </v>
      </c>
    </row>
    <row r="277" spans="1:12" ht="84" x14ac:dyDescent="0.25">
      <c r="A277" s="7" t="s">
        <v>1350</v>
      </c>
      <c r="B277" s="2" t="s">
        <v>1351</v>
      </c>
      <c r="C277" s="4">
        <v>1</v>
      </c>
      <c r="D277" s="5">
        <v>2.34</v>
      </c>
      <c r="E277" s="5">
        <v>5.99</v>
      </c>
      <c r="F277" s="4" t="s">
        <v>1352</v>
      </c>
      <c r="G277" s="2" t="s">
        <v>41</v>
      </c>
      <c r="H277" s="7" t="s">
        <v>149</v>
      </c>
      <c r="I277" s="2" t="s">
        <v>483</v>
      </c>
      <c r="J277" s="2" t="s">
        <v>536</v>
      </c>
      <c r="K277" s="2" t="s">
        <v>38</v>
      </c>
      <c r="L277" s="8" t="str">
        <f>HYPERLINK("http://slimages.macys.com/is/image/MCY/13385985 ")</f>
        <v xml:space="preserve">http://slimages.macys.com/is/image/MCY/13385985 </v>
      </c>
    </row>
    <row r="278" spans="1:12" ht="84" x14ac:dyDescent="0.25">
      <c r="A278" s="7" t="s">
        <v>1353</v>
      </c>
      <c r="B278" s="2" t="s">
        <v>1354</v>
      </c>
      <c r="C278" s="4">
        <v>1</v>
      </c>
      <c r="D278" s="5">
        <v>2.34</v>
      </c>
      <c r="E278" s="5">
        <v>5.99</v>
      </c>
      <c r="F278" s="4" t="s">
        <v>1355</v>
      </c>
      <c r="G278" s="2" t="s">
        <v>643</v>
      </c>
      <c r="H278" s="7" t="s">
        <v>590</v>
      </c>
      <c r="I278" s="2" t="s">
        <v>483</v>
      </c>
      <c r="J278" s="2" t="s">
        <v>536</v>
      </c>
      <c r="K278" s="2" t="s">
        <v>38</v>
      </c>
      <c r="L278" s="8" t="str">
        <f>HYPERLINK("http://slimages.macys.com/is/image/MCY/13337390 ")</f>
        <v xml:space="preserve">http://slimages.macys.com/is/image/MCY/13337390 </v>
      </c>
    </row>
    <row r="279" spans="1:12" ht="84" x14ac:dyDescent="0.25">
      <c r="A279" s="7" t="s">
        <v>1356</v>
      </c>
      <c r="B279" s="2" t="s">
        <v>1354</v>
      </c>
      <c r="C279" s="4">
        <v>1</v>
      </c>
      <c r="D279" s="5">
        <v>2.34</v>
      </c>
      <c r="E279" s="5">
        <v>5.99</v>
      </c>
      <c r="F279" s="4" t="s">
        <v>1355</v>
      </c>
      <c r="G279" s="2" t="s">
        <v>643</v>
      </c>
      <c r="H279" s="7" t="s">
        <v>91</v>
      </c>
      <c r="I279" s="2" t="s">
        <v>483</v>
      </c>
      <c r="J279" s="2" t="s">
        <v>536</v>
      </c>
      <c r="K279" s="2" t="s">
        <v>38</v>
      </c>
      <c r="L279" s="8" t="str">
        <f>HYPERLINK("http://slimages.macys.com/is/image/MCY/13337390 ")</f>
        <v xml:space="preserve">http://slimages.macys.com/is/image/MCY/13337390 </v>
      </c>
    </row>
    <row r="280" spans="1:12" ht="84" x14ac:dyDescent="0.25">
      <c r="A280" s="7" t="s">
        <v>1357</v>
      </c>
      <c r="B280" s="2" t="s">
        <v>1351</v>
      </c>
      <c r="C280" s="4">
        <v>1</v>
      </c>
      <c r="D280" s="5">
        <v>2.34</v>
      </c>
      <c r="E280" s="5">
        <v>5.99</v>
      </c>
      <c r="F280" s="4" t="s">
        <v>1352</v>
      </c>
      <c r="G280" s="2" t="s">
        <v>41</v>
      </c>
      <c r="H280" s="7" t="s">
        <v>590</v>
      </c>
      <c r="I280" s="2" t="s">
        <v>483</v>
      </c>
      <c r="J280" s="2" t="s">
        <v>536</v>
      </c>
      <c r="K280" s="2" t="s">
        <v>38</v>
      </c>
      <c r="L280" s="8" t="str">
        <f>HYPERLINK("http://slimages.macys.com/is/image/MCY/13385985 ")</f>
        <v xml:space="preserve">http://slimages.macys.com/is/image/MCY/13385985 </v>
      </c>
    </row>
    <row r="281" spans="1:12" ht="84" x14ac:dyDescent="0.25">
      <c r="A281" s="7" t="s">
        <v>1358</v>
      </c>
      <c r="B281" s="2" t="s">
        <v>1359</v>
      </c>
      <c r="C281" s="4">
        <v>1</v>
      </c>
      <c r="D281" s="5">
        <v>2.33</v>
      </c>
      <c r="E281" s="5">
        <v>7.99</v>
      </c>
      <c r="F281" s="4">
        <v>10004191800</v>
      </c>
      <c r="G281" s="2" t="s">
        <v>1360</v>
      </c>
      <c r="H281" s="7" t="s">
        <v>531</v>
      </c>
      <c r="I281" s="2" t="s">
        <v>483</v>
      </c>
      <c r="J281" s="2" t="s">
        <v>536</v>
      </c>
      <c r="K281" s="2" t="s">
        <v>38</v>
      </c>
      <c r="L281" s="8" t="str">
        <f>HYPERLINK("http://slimages.macys.com/is/image/MCY/11520378 ")</f>
        <v xml:space="preserve">http://slimages.macys.com/is/image/MCY/11520378 </v>
      </c>
    </row>
    <row r="282" spans="1:12" ht="84" x14ac:dyDescent="0.25">
      <c r="A282" s="7" t="s">
        <v>1361</v>
      </c>
      <c r="B282" s="2" t="s">
        <v>1362</v>
      </c>
      <c r="C282" s="4">
        <v>1</v>
      </c>
      <c r="D282" s="5">
        <v>2.33</v>
      </c>
      <c r="E282" s="5">
        <v>6.99</v>
      </c>
      <c r="F282" s="4" t="s">
        <v>1363</v>
      </c>
      <c r="G282" s="2" t="s">
        <v>527</v>
      </c>
      <c r="H282" s="7" t="s">
        <v>149</v>
      </c>
      <c r="I282" s="2" t="s">
        <v>483</v>
      </c>
      <c r="J282" s="2" t="s">
        <v>536</v>
      </c>
      <c r="K282" s="2" t="s">
        <v>100</v>
      </c>
      <c r="L282" s="8" t="str">
        <f>HYPERLINK("http://slimages.macys.com/is/image/MCY/12465866 ")</f>
        <v xml:space="preserve">http://slimages.macys.com/is/image/MCY/12465866 </v>
      </c>
    </row>
    <row r="283" spans="1:12" ht="84" x14ac:dyDescent="0.25">
      <c r="A283" s="7" t="s">
        <v>1364</v>
      </c>
      <c r="B283" s="2" t="s">
        <v>1365</v>
      </c>
      <c r="C283" s="4">
        <v>1</v>
      </c>
      <c r="D283" s="5">
        <v>2.29</v>
      </c>
      <c r="E283" s="5">
        <v>5.99</v>
      </c>
      <c r="F283" s="4" t="s">
        <v>1366</v>
      </c>
      <c r="G283" s="2" t="s">
        <v>62</v>
      </c>
      <c r="H283" s="7" t="s">
        <v>590</v>
      </c>
      <c r="I283" s="2" t="s">
        <v>483</v>
      </c>
      <c r="J283" s="2" t="s">
        <v>536</v>
      </c>
      <c r="K283" s="2" t="s">
        <v>206</v>
      </c>
      <c r="L283" s="8" t="str">
        <f>HYPERLINK("http://slimages.macys.com/is/image/MCY/12463166 ")</f>
        <v xml:space="preserve">http://slimages.macys.com/is/image/MCY/12463166 </v>
      </c>
    </row>
    <row r="284" spans="1:12" ht="84" x14ac:dyDescent="0.25">
      <c r="A284" s="7" t="s">
        <v>1367</v>
      </c>
      <c r="B284" s="2" t="s">
        <v>1368</v>
      </c>
      <c r="C284" s="4">
        <v>1</v>
      </c>
      <c r="D284" s="5">
        <v>2.2799999999999998</v>
      </c>
      <c r="E284" s="5">
        <v>5.99</v>
      </c>
      <c r="F284" s="4" t="s">
        <v>1369</v>
      </c>
      <c r="G284" s="2" t="s">
        <v>41</v>
      </c>
      <c r="H284" s="7" t="s">
        <v>442</v>
      </c>
      <c r="I284" s="2" t="s">
        <v>483</v>
      </c>
      <c r="J284" s="2" t="s">
        <v>536</v>
      </c>
      <c r="K284" s="2" t="s">
        <v>38</v>
      </c>
      <c r="L284" s="8" t="str">
        <f>HYPERLINK("http://slimages.macys.com/is/image/MCY/13987603 ")</f>
        <v xml:space="preserve">http://slimages.macys.com/is/image/MCY/13987603 </v>
      </c>
    </row>
    <row r="285" spans="1:12" ht="84" x14ac:dyDescent="0.25">
      <c r="A285" s="7" t="s">
        <v>1370</v>
      </c>
      <c r="B285" s="2" t="s">
        <v>1368</v>
      </c>
      <c r="C285" s="4">
        <v>2</v>
      </c>
      <c r="D285" s="5">
        <v>2.2799999999999998</v>
      </c>
      <c r="E285" s="5">
        <v>5.99</v>
      </c>
      <c r="F285" s="4" t="s">
        <v>1369</v>
      </c>
      <c r="G285" s="2" t="s">
        <v>41</v>
      </c>
      <c r="H285" s="7" t="s">
        <v>42</v>
      </c>
      <c r="I285" s="2" t="s">
        <v>483</v>
      </c>
      <c r="J285" s="2" t="s">
        <v>536</v>
      </c>
      <c r="K285" s="2" t="s">
        <v>38</v>
      </c>
      <c r="L285" s="8" t="str">
        <f>HYPERLINK("http://slimages.macys.com/is/image/MCY/13987603 ")</f>
        <v xml:space="preserve">http://slimages.macys.com/is/image/MCY/13987603 </v>
      </c>
    </row>
    <row r="286" spans="1:12" ht="84" x14ac:dyDescent="0.25">
      <c r="A286" s="7" t="s">
        <v>1371</v>
      </c>
      <c r="B286" s="2" t="s">
        <v>1372</v>
      </c>
      <c r="C286" s="4">
        <v>2</v>
      </c>
      <c r="D286" s="5">
        <v>2.27</v>
      </c>
      <c r="E286" s="5">
        <v>5.99</v>
      </c>
      <c r="F286" s="4" t="s">
        <v>1373</v>
      </c>
      <c r="G286" s="2" t="s">
        <v>134</v>
      </c>
      <c r="H286" s="7" t="s">
        <v>442</v>
      </c>
      <c r="I286" s="2" t="s">
        <v>483</v>
      </c>
      <c r="J286" s="2" t="s">
        <v>536</v>
      </c>
      <c r="K286" s="2" t="s">
        <v>119</v>
      </c>
      <c r="L286" s="8" t="str">
        <f>HYPERLINK("http://slimages.macys.com/is/image/MCY/12642166 ")</f>
        <v xml:space="preserve">http://slimages.macys.com/is/image/MCY/12642166 </v>
      </c>
    </row>
    <row r="287" spans="1:12" ht="84" x14ac:dyDescent="0.25">
      <c r="A287" s="7" t="s">
        <v>1374</v>
      </c>
      <c r="B287" s="2" t="s">
        <v>1372</v>
      </c>
      <c r="C287" s="4">
        <v>1</v>
      </c>
      <c r="D287" s="5">
        <v>2.27</v>
      </c>
      <c r="E287" s="5">
        <v>5.99</v>
      </c>
      <c r="F287" s="4" t="s">
        <v>1373</v>
      </c>
      <c r="G287" s="2" t="s">
        <v>134</v>
      </c>
      <c r="H287" s="7" t="s">
        <v>590</v>
      </c>
      <c r="I287" s="2" t="s">
        <v>483</v>
      </c>
      <c r="J287" s="2" t="s">
        <v>536</v>
      </c>
      <c r="K287" s="2" t="s">
        <v>119</v>
      </c>
      <c r="L287" s="8" t="str">
        <f>HYPERLINK("http://slimages.macys.com/is/image/MCY/12642166 ")</f>
        <v xml:space="preserve">http://slimages.macys.com/is/image/MCY/12642166 </v>
      </c>
    </row>
    <row r="288" spans="1:12" ht="84" x14ac:dyDescent="0.25">
      <c r="A288" s="7" t="s">
        <v>1375</v>
      </c>
      <c r="B288" s="2" t="s">
        <v>1372</v>
      </c>
      <c r="C288" s="4">
        <v>3</v>
      </c>
      <c r="D288" s="5">
        <v>2.27</v>
      </c>
      <c r="E288" s="5">
        <v>5.99</v>
      </c>
      <c r="F288" s="4" t="s">
        <v>1373</v>
      </c>
      <c r="G288" s="2" t="s">
        <v>134</v>
      </c>
      <c r="H288" s="7" t="s">
        <v>42</v>
      </c>
      <c r="I288" s="2" t="s">
        <v>483</v>
      </c>
      <c r="J288" s="2" t="s">
        <v>536</v>
      </c>
      <c r="K288" s="2" t="s">
        <v>119</v>
      </c>
      <c r="L288" s="8" t="str">
        <f>HYPERLINK("http://slimages.macys.com/is/image/MCY/12642166 ")</f>
        <v xml:space="preserve">http://slimages.macys.com/is/image/MCY/12642166 </v>
      </c>
    </row>
    <row r="289" spans="1:13" ht="84" x14ac:dyDescent="0.25">
      <c r="A289" s="7" t="s">
        <v>1376</v>
      </c>
      <c r="B289" s="2" t="s">
        <v>1372</v>
      </c>
      <c r="C289" s="4">
        <v>1</v>
      </c>
      <c r="D289" s="5">
        <v>2.27</v>
      </c>
      <c r="E289" s="5">
        <v>5.99</v>
      </c>
      <c r="F289" s="4" t="s">
        <v>1373</v>
      </c>
      <c r="G289" s="2" t="s">
        <v>134</v>
      </c>
      <c r="H289" s="7" t="s">
        <v>149</v>
      </c>
      <c r="I289" s="2" t="s">
        <v>483</v>
      </c>
      <c r="J289" s="2" t="s">
        <v>536</v>
      </c>
      <c r="K289" s="2" t="s">
        <v>119</v>
      </c>
      <c r="L289" s="8" t="str">
        <f>HYPERLINK("http://slimages.macys.com/is/image/MCY/12642166 ")</f>
        <v xml:space="preserve">http://slimages.macys.com/is/image/MCY/12642166 </v>
      </c>
    </row>
    <row r="290" spans="1:13" ht="84" x14ac:dyDescent="0.25">
      <c r="A290" s="7" t="s">
        <v>1377</v>
      </c>
      <c r="B290" s="2" t="s">
        <v>1372</v>
      </c>
      <c r="C290" s="4">
        <v>3</v>
      </c>
      <c r="D290" s="5">
        <v>2.27</v>
      </c>
      <c r="E290" s="5">
        <v>5.99</v>
      </c>
      <c r="F290" s="4" t="s">
        <v>1373</v>
      </c>
      <c r="G290" s="2" t="s">
        <v>134</v>
      </c>
      <c r="H290" s="7" t="s">
        <v>91</v>
      </c>
      <c r="I290" s="2" t="s">
        <v>483</v>
      </c>
      <c r="J290" s="2" t="s">
        <v>536</v>
      </c>
      <c r="K290" s="2" t="s">
        <v>119</v>
      </c>
      <c r="L290" s="8" t="str">
        <f>HYPERLINK("http://slimages.macys.com/is/image/MCY/12642166 ")</f>
        <v xml:space="preserve">http://slimages.macys.com/is/image/MCY/12642166 </v>
      </c>
    </row>
    <row r="291" spans="1:13" ht="84" x14ac:dyDescent="0.25">
      <c r="A291" s="7" t="s">
        <v>1378</v>
      </c>
      <c r="B291" s="2" t="s">
        <v>1379</v>
      </c>
      <c r="C291" s="4">
        <v>1</v>
      </c>
      <c r="D291" s="5">
        <v>2.25</v>
      </c>
      <c r="E291" s="5">
        <v>5.99</v>
      </c>
      <c r="F291" s="4" t="s">
        <v>1380</v>
      </c>
      <c r="G291" s="2" t="s">
        <v>41</v>
      </c>
      <c r="H291" s="7" t="s">
        <v>442</v>
      </c>
      <c r="I291" s="2" t="s">
        <v>483</v>
      </c>
      <c r="J291" s="2" t="s">
        <v>536</v>
      </c>
      <c r="K291" s="2" t="s">
        <v>206</v>
      </c>
      <c r="L291" s="8" t="str">
        <f>HYPERLINK("http://slimages.macys.com/is/image/MCY/13386152 ")</f>
        <v xml:space="preserve">http://slimages.macys.com/is/image/MCY/13386152 </v>
      </c>
    </row>
    <row r="292" spans="1:13" ht="84" x14ac:dyDescent="0.25">
      <c r="A292" s="7" t="s">
        <v>1381</v>
      </c>
      <c r="B292" s="2" t="s">
        <v>1379</v>
      </c>
      <c r="C292" s="4">
        <v>1</v>
      </c>
      <c r="D292" s="5">
        <v>2.25</v>
      </c>
      <c r="E292" s="5">
        <v>5.99</v>
      </c>
      <c r="F292" s="4" t="s">
        <v>1380</v>
      </c>
      <c r="G292" s="2" t="s">
        <v>41</v>
      </c>
      <c r="H292" s="7" t="s">
        <v>42</v>
      </c>
      <c r="I292" s="2" t="s">
        <v>483</v>
      </c>
      <c r="J292" s="2" t="s">
        <v>536</v>
      </c>
      <c r="K292" s="2" t="s">
        <v>206</v>
      </c>
      <c r="L292" s="8" t="str">
        <f>HYPERLINK("http://slimages.macys.com/is/image/MCY/13386152 ")</f>
        <v xml:space="preserve">http://slimages.macys.com/is/image/MCY/13386152 </v>
      </c>
    </row>
    <row r="293" spans="1:13" ht="84" x14ac:dyDescent="0.25">
      <c r="A293" s="7" t="s">
        <v>1382</v>
      </c>
      <c r="B293" s="2" t="s">
        <v>1383</v>
      </c>
      <c r="C293" s="4">
        <v>1</v>
      </c>
      <c r="D293" s="5">
        <v>2.25</v>
      </c>
      <c r="E293" s="5">
        <v>4.99</v>
      </c>
      <c r="F293" s="4" t="s">
        <v>1384</v>
      </c>
      <c r="G293" s="2" t="s">
        <v>28</v>
      </c>
      <c r="H293" s="7" t="s">
        <v>228</v>
      </c>
      <c r="I293" s="2" t="s">
        <v>523</v>
      </c>
      <c r="J293" s="2" t="s">
        <v>921</v>
      </c>
      <c r="K293" s="2" t="s">
        <v>358</v>
      </c>
      <c r="L293" s="8" t="str">
        <f>HYPERLINK("http://slimages.macys.com/is/image/MCY/9356496 ")</f>
        <v xml:space="preserve">http://slimages.macys.com/is/image/MCY/9356496 </v>
      </c>
    </row>
    <row r="294" spans="1:13" ht="84" x14ac:dyDescent="0.25">
      <c r="A294" s="7" t="s">
        <v>1385</v>
      </c>
      <c r="B294" s="2" t="s">
        <v>1383</v>
      </c>
      <c r="C294" s="4">
        <v>2</v>
      </c>
      <c r="D294" s="5">
        <v>2.25</v>
      </c>
      <c r="E294" s="5">
        <v>4.99</v>
      </c>
      <c r="F294" s="4" t="s">
        <v>1384</v>
      </c>
      <c r="G294" s="2" t="s">
        <v>28</v>
      </c>
      <c r="H294" s="7" t="s">
        <v>159</v>
      </c>
      <c r="I294" s="2" t="s">
        <v>523</v>
      </c>
      <c r="J294" s="2" t="s">
        <v>921</v>
      </c>
      <c r="K294" s="2" t="s">
        <v>358</v>
      </c>
      <c r="L294" s="8" t="str">
        <f>HYPERLINK("http://slimages.macys.com/is/image/MCY/9356496 ")</f>
        <v xml:space="preserve">http://slimages.macys.com/is/image/MCY/9356496 </v>
      </c>
    </row>
    <row r="295" spans="1:13" ht="84" x14ac:dyDescent="0.25">
      <c r="A295" s="7" t="s">
        <v>1386</v>
      </c>
      <c r="B295" s="2" t="s">
        <v>641</v>
      </c>
      <c r="C295" s="4">
        <v>3</v>
      </c>
      <c r="D295" s="5">
        <v>2.21</v>
      </c>
      <c r="E295" s="5">
        <v>5.99</v>
      </c>
      <c r="F295" s="4" t="s">
        <v>642</v>
      </c>
      <c r="G295" s="2" t="s">
        <v>643</v>
      </c>
      <c r="H295" s="7" t="s">
        <v>42</v>
      </c>
      <c r="I295" s="2" t="s">
        <v>483</v>
      </c>
      <c r="J295" s="2" t="s">
        <v>536</v>
      </c>
      <c r="K295" s="2" t="s">
        <v>38</v>
      </c>
      <c r="L295" s="8" t="str">
        <f>HYPERLINK("http://slimages.macys.com/is/image/MCY/13987601 ")</f>
        <v xml:space="preserve">http://slimages.macys.com/is/image/MCY/13987601 </v>
      </c>
    </row>
    <row r="296" spans="1:13" ht="84" x14ac:dyDescent="0.25">
      <c r="A296" s="7" t="s">
        <v>640</v>
      </c>
      <c r="B296" s="2" t="s">
        <v>641</v>
      </c>
      <c r="C296" s="4">
        <v>1</v>
      </c>
      <c r="D296" s="5">
        <v>2.21</v>
      </c>
      <c r="E296" s="5">
        <v>5.99</v>
      </c>
      <c r="F296" s="4" t="s">
        <v>642</v>
      </c>
      <c r="G296" s="2" t="s">
        <v>643</v>
      </c>
      <c r="H296" s="7" t="s">
        <v>590</v>
      </c>
      <c r="I296" s="2" t="s">
        <v>483</v>
      </c>
      <c r="J296" s="2" t="s">
        <v>536</v>
      </c>
      <c r="K296" s="2" t="s">
        <v>38</v>
      </c>
      <c r="L296" s="8" t="str">
        <f>HYPERLINK("http://slimages.macys.com/is/image/MCY/13987601 ")</f>
        <v xml:space="preserve">http://slimages.macys.com/is/image/MCY/13987601 </v>
      </c>
    </row>
    <row r="297" spans="1:13" ht="84" x14ac:dyDescent="0.25">
      <c r="A297" s="7" t="s">
        <v>1387</v>
      </c>
      <c r="B297" s="2" t="s">
        <v>1388</v>
      </c>
      <c r="C297" s="4">
        <v>1</v>
      </c>
      <c r="D297" s="5">
        <v>2.21</v>
      </c>
      <c r="E297" s="5">
        <v>5.99</v>
      </c>
      <c r="F297" s="4" t="s">
        <v>1389</v>
      </c>
      <c r="G297" s="2" t="s">
        <v>129</v>
      </c>
      <c r="H297" s="7" t="s">
        <v>91</v>
      </c>
      <c r="I297" s="2" t="s">
        <v>483</v>
      </c>
      <c r="J297" s="2" t="s">
        <v>536</v>
      </c>
      <c r="K297" s="2" t="s">
        <v>38</v>
      </c>
      <c r="L297" s="8" t="str">
        <f>HYPERLINK("http://slimages.macys.com/is/image/MCY/13987618 ")</f>
        <v xml:space="preserve">http://slimages.macys.com/is/image/MCY/13987618 </v>
      </c>
    </row>
    <row r="298" spans="1:13" ht="84" x14ac:dyDescent="0.25">
      <c r="A298" s="7" t="s">
        <v>1390</v>
      </c>
      <c r="B298" s="2" t="s">
        <v>1391</v>
      </c>
      <c r="C298" s="4">
        <v>1</v>
      </c>
      <c r="D298" s="5">
        <v>2.21</v>
      </c>
      <c r="E298" s="5">
        <v>5.99</v>
      </c>
      <c r="F298" s="4" t="s">
        <v>1392</v>
      </c>
      <c r="G298" s="2" t="s">
        <v>41</v>
      </c>
      <c r="H298" s="7" t="s">
        <v>42</v>
      </c>
      <c r="I298" s="2" t="s">
        <v>483</v>
      </c>
      <c r="J298" s="2" t="s">
        <v>536</v>
      </c>
      <c r="K298" s="2" t="s">
        <v>100</v>
      </c>
      <c r="L298" s="8" t="str">
        <f>HYPERLINK("http://slimages.macys.com/is/image/MCY/12466361 ")</f>
        <v xml:space="preserve">http://slimages.macys.com/is/image/MCY/12466361 </v>
      </c>
    </row>
    <row r="299" spans="1:13" ht="84" x14ac:dyDescent="0.25">
      <c r="A299" s="7" t="s">
        <v>1393</v>
      </c>
      <c r="B299" s="2" t="s">
        <v>1394</v>
      </c>
      <c r="C299" s="4">
        <v>1</v>
      </c>
      <c r="D299" s="5">
        <v>2.17</v>
      </c>
      <c r="E299" s="5">
        <v>4.99</v>
      </c>
      <c r="F299" s="4">
        <v>10000297900</v>
      </c>
      <c r="G299" s="2" t="s">
        <v>582</v>
      </c>
      <c r="H299" s="7" t="s">
        <v>531</v>
      </c>
      <c r="I299" s="2" t="s">
        <v>483</v>
      </c>
      <c r="J299" s="2" t="s">
        <v>536</v>
      </c>
      <c r="K299" s="2" t="s">
        <v>38</v>
      </c>
      <c r="L299" s="8" t="str">
        <f>HYPERLINK("http://slimages.macys.com/is/image/MCY/11547503 ")</f>
        <v xml:space="preserve">http://slimages.macys.com/is/image/MCY/11547503 </v>
      </c>
    </row>
    <row r="300" spans="1:13" ht="84" x14ac:dyDescent="0.25">
      <c r="A300" s="7" t="s">
        <v>1395</v>
      </c>
      <c r="B300" s="2" t="s">
        <v>1396</v>
      </c>
      <c r="C300" s="4">
        <v>1</v>
      </c>
      <c r="D300" s="5">
        <v>2.1</v>
      </c>
      <c r="E300" s="5">
        <v>5.99</v>
      </c>
      <c r="F300" s="4" t="s">
        <v>1397</v>
      </c>
      <c r="G300" s="2" t="s">
        <v>41</v>
      </c>
      <c r="H300" s="7" t="s">
        <v>91</v>
      </c>
      <c r="I300" s="2" t="s">
        <v>483</v>
      </c>
      <c r="J300" s="2" t="s">
        <v>536</v>
      </c>
      <c r="K300" s="2" t="s">
        <v>206</v>
      </c>
      <c r="L300" s="8" t="str">
        <f>HYPERLINK("http://slimages.macys.com/is/image/MCY/12466330 ")</f>
        <v xml:space="preserve">http://slimages.macys.com/is/image/MCY/12466330 </v>
      </c>
    </row>
    <row r="301" spans="1:13" ht="84" x14ac:dyDescent="0.25">
      <c r="A301" s="7" t="s">
        <v>1398</v>
      </c>
      <c r="B301" s="2" t="s">
        <v>1399</v>
      </c>
      <c r="C301" s="4">
        <v>1</v>
      </c>
      <c r="D301" s="5">
        <v>1.97</v>
      </c>
      <c r="E301" s="5">
        <v>5.99</v>
      </c>
      <c r="F301" s="4" t="s">
        <v>1400</v>
      </c>
      <c r="G301" s="2" t="s">
        <v>657</v>
      </c>
      <c r="H301" s="7" t="s">
        <v>590</v>
      </c>
      <c r="I301" s="2" t="s">
        <v>483</v>
      </c>
      <c r="J301" s="2" t="s">
        <v>536</v>
      </c>
      <c r="K301" s="2" t="s">
        <v>119</v>
      </c>
      <c r="L301" s="8" t="str">
        <f>HYPERLINK("http://slimages.macys.com/is/image/MCY/13987628 ")</f>
        <v xml:space="preserve">http://slimages.macys.com/is/image/MCY/13987628 </v>
      </c>
    </row>
    <row r="302" spans="1:13" ht="36" x14ac:dyDescent="0.25">
      <c r="A302" s="7" t="s">
        <v>1401</v>
      </c>
      <c r="B302" s="2" t="s">
        <v>1402</v>
      </c>
      <c r="C302" s="4">
        <v>1</v>
      </c>
      <c r="D302" s="5">
        <v>10.25</v>
      </c>
      <c r="E302" s="5">
        <v>34</v>
      </c>
      <c r="F302" s="4" t="s">
        <v>1403</v>
      </c>
      <c r="G302" s="2" t="s">
        <v>657</v>
      </c>
      <c r="H302" s="7" t="s">
        <v>311</v>
      </c>
      <c r="I302" s="2" t="s">
        <v>50</v>
      </c>
      <c r="J302" s="2" t="s">
        <v>650</v>
      </c>
      <c r="K302" s="2"/>
      <c r="L302" s="2"/>
      <c r="M302" s="10"/>
    </row>
  </sheetData>
  <pageMargins left="0.5" right="0.5" top="0.25" bottom="0.25" header="0.3" footer="0.3"/>
  <pageSetup scale="65" orientation="landscape" horizontalDpi="0" verticalDpi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82"/>
  <sheetViews>
    <sheetView workbookViewId="0">
      <selection activeCell="M4" sqref="M4"/>
    </sheetView>
  </sheetViews>
  <sheetFormatPr defaultRowHeight="15" x14ac:dyDescent="0.25"/>
  <cols>
    <col min="1" max="1" width="14.28515625" customWidth="1"/>
    <col min="2" max="2" width="53.28515625" customWidth="1"/>
    <col min="3" max="3" width="13" customWidth="1"/>
    <col min="4" max="4" width="10.85546875" customWidth="1"/>
    <col min="5" max="5" width="11" customWidth="1"/>
    <col min="6" max="6" width="11.85546875" customWidth="1"/>
    <col min="7" max="7" width="10.28515625" customWidth="1"/>
    <col min="8" max="8" width="12.5703125" customWidth="1"/>
    <col min="9" max="10" width="11.42578125" customWidth="1"/>
    <col min="11" max="11" width="10.85546875" customWidth="1"/>
    <col min="12" max="12" width="12.7109375" customWidth="1"/>
    <col min="13" max="13" width="10.85546875" customWidth="1"/>
    <col min="14" max="14" width="12.140625" customWidth="1"/>
    <col min="15" max="15" width="36.5703125" bestFit="1" customWidth="1"/>
    <col min="16" max="17" width="20.7109375" customWidth="1"/>
    <col min="18" max="18" width="64.28515625" customWidth="1"/>
  </cols>
  <sheetData>
    <row r="1" spans="1:12" ht="36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</row>
    <row r="2" spans="1:12" ht="48" x14ac:dyDescent="0.25">
      <c r="A2" s="2" t="s">
        <v>10</v>
      </c>
      <c r="B2" s="3">
        <v>12516398</v>
      </c>
      <c r="C2" s="2" t="s">
        <v>11</v>
      </c>
      <c r="D2" s="2" t="s">
        <v>12</v>
      </c>
      <c r="E2" s="4">
        <v>1</v>
      </c>
      <c r="F2" s="4">
        <v>19</v>
      </c>
      <c r="G2" s="2">
        <v>82</v>
      </c>
      <c r="H2" s="5">
        <v>2143.96</v>
      </c>
      <c r="I2" s="5">
        <v>5126.1499999999996</v>
      </c>
      <c r="J2" s="2">
        <v>231</v>
      </c>
    </row>
    <row r="4" spans="1:12" s="6" customFormat="1" x14ac:dyDescent="0.25"/>
    <row r="7" spans="1:12" s="6" customFormat="1" x14ac:dyDescent="0.25"/>
    <row r="8" spans="1:12" ht="24" x14ac:dyDescent="0.25">
      <c r="A8" s="1" t="s">
        <v>13</v>
      </c>
      <c r="B8" s="1" t="s">
        <v>14</v>
      </c>
      <c r="C8" s="1" t="s">
        <v>15</v>
      </c>
      <c r="D8" s="1" t="s">
        <v>16</v>
      </c>
      <c r="E8" s="1" t="s">
        <v>17</v>
      </c>
      <c r="F8" s="1" t="s">
        <v>18</v>
      </c>
      <c r="G8" s="1" t="s">
        <v>19</v>
      </c>
      <c r="H8" s="1" t="s">
        <v>20</v>
      </c>
      <c r="I8" s="1" t="s">
        <v>21</v>
      </c>
      <c r="J8" s="1" t="s">
        <v>22</v>
      </c>
      <c r="K8" s="1" t="s">
        <v>23</v>
      </c>
      <c r="L8" s="1" t="s">
        <v>24</v>
      </c>
    </row>
    <row r="9" spans="1:12" ht="84" x14ac:dyDescent="0.25">
      <c r="A9" s="7" t="s">
        <v>25</v>
      </c>
      <c r="B9" s="2" t="s">
        <v>26</v>
      </c>
      <c r="C9" s="4">
        <v>1</v>
      </c>
      <c r="D9" s="5">
        <v>46.5</v>
      </c>
      <c r="E9" s="5">
        <v>92.99</v>
      </c>
      <c r="F9" s="4" t="s">
        <v>27</v>
      </c>
      <c r="G9" s="2" t="s">
        <v>28</v>
      </c>
      <c r="H9" s="7" t="s">
        <v>29</v>
      </c>
      <c r="I9" s="2" t="s">
        <v>30</v>
      </c>
      <c r="J9" s="2" t="s">
        <v>31</v>
      </c>
      <c r="K9" s="2" t="s">
        <v>32</v>
      </c>
      <c r="L9" s="8" t="str">
        <f>HYPERLINK("http://slimages.macys.com/is/image/MCY/11853289 ")</f>
        <v xml:space="preserve">http://slimages.macys.com/is/image/MCY/11853289 </v>
      </c>
    </row>
    <row r="10" spans="1:12" ht="84" x14ac:dyDescent="0.25">
      <c r="A10" s="7" t="s">
        <v>33</v>
      </c>
      <c r="B10" s="2" t="s">
        <v>34</v>
      </c>
      <c r="C10" s="4">
        <v>1</v>
      </c>
      <c r="D10" s="5">
        <v>42.5</v>
      </c>
      <c r="E10" s="5">
        <v>104.99</v>
      </c>
      <c r="F10" s="4" t="s">
        <v>35</v>
      </c>
      <c r="G10" s="2" t="s">
        <v>36</v>
      </c>
      <c r="H10" s="7" t="s">
        <v>37</v>
      </c>
      <c r="I10" s="2" t="s">
        <v>30</v>
      </c>
      <c r="J10" s="2" t="s">
        <v>31</v>
      </c>
      <c r="K10" s="2" t="s">
        <v>38</v>
      </c>
      <c r="L10" s="8" t="str">
        <f>HYPERLINK("http://slimages.macys.com/is/image/MCY/11831359 ")</f>
        <v xml:space="preserve">http://slimages.macys.com/is/image/MCY/11831359 </v>
      </c>
    </row>
    <row r="11" spans="1:12" ht="84" x14ac:dyDescent="0.25">
      <c r="A11" s="7" t="s">
        <v>39</v>
      </c>
      <c r="B11" s="2" t="s">
        <v>40</v>
      </c>
      <c r="C11" s="4">
        <v>1</v>
      </c>
      <c r="D11" s="5">
        <v>24.75</v>
      </c>
      <c r="E11" s="5">
        <v>65</v>
      </c>
      <c r="F11" s="4">
        <v>2394</v>
      </c>
      <c r="G11" s="2" t="s">
        <v>41</v>
      </c>
      <c r="H11" s="7" t="s">
        <v>42</v>
      </c>
      <c r="I11" s="2" t="s">
        <v>43</v>
      </c>
      <c r="J11" s="2" t="s">
        <v>44</v>
      </c>
      <c r="K11" s="2" t="s">
        <v>45</v>
      </c>
      <c r="L11" s="8" t="str">
        <f>HYPERLINK("http://slimages.macys.com/is/image/MCY/694350 ")</f>
        <v xml:space="preserve">http://slimages.macys.com/is/image/MCY/694350 </v>
      </c>
    </row>
    <row r="12" spans="1:12" ht="84" x14ac:dyDescent="0.25">
      <c r="A12" s="7" t="s">
        <v>46</v>
      </c>
      <c r="B12" s="2" t="s">
        <v>47</v>
      </c>
      <c r="C12" s="4">
        <v>1</v>
      </c>
      <c r="D12" s="5">
        <v>24</v>
      </c>
      <c r="E12" s="5">
        <v>48</v>
      </c>
      <c r="F12" s="4">
        <v>320844</v>
      </c>
      <c r="G12" s="2" t="s">
        <v>48</v>
      </c>
      <c r="H12" s="7" t="s">
        <v>49</v>
      </c>
      <c r="I12" s="2" t="s">
        <v>50</v>
      </c>
      <c r="J12" s="2" t="s">
        <v>51</v>
      </c>
      <c r="K12" s="2" t="s">
        <v>52</v>
      </c>
      <c r="L12" s="8" t="str">
        <f>HYPERLINK("http://slimages.macys.com/is/image/MCY/10277285 ")</f>
        <v xml:space="preserve">http://slimages.macys.com/is/image/MCY/10277285 </v>
      </c>
    </row>
    <row r="13" spans="1:12" ht="84" x14ac:dyDescent="0.25">
      <c r="A13" s="7" t="s">
        <v>53</v>
      </c>
      <c r="B13" s="2" t="s">
        <v>54</v>
      </c>
      <c r="C13" s="4">
        <v>1</v>
      </c>
      <c r="D13" s="5">
        <v>19.8</v>
      </c>
      <c r="E13" s="5">
        <v>49.5</v>
      </c>
      <c r="F13" s="4" t="s">
        <v>55</v>
      </c>
      <c r="G13" s="2" t="s">
        <v>41</v>
      </c>
      <c r="H13" s="7" t="s">
        <v>56</v>
      </c>
      <c r="I13" s="2" t="s">
        <v>57</v>
      </c>
      <c r="J13" s="2" t="s">
        <v>58</v>
      </c>
      <c r="K13" s="2" t="s">
        <v>38</v>
      </c>
      <c r="L13" s="8" t="str">
        <f>HYPERLINK("http://slimages.macys.com/is/image/MCY/12355296 ")</f>
        <v xml:space="preserve">http://slimages.macys.com/is/image/MCY/12355296 </v>
      </c>
    </row>
    <row r="14" spans="1:12" ht="96" x14ac:dyDescent="0.25">
      <c r="A14" s="7" t="s">
        <v>59</v>
      </c>
      <c r="B14" s="2" t="s">
        <v>60</v>
      </c>
      <c r="C14" s="4">
        <v>1</v>
      </c>
      <c r="D14" s="5">
        <v>19.5</v>
      </c>
      <c r="E14" s="5">
        <v>54.99</v>
      </c>
      <c r="F14" s="4" t="s">
        <v>61</v>
      </c>
      <c r="G14" s="2" t="s">
        <v>62</v>
      </c>
      <c r="H14" s="7" t="s">
        <v>63</v>
      </c>
      <c r="I14" s="2" t="s">
        <v>64</v>
      </c>
      <c r="J14" s="2" t="s">
        <v>65</v>
      </c>
      <c r="K14" s="2" t="s">
        <v>66</v>
      </c>
      <c r="L14" s="8" t="str">
        <f>HYPERLINK("http://slimages.macys.com/is/image/MCY/14703249 ")</f>
        <v xml:space="preserve">http://slimages.macys.com/is/image/MCY/14703249 </v>
      </c>
    </row>
    <row r="15" spans="1:12" ht="96" x14ac:dyDescent="0.25">
      <c r="A15" s="7" t="s">
        <v>67</v>
      </c>
      <c r="B15" s="2" t="s">
        <v>60</v>
      </c>
      <c r="C15" s="4">
        <v>1</v>
      </c>
      <c r="D15" s="5">
        <v>19.5</v>
      </c>
      <c r="E15" s="5">
        <v>54.99</v>
      </c>
      <c r="F15" s="4" t="s">
        <v>61</v>
      </c>
      <c r="G15" s="2" t="s">
        <v>62</v>
      </c>
      <c r="H15" s="7" t="s">
        <v>68</v>
      </c>
      <c r="I15" s="2" t="s">
        <v>64</v>
      </c>
      <c r="J15" s="2" t="s">
        <v>65</v>
      </c>
      <c r="K15" s="2" t="s">
        <v>66</v>
      </c>
      <c r="L15" s="8" t="str">
        <f>HYPERLINK("http://slimages.macys.com/is/image/MCY/14703249 ")</f>
        <v xml:space="preserve">http://slimages.macys.com/is/image/MCY/14703249 </v>
      </c>
    </row>
    <row r="16" spans="1:12" ht="84" x14ac:dyDescent="0.25">
      <c r="A16" s="7" t="s">
        <v>69</v>
      </c>
      <c r="B16" s="2" t="s">
        <v>70</v>
      </c>
      <c r="C16" s="4">
        <v>1</v>
      </c>
      <c r="D16" s="5">
        <v>18.899999999999999</v>
      </c>
      <c r="E16" s="5">
        <v>45</v>
      </c>
      <c r="F16" s="4" t="s">
        <v>71</v>
      </c>
      <c r="G16" s="2" t="s">
        <v>62</v>
      </c>
      <c r="H16" s="7" t="s">
        <v>72</v>
      </c>
      <c r="I16" s="2" t="s">
        <v>73</v>
      </c>
      <c r="J16" s="2" t="s">
        <v>74</v>
      </c>
      <c r="K16" s="2" t="s">
        <v>75</v>
      </c>
      <c r="L16" s="8" t="str">
        <f>HYPERLINK("http://slimages.macys.com/is/image/MCY/11714378 ")</f>
        <v xml:space="preserve">http://slimages.macys.com/is/image/MCY/11714378 </v>
      </c>
    </row>
    <row r="17" spans="1:12" ht="84" x14ac:dyDescent="0.25">
      <c r="A17" s="7" t="s">
        <v>76</v>
      </c>
      <c r="B17" s="2" t="s">
        <v>77</v>
      </c>
      <c r="C17" s="4">
        <v>3</v>
      </c>
      <c r="D17" s="5">
        <v>18.899999999999999</v>
      </c>
      <c r="E17" s="5">
        <v>45</v>
      </c>
      <c r="F17" s="4" t="s">
        <v>78</v>
      </c>
      <c r="G17" s="2" t="s">
        <v>79</v>
      </c>
      <c r="H17" s="7"/>
      <c r="I17" s="2" t="s">
        <v>80</v>
      </c>
      <c r="J17" s="2" t="s">
        <v>74</v>
      </c>
      <c r="K17" s="2" t="s">
        <v>81</v>
      </c>
      <c r="L17" s="8" t="str">
        <f>HYPERLINK("http://slimages.macys.com/is/image/MCY/11281574 ")</f>
        <v xml:space="preserve">http://slimages.macys.com/is/image/MCY/11281574 </v>
      </c>
    </row>
    <row r="18" spans="1:12" ht="84" x14ac:dyDescent="0.25">
      <c r="A18" s="7" t="s">
        <v>82</v>
      </c>
      <c r="B18" s="2" t="s">
        <v>77</v>
      </c>
      <c r="C18" s="4">
        <v>1</v>
      </c>
      <c r="D18" s="5">
        <v>18.899999999999999</v>
      </c>
      <c r="E18" s="5">
        <v>45</v>
      </c>
      <c r="F18" s="4" t="s">
        <v>78</v>
      </c>
      <c r="G18" s="2" t="s">
        <v>79</v>
      </c>
      <c r="H18" s="7"/>
      <c r="I18" s="2" t="s">
        <v>80</v>
      </c>
      <c r="J18" s="2" t="s">
        <v>74</v>
      </c>
      <c r="K18" s="2" t="s">
        <v>81</v>
      </c>
      <c r="L18" s="8" t="str">
        <f>HYPERLINK("http://slimages.macys.com/is/image/MCY/11281574 ")</f>
        <v xml:space="preserve">http://slimages.macys.com/is/image/MCY/11281574 </v>
      </c>
    </row>
    <row r="19" spans="1:12" ht="84" x14ac:dyDescent="0.25">
      <c r="A19" s="7" t="s">
        <v>83</v>
      </c>
      <c r="B19" s="2" t="s">
        <v>84</v>
      </c>
      <c r="C19" s="4">
        <v>1</v>
      </c>
      <c r="D19" s="5">
        <v>17.8</v>
      </c>
      <c r="E19" s="5">
        <v>44.5</v>
      </c>
      <c r="F19" s="4" t="s">
        <v>85</v>
      </c>
      <c r="G19" s="2" t="s">
        <v>86</v>
      </c>
      <c r="H19" s="7"/>
      <c r="I19" s="2" t="s">
        <v>57</v>
      </c>
      <c r="J19" s="2" t="s">
        <v>58</v>
      </c>
      <c r="K19" s="2" t="s">
        <v>87</v>
      </c>
      <c r="L19" s="8" t="str">
        <f>HYPERLINK("http://slimages.macys.com/is/image/MCY/13043471 ")</f>
        <v xml:space="preserve">http://slimages.macys.com/is/image/MCY/13043471 </v>
      </c>
    </row>
    <row r="20" spans="1:12" ht="180" x14ac:dyDescent="0.25">
      <c r="A20" s="7" t="s">
        <v>88</v>
      </c>
      <c r="B20" s="2" t="s">
        <v>89</v>
      </c>
      <c r="C20" s="4">
        <v>1</v>
      </c>
      <c r="D20" s="5">
        <v>17.5</v>
      </c>
      <c r="E20" s="5">
        <v>39.99</v>
      </c>
      <c r="F20" s="4" t="s">
        <v>90</v>
      </c>
      <c r="G20" s="2" t="s">
        <v>41</v>
      </c>
      <c r="H20" s="7" t="s">
        <v>91</v>
      </c>
      <c r="I20" s="2" t="s">
        <v>92</v>
      </c>
      <c r="J20" s="2" t="s">
        <v>65</v>
      </c>
      <c r="K20" s="2" t="s">
        <v>93</v>
      </c>
      <c r="L20" s="8" t="str">
        <f>HYPERLINK("http://slimages.macys.com/is/image/MCY/14885680 ")</f>
        <v xml:space="preserve">http://slimages.macys.com/is/image/MCY/14885680 </v>
      </c>
    </row>
    <row r="21" spans="1:12" ht="84" x14ac:dyDescent="0.25">
      <c r="A21" s="7" t="s">
        <v>94</v>
      </c>
      <c r="B21" s="2" t="s">
        <v>95</v>
      </c>
      <c r="C21" s="4">
        <v>1</v>
      </c>
      <c r="D21" s="5">
        <v>17</v>
      </c>
      <c r="E21" s="5">
        <v>42.5</v>
      </c>
      <c r="F21" s="4" t="s">
        <v>96</v>
      </c>
      <c r="G21" s="2" t="s">
        <v>62</v>
      </c>
      <c r="H21" s="7" t="s">
        <v>97</v>
      </c>
      <c r="I21" s="2" t="s">
        <v>98</v>
      </c>
      <c r="J21" s="2" t="s">
        <v>99</v>
      </c>
      <c r="K21" s="2" t="s">
        <v>100</v>
      </c>
      <c r="L21" s="8" t="str">
        <f>HYPERLINK("http://slimages.macys.com/is/image/MCY/15177441 ")</f>
        <v xml:space="preserve">http://slimages.macys.com/is/image/MCY/15177441 </v>
      </c>
    </row>
    <row r="22" spans="1:12" ht="84" x14ac:dyDescent="0.25">
      <c r="A22" s="7" t="s">
        <v>101</v>
      </c>
      <c r="B22" s="2" t="s">
        <v>102</v>
      </c>
      <c r="C22" s="4">
        <v>2</v>
      </c>
      <c r="D22" s="5">
        <v>16.2</v>
      </c>
      <c r="E22" s="5">
        <v>54</v>
      </c>
      <c r="F22" s="4">
        <v>328374</v>
      </c>
      <c r="G22" s="2" t="s">
        <v>103</v>
      </c>
      <c r="H22" s="7" t="s">
        <v>104</v>
      </c>
      <c r="I22" s="2" t="s">
        <v>50</v>
      </c>
      <c r="J22" s="2" t="s">
        <v>105</v>
      </c>
      <c r="K22" s="2"/>
      <c r="L22" s="8" t="str">
        <f>HYPERLINK("http://slimages.macys.com/is/image/MCY/10476758 ")</f>
        <v xml:space="preserve">http://slimages.macys.com/is/image/MCY/10476758 </v>
      </c>
    </row>
    <row r="23" spans="1:12" ht="84" x14ac:dyDescent="0.25">
      <c r="A23" s="7" t="s">
        <v>106</v>
      </c>
      <c r="B23" s="2" t="s">
        <v>102</v>
      </c>
      <c r="C23" s="4">
        <v>1</v>
      </c>
      <c r="D23" s="5">
        <v>16.2</v>
      </c>
      <c r="E23" s="5">
        <v>54</v>
      </c>
      <c r="F23" s="4">
        <v>329354</v>
      </c>
      <c r="G23" s="2" t="s">
        <v>107</v>
      </c>
      <c r="H23" s="7" t="s">
        <v>108</v>
      </c>
      <c r="I23" s="2" t="s">
        <v>50</v>
      </c>
      <c r="J23" s="2" t="s">
        <v>105</v>
      </c>
      <c r="K23" s="2"/>
      <c r="L23" s="8" t="str">
        <f>HYPERLINK("http://slimages.macys.com/is/image/MCY/10476758 ")</f>
        <v xml:space="preserve">http://slimages.macys.com/is/image/MCY/10476758 </v>
      </c>
    </row>
    <row r="24" spans="1:12" ht="84" x14ac:dyDescent="0.25">
      <c r="A24" s="7" t="s">
        <v>109</v>
      </c>
      <c r="B24" s="2" t="s">
        <v>110</v>
      </c>
      <c r="C24" s="4">
        <v>1</v>
      </c>
      <c r="D24" s="5">
        <v>15.8</v>
      </c>
      <c r="E24" s="5">
        <v>39.5</v>
      </c>
      <c r="F24" s="4" t="s">
        <v>111</v>
      </c>
      <c r="G24" s="2" t="s">
        <v>41</v>
      </c>
      <c r="H24" s="7"/>
      <c r="I24" s="2" t="s">
        <v>57</v>
      </c>
      <c r="J24" s="2" t="s">
        <v>58</v>
      </c>
      <c r="K24" s="2" t="s">
        <v>100</v>
      </c>
      <c r="L24" s="8" t="str">
        <f>HYPERLINK("http://slimages.macys.com/is/image/MCY/13049173 ")</f>
        <v xml:space="preserve">http://slimages.macys.com/is/image/MCY/13049173 </v>
      </c>
    </row>
    <row r="25" spans="1:12" ht="84" x14ac:dyDescent="0.25">
      <c r="A25" s="7" t="s">
        <v>112</v>
      </c>
      <c r="B25" s="2" t="s">
        <v>113</v>
      </c>
      <c r="C25" s="4">
        <v>1</v>
      </c>
      <c r="D25" s="5">
        <v>15.8</v>
      </c>
      <c r="E25" s="5">
        <v>39.5</v>
      </c>
      <c r="F25" s="4" t="s">
        <v>114</v>
      </c>
      <c r="G25" s="2" t="s">
        <v>41</v>
      </c>
      <c r="H25" s="7"/>
      <c r="I25" s="2" t="s">
        <v>57</v>
      </c>
      <c r="J25" s="2" t="s">
        <v>58</v>
      </c>
      <c r="K25" s="2" t="s">
        <v>38</v>
      </c>
      <c r="L25" s="8" t="str">
        <f>HYPERLINK("http://slimages.macys.com/is/image/MCY/13815670 ")</f>
        <v xml:space="preserve">http://slimages.macys.com/is/image/MCY/13815670 </v>
      </c>
    </row>
    <row r="26" spans="1:12" ht="84" x14ac:dyDescent="0.25">
      <c r="A26" s="7" t="s">
        <v>115</v>
      </c>
      <c r="B26" s="2" t="s">
        <v>116</v>
      </c>
      <c r="C26" s="4">
        <v>1</v>
      </c>
      <c r="D26" s="5">
        <v>14.5</v>
      </c>
      <c r="E26" s="5">
        <v>27.99</v>
      </c>
      <c r="F26" s="4" t="s">
        <v>117</v>
      </c>
      <c r="G26" s="2" t="s">
        <v>41</v>
      </c>
      <c r="H26" s="7" t="s">
        <v>118</v>
      </c>
      <c r="I26" s="2" t="s">
        <v>30</v>
      </c>
      <c r="J26" s="2" t="s">
        <v>31</v>
      </c>
      <c r="K26" s="2" t="s">
        <v>119</v>
      </c>
      <c r="L26" s="8" t="str">
        <f>HYPERLINK("http://slimages.macys.com/is/image/MCY/2940923 ")</f>
        <v xml:space="preserve">http://slimages.macys.com/is/image/MCY/2940923 </v>
      </c>
    </row>
    <row r="27" spans="1:12" ht="84" x14ac:dyDescent="0.25">
      <c r="A27" s="7" t="s">
        <v>120</v>
      </c>
      <c r="B27" s="2" t="s">
        <v>121</v>
      </c>
      <c r="C27" s="4">
        <v>1</v>
      </c>
      <c r="D27" s="5">
        <v>14</v>
      </c>
      <c r="E27" s="5">
        <v>31.99</v>
      </c>
      <c r="F27" s="4" t="s">
        <v>122</v>
      </c>
      <c r="G27" s="2" t="s">
        <v>62</v>
      </c>
      <c r="H27" s="7" t="s">
        <v>123</v>
      </c>
      <c r="I27" s="2" t="s">
        <v>80</v>
      </c>
      <c r="J27" s="2" t="s">
        <v>124</v>
      </c>
      <c r="K27" s="2" t="s">
        <v>125</v>
      </c>
      <c r="L27" s="8" t="str">
        <f>HYPERLINK("http://slimages.macys.com/is/image/MCY/14427632 ")</f>
        <v xml:space="preserve">http://slimages.macys.com/is/image/MCY/14427632 </v>
      </c>
    </row>
    <row r="28" spans="1:12" ht="120" x14ac:dyDescent="0.25">
      <c r="A28" s="7" t="s">
        <v>126</v>
      </c>
      <c r="B28" s="2" t="s">
        <v>127</v>
      </c>
      <c r="C28" s="4">
        <v>1</v>
      </c>
      <c r="D28" s="5">
        <v>14</v>
      </c>
      <c r="E28" s="5">
        <v>34.99</v>
      </c>
      <c r="F28" s="4" t="s">
        <v>128</v>
      </c>
      <c r="G28" s="2" t="s">
        <v>129</v>
      </c>
      <c r="H28" s="7" t="s">
        <v>91</v>
      </c>
      <c r="I28" s="2" t="s">
        <v>92</v>
      </c>
      <c r="J28" s="2" t="s">
        <v>65</v>
      </c>
      <c r="K28" s="2" t="s">
        <v>130</v>
      </c>
      <c r="L28" s="8" t="str">
        <f>HYPERLINK("http://slimages.macys.com/is/image/MCY/14885750 ")</f>
        <v xml:space="preserve">http://slimages.macys.com/is/image/MCY/14885750 </v>
      </c>
    </row>
    <row r="29" spans="1:12" ht="84" x14ac:dyDescent="0.25">
      <c r="A29" s="7" t="s">
        <v>131</v>
      </c>
      <c r="B29" s="2" t="s">
        <v>132</v>
      </c>
      <c r="C29" s="4">
        <v>1</v>
      </c>
      <c r="D29" s="5">
        <v>14</v>
      </c>
      <c r="E29" s="5">
        <v>34.99</v>
      </c>
      <c r="F29" s="4" t="s">
        <v>133</v>
      </c>
      <c r="G29" s="2" t="s">
        <v>134</v>
      </c>
      <c r="H29" s="7" t="s">
        <v>91</v>
      </c>
      <c r="I29" s="2" t="s">
        <v>135</v>
      </c>
      <c r="J29" s="2" t="s">
        <v>136</v>
      </c>
      <c r="K29" s="2" t="s">
        <v>137</v>
      </c>
      <c r="L29" s="8" t="str">
        <f>HYPERLINK("http://slimages.macys.com/is/image/MCY/15365447 ")</f>
        <v xml:space="preserve">http://slimages.macys.com/is/image/MCY/15365447 </v>
      </c>
    </row>
    <row r="30" spans="1:12" ht="84" x14ac:dyDescent="0.25">
      <c r="A30" s="7" t="s">
        <v>138</v>
      </c>
      <c r="B30" s="2" t="s">
        <v>139</v>
      </c>
      <c r="C30" s="4">
        <v>1</v>
      </c>
      <c r="D30" s="5">
        <v>13.98</v>
      </c>
      <c r="E30" s="5">
        <v>39.5</v>
      </c>
      <c r="F30" s="4" t="s">
        <v>140</v>
      </c>
      <c r="G30" s="2" t="s">
        <v>79</v>
      </c>
      <c r="H30" s="7" t="s">
        <v>123</v>
      </c>
      <c r="I30" s="2" t="s">
        <v>98</v>
      </c>
      <c r="J30" s="2" t="s">
        <v>99</v>
      </c>
      <c r="K30" s="2" t="s">
        <v>119</v>
      </c>
      <c r="L30" s="8" t="str">
        <f>HYPERLINK("http://slimages.macys.com/is/image/MCY/14475244 ")</f>
        <v xml:space="preserve">http://slimages.macys.com/is/image/MCY/14475244 </v>
      </c>
    </row>
    <row r="31" spans="1:12" ht="84" x14ac:dyDescent="0.25">
      <c r="A31" s="7" t="s">
        <v>141</v>
      </c>
      <c r="B31" s="2" t="s">
        <v>142</v>
      </c>
      <c r="C31" s="4">
        <v>1</v>
      </c>
      <c r="D31" s="5">
        <v>13.75</v>
      </c>
      <c r="E31" s="5">
        <v>34.99</v>
      </c>
      <c r="F31" s="4" t="s">
        <v>143</v>
      </c>
      <c r="G31" s="2" t="s">
        <v>62</v>
      </c>
      <c r="H31" s="7" t="s">
        <v>144</v>
      </c>
      <c r="I31" s="2" t="s">
        <v>80</v>
      </c>
      <c r="J31" s="2" t="s">
        <v>145</v>
      </c>
      <c r="K31" s="2" t="s">
        <v>125</v>
      </c>
      <c r="L31" s="8" t="str">
        <f>HYPERLINK("http://slimages.macys.com/is/image/MCY/12829016 ")</f>
        <v xml:space="preserve">http://slimages.macys.com/is/image/MCY/12829016 </v>
      </c>
    </row>
    <row r="32" spans="1:12" ht="156" x14ac:dyDescent="0.25">
      <c r="A32" s="7" t="s">
        <v>146</v>
      </c>
      <c r="B32" s="2" t="s">
        <v>147</v>
      </c>
      <c r="C32" s="4">
        <v>1</v>
      </c>
      <c r="D32" s="5">
        <v>13.5</v>
      </c>
      <c r="E32" s="5">
        <v>34.99</v>
      </c>
      <c r="F32" s="4" t="s">
        <v>148</v>
      </c>
      <c r="G32" s="2" t="s">
        <v>107</v>
      </c>
      <c r="H32" s="7" t="s">
        <v>149</v>
      </c>
      <c r="I32" s="2" t="s">
        <v>92</v>
      </c>
      <c r="J32" s="2" t="s">
        <v>65</v>
      </c>
      <c r="K32" s="2" t="s">
        <v>150</v>
      </c>
      <c r="L32" s="8" t="str">
        <f>HYPERLINK("http://slimages.macys.com/is/image/MCY/14815597 ")</f>
        <v xml:space="preserve">http://slimages.macys.com/is/image/MCY/14815597 </v>
      </c>
    </row>
    <row r="33" spans="1:12" ht="156" x14ac:dyDescent="0.25">
      <c r="A33" s="7" t="s">
        <v>151</v>
      </c>
      <c r="B33" s="2" t="s">
        <v>152</v>
      </c>
      <c r="C33" s="4">
        <v>1</v>
      </c>
      <c r="D33" s="5">
        <v>13.5</v>
      </c>
      <c r="E33" s="5">
        <v>30.7</v>
      </c>
      <c r="F33" s="4">
        <v>19320310</v>
      </c>
      <c r="G33" s="2"/>
      <c r="H33" s="7" t="s">
        <v>42</v>
      </c>
      <c r="I33" s="2" t="s">
        <v>153</v>
      </c>
      <c r="J33" s="2" t="s">
        <v>154</v>
      </c>
      <c r="K33" s="2" t="s">
        <v>155</v>
      </c>
      <c r="L33" s="8" t="str">
        <f>HYPERLINK("http://slimages.macys.com/is/image/MCY/14608313 ")</f>
        <v xml:space="preserve">http://slimages.macys.com/is/image/MCY/14608313 </v>
      </c>
    </row>
    <row r="34" spans="1:12" ht="84" x14ac:dyDescent="0.25">
      <c r="A34" s="7" t="s">
        <v>156</v>
      </c>
      <c r="B34" s="2" t="s">
        <v>157</v>
      </c>
      <c r="C34" s="4">
        <v>1</v>
      </c>
      <c r="D34" s="5">
        <v>13.35</v>
      </c>
      <c r="E34" s="5">
        <v>28.5</v>
      </c>
      <c r="F34" s="4" t="s">
        <v>158</v>
      </c>
      <c r="G34" s="2" t="s">
        <v>36</v>
      </c>
      <c r="H34" s="7" t="s">
        <v>159</v>
      </c>
      <c r="I34" s="2" t="s">
        <v>73</v>
      </c>
      <c r="J34" s="2" t="s">
        <v>160</v>
      </c>
      <c r="K34" s="2" t="s">
        <v>161</v>
      </c>
      <c r="L34" s="8" t="str">
        <f>HYPERLINK("http://slimages.macys.com/is/image/MCY/13336227 ")</f>
        <v xml:space="preserve">http://slimages.macys.com/is/image/MCY/13336227 </v>
      </c>
    </row>
    <row r="35" spans="1:12" ht="84" x14ac:dyDescent="0.25">
      <c r="A35" s="7" t="s">
        <v>162</v>
      </c>
      <c r="B35" s="2" t="s">
        <v>163</v>
      </c>
      <c r="C35" s="4">
        <v>1</v>
      </c>
      <c r="D35" s="5">
        <v>13.3</v>
      </c>
      <c r="E35" s="5">
        <v>27.99</v>
      </c>
      <c r="F35" s="4" t="s">
        <v>164</v>
      </c>
      <c r="G35" s="2" t="s">
        <v>165</v>
      </c>
      <c r="H35" s="7" t="s">
        <v>166</v>
      </c>
      <c r="I35" s="2" t="s">
        <v>80</v>
      </c>
      <c r="J35" s="2" t="s">
        <v>167</v>
      </c>
      <c r="K35" s="2" t="s">
        <v>119</v>
      </c>
      <c r="L35" s="8" t="str">
        <f>HYPERLINK("http://slimages.macys.com/is/image/MCY/12800604 ")</f>
        <v xml:space="preserve">http://slimages.macys.com/is/image/MCY/12800604 </v>
      </c>
    </row>
    <row r="36" spans="1:12" ht="84" x14ac:dyDescent="0.25">
      <c r="A36" s="7" t="s">
        <v>168</v>
      </c>
      <c r="B36" s="2" t="s">
        <v>169</v>
      </c>
      <c r="C36" s="4">
        <v>1</v>
      </c>
      <c r="D36" s="5">
        <v>13</v>
      </c>
      <c r="E36" s="5">
        <v>26.99</v>
      </c>
      <c r="F36" s="4" t="s">
        <v>170</v>
      </c>
      <c r="G36" s="2" t="s">
        <v>171</v>
      </c>
      <c r="H36" s="7" t="s">
        <v>172</v>
      </c>
      <c r="I36" s="2" t="s">
        <v>173</v>
      </c>
      <c r="J36" s="2" t="s">
        <v>174</v>
      </c>
      <c r="K36" s="2" t="s">
        <v>175</v>
      </c>
      <c r="L36" s="8" t="str">
        <f>HYPERLINK("http://slimages.macys.com/is/image/MCY/11290583 ")</f>
        <v xml:space="preserve">http://slimages.macys.com/is/image/MCY/11290583 </v>
      </c>
    </row>
    <row r="37" spans="1:12" ht="84" x14ac:dyDescent="0.25">
      <c r="A37" s="7" t="s">
        <v>176</v>
      </c>
      <c r="B37" s="2" t="s">
        <v>169</v>
      </c>
      <c r="C37" s="4">
        <v>1</v>
      </c>
      <c r="D37" s="5">
        <v>13</v>
      </c>
      <c r="E37" s="5">
        <v>26.99</v>
      </c>
      <c r="F37" s="4" t="s">
        <v>170</v>
      </c>
      <c r="G37" s="2" t="s">
        <v>171</v>
      </c>
      <c r="H37" s="7" t="s">
        <v>177</v>
      </c>
      <c r="I37" s="2" t="s">
        <v>173</v>
      </c>
      <c r="J37" s="2" t="s">
        <v>174</v>
      </c>
      <c r="K37" s="2" t="s">
        <v>175</v>
      </c>
      <c r="L37" s="8" t="str">
        <f>HYPERLINK("http://slimages.macys.com/is/image/MCY/11869210 ")</f>
        <v xml:space="preserve">http://slimages.macys.com/is/image/MCY/11869210 </v>
      </c>
    </row>
    <row r="38" spans="1:12" ht="84" x14ac:dyDescent="0.25">
      <c r="A38" s="7" t="s">
        <v>178</v>
      </c>
      <c r="B38" s="2" t="s">
        <v>169</v>
      </c>
      <c r="C38" s="4">
        <v>2</v>
      </c>
      <c r="D38" s="5">
        <v>13</v>
      </c>
      <c r="E38" s="5">
        <v>26.99</v>
      </c>
      <c r="F38" s="4" t="s">
        <v>170</v>
      </c>
      <c r="G38" s="2" t="s">
        <v>171</v>
      </c>
      <c r="H38" s="7" t="s">
        <v>179</v>
      </c>
      <c r="I38" s="2" t="s">
        <v>173</v>
      </c>
      <c r="J38" s="2" t="s">
        <v>174</v>
      </c>
      <c r="K38" s="2" t="s">
        <v>175</v>
      </c>
      <c r="L38" s="8" t="str">
        <f>HYPERLINK("http://slimages.macys.com/is/image/MCY/11869210 ")</f>
        <v xml:space="preserve">http://slimages.macys.com/is/image/MCY/11869210 </v>
      </c>
    </row>
    <row r="39" spans="1:12" ht="84" x14ac:dyDescent="0.25">
      <c r="A39" s="7" t="s">
        <v>180</v>
      </c>
      <c r="B39" s="2" t="s">
        <v>181</v>
      </c>
      <c r="C39" s="4">
        <v>2</v>
      </c>
      <c r="D39" s="5">
        <v>13</v>
      </c>
      <c r="E39" s="5">
        <v>26.99</v>
      </c>
      <c r="F39" s="4" t="s">
        <v>182</v>
      </c>
      <c r="G39" s="2" t="s">
        <v>28</v>
      </c>
      <c r="H39" s="7" t="s">
        <v>177</v>
      </c>
      <c r="I39" s="2" t="s">
        <v>173</v>
      </c>
      <c r="J39" s="2" t="s">
        <v>174</v>
      </c>
      <c r="K39" s="2" t="s">
        <v>183</v>
      </c>
      <c r="L39" s="8" t="str">
        <f>HYPERLINK("http://slimages.macys.com/is/image/MCY/12282997 ")</f>
        <v xml:space="preserve">http://slimages.macys.com/is/image/MCY/12282997 </v>
      </c>
    </row>
    <row r="40" spans="1:12" ht="84" x14ac:dyDescent="0.25">
      <c r="A40" s="7" t="s">
        <v>184</v>
      </c>
      <c r="B40" s="2" t="s">
        <v>185</v>
      </c>
      <c r="C40" s="4">
        <v>1</v>
      </c>
      <c r="D40" s="5">
        <v>12.75</v>
      </c>
      <c r="E40" s="5">
        <v>30</v>
      </c>
      <c r="F40" s="4" t="s">
        <v>186</v>
      </c>
      <c r="G40" s="2" t="s">
        <v>28</v>
      </c>
      <c r="H40" s="7" t="s">
        <v>91</v>
      </c>
      <c r="I40" s="2" t="s">
        <v>92</v>
      </c>
      <c r="J40" s="2" t="s">
        <v>187</v>
      </c>
      <c r="K40" s="2" t="s">
        <v>38</v>
      </c>
      <c r="L40" s="8" t="str">
        <f>HYPERLINK("http://slimages.macys.com/is/image/MCY/15240490 ")</f>
        <v xml:space="preserve">http://slimages.macys.com/is/image/MCY/15240490 </v>
      </c>
    </row>
    <row r="41" spans="1:12" ht="132" x14ac:dyDescent="0.25">
      <c r="A41" s="7" t="s">
        <v>188</v>
      </c>
      <c r="B41" s="2" t="s">
        <v>189</v>
      </c>
      <c r="C41" s="4">
        <v>1</v>
      </c>
      <c r="D41" s="5">
        <v>12.5</v>
      </c>
      <c r="E41" s="5">
        <v>34.99</v>
      </c>
      <c r="F41" s="4" t="s">
        <v>190</v>
      </c>
      <c r="G41" s="2" t="s">
        <v>129</v>
      </c>
      <c r="H41" s="7" t="s">
        <v>149</v>
      </c>
      <c r="I41" s="2" t="s">
        <v>92</v>
      </c>
      <c r="J41" s="2" t="s">
        <v>65</v>
      </c>
      <c r="K41" s="2" t="s">
        <v>191</v>
      </c>
      <c r="L41" s="8" t="str">
        <f>HYPERLINK("http://slimages.macys.com/is/image/MCY/14815686 ")</f>
        <v xml:space="preserve">http://slimages.macys.com/is/image/MCY/14815686 </v>
      </c>
    </row>
    <row r="42" spans="1:12" ht="84" x14ac:dyDescent="0.25">
      <c r="A42" s="7" t="s">
        <v>192</v>
      </c>
      <c r="B42" s="2" t="s">
        <v>193</v>
      </c>
      <c r="C42" s="4">
        <v>1</v>
      </c>
      <c r="D42" s="5">
        <v>12.46</v>
      </c>
      <c r="E42" s="5">
        <v>26.6</v>
      </c>
      <c r="F42" s="4" t="s">
        <v>194</v>
      </c>
      <c r="G42" s="2" t="s">
        <v>195</v>
      </c>
      <c r="H42" s="7" t="s">
        <v>196</v>
      </c>
      <c r="I42" s="2" t="s">
        <v>73</v>
      </c>
      <c r="J42" s="2" t="s">
        <v>160</v>
      </c>
      <c r="K42" s="2" t="s">
        <v>125</v>
      </c>
      <c r="L42" s="8" t="str">
        <f>HYPERLINK("http://slimages.macys.com/is/image/MCY/14631287 ")</f>
        <v xml:space="preserve">http://slimages.macys.com/is/image/MCY/14631287 </v>
      </c>
    </row>
    <row r="43" spans="1:12" ht="84" x14ac:dyDescent="0.25">
      <c r="A43" s="7" t="s">
        <v>197</v>
      </c>
      <c r="B43" s="2" t="s">
        <v>198</v>
      </c>
      <c r="C43" s="4">
        <v>3</v>
      </c>
      <c r="D43" s="5">
        <v>12.39</v>
      </c>
      <c r="E43" s="5">
        <v>29.5</v>
      </c>
      <c r="F43" s="4" t="s">
        <v>199</v>
      </c>
      <c r="G43" s="2" t="s">
        <v>200</v>
      </c>
      <c r="H43" s="7" t="s">
        <v>91</v>
      </c>
      <c r="I43" s="2" t="s">
        <v>135</v>
      </c>
      <c r="J43" s="2" t="s">
        <v>201</v>
      </c>
      <c r="K43" s="2" t="s">
        <v>87</v>
      </c>
      <c r="L43" s="8" t="str">
        <f>HYPERLINK("http://slimages.macys.com/is/image/MCY/1477012 ")</f>
        <v xml:space="preserve">http://slimages.macys.com/is/image/MCY/1477012 </v>
      </c>
    </row>
    <row r="44" spans="1:12" ht="84" x14ac:dyDescent="0.25">
      <c r="A44" s="7" t="s">
        <v>202</v>
      </c>
      <c r="B44" s="2" t="s">
        <v>203</v>
      </c>
      <c r="C44" s="4">
        <v>1</v>
      </c>
      <c r="D44" s="5">
        <v>12.38</v>
      </c>
      <c r="E44" s="5">
        <v>27.5</v>
      </c>
      <c r="F44" s="4">
        <v>323750958002</v>
      </c>
      <c r="G44" s="2" t="s">
        <v>41</v>
      </c>
      <c r="H44" s="7" t="s">
        <v>159</v>
      </c>
      <c r="I44" s="2" t="s">
        <v>204</v>
      </c>
      <c r="J44" s="2" t="s">
        <v>205</v>
      </c>
      <c r="K44" s="2" t="s">
        <v>206</v>
      </c>
      <c r="L44" s="8" t="str">
        <f>HYPERLINK("http://slimages.macys.com/is/image/MCY/14356492 ")</f>
        <v xml:space="preserve">http://slimages.macys.com/is/image/MCY/14356492 </v>
      </c>
    </row>
    <row r="45" spans="1:12" ht="84" x14ac:dyDescent="0.25">
      <c r="A45" s="7" t="s">
        <v>207</v>
      </c>
      <c r="B45" s="2" t="s">
        <v>208</v>
      </c>
      <c r="C45" s="4">
        <v>1</v>
      </c>
      <c r="D45" s="5">
        <v>12.38</v>
      </c>
      <c r="E45" s="5">
        <v>27.5</v>
      </c>
      <c r="F45" s="4">
        <v>321745388003</v>
      </c>
      <c r="G45" s="2" t="s">
        <v>28</v>
      </c>
      <c r="H45" s="7" t="s">
        <v>209</v>
      </c>
      <c r="I45" s="2" t="s">
        <v>204</v>
      </c>
      <c r="J45" s="2" t="s">
        <v>205</v>
      </c>
      <c r="K45" s="2" t="s">
        <v>206</v>
      </c>
      <c r="L45" s="8" t="str">
        <f>HYPERLINK("http://slimages.macys.com/is/image/MCY/12067878 ")</f>
        <v xml:space="preserve">http://slimages.macys.com/is/image/MCY/12067878 </v>
      </c>
    </row>
    <row r="46" spans="1:12" ht="84" x14ac:dyDescent="0.25">
      <c r="A46" s="7" t="s">
        <v>210</v>
      </c>
      <c r="B46" s="2" t="s">
        <v>211</v>
      </c>
      <c r="C46" s="4">
        <v>1</v>
      </c>
      <c r="D46" s="5">
        <v>11.76</v>
      </c>
      <c r="E46" s="5">
        <v>28</v>
      </c>
      <c r="F46" s="4" t="s">
        <v>212</v>
      </c>
      <c r="G46" s="2" t="s">
        <v>62</v>
      </c>
      <c r="H46" s="7" t="s">
        <v>213</v>
      </c>
      <c r="I46" s="2" t="s">
        <v>73</v>
      </c>
      <c r="J46" s="2" t="s">
        <v>74</v>
      </c>
      <c r="K46" s="2" t="s">
        <v>87</v>
      </c>
      <c r="L46" s="8" t="str">
        <f>HYPERLINK("http://slimages.macys.com/is/image/MCY/13941644 ")</f>
        <v xml:space="preserve">http://slimages.macys.com/is/image/MCY/13941644 </v>
      </c>
    </row>
    <row r="47" spans="1:12" ht="84" x14ac:dyDescent="0.25">
      <c r="A47" s="7" t="s">
        <v>214</v>
      </c>
      <c r="B47" s="2" t="s">
        <v>215</v>
      </c>
      <c r="C47" s="4">
        <v>1</v>
      </c>
      <c r="D47" s="5">
        <v>11.73</v>
      </c>
      <c r="E47" s="5">
        <v>32.99</v>
      </c>
      <c r="F47" s="4" t="s">
        <v>216</v>
      </c>
      <c r="G47" s="2" t="s">
        <v>62</v>
      </c>
      <c r="H47" s="7" t="s">
        <v>217</v>
      </c>
      <c r="I47" s="2" t="s">
        <v>218</v>
      </c>
      <c r="J47" s="2" t="s">
        <v>219</v>
      </c>
      <c r="K47" s="2" t="s">
        <v>125</v>
      </c>
      <c r="L47" s="8" t="str">
        <f>HYPERLINK("http://slimages.macys.com/is/image/MCY/11526462 ")</f>
        <v xml:space="preserve">http://slimages.macys.com/is/image/MCY/11526462 </v>
      </c>
    </row>
    <row r="48" spans="1:12" ht="84" x14ac:dyDescent="0.25">
      <c r="A48" s="7" t="s">
        <v>220</v>
      </c>
      <c r="B48" s="2" t="s">
        <v>221</v>
      </c>
      <c r="C48" s="4">
        <v>1</v>
      </c>
      <c r="D48" s="5">
        <v>11.5</v>
      </c>
      <c r="E48" s="5">
        <v>25.99</v>
      </c>
      <c r="F48" s="4" t="s">
        <v>222</v>
      </c>
      <c r="G48" s="2" t="s">
        <v>165</v>
      </c>
      <c r="H48" s="7" t="s">
        <v>196</v>
      </c>
      <c r="I48" s="2" t="s">
        <v>73</v>
      </c>
      <c r="J48" s="2" t="s">
        <v>223</v>
      </c>
      <c r="K48" s="2" t="s">
        <v>224</v>
      </c>
      <c r="L48" s="8" t="str">
        <f>HYPERLINK("http://slimages.macys.com/is/image/MCY/15736005 ")</f>
        <v xml:space="preserve">http://slimages.macys.com/is/image/MCY/15736005 </v>
      </c>
    </row>
    <row r="49" spans="1:12" ht="84" x14ac:dyDescent="0.25">
      <c r="A49" s="7" t="s">
        <v>225</v>
      </c>
      <c r="B49" s="2" t="s">
        <v>226</v>
      </c>
      <c r="C49" s="4">
        <v>1</v>
      </c>
      <c r="D49" s="5">
        <v>11.5</v>
      </c>
      <c r="E49" s="5">
        <v>25.99</v>
      </c>
      <c r="F49" s="4" t="s">
        <v>227</v>
      </c>
      <c r="G49" s="2" t="s">
        <v>62</v>
      </c>
      <c r="H49" s="7" t="s">
        <v>228</v>
      </c>
      <c r="I49" s="2" t="s">
        <v>73</v>
      </c>
      <c r="J49" s="2" t="s">
        <v>223</v>
      </c>
      <c r="K49" s="2" t="s">
        <v>125</v>
      </c>
      <c r="L49" s="8" t="str">
        <f>HYPERLINK("http://slimages.macys.com/is/image/MCY/11435504 ")</f>
        <v xml:space="preserve">http://slimages.macys.com/is/image/MCY/11435504 </v>
      </c>
    </row>
    <row r="50" spans="1:12" ht="84" x14ac:dyDescent="0.25">
      <c r="A50" s="7" t="s">
        <v>229</v>
      </c>
      <c r="B50" s="2" t="s">
        <v>230</v>
      </c>
      <c r="C50" s="4">
        <v>1</v>
      </c>
      <c r="D50" s="5">
        <v>11.4</v>
      </c>
      <c r="E50" s="5">
        <v>28.5</v>
      </c>
      <c r="F50" s="4" t="s">
        <v>231</v>
      </c>
      <c r="G50" s="2" t="s">
        <v>48</v>
      </c>
      <c r="H50" s="7" t="s">
        <v>179</v>
      </c>
      <c r="I50" s="2" t="s">
        <v>98</v>
      </c>
      <c r="J50" s="2" t="s">
        <v>99</v>
      </c>
      <c r="K50" s="2" t="s">
        <v>119</v>
      </c>
      <c r="L50" s="8" t="str">
        <f>HYPERLINK("http://slimages.macys.com/is/image/MCY/14384638 ")</f>
        <v xml:space="preserve">http://slimages.macys.com/is/image/MCY/14384638 </v>
      </c>
    </row>
    <row r="51" spans="1:12" ht="96" x14ac:dyDescent="0.25">
      <c r="A51" s="7" t="s">
        <v>232</v>
      </c>
      <c r="B51" s="2" t="s">
        <v>152</v>
      </c>
      <c r="C51" s="4">
        <v>1</v>
      </c>
      <c r="D51" s="5">
        <v>11.1</v>
      </c>
      <c r="E51" s="5">
        <v>25.24</v>
      </c>
      <c r="F51" s="4">
        <v>19318310</v>
      </c>
      <c r="G51" s="2"/>
      <c r="H51" s="7" t="s">
        <v>233</v>
      </c>
      <c r="I51" s="2" t="s">
        <v>153</v>
      </c>
      <c r="J51" s="2" t="s">
        <v>154</v>
      </c>
      <c r="K51" s="2" t="s">
        <v>234</v>
      </c>
      <c r="L51" s="8" t="str">
        <f>HYPERLINK("http://slimages.macys.com/is/image/MCY/14608343 ")</f>
        <v xml:space="preserve">http://slimages.macys.com/is/image/MCY/14608343 </v>
      </c>
    </row>
    <row r="52" spans="1:12" ht="144" x14ac:dyDescent="0.25">
      <c r="A52" s="7" t="s">
        <v>235</v>
      </c>
      <c r="B52" s="2" t="s">
        <v>236</v>
      </c>
      <c r="C52" s="4">
        <v>1</v>
      </c>
      <c r="D52" s="5">
        <v>11</v>
      </c>
      <c r="E52" s="5">
        <v>32.99</v>
      </c>
      <c r="F52" s="4" t="s">
        <v>237</v>
      </c>
      <c r="G52" s="2" t="s">
        <v>238</v>
      </c>
      <c r="H52" s="7" t="s">
        <v>42</v>
      </c>
      <c r="I52" s="2" t="s">
        <v>92</v>
      </c>
      <c r="J52" s="2" t="s">
        <v>239</v>
      </c>
      <c r="K52" s="2" t="s">
        <v>240</v>
      </c>
      <c r="L52" s="8" t="str">
        <f>HYPERLINK("http://slimages.macys.com/is/image/MCY/13933736 ")</f>
        <v xml:space="preserve">http://slimages.macys.com/is/image/MCY/13933736 </v>
      </c>
    </row>
    <row r="53" spans="1:12" ht="156" x14ac:dyDescent="0.25">
      <c r="A53" s="7" t="s">
        <v>241</v>
      </c>
      <c r="B53" s="2" t="s">
        <v>242</v>
      </c>
      <c r="C53" s="4">
        <v>1</v>
      </c>
      <c r="D53" s="5">
        <v>11</v>
      </c>
      <c r="E53" s="5">
        <v>32.99</v>
      </c>
      <c r="F53" s="4" t="s">
        <v>243</v>
      </c>
      <c r="G53" s="2" t="s">
        <v>195</v>
      </c>
      <c r="H53" s="7" t="s">
        <v>149</v>
      </c>
      <c r="I53" s="2" t="s">
        <v>92</v>
      </c>
      <c r="J53" s="2" t="s">
        <v>239</v>
      </c>
      <c r="K53" s="2" t="s">
        <v>244</v>
      </c>
      <c r="L53" s="8" t="str">
        <f>HYPERLINK("http://slimages.macys.com/is/image/MCY/14542923 ")</f>
        <v xml:space="preserve">http://slimages.macys.com/is/image/MCY/14542923 </v>
      </c>
    </row>
    <row r="54" spans="1:12" ht="84" x14ac:dyDescent="0.25">
      <c r="A54" s="7" t="s">
        <v>245</v>
      </c>
      <c r="B54" s="2" t="s">
        <v>246</v>
      </c>
      <c r="C54" s="4">
        <v>3</v>
      </c>
      <c r="D54" s="5">
        <v>10.5</v>
      </c>
      <c r="E54" s="5">
        <v>21.99</v>
      </c>
      <c r="F54" s="4" t="s">
        <v>247</v>
      </c>
      <c r="G54" s="2" t="s">
        <v>165</v>
      </c>
      <c r="H54" s="7" t="s">
        <v>248</v>
      </c>
      <c r="I54" s="2" t="s">
        <v>73</v>
      </c>
      <c r="J54" s="2" t="s">
        <v>249</v>
      </c>
      <c r="K54" s="2" t="s">
        <v>125</v>
      </c>
      <c r="L54" s="8" t="str">
        <f>HYPERLINK("http://slimages.macys.com/is/image/MCY/14661916 ")</f>
        <v xml:space="preserve">http://slimages.macys.com/is/image/MCY/14661916 </v>
      </c>
    </row>
    <row r="55" spans="1:12" ht="84" x14ac:dyDescent="0.25">
      <c r="A55" s="7" t="s">
        <v>250</v>
      </c>
      <c r="B55" s="2" t="s">
        <v>251</v>
      </c>
      <c r="C55" s="4">
        <v>2</v>
      </c>
      <c r="D55" s="5">
        <v>10.5</v>
      </c>
      <c r="E55" s="5">
        <v>18.989999999999998</v>
      </c>
      <c r="F55" s="4" t="s">
        <v>252</v>
      </c>
      <c r="G55" s="2" t="s">
        <v>253</v>
      </c>
      <c r="H55" s="7" t="s">
        <v>172</v>
      </c>
      <c r="I55" s="2" t="s">
        <v>73</v>
      </c>
      <c r="J55" s="2" t="s">
        <v>249</v>
      </c>
      <c r="K55" s="2" t="s">
        <v>125</v>
      </c>
      <c r="L55" s="8" t="str">
        <f>HYPERLINK("http://slimages.macys.com/is/image/MCY/14661796 ")</f>
        <v xml:space="preserve">http://slimages.macys.com/is/image/MCY/14661796 </v>
      </c>
    </row>
    <row r="56" spans="1:12" ht="84" x14ac:dyDescent="0.25">
      <c r="A56" s="7" t="s">
        <v>254</v>
      </c>
      <c r="B56" s="2" t="s">
        <v>255</v>
      </c>
      <c r="C56" s="4">
        <v>1</v>
      </c>
      <c r="D56" s="5">
        <v>10.5</v>
      </c>
      <c r="E56" s="5">
        <v>24.99</v>
      </c>
      <c r="F56" s="4" t="s">
        <v>256</v>
      </c>
      <c r="G56" s="2" t="s">
        <v>86</v>
      </c>
      <c r="H56" s="7" t="s">
        <v>56</v>
      </c>
      <c r="I56" s="2" t="s">
        <v>257</v>
      </c>
      <c r="J56" s="2" t="s">
        <v>258</v>
      </c>
      <c r="K56" s="2" t="s">
        <v>206</v>
      </c>
      <c r="L56" s="8" t="str">
        <f>HYPERLINK("http://slimages.macys.com/is/image/MCY/11722980 ")</f>
        <v xml:space="preserve">http://slimages.macys.com/is/image/MCY/11722980 </v>
      </c>
    </row>
    <row r="57" spans="1:12" ht="84" x14ac:dyDescent="0.25">
      <c r="A57" s="7" t="s">
        <v>259</v>
      </c>
      <c r="B57" s="2" t="s">
        <v>260</v>
      </c>
      <c r="C57" s="4">
        <v>1</v>
      </c>
      <c r="D57" s="5">
        <v>10.5</v>
      </c>
      <c r="E57" s="5">
        <v>24.99</v>
      </c>
      <c r="F57" s="4" t="s">
        <v>261</v>
      </c>
      <c r="G57" s="2" t="s">
        <v>262</v>
      </c>
      <c r="H57" s="7" t="s">
        <v>172</v>
      </c>
      <c r="I57" s="2" t="s">
        <v>257</v>
      </c>
      <c r="J57" s="2" t="s">
        <v>258</v>
      </c>
      <c r="K57" s="2" t="s">
        <v>263</v>
      </c>
      <c r="L57" s="8" t="str">
        <f>HYPERLINK("http://slimages.macys.com/is/image/MCY/11723424 ")</f>
        <v xml:space="preserve">http://slimages.macys.com/is/image/MCY/11723424 </v>
      </c>
    </row>
    <row r="58" spans="1:12" ht="84" x14ac:dyDescent="0.25">
      <c r="A58" s="7" t="s">
        <v>264</v>
      </c>
      <c r="B58" s="2" t="s">
        <v>255</v>
      </c>
      <c r="C58" s="4">
        <v>1</v>
      </c>
      <c r="D58" s="5">
        <v>10.5</v>
      </c>
      <c r="E58" s="5">
        <v>24.99</v>
      </c>
      <c r="F58" s="4" t="s">
        <v>256</v>
      </c>
      <c r="G58" s="2" t="s">
        <v>86</v>
      </c>
      <c r="H58" s="7" t="s">
        <v>177</v>
      </c>
      <c r="I58" s="2" t="s">
        <v>257</v>
      </c>
      <c r="J58" s="2" t="s">
        <v>258</v>
      </c>
      <c r="K58" s="2" t="s">
        <v>206</v>
      </c>
      <c r="L58" s="8" t="str">
        <f>HYPERLINK("http://slimages.macys.com/is/image/MCY/11722980 ")</f>
        <v xml:space="preserve">http://slimages.macys.com/is/image/MCY/11722980 </v>
      </c>
    </row>
    <row r="59" spans="1:12" ht="84" x14ac:dyDescent="0.25">
      <c r="A59" s="7" t="s">
        <v>265</v>
      </c>
      <c r="B59" s="2" t="s">
        <v>246</v>
      </c>
      <c r="C59" s="4">
        <v>1</v>
      </c>
      <c r="D59" s="5">
        <v>10.5</v>
      </c>
      <c r="E59" s="5">
        <v>21.99</v>
      </c>
      <c r="F59" s="4" t="s">
        <v>247</v>
      </c>
      <c r="G59" s="2" t="s">
        <v>165</v>
      </c>
      <c r="H59" s="7" t="s">
        <v>266</v>
      </c>
      <c r="I59" s="2" t="s">
        <v>73</v>
      </c>
      <c r="J59" s="2" t="s">
        <v>249</v>
      </c>
      <c r="K59" s="2" t="s">
        <v>125</v>
      </c>
      <c r="L59" s="8" t="str">
        <f>HYPERLINK("http://slimages.macys.com/is/image/MCY/14661916 ")</f>
        <v xml:space="preserve">http://slimages.macys.com/is/image/MCY/14661916 </v>
      </c>
    </row>
    <row r="60" spans="1:12" ht="84" x14ac:dyDescent="0.25">
      <c r="A60" s="7" t="s">
        <v>267</v>
      </c>
      <c r="B60" s="2" t="s">
        <v>268</v>
      </c>
      <c r="C60" s="4">
        <v>1</v>
      </c>
      <c r="D60" s="5">
        <v>10.5</v>
      </c>
      <c r="E60" s="5">
        <v>25.25</v>
      </c>
      <c r="F60" s="4">
        <v>19319310</v>
      </c>
      <c r="G60" s="2" t="s">
        <v>129</v>
      </c>
      <c r="H60" s="7" t="s">
        <v>233</v>
      </c>
      <c r="I60" s="2" t="s">
        <v>153</v>
      </c>
      <c r="J60" s="2" t="s">
        <v>154</v>
      </c>
      <c r="K60" s="2" t="s">
        <v>269</v>
      </c>
      <c r="L60" s="8" t="str">
        <f>HYPERLINK("http://slimages.macys.com/is/image/MCY/14662011 ")</f>
        <v xml:space="preserve">http://slimages.macys.com/is/image/MCY/14662011 </v>
      </c>
    </row>
    <row r="61" spans="1:12" ht="84" x14ac:dyDescent="0.25">
      <c r="A61" s="7" t="s">
        <v>270</v>
      </c>
      <c r="B61" s="2" t="s">
        <v>246</v>
      </c>
      <c r="C61" s="4">
        <v>2</v>
      </c>
      <c r="D61" s="5">
        <v>10.5</v>
      </c>
      <c r="E61" s="5">
        <v>21.99</v>
      </c>
      <c r="F61" s="4" t="s">
        <v>247</v>
      </c>
      <c r="G61" s="2" t="s">
        <v>165</v>
      </c>
      <c r="H61" s="7" t="s">
        <v>166</v>
      </c>
      <c r="I61" s="2" t="s">
        <v>73</v>
      </c>
      <c r="J61" s="2" t="s">
        <v>249</v>
      </c>
      <c r="K61" s="2" t="s">
        <v>125</v>
      </c>
      <c r="L61" s="8" t="str">
        <f>HYPERLINK("http://slimages.macys.com/is/image/MCY/14661916 ")</f>
        <v xml:space="preserve">http://slimages.macys.com/is/image/MCY/14661916 </v>
      </c>
    </row>
    <row r="62" spans="1:12" ht="84" x14ac:dyDescent="0.25">
      <c r="A62" s="7" t="s">
        <v>271</v>
      </c>
      <c r="B62" s="2" t="s">
        <v>251</v>
      </c>
      <c r="C62" s="4">
        <v>3</v>
      </c>
      <c r="D62" s="5">
        <v>10.5</v>
      </c>
      <c r="E62" s="5">
        <v>18.989999999999998</v>
      </c>
      <c r="F62" s="4" t="s">
        <v>252</v>
      </c>
      <c r="G62" s="2" t="s">
        <v>253</v>
      </c>
      <c r="H62" s="7" t="s">
        <v>166</v>
      </c>
      <c r="I62" s="2" t="s">
        <v>73</v>
      </c>
      <c r="J62" s="2" t="s">
        <v>249</v>
      </c>
      <c r="K62" s="2" t="s">
        <v>125</v>
      </c>
      <c r="L62" s="8" t="str">
        <f>HYPERLINK("http://slimages.macys.com/is/image/MCY/14661796 ")</f>
        <v xml:space="preserve">http://slimages.macys.com/is/image/MCY/14661796 </v>
      </c>
    </row>
    <row r="63" spans="1:12" ht="84" x14ac:dyDescent="0.25">
      <c r="A63" s="7" t="s">
        <v>272</v>
      </c>
      <c r="B63" s="2" t="s">
        <v>246</v>
      </c>
      <c r="C63" s="4">
        <v>1</v>
      </c>
      <c r="D63" s="5">
        <v>10.5</v>
      </c>
      <c r="E63" s="5">
        <v>21.99</v>
      </c>
      <c r="F63" s="4" t="s">
        <v>247</v>
      </c>
      <c r="G63" s="2" t="s">
        <v>165</v>
      </c>
      <c r="H63" s="7" t="s">
        <v>172</v>
      </c>
      <c r="I63" s="2" t="s">
        <v>73</v>
      </c>
      <c r="J63" s="2" t="s">
        <v>249</v>
      </c>
      <c r="K63" s="2" t="s">
        <v>125</v>
      </c>
      <c r="L63" s="8" t="str">
        <f>HYPERLINK("http://slimages.macys.com/is/image/MCY/14661916 ")</f>
        <v xml:space="preserve">http://slimages.macys.com/is/image/MCY/14661916 </v>
      </c>
    </row>
    <row r="64" spans="1:12" ht="84" x14ac:dyDescent="0.25">
      <c r="A64" s="7" t="s">
        <v>273</v>
      </c>
      <c r="B64" s="2" t="s">
        <v>251</v>
      </c>
      <c r="C64" s="4">
        <v>5</v>
      </c>
      <c r="D64" s="5">
        <v>10.5</v>
      </c>
      <c r="E64" s="5">
        <v>18.989999999999998</v>
      </c>
      <c r="F64" s="4" t="s">
        <v>252</v>
      </c>
      <c r="G64" s="2" t="s">
        <v>253</v>
      </c>
      <c r="H64" s="7" t="s">
        <v>248</v>
      </c>
      <c r="I64" s="2" t="s">
        <v>73</v>
      </c>
      <c r="J64" s="2" t="s">
        <v>249</v>
      </c>
      <c r="K64" s="2" t="s">
        <v>125</v>
      </c>
      <c r="L64" s="8" t="str">
        <f>HYPERLINK("http://slimages.macys.com/is/image/MCY/14661796 ")</f>
        <v xml:space="preserve">http://slimages.macys.com/is/image/MCY/14661796 </v>
      </c>
    </row>
    <row r="65" spans="1:13" ht="84" x14ac:dyDescent="0.25">
      <c r="A65" s="7" t="s">
        <v>274</v>
      </c>
      <c r="B65" s="2" t="s">
        <v>251</v>
      </c>
      <c r="C65" s="4">
        <v>3</v>
      </c>
      <c r="D65" s="5">
        <v>10.5</v>
      </c>
      <c r="E65" s="5">
        <v>18.989999999999998</v>
      </c>
      <c r="F65" s="4" t="s">
        <v>252</v>
      </c>
      <c r="G65" s="2" t="s">
        <v>253</v>
      </c>
      <c r="H65" s="7" t="s">
        <v>266</v>
      </c>
      <c r="I65" s="2" t="s">
        <v>73</v>
      </c>
      <c r="J65" s="2" t="s">
        <v>249</v>
      </c>
      <c r="K65" s="2" t="s">
        <v>125</v>
      </c>
      <c r="L65" s="8" t="str">
        <f>HYPERLINK("http://slimages.macys.com/is/image/MCY/14661796 ")</f>
        <v xml:space="preserve">http://slimages.macys.com/is/image/MCY/14661796 </v>
      </c>
    </row>
    <row r="66" spans="1:13" ht="84" x14ac:dyDescent="0.25">
      <c r="A66" s="7" t="s">
        <v>275</v>
      </c>
      <c r="B66" s="2" t="s">
        <v>276</v>
      </c>
      <c r="C66" s="4">
        <v>1</v>
      </c>
      <c r="D66" s="5">
        <v>10.01</v>
      </c>
      <c r="E66" s="5">
        <v>22.99</v>
      </c>
      <c r="F66" s="4" t="s">
        <v>277</v>
      </c>
      <c r="G66" s="2" t="s">
        <v>103</v>
      </c>
      <c r="H66" s="7" t="s">
        <v>228</v>
      </c>
      <c r="I66" s="2" t="s">
        <v>80</v>
      </c>
      <c r="J66" s="2" t="s">
        <v>160</v>
      </c>
      <c r="K66" s="2" t="s">
        <v>87</v>
      </c>
      <c r="L66" s="8" t="str">
        <f>HYPERLINK("http://slimages.macys.com/is/image/MCY/13758282 ")</f>
        <v xml:space="preserve">http://slimages.macys.com/is/image/MCY/13758282 </v>
      </c>
    </row>
    <row r="67" spans="1:13" ht="84" x14ac:dyDescent="0.25">
      <c r="A67" s="7" t="s">
        <v>278</v>
      </c>
      <c r="B67" s="2" t="s">
        <v>279</v>
      </c>
      <c r="C67" s="4">
        <v>2</v>
      </c>
      <c r="D67" s="5">
        <v>10</v>
      </c>
      <c r="E67" s="5">
        <v>25</v>
      </c>
      <c r="F67" s="4">
        <v>1341126</v>
      </c>
      <c r="G67" s="2" t="s">
        <v>62</v>
      </c>
      <c r="H67" s="7" t="s">
        <v>159</v>
      </c>
      <c r="I67" s="2" t="s">
        <v>73</v>
      </c>
      <c r="J67" s="2" t="s">
        <v>280</v>
      </c>
      <c r="K67" s="2" t="s">
        <v>125</v>
      </c>
      <c r="L67" s="8" t="str">
        <f>HYPERLINK("http://slimages.macys.com/is/image/MCY/15867619 ")</f>
        <v xml:space="preserve">http://slimages.macys.com/is/image/MCY/15867619 </v>
      </c>
    </row>
    <row r="68" spans="1:13" ht="84" x14ac:dyDescent="0.25">
      <c r="A68" s="7" t="s">
        <v>281</v>
      </c>
      <c r="B68" s="2" t="s">
        <v>282</v>
      </c>
      <c r="C68" s="4">
        <v>2</v>
      </c>
      <c r="D68" s="5">
        <v>10</v>
      </c>
      <c r="E68" s="5">
        <v>25</v>
      </c>
      <c r="F68" s="4">
        <v>1329007</v>
      </c>
      <c r="G68" s="2" t="s">
        <v>283</v>
      </c>
      <c r="H68" s="7" t="s">
        <v>284</v>
      </c>
      <c r="I68" s="2" t="s">
        <v>80</v>
      </c>
      <c r="J68" s="2" t="s">
        <v>280</v>
      </c>
      <c r="K68" s="2" t="s">
        <v>125</v>
      </c>
      <c r="L68" s="8" t="str">
        <f>HYPERLINK("http://slimages.macys.com/is/image/MCY/14888348 ")</f>
        <v xml:space="preserve">http://slimages.macys.com/is/image/MCY/14888348 </v>
      </c>
    </row>
    <row r="69" spans="1:13" ht="84" x14ac:dyDescent="0.25">
      <c r="A69" s="7" t="s">
        <v>285</v>
      </c>
      <c r="B69" s="2" t="s">
        <v>282</v>
      </c>
      <c r="C69" s="4">
        <v>5</v>
      </c>
      <c r="D69" s="5">
        <v>10</v>
      </c>
      <c r="E69" s="5">
        <v>25</v>
      </c>
      <c r="F69" s="4">
        <v>1329007</v>
      </c>
      <c r="G69" s="2" t="s">
        <v>283</v>
      </c>
      <c r="H69" s="7" t="s">
        <v>228</v>
      </c>
      <c r="I69" s="2" t="s">
        <v>80</v>
      </c>
      <c r="J69" s="2" t="s">
        <v>280</v>
      </c>
      <c r="K69" s="2" t="s">
        <v>125</v>
      </c>
      <c r="L69" s="8" t="str">
        <f>HYPERLINK("http://slimages.macys.com/is/image/MCY/14888348 ")</f>
        <v xml:space="preserve">http://slimages.macys.com/is/image/MCY/14888348 </v>
      </c>
    </row>
    <row r="70" spans="1:13" ht="84" x14ac:dyDescent="0.25">
      <c r="A70" s="7" t="s">
        <v>286</v>
      </c>
      <c r="B70" s="2" t="s">
        <v>282</v>
      </c>
      <c r="C70" s="4">
        <v>5</v>
      </c>
      <c r="D70" s="5">
        <v>10</v>
      </c>
      <c r="E70" s="5">
        <v>25</v>
      </c>
      <c r="F70" s="4">
        <v>1329007</v>
      </c>
      <c r="G70" s="2" t="s">
        <v>283</v>
      </c>
      <c r="H70" s="7" t="s">
        <v>159</v>
      </c>
      <c r="I70" s="2" t="s">
        <v>80</v>
      </c>
      <c r="J70" s="2" t="s">
        <v>280</v>
      </c>
      <c r="K70" s="2" t="s">
        <v>125</v>
      </c>
      <c r="L70" s="8" t="str">
        <f>HYPERLINK("http://slimages.macys.com/is/image/MCY/14888348 ")</f>
        <v xml:space="preserve">http://slimages.macys.com/is/image/MCY/14888348 </v>
      </c>
    </row>
    <row r="71" spans="1:13" ht="84" x14ac:dyDescent="0.25">
      <c r="A71" s="7" t="s">
        <v>287</v>
      </c>
      <c r="B71" s="2" t="s">
        <v>279</v>
      </c>
      <c r="C71" s="4">
        <v>1</v>
      </c>
      <c r="D71" s="5">
        <v>10</v>
      </c>
      <c r="E71" s="5">
        <v>25</v>
      </c>
      <c r="F71" s="4">
        <v>1341126</v>
      </c>
      <c r="G71" s="2" t="s">
        <v>62</v>
      </c>
      <c r="H71" s="7" t="s">
        <v>196</v>
      </c>
      <c r="I71" s="2" t="s">
        <v>73</v>
      </c>
      <c r="J71" s="2" t="s">
        <v>280</v>
      </c>
      <c r="K71" s="2" t="s">
        <v>125</v>
      </c>
      <c r="L71" s="8" t="str">
        <f>HYPERLINK("http://slimages.macys.com/is/image/MCY/15867619 ")</f>
        <v xml:space="preserve">http://slimages.macys.com/is/image/MCY/15867619 </v>
      </c>
    </row>
    <row r="72" spans="1:13" ht="84" x14ac:dyDescent="0.25">
      <c r="A72" s="7" t="s">
        <v>288</v>
      </c>
      <c r="B72" s="2" t="s">
        <v>279</v>
      </c>
      <c r="C72" s="4">
        <v>2</v>
      </c>
      <c r="D72" s="5">
        <v>10</v>
      </c>
      <c r="E72" s="5">
        <v>25</v>
      </c>
      <c r="F72" s="4">
        <v>1341126</v>
      </c>
      <c r="G72" s="2" t="s">
        <v>62</v>
      </c>
      <c r="H72" s="7" t="s">
        <v>284</v>
      </c>
      <c r="I72" s="2" t="s">
        <v>73</v>
      </c>
      <c r="J72" s="2" t="s">
        <v>280</v>
      </c>
      <c r="K72" s="2" t="s">
        <v>125</v>
      </c>
      <c r="L72" s="8" t="str">
        <f>HYPERLINK("http://slimages.macys.com/is/image/MCY/15867619 ")</f>
        <v xml:space="preserve">http://slimages.macys.com/is/image/MCY/15867619 </v>
      </c>
    </row>
    <row r="73" spans="1:13" ht="84" x14ac:dyDescent="0.25">
      <c r="A73" s="7" t="s">
        <v>289</v>
      </c>
      <c r="B73" s="2" t="s">
        <v>290</v>
      </c>
      <c r="C73" s="4">
        <v>1</v>
      </c>
      <c r="D73" s="5">
        <v>9.9600000000000009</v>
      </c>
      <c r="E73" s="5">
        <v>29.99</v>
      </c>
      <c r="F73" s="4" t="s">
        <v>291</v>
      </c>
      <c r="G73" s="2" t="s">
        <v>28</v>
      </c>
      <c r="H73" s="7" t="s">
        <v>159</v>
      </c>
      <c r="I73" s="2" t="s">
        <v>292</v>
      </c>
      <c r="J73" s="2" t="s">
        <v>293</v>
      </c>
      <c r="K73" s="2" t="s">
        <v>125</v>
      </c>
      <c r="L73" s="8" t="str">
        <f>HYPERLINK("http://slimages.macys.com/is/image/MCY/15107579 ")</f>
        <v xml:space="preserve">http://slimages.macys.com/is/image/MCY/15107579 </v>
      </c>
    </row>
    <row r="74" spans="1:13" ht="60" x14ac:dyDescent="0.25">
      <c r="A74" s="7" t="s">
        <v>294</v>
      </c>
      <c r="B74" s="2" t="s">
        <v>295</v>
      </c>
      <c r="C74" s="4">
        <v>1</v>
      </c>
      <c r="D74" s="5">
        <v>9.9</v>
      </c>
      <c r="E74" s="5">
        <v>18.11</v>
      </c>
      <c r="F74" s="4" t="s">
        <v>296</v>
      </c>
      <c r="G74" s="2" t="s">
        <v>297</v>
      </c>
      <c r="H74" s="7" t="s">
        <v>196</v>
      </c>
      <c r="I74" s="2" t="s">
        <v>298</v>
      </c>
      <c r="J74" s="2" t="s">
        <v>299</v>
      </c>
      <c r="K74" s="2"/>
      <c r="L74" s="2"/>
      <c r="M74" s="8" t="str">
        <f>HYPERLINK("http://slimages.macys.com/is/image/MCY/9047458 ")</f>
        <v xml:space="preserve">http://slimages.macys.com/is/image/MCY/9047458 </v>
      </c>
    </row>
    <row r="75" spans="1:13" ht="60" x14ac:dyDescent="0.25">
      <c r="A75" s="7" t="s">
        <v>300</v>
      </c>
      <c r="B75" s="2" t="s">
        <v>301</v>
      </c>
      <c r="C75" s="4">
        <v>2</v>
      </c>
      <c r="D75" s="5">
        <v>9.8000000000000007</v>
      </c>
      <c r="E75" s="5">
        <v>21.99</v>
      </c>
      <c r="F75" s="4" t="s">
        <v>302</v>
      </c>
      <c r="G75" s="2" t="s">
        <v>303</v>
      </c>
      <c r="H75" s="7" t="s">
        <v>248</v>
      </c>
      <c r="I75" s="2" t="s">
        <v>73</v>
      </c>
      <c r="J75" s="2" t="s">
        <v>249</v>
      </c>
      <c r="K75" s="2" t="s">
        <v>304</v>
      </c>
      <c r="L75" s="2" t="s">
        <v>125</v>
      </c>
      <c r="M75" s="8" t="str">
        <f>HYPERLINK("http://slimages.macys.com/is/image/MCY/14661401 ")</f>
        <v xml:space="preserve">http://slimages.macys.com/is/image/MCY/14661401 </v>
      </c>
    </row>
    <row r="76" spans="1:13" ht="60" x14ac:dyDescent="0.25">
      <c r="A76" s="7" t="s">
        <v>305</v>
      </c>
      <c r="B76" s="2" t="s">
        <v>301</v>
      </c>
      <c r="C76" s="4">
        <v>3</v>
      </c>
      <c r="D76" s="5">
        <v>9.8000000000000007</v>
      </c>
      <c r="E76" s="5">
        <v>21.99</v>
      </c>
      <c r="F76" s="4" t="s">
        <v>302</v>
      </c>
      <c r="G76" s="2" t="s">
        <v>303</v>
      </c>
      <c r="H76" s="7" t="s">
        <v>166</v>
      </c>
      <c r="I76" s="2" t="s">
        <v>73</v>
      </c>
      <c r="J76" s="2" t="s">
        <v>249</v>
      </c>
      <c r="K76" s="2" t="s">
        <v>304</v>
      </c>
      <c r="L76" s="2" t="s">
        <v>125</v>
      </c>
      <c r="M76" s="8" t="str">
        <f>HYPERLINK("http://slimages.macys.com/is/image/MCY/14661401 ")</f>
        <v xml:space="preserve">http://slimages.macys.com/is/image/MCY/14661401 </v>
      </c>
    </row>
    <row r="77" spans="1:13" ht="60" x14ac:dyDescent="0.25">
      <c r="A77" s="7" t="s">
        <v>306</v>
      </c>
      <c r="B77" s="2" t="s">
        <v>301</v>
      </c>
      <c r="C77" s="4">
        <v>9</v>
      </c>
      <c r="D77" s="5">
        <v>9.8000000000000007</v>
      </c>
      <c r="E77" s="5">
        <v>21.99</v>
      </c>
      <c r="F77" s="4" t="s">
        <v>302</v>
      </c>
      <c r="G77" s="2" t="s">
        <v>303</v>
      </c>
      <c r="H77" s="7" t="s">
        <v>266</v>
      </c>
      <c r="I77" s="2" t="s">
        <v>73</v>
      </c>
      <c r="J77" s="2" t="s">
        <v>249</v>
      </c>
      <c r="K77" s="2" t="s">
        <v>304</v>
      </c>
      <c r="L77" s="2" t="s">
        <v>125</v>
      </c>
      <c r="M77" s="8" t="str">
        <f>HYPERLINK("http://slimages.macys.com/is/image/MCY/14661401 ")</f>
        <v xml:space="preserve">http://slimages.macys.com/is/image/MCY/14661401 </v>
      </c>
    </row>
    <row r="78" spans="1:13" ht="60" x14ac:dyDescent="0.25">
      <c r="A78" s="7" t="s">
        <v>307</v>
      </c>
      <c r="B78" s="2" t="s">
        <v>308</v>
      </c>
      <c r="C78" s="4">
        <v>1</v>
      </c>
      <c r="D78" s="5">
        <v>9.75</v>
      </c>
      <c r="E78" s="5">
        <v>24.99</v>
      </c>
      <c r="F78" s="4" t="s">
        <v>309</v>
      </c>
      <c r="G78" s="2" t="s">
        <v>310</v>
      </c>
      <c r="H78" s="7" t="s">
        <v>311</v>
      </c>
      <c r="I78" s="2" t="s">
        <v>312</v>
      </c>
      <c r="J78" s="2" t="s">
        <v>313</v>
      </c>
      <c r="K78" s="2" t="s">
        <v>304</v>
      </c>
      <c r="L78" s="2" t="s">
        <v>38</v>
      </c>
      <c r="M78" s="8" t="str">
        <f>HYPERLINK("http://slimages.macys.com/is/image/MCY/11488744 ")</f>
        <v xml:space="preserve">http://slimages.macys.com/is/image/MCY/11488744 </v>
      </c>
    </row>
    <row r="79" spans="1:13" ht="60" x14ac:dyDescent="0.25">
      <c r="A79" s="7" t="s">
        <v>314</v>
      </c>
      <c r="B79" s="2" t="s">
        <v>315</v>
      </c>
      <c r="C79" s="4">
        <v>1</v>
      </c>
      <c r="D79" s="5">
        <v>9.5</v>
      </c>
      <c r="E79" s="5">
        <v>22.99</v>
      </c>
      <c r="F79" s="4" t="s">
        <v>316</v>
      </c>
      <c r="G79" s="2" t="s">
        <v>62</v>
      </c>
      <c r="H79" s="7" t="s">
        <v>317</v>
      </c>
      <c r="I79" s="2" t="s">
        <v>80</v>
      </c>
      <c r="J79" s="2" t="s">
        <v>124</v>
      </c>
      <c r="K79" s="2" t="s">
        <v>304</v>
      </c>
      <c r="L79" s="2" t="s">
        <v>125</v>
      </c>
      <c r="M79" s="8" t="str">
        <f>HYPERLINK("http://slimages.macys.com/is/image/MCY/9278387 ")</f>
        <v xml:space="preserve">http://slimages.macys.com/is/image/MCY/9278387 </v>
      </c>
    </row>
    <row r="80" spans="1:13" ht="60" x14ac:dyDescent="0.25">
      <c r="A80" s="7" t="s">
        <v>318</v>
      </c>
      <c r="B80" s="2" t="s">
        <v>319</v>
      </c>
      <c r="C80" s="4">
        <v>1</v>
      </c>
      <c r="D80" s="5">
        <v>9.4499999999999993</v>
      </c>
      <c r="E80" s="5">
        <v>22.99</v>
      </c>
      <c r="F80" s="4">
        <v>103410</v>
      </c>
      <c r="G80" s="2"/>
      <c r="H80" s="7" t="s">
        <v>320</v>
      </c>
      <c r="I80" s="2" t="s">
        <v>321</v>
      </c>
      <c r="J80" s="2" t="s">
        <v>322</v>
      </c>
      <c r="K80" s="2" t="s">
        <v>304</v>
      </c>
      <c r="L80" s="2" t="s">
        <v>323</v>
      </c>
      <c r="M80" s="8" t="str">
        <f>HYPERLINK("http://slimages.macys.com/is/image/MCY/11539277 ")</f>
        <v xml:space="preserve">http://slimages.macys.com/is/image/MCY/11539277 </v>
      </c>
    </row>
    <row r="81" spans="1:13" ht="60" x14ac:dyDescent="0.25">
      <c r="A81" s="7" t="s">
        <v>324</v>
      </c>
      <c r="B81" s="2" t="s">
        <v>325</v>
      </c>
      <c r="C81" s="4">
        <v>1</v>
      </c>
      <c r="D81" s="5">
        <v>9.4499999999999993</v>
      </c>
      <c r="E81" s="5">
        <v>22.99</v>
      </c>
      <c r="F81" s="4">
        <v>103409</v>
      </c>
      <c r="G81" s="2" t="s">
        <v>28</v>
      </c>
      <c r="H81" s="7" t="s">
        <v>320</v>
      </c>
      <c r="I81" s="2" t="s">
        <v>321</v>
      </c>
      <c r="J81" s="2" t="s">
        <v>322</v>
      </c>
      <c r="K81" s="2" t="s">
        <v>304</v>
      </c>
      <c r="L81" s="2" t="s">
        <v>125</v>
      </c>
      <c r="M81" s="8" t="str">
        <f>HYPERLINK("http://slimages.macys.com/is/image/MCY/10627955 ")</f>
        <v xml:space="preserve">http://slimages.macys.com/is/image/MCY/10627955 </v>
      </c>
    </row>
    <row r="82" spans="1:13" ht="60" x14ac:dyDescent="0.25">
      <c r="A82" s="7" t="s">
        <v>326</v>
      </c>
      <c r="B82" s="2" t="s">
        <v>327</v>
      </c>
      <c r="C82" s="4">
        <v>1</v>
      </c>
      <c r="D82" s="5">
        <v>9.36</v>
      </c>
      <c r="E82" s="5">
        <v>39</v>
      </c>
      <c r="F82" s="4">
        <v>329204</v>
      </c>
      <c r="G82" s="2"/>
      <c r="H82" s="7" t="s">
        <v>104</v>
      </c>
      <c r="I82" s="2" t="s">
        <v>50</v>
      </c>
      <c r="J82" s="2" t="s">
        <v>51</v>
      </c>
      <c r="K82" s="2" t="s">
        <v>304</v>
      </c>
      <c r="L82" s="2" t="s">
        <v>328</v>
      </c>
      <c r="M82" s="8" t="str">
        <f>HYPERLINK("http://slimages.macys.com/is/image/MCY/10277385 ")</f>
        <v xml:space="preserve">http://slimages.macys.com/is/image/MCY/10277385 </v>
      </c>
    </row>
    <row r="83" spans="1:13" ht="60" x14ac:dyDescent="0.25">
      <c r="A83" s="7" t="s">
        <v>329</v>
      </c>
      <c r="B83" s="2" t="s">
        <v>330</v>
      </c>
      <c r="C83" s="4">
        <v>1</v>
      </c>
      <c r="D83" s="5">
        <v>9.27</v>
      </c>
      <c r="E83" s="5">
        <v>26.5</v>
      </c>
      <c r="F83" s="4" t="s">
        <v>331</v>
      </c>
      <c r="G83" s="2" t="s">
        <v>48</v>
      </c>
      <c r="H83" s="7" t="s">
        <v>248</v>
      </c>
      <c r="I83" s="2" t="s">
        <v>298</v>
      </c>
      <c r="J83" s="2" t="s">
        <v>99</v>
      </c>
      <c r="K83" s="2" t="s">
        <v>304</v>
      </c>
      <c r="L83" s="2" t="s">
        <v>119</v>
      </c>
      <c r="M83" s="8" t="str">
        <f>HYPERLINK("http://slimages.macys.com/is/image/MCY/12239530 ")</f>
        <v xml:space="preserve">http://slimages.macys.com/is/image/MCY/12239530 </v>
      </c>
    </row>
    <row r="84" spans="1:13" ht="60" x14ac:dyDescent="0.25">
      <c r="A84" s="7" t="s">
        <v>332</v>
      </c>
      <c r="B84" s="2" t="s">
        <v>333</v>
      </c>
      <c r="C84" s="4">
        <v>1</v>
      </c>
      <c r="D84" s="5">
        <v>9.1</v>
      </c>
      <c r="E84" s="5">
        <v>19.989999999999998</v>
      </c>
      <c r="F84" s="4" t="s">
        <v>334</v>
      </c>
      <c r="G84" s="2" t="s">
        <v>41</v>
      </c>
      <c r="H84" s="7" t="s">
        <v>248</v>
      </c>
      <c r="I84" s="2" t="s">
        <v>73</v>
      </c>
      <c r="J84" s="2" t="s">
        <v>249</v>
      </c>
      <c r="K84" s="2" t="s">
        <v>304</v>
      </c>
      <c r="L84" s="2" t="s">
        <v>335</v>
      </c>
      <c r="M84" s="8" t="str">
        <f>HYPERLINK("http://slimages.macys.com/is/image/MCY/14365354 ")</f>
        <v xml:space="preserve">http://slimages.macys.com/is/image/MCY/14365354 </v>
      </c>
    </row>
    <row r="85" spans="1:13" ht="60" x14ac:dyDescent="0.25">
      <c r="A85" s="7" t="s">
        <v>336</v>
      </c>
      <c r="B85" s="2" t="s">
        <v>337</v>
      </c>
      <c r="C85" s="4">
        <v>1</v>
      </c>
      <c r="D85" s="5">
        <v>9.1</v>
      </c>
      <c r="E85" s="5">
        <v>19.989999999999998</v>
      </c>
      <c r="F85" s="4" t="s">
        <v>338</v>
      </c>
      <c r="G85" s="2" t="s">
        <v>303</v>
      </c>
      <c r="H85" s="7" t="s">
        <v>266</v>
      </c>
      <c r="I85" s="2" t="s">
        <v>73</v>
      </c>
      <c r="J85" s="2" t="s">
        <v>249</v>
      </c>
      <c r="K85" s="2" t="s">
        <v>304</v>
      </c>
      <c r="L85" s="2" t="s">
        <v>335</v>
      </c>
      <c r="M85" s="8" t="str">
        <f>HYPERLINK("http://slimages.macys.com/is/image/MCY/14365345 ")</f>
        <v xml:space="preserve">http://slimages.macys.com/is/image/MCY/14365345 </v>
      </c>
    </row>
    <row r="86" spans="1:13" ht="60" x14ac:dyDescent="0.25">
      <c r="A86" s="7" t="s">
        <v>339</v>
      </c>
      <c r="B86" s="2" t="s">
        <v>340</v>
      </c>
      <c r="C86" s="4">
        <v>1</v>
      </c>
      <c r="D86" s="5">
        <v>9</v>
      </c>
      <c r="E86" s="5">
        <v>21.99</v>
      </c>
      <c r="F86" s="4" t="s">
        <v>341</v>
      </c>
      <c r="G86" s="2" t="s">
        <v>297</v>
      </c>
      <c r="H86" s="7" t="s">
        <v>144</v>
      </c>
      <c r="I86" s="2" t="s">
        <v>342</v>
      </c>
      <c r="J86" s="2" t="s">
        <v>343</v>
      </c>
      <c r="K86" s="2" t="s">
        <v>304</v>
      </c>
      <c r="L86" s="2" t="s">
        <v>119</v>
      </c>
      <c r="M86" s="8" t="str">
        <f>HYPERLINK("http://slimages.macys.com/is/image/MCY/12237654 ")</f>
        <v xml:space="preserve">http://slimages.macys.com/is/image/MCY/12237654 </v>
      </c>
    </row>
    <row r="87" spans="1:13" ht="72" x14ac:dyDescent="0.25">
      <c r="A87" s="7" t="s">
        <v>344</v>
      </c>
      <c r="B87" s="2" t="s">
        <v>345</v>
      </c>
      <c r="C87" s="4">
        <v>1</v>
      </c>
      <c r="D87" s="5">
        <v>9</v>
      </c>
      <c r="E87" s="5">
        <v>20</v>
      </c>
      <c r="F87" s="4" t="s">
        <v>346</v>
      </c>
      <c r="G87" s="2" t="s">
        <v>347</v>
      </c>
      <c r="H87" s="7"/>
      <c r="I87" s="2" t="s">
        <v>30</v>
      </c>
      <c r="J87" s="2" t="s">
        <v>348</v>
      </c>
      <c r="K87" s="2" t="s">
        <v>304</v>
      </c>
      <c r="L87" s="2" t="s">
        <v>349</v>
      </c>
      <c r="M87" s="8" t="str">
        <f>HYPERLINK("http://slimages.macys.com/is/image/MCY/13914420 ")</f>
        <v xml:space="preserve">http://slimages.macys.com/is/image/MCY/13914420 </v>
      </c>
    </row>
    <row r="88" spans="1:13" ht="60" x14ac:dyDescent="0.25">
      <c r="A88" s="7" t="s">
        <v>350</v>
      </c>
      <c r="B88" s="2" t="s">
        <v>351</v>
      </c>
      <c r="C88" s="4">
        <v>1</v>
      </c>
      <c r="D88" s="5">
        <v>8.92</v>
      </c>
      <c r="E88" s="5">
        <v>24.99</v>
      </c>
      <c r="F88" s="4" t="s">
        <v>352</v>
      </c>
      <c r="G88" s="2" t="s">
        <v>353</v>
      </c>
      <c r="H88" s="7" t="s">
        <v>123</v>
      </c>
      <c r="I88" s="2" t="s">
        <v>292</v>
      </c>
      <c r="J88" s="2" t="s">
        <v>354</v>
      </c>
      <c r="K88" s="2" t="s">
        <v>304</v>
      </c>
      <c r="L88" s="2" t="s">
        <v>125</v>
      </c>
      <c r="M88" s="8" t="str">
        <f>HYPERLINK("http://slimages.macys.com/is/image/MCY/13077240 ")</f>
        <v xml:space="preserve">http://slimages.macys.com/is/image/MCY/13077240 </v>
      </c>
    </row>
    <row r="89" spans="1:13" ht="60" x14ac:dyDescent="0.25">
      <c r="A89" s="7" t="s">
        <v>355</v>
      </c>
      <c r="B89" s="2" t="s">
        <v>356</v>
      </c>
      <c r="C89" s="4">
        <v>1</v>
      </c>
      <c r="D89" s="5">
        <v>8.8000000000000007</v>
      </c>
      <c r="E89" s="5">
        <v>24.99</v>
      </c>
      <c r="F89" s="4" t="s">
        <v>357</v>
      </c>
      <c r="G89" s="2" t="s">
        <v>36</v>
      </c>
      <c r="H89" s="7" t="s">
        <v>209</v>
      </c>
      <c r="I89" s="2" t="s">
        <v>64</v>
      </c>
      <c r="J89" s="2" t="s">
        <v>65</v>
      </c>
      <c r="K89" s="2" t="s">
        <v>304</v>
      </c>
      <c r="L89" s="2" t="s">
        <v>358</v>
      </c>
      <c r="M89" s="8" t="str">
        <f>HYPERLINK("http://slimages.macys.com/is/image/MCY/13531703 ")</f>
        <v xml:space="preserve">http://slimages.macys.com/is/image/MCY/13531703 </v>
      </c>
    </row>
    <row r="90" spans="1:13" ht="132" x14ac:dyDescent="0.25">
      <c r="A90" s="7" t="s">
        <v>359</v>
      </c>
      <c r="B90" s="2" t="s">
        <v>360</v>
      </c>
      <c r="C90" s="4">
        <v>1</v>
      </c>
      <c r="D90" s="5">
        <v>8.75</v>
      </c>
      <c r="E90" s="5">
        <v>24.99</v>
      </c>
      <c r="F90" s="4" t="s">
        <v>361</v>
      </c>
      <c r="G90" s="2" t="s">
        <v>310</v>
      </c>
      <c r="H90" s="7" t="s">
        <v>209</v>
      </c>
      <c r="I90" s="2" t="s">
        <v>342</v>
      </c>
      <c r="J90" s="2" t="s">
        <v>362</v>
      </c>
      <c r="K90" s="2" t="s">
        <v>304</v>
      </c>
      <c r="L90" s="2" t="s">
        <v>363</v>
      </c>
      <c r="M90" s="8" t="str">
        <f>HYPERLINK("http://slimages.macys.com/is/image/MCY/14399757 ")</f>
        <v xml:space="preserve">http://slimages.macys.com/is/image/MCY/14399757 </v>
      </c>
    </row>
    <row r="91" spans="1:13" ht="60" x14ac:dyDescent="0.25">
      <c r="A91" s="7" t="s">
        <v>364</v>
      </c>
      <c r="B91" s="2" t="s">
        <v>365</v>
      </c>
      <c r="C91" s="4">
        <v>1</v>
      </c>
      <c r="D91" s="5">
        <v>8.75</v>
      </c>
      <c r="E91" s="5">
        <v>18.989999999999998</v>
      </c>
      <c r="F91" s="4" t="s">
        <v>366</v>
      </c>
      <c r="G91" s="2" t="s">
        <v>134</v>
      </c>
      <c r="H91" s="7" t="s">
        <v>166</v>
      </c>
      <c r="I91" s="2" t="s">
        <v>73</v>
      </c>
      <c r="J91" s="2" t="s">
        <v>249</v>
      </c>
      <c r="K91" s="2" t="s">
        <v>304</v>
      </c>
      <c r="L91" s="2" t="s">
        <v>367</v>
      </c>
      <c r="M91" s="8" t="str">
        <f>HYPERLINK("http://slimages.macys.com/is/image/MCY/14601680 ")</f>
        <v xml:space="preserve">http://slimages.macys.com/is/image/MCY/14601680 </v>
      </c>
    </row>
    <row r="92" spans="1:13" ht="60" x14ac:dyDescent="0.25">
      <c r="A92" s="7" t="s">
        <v>368</v>
      </c>
      <c r="B92" s="2" t="s">
        <v>365</v>
      </c>
      <c r="C92" s="4">
        <v>2</v>
      </c>
      <c r="D92" s="5">
        <v>8.75</v>
      </c>
      <c r="E92" s="5">
        <v>18.989999999999998</v>
      </c>
      <c r="F92" s="4" t="s">
        <v>366</v>
      </c>
      <c r="G92" s="2" t="s">
        <v>134</v>
      </c>
      <c r="H92" s="7" t="s">
        <v>248</v>
      </c>
      <c r="I92" s="2" t="s">
        <v>73</v>
      </c>
      <c r="J92" s="2" t="s">
        <v>249</v>
      </c>
      <c r="K92" s="2" t="s">
        <v>304</v>
      </c>
      <c r="L92" s="2" t="s">
        <v>367</v>
      </c>
      <c r="M92" s="8" t="str">
        <f>HYPERLINK("http://slimages.macys.com/is/image/MCY/14601680 ")</f>
        <v xml:space="preserve">http://slimages.macys.com/is/image/MCY/14601680 </v>
      </c>
    </row>
    <row r="93" spans="1:13" ht="60" x14ac:dyDescent="0.25">
      <c r="A93" s="7" t="s">
        <v>369</v>
      </c>
      <c r="B93" s="2" t="s">
        <v>370</v>
      </c>
      <c r="C93" s="4">
        <v>1</v>
      </c>
      <c r="D93" s="5">
        <v>8.75</v>
      </c>
      <c r="E93" s="5">
        <v>18.989999999999998</v>
      </c>
      <c r="F93" s="4" t="s">
        <v>371</v>
      </c>
      <c r="G93" s="2" t="s">
        <v>62</v>
      </c>
      <c r="H93" s="7" t="s">
        <v>166</v>
      </c>
      <c r="I93" s="2" t="s">
        <v>73</v>
      </c>
      <c r="J93" s="2" t="s">
        <v>249</v>
      </c>
      <c r="K93" s="2" t="s">
        <v>304</v>
      </c>
      <c r="L93" s="2" t="s">
        <v>367</v>
      </c>
      <c r="M93" s="8" t="str">
        <f>HYPERLINK("http://slimages.macys.com/is/image/MCY/14661613 ")</f>
        <v xml:space="preserve">http://slimages.macys.com/is/image/MCY/14661613 </v>
      </c>
    </row>
    <row r="94" spans="1:13" ht="60" x14ac:dyDescent="0.25">
      <c r="A94" s="7" t="s">
        <v>372</v>
      </c>
      <c r="B94" s="2" t="s">
        <v>365</v>
      </c>
      <c r="C94" s="4">
        <v>1</v>
      </c>
      <c r="D94" s="5">
        <v>8.75</v>
      </c>
      <c r="E94" s="5">
        <v>18.989999999999998</v>
      </c>
      <c r="F94" s="4" t="s">
        <v>366</v>
      </c>
      <c r="G94" s="2" t="s">
        <v>134</v>
      </c>
      <c r="H94" s="7" t="s">
        <v>172</v>
      </c>
      <c r="I94" s="2" t="s">
        <v>73</v>
      </c>
      <c r="J94" s="2" t="s">
        <v>249</v>
      </c>
      <c r="K94" s="2" t="s">
        <v>304</v>
      </c>
      <c r="L94" s="2" t="s">
        <v>367</v>
      </c>
      <c r="M94" s="8" t="str">
        <f>HYPERLINK("http://slimages.macys.com/is/image/MCY/14601680 ")</f>
        <v xml:space="preserve">http://slimages.macys.com/is/image/MCY/14601680 </v>
      </c>
    </row>
    <row r="95" spans="1:13" ht="60" x14ac:dyDescent="0.25">
      <c r="A95" s="7" t="s">
        <v>373</v>
      </c>
      <c r="B95" s="2" t="s">
        <v>374</v>
      </c>
      <c r="C95" s="4">
        <v>1</v>
      </c>
      <c r="D95" s="5">
        <v>8.75</v>
      </c>
      <c r="E95" s="5">
        <v>18.989999999999998</v>
      </c>
      <c r="F95" s="4" t="s">
        <v>375</v>
      </c>
      <c r="G95" s="2" t="s">
        <v>165</v>
      </c>
      <c r="H95" s="7" t="s">
        <v>172</v>
      </c>
      <c r="I95" s="2" t="s">
        <v>73</v>
      </c>
      <c r="J95" s="2" t="s">
        <v>249</v>
      </c>
      <c r="K95" s="2" t="s">
        <v>304</v>
      </c>
      <c r="L95" s="2" t="s">
        <v>358</v>
      </c>
      <c r="M95" s="8" t="str">
        <f>HYPERLINK("http://slimages.macys.com/is/image/MCY/14601682 ")</f>
        <v xml:space="preserve">http://slimages.macys.com/is/image/MCY/14601682 </v>
      </c>
    </row>
    <row r="96" spans="1:13" ht="84" x14ac:dyDescent="0.25">
      <c r="A96" s="7" t="s">
        <v>376</v>
      </c>
      <c r="B96" s="2" t="s">
        <v>377</v>
      </c>
      <c r="C96" s="4">
        <v>1</v>
      </c>
      <c r="D96" s="5">
        <v>8.5</v>
      </c>
      <c r="E96" s="5">
        <v>20</v>
      </c>
      <c r="F96" s="4" t="s">
        <v>378</v>
      </c>
      <c r="G96" s="2" t="s">
        <v>62</v>
      </c>
      <c r="H96" s="7" t="s">
        <v>379</v>
      </c>
      <c r="I96" s="2" t="s">
        <v>380</v>
      </c>
      <c r="J96" s="2" t="s">
        <v>381</v>
      </c>
      <c r="K96" s="2" t="s">
        <v>304</v>
      </c>
      <c r="L96" s="2" t="s">
        <v>382</v>
      </c>
      <c r="M96" s="8" t="str">
        <f>HYPERLINK("http://slimages.macys.com/is/image/MCY/12550109 ")</f>
        <v xml:space="preserve">http://slimages.macys.com/is/image/MCY/12550109 </v>
      </c>
    </row>
    <row r="97" spans="1:13" ht="84" x14ac:dyDescent="0.25">
      <c r="A97" s="7" t="s">
        <v>383</v>
      </c>
      <c r="B97" s="2" t="s">
        <v>377</v>
      </c>
      <c r="C97" s="4">
        <v>1</v>
      </c>
      <c r="D97" s="5">
        <v>8.5</v>
      </c>
      <c r="E97" s="5">
        <v>20</v>
      </c>
      <c r="F97" s="4" t="s">
        <v>378</v>
      </c>
      <c r="G97" s="2" t="s">
        <v>62</v>
      </c>
      <c r="H97" s="7" t="s">
        <v>166</v>
      </c>
      <c r="I97" s="2" t="s">
        <v>380</v>
      </c>
      <c r="J97" s="2" t="s">
        <v>381</v>
      </c>
      <c r="K97" s="2" t="s">
        <v>304</v>
      </c>
      <c r="L97" s="2" t="s">
        <v>382</v>
      </c>
      <c r="M97" s="8" t="str">
        <f>HYPERLINK("http://slimages.macys.com/is/image/MCY/12550109 ")</f>
        <v xml:space="preserve">http://slimages.macys.com/is/image/MCY/12550109 </v>
      </c>
    </row>
    <row r="98" spans="1:13" ht="84" x14ac:dyDescent="0.25">
      <c r="A98" s="7" t="s">
        <v>384</v>
      </c>
      <c r="B98" s="2" t="s">
        <v>377</v>
      </c>
      <c r="C98" s="4">
        <v>1</v>
      </c>
      <c r="D98" s="5">
        <v>8.5</v>
      </c>
      <c r="E98" s="5">
        <v>20</v>
      </c>
      <c r="F98" s="4" t="s">
        <v>378</v>
      </c>
      <c r="G98" s="2" t="s">
        <v>62</v>
      </c>
      <c r="H98" s="7" t="s">
        <v>311</v>
      </c>
      <c r="I98" s="2" t="s">
        <v>380</v>
      </c>
      <c r="J98" s="2" t="s">
        <v>381</v>
      </c>
      <c r="K98" s="2" t="s">
        <v>304</v>
      </c>
      <c r="L98" s="2" t="s">
        <v>382</v>
      </c>
      <c r="M98" s="8" t="str">
        <f>HYPERLINK("http://slimages.macys.com/is/image/MCY/12550109 ")</f>
        <v xml:space="preserve">http://slimages.macys.com/is/image/MCY/12550109 </v>
      </c>
    </row>
    <row r="99" spans="1:13" ht="60" x14ac:dyDescent="0.25">
      <c r="A99" s="7" t="s">
        <v>385</v>
      </c>
      <c r="B99" s="2" t="s">
        <v>386</v>
      </c>
      <c r="C99" s="4">
        <v>1</v>
      </c>
      <c r="D99" s="5">
        <v>8.43</v>
      </c>
      <c r="E99" s="5">
        <v>26.99</v>
      </c>
      <c r="F99" s="4" t="s">
        <v>387</v>
      </c>
      <c r="G99" s="2" t="s">
        <v>388</v>
      </c>
      <c r="H99" s="7" t="s">
        <v>284</v>
      </c>
      <c r="I99" s="2" t="s">
        <v>389</v>
      </c>
      <c r="J99" s="2" t="s">
        <v>354</v>
      </c>
      <c r="K99" s="2" t="s">
        <v>304</v>
      </c>
      <c r="L99" s="2" t="s">
        <v>390</v>
      </c>
      <c r="M99" s="8" t="str">
        <f>HYPERLINK("http://slimages.macys.com/is/image/MCY/12938536 ")</f>
        <v xml:space="preserve">http://slimages.macys.com/is/image/MCY/12938536 </v>
      </c>
    </row>
    <row r="100" spans="1:13" ht="60" x14ac:dyDescent="0.25">
      <c r="A100" s="7" t="s">
        <v>391</v>
      </c>
      <c r="B100" s="2" t="s">
        <v>392</v>
      </c>
      <c r="C100" s="4">
        <v>1</v>
      </c>
      <c r="D100" s="5">
        <v>8.1</v>
      </c>
      <c r="E100" s="5">
        <v>18</v>
      </c>
      <c r="F100" s="4">
        <v>59033</v>
      </c>
      <c r="G100" s="2" t="s">
        <v>393</v>
      </c>
      <c r="H100" s="7" t="s">
        <v>394</v>
      </c>
      <c r="I100" s="2" t="s">
        <v>43</v>
      </c>
      <c r="J100" s="2" t="s">
        <v>395</v>
      </c>
      <c r="K100" s="2" t="s">
        <v>304</v>
      </c>
      <c r="L100" s="2"/>
      <c r="M100" s="8" t="str">
        <f>HYPERLINK("http://slimages.macys.com/is/image/MCY/762836 ")</f>
        <v xml:space="preserve">http://slimages.macys.com/is/image/MCY/762836 </v>
      </c>
    </row>
    <row r="101" spans="1:13" ht="60" x14ac:dyDescent="0.25">
      <c r="A101" s="7" t="s">
        <v>396</v>
      </c>
      <c r="B101" s="2" t="s">
        <v>397</v>
      </c>
      <c r="C101" s="4">
        <v>1</v>
      </c>
      <c r="D101" s="5">
        <v>8.01</v>
      </c>
      <c r="E101" s="5">
        <v>19</v>
      </c>
      <c r="F101" s="4" t="s">
        <v>398</v>
      </c>
      <c r="G101" s="2" t="s">
        <v>41</v>
      </c>
      <c r="H101" s="7" t="s">
        <v>284</v>
      </c>
      <c r="I101" s="2" t="s">
        <v>73</v>
      </c>
      <c r="J101" s="2" t="s">
        <v>160</v>
      </c>
      <c r="K101" s="2" t="s">
        <v>304</v>
      </c>
      <c r="L101" s="2" t="s">
        <v>206</v>
      </c>
      <c r="M101" s="8" t="str">
        <f>HYPERLINK("http://slimages.macys.com/is/image/MCY/14724089 ")</f>
        <v xml:space="preserve">http://slimages.macys.com/is/image/MCY/14724089 </v>
      </c>
    </row>
    <row r="102" spans="1:13" ht="60" x14ac:dyDescent="0.25">
      <c r="A102" s="7" t="s">
        <v>399</v>
      </c>
      <c r="B102" s="2" t="s">
        <v>397</v>
      </c>
      <c r="C102" s="4">
        <v>1</v>
      </c>
      <c r="D102" s="5">
        <v>8.01</v>
      </c>
      <c r="E102" s="5">
        <v>19</v>
      </c>
      <c r="F102" s="4" t="s">
        <v>398</v>
      </c>
      <c r="G102" s="2" t="s">
        <v>41</v>
      </c>
      <c r="H102" s="7" t="s">
        <v>159</v>
      </c>
      <c r="I102" s="2" t="s">
        <v>73</v>
      </c>
      <c r="J102" s="2" t="s">
        <v>160</v>
      </c>
      <c r="K102" s="2" t="s">
        <v>304</v>
      </c>
      <c r="L102" s="2" t="s">
        <v>206</v>
      </c>
      <c r="M102" s="8" t="str">
        <f>HYPERLINK("http://slimages.macys.com/is/image/MCY/14724089 ")</f>
        <v xml:space="preserve">http://slimages.macys.com/is/image/MCY/14724089 </v>
      </c>
    </row>
    <row r="103" spans="1:13" ht="60" x14ac:dyDescent="0.25">
      <c r="A103" s="7" t="s">
        <v>400</v>
      </c>
      <c r="B103" s="2" t="s">
        <v>397</v>
      </c>
      <c r="C103" s="4">
        <v>1</v>
      </c>
      <c r="D103" s="5">
        <v>8.01</v>
      </c>
      <c r="E103" s="5">
        <v>19</v>
      </c>
      <c r="F103" s="4" t="s">
        <v>398</v>
      </c>
      <c r="G103" s="2" t="s">
        <v>41</v>
      </c>
      <c r="H103" s="7" t="s">
        <v>228</v>
      </c>
      <c r="I103" s="2" t="s">
        <v>73</v>
      </c>
      <c r="J103" s="2" t="s">
        <v>160</v>
      </c>
      <c r="K103" s="2" t="s">
        <v>304</v>
      </c>
      <c r="L103" s="2" t="s">
        <v>206</v>
      </c>
      <c r="M103" s="8" t="str">
        <f>HYPERLINK("http://slimages.macys.com/is/image/MCY/14724089 ")</f>
        <v xml:space="preserve">http://slimages.macys.com/is/image/MCY/14724089 </v>
      </c>
    </row>
    <row r="104" spans="1:13" ht="60" x14ac:dyDescent="0.25">
      <c r="A104" s="7" t="s">
        <v>401</v>
      </c>
      <c r="B104" s="2" t="s">
        <v>402</v>
      </c>
      <c r="C104" s="4">
        <v>1</v>
      </c>
      <c r="D104" s="5">
        <v>8.01</v>
      </c>
      <c r="E104" s="5">
        <v>17.989999999999998</v>
      </c>
      <c r="F104" s="4" t="s">
        <v>403</v>
      </c>
      <c r="G104" s="2" t="s">
        <v>41</v>
      </c>
      <c r="H104" s="7" t="s">
        <v>228</v>
      </c>
      <c r="I104" s="2" t="s">
        <v>80</v>
      </c>
      <c r="J104" s="2" t="s">
        <v>160</v>
      </c>
      <c r="K104" s="2" t="s">
        <v>304</v>
      </c>
      <c r="L104" s="2" t="s">
        <v>206</v>
      </c>
      <c r="M104" s="8" t="str">
        <f>HYPERLINK("http://slimages.macys.com/is/image/MCY/14716448 ")</f>
        <v xml:space="preserve">http://slimages.macys.com/is/image/MCY/14716448 </v>
      </c>
    </row>
    <row r="105" spans="1:13" ht="60" x14ac:dyDescent="0.25">
      <c r="A105" s="7" t="s">
        <v>404</v>
      </c>
      <c r="B105" s="2" t="s">
        <v>405</v>
      </c>
      <c r="C105" s="4">
        <v>2</v>
      </c>
      <c r="D105" s="5">
        <v>8.01</v>
      </c>
      <c r="E105" s="5">
        <v>17.989999999999998</v>
      </c>
      <c r="F105" s="4" t="s">
        <v>406</v>
      </c>
      <c r="G105" s="2" t="s">
        <v>103</v>
      </c>
      <c r="H105" s="7" t="s">
        <v>228</v>
      </c>
      <c r="I105" s="2" t="s">
        <v>80</v>
      </c>
      <c r="J105" s="2" t="s">
        <v>160</v>
      </c>
      <c r="K105" s="2" t="s">
        <v>304</v>
      </c>
      <c r="L105" s="2" t="s">
        <v>206</v>
      </c>
      <c r="M105" s="8" t="str">
        <f>HYPERLINK("http://slimages.macys.com/is/image/MCY/13758788 ")</f>
        <v xml:space="preserve">http://slimages.macys.com/is/image/MCY/13758788 </v>
      </c>
    </row>
    <row r="106" spans="1:13" ht="60" x14ac:dyDescent="0.25">
      <c r="A106" s="7" t="s">
        <v>407</v>
      </c>
      <c r="B106" s="2" t="s">
        <v>397</v>
      </c>
      <c r="C106" s="4">
        <v>1</v>
      </c>
      <c r="D106" s="5">
        <v>8.01</v>
      </c>
      <c r="E106" s="5">
        <v>19</v>
      </c>
      <c r="F106" s="4" t="s">
        <v>398</v>
      </c>
      <c r="G106" s="2" t="s">
        <v>41</v>
      </c>
      <c r="H106" s="7" t="s">
        <v>196</v>
      </c>
      <c r="I106" s="2" t="s">
        <v>73</v>
      </c>
      <c r="J106" s="2" t="s">
        <v>160</v>
      </c>
      <c r="K106" s="2" t="s">
        <v>304</v>
      </c>
      <c r="L106" s="2" t="s">
        <v>206</v>
      </c>
      <c r="M106" s="8" t="str">
        <f>HYPERLINK("http://slimages.macys.com/is/image/MCY/14724089 ")</f>
        <v xml:space="preserve">http://slimages.macys.com/is/image/MCY/14724089 </v>
      </c>
    </row>
    <row r="107" spans="1:13" ht="60" x14ac:dyDescent="0.25">
      <c r="A107" s="7" t="s">
        <v>408</v>
      </c>
      <c r="B107" s="2" t="s">
        <v>405</v>
      </c>
      <c r="C107" s="4">
        <v>1</v>
      </c>
      <c r="D107" s="5">
        <v>8.01</v>
      </c>
      <c r="E107" s="5">
        <v>17.989999999999998</v>
      </c>
      <c r="F107" s="4" t="s">
        <v>406</v>
      </c>
      <c r="G107" s="2" t="s">
        <v>103</v>
      </c>
      <c r="H107" s="7" t="s">
        <v>217</v>
      </c>
      <c r="I107" s="2" t="s">
        <v>80</v>
      </c>
      <c r="J107" s="2" t="s">
        <v>160</v>
      </c>
      <c r="K107" s="2" t="s">
        <v>304</v>
      </c>
      <c r="L107" s="2" t="s">
        <v>206</v>
      </c>
      <c r="M107" s="8" t="str">
        <f>HYPERLINK("http://slimages.macys.com/is/image/MCY/13758788 ")</f>
        <v xml:space="preserve">http://slimages.macys.com/is/image/MCY/13758788 </v>
      </c>
    </row>
    <row r="108" spans="1:13" ht="60" x14ac:dyDescent="0.25">
      <c r="A108" s="7" t="s">
        <v>409</v>
      </c>
      <c r="B108" s="2" t="s">
        <v>405</v>
      </c>
      <c r="C108" s="4">
        <v>3</v>
      </c>
      <c r="D108" s="5">
        <v>8.01</v>
      </c>
      <c r="E108" s="5">
        <v>17.989999999999998</v>
      </c>
      <c r="F108" s="4" t="s">
        <v>406</v>
      </c>
      <c r="G108" s="2" t="s">
        <v>103</v>
      </c>
      <c r="H108" s="7" t="s">
        <v>284</v>
      </c>
      <c r="I108" s="2" t="s">
        <v>80</v>
      </c>
      <c r="J108" s="2" t="s">
        <v>160</v>
      </c>
      <c r="K108" s="2" t="s">
        <v>304</v>
      </c>
      <c r="L108" s="2" t="s">
        <v>206</v>
      </c>
      <c r="M108" s="8" t="str">
        <f>HYPERLINK("http://slimages.macys.com/is/image/MCY/13758788 ")</f>
        <v xml:space="preserve">http://slimages.macys.com/is/image/MCY/13758788 </v>
      </c>
    </row>
    <row r="109" spans="1:13" ht="60" x14ac:dyDescent="0.25">
      <c r="A109" s="7" t="s">
        <v>410</v>
      </c>
      <c r="B109" s="2" t="s">
        <v>411</v>
      </c>
      <c r="C109" s="4">
        <v>1</v>
      </c>
      <c r="D109" s="5">
        <v>8</v>
      </c>
      <c r="E109" s="5">
        <v>17.989999999999998</v>
      </c>
      <c r="F109" s="4" t="s">
        <v>412</v>
      </c>
      <c r="G109" s="2" t="s">
        <v>41</v>
      </c>
      <c r="H109" s="7" t="s">
        <v>228</v>
      </c>
      <c r="I109" s="2" t="s">
        <v>73</v>
      </c>
      <c r="J109" s="2" t="s">
        <v>223</v>
      </c>
      <c r="K109" s="2" t="s">
        <v>304</v>
      </c>
      <c r="L109" s="2" t="s">
        <v>119</v>
      </c>
      <c r="M109" s="8" t="str">
        <f>HYPERLINK("http://slimages.macys.com/is/image/MCY/14428246 ")</f>
        <v xml:space="preserve">http://slimages.macys.com/is/image/MCY/14428246 </v>
      </c>
    </row>
    <row r="110" spans="1:13" ht="60" x14ac:dyDescent="0.25">
      <c r="A110" s="7" t="s">
        <v>413</v>
      </c>
      <c r="B110" s="2" t="s">
        <v>414</v>
      </c>
      <c r="C110" s="4">
        <v>1</v>
      </c>
      <c r="D110" s="5">
        <v>8</v>
      </c>
      <c r="E110" s="5">
        <v>14.99</v>
      </c>
      <c r="F110" s="4" t="s">
        <v>415</v>
      </c>
      <c r="G110" s="2" t="s">
        <v>36</v>
      </c>
      <c r="H110" s="7"/>
      <c r="I110" s="2" t="s">
        <v>30</v>
      </c>
      <c r="J110" s="2" t="s">
        <v>31</v>
      </c>
      <c r="K110" s="2" t="s">
        <v>304</v>
      </c>
      <c r="L110" s="2" t="s">
        <v>416</v>
      </c>
      <c r="M110" s="8" t="str">
        <f>HYPERLINK("http://slimages.macys.com/is/image/MCY/11938062 ")</f>
        <v xml:space="preserve">http://slimages.macys.com/is/image/MCY/11938062 </v>
      </c>
    </row>
    <row r="111" spans="1:13" ht="60" x14ac:dyDescent="0.25">
      <c r="A111" s="7" t="s">
        <v>417</v>
      </c>
      <c r="B111" s="2" t="s">
        <v>418</v>
      </c>
      <c r="C111" s="4">
        <v>1</v>
      </c>
      <c r="D111" s="5">
        <v>8</v>
      </c>
      <c r="E111" s="5">
        <v>17.989999999999998</v>
      </c>
      <c r="F111" s="4" t="s">
        <v>419</v>
      </c>
      <c r="G111" s="2" t="s">
        <v>62</v>
      </c>
      <c r="H111" s="7" t="s">
        <v>196</v>
      </c>
      <c r="I111" s="2" t="s">
        <v>73</v>
      </c>
      <c r="J111" s="2" t="s">
        <v>223</v>
      </c>
      <c r="K111" s="2" t="s">
        <v>304</v>
      </c>
      <c r="L111" s="2" t="s">
        <v>119</v>
      </c>
      <c r="M111" s="8" t="str">
        <f>HYPERLINK("http://slimages.macys.com/is/image/MCY/13581644 ")</f>
        <v xml:space="preserve">http://slimages.macys.com/is/image/MCY/13581644 </v>
      </c>
    </row>
    <row r="112" spans="1:13" ht="60" x14ac:dyDescent="0.25">
      <c r="A112" s="7" t="s">
        <v>420</v>
      </c>
      <c r="B112" s="2" t="s">
        <v>421</v>
      </c>
      <c r="C112" s="4">
        <v>1</v>
      </c>
      <c r="D112" s="5">
        <v>8</v>
      </c>
      <c r="E112" s="5">
        <v>17.989999999999998</v>
      </c>
      <c r="F112" s="4" t="s">
        <v>422</v>
      </c>
      <c r="G112" s="2" t="s">
        <v>195</v>
      </c>
      <c r="H112" s="7" t="s">
        <v>228</v>
      </c>
      <c r="I112" s="2" t="s">
        <v>73</v>
      </c>
      <c r="J112" s="2" t="s">
        <v>223</v>
      </c>
      <c r="K112" s="2" t="s">
        <v>304</v>
      </c>
      <c r="L112" s="2" t="s">
        <v>119</v>
      </c>
      <c r="M112" s="8" t="str">
        <f>HYPERLINK("http://slimages.macys.com/is/image/MCY/13581725 ")</f>
        <v xml:space="preserve">http://slimages.macys.com/is/image/MCY/13581725 </v>
      </c>
    </row>
    <row r="113" spans="1:13" ht="60" x14ac:dyDescent="0.25">
      <c r="A113" s="7" t="s">
        <v>423</v>
      </c>
      <c r="B113" s="2" t="s">
        <v>421</v>
      </c>
      <c r="C113" s="4">
        <v>1</v>
      </c>
      <c r="D113" s="5">
        <v>8</v>
      </c>
      <c r="E113" s="5">
        <v>17.989999999999998</v>
      </c>
      <c r="F113" s="4" t="s">
        <v>422</v>
      </c>
      <c r="G113" s="2" t="s">
        <v>195</v>
      </c>
      <c r="H113" s="7" t="s">
        <v>196</v>
      </c>
      <c r="I113" s="2" t="s">
        <v>73</v>
      </c>
      <c r="J113" s="2" t="s">
        <v>223</v>
      </c>
      <c r="K113" s="2" t="s">
        <v>304</v>
      </c>
      <c r="L113" s="2" t="s">
        <v>119</v>
      </c>
      <c r="M113" s="8" t="str">
        <f>HYPERLINK("http://slimages.macys.com/is/image/MCY/13581725 ")</f>
        <v xml:space="preserve">http://slimages.macys.com/is/image/MCY/13581725 </v>
      </c>
    </row>
    <row r="114" spans="1:13" ht="60" x14ac:dyDescent="0.25">
      <c r="A114" s="7" t="s">
        <v>424</v>
      </c>
      <c r="B114" s="2" t="s">
        <v>425</v>
      </c>
      <c r="C114" s="4">
        <v>1</v>
      </c>
      <c r="D114" s="5">
        <v>8</v>
      </c>
      <c r="E114" s="5">
        <v>20</v>
      </c>
      <c r="F114" s="4">
        <v>1331684</v>
      </c>
      <c r="G114" s="2" t="s">
        <v>283</v>
      </c>
      <c r="H114" s="7" t="s">
        <v>284</v>
      </c>
      <c r="I114" s="2" t="s">
        <v>80</v>
      </c>
      <c r="J114" s="2" t="s">
        <v>280</v>
      </c>
      <c r="K114" s="2" t="s">
        <v>304</v>
      </c>
      <c r="L114" s="2" t="s">
        <v>125</v>
      </c>
      <c r="M114" s="8" t="str">
        <f>HYPERLINK("http://slimages.macys.com/is/image/MCY/15868210 ")</f>
        <v xml:space="preserve">http://slimages.macys.com/is/image/MCY/15868210 </v>
      </c>
    </row>
    <row r="115" spans="1:13" ht="60" x14ac:dyDescent="0.25">
      <c r="A115" s="7" t="s">
        <v>426</v>
      </c>
      <c r="B115" s="2" t="s">
        <v>411</v>
      </c>
      <c r="C115" s="4">
        <v>1</v>
      </c>
      <c r="D115" s="5">
        <v>8</v>
      </c>
      <c r="E115" s="5">
        <v>17.989999999999998</v>
      </c>
      <c r="F115" s="4" t="s">
        <v>412</v>
      </c>
      <c r="G115" s="2" t="s">
        <v>41</v>
      </c>
      <c r="H115" s="7" t="s">
        <v>196</v>
      </c>
      <c r="I115" s="2" t="s">
        <v>73</v>
      </c>
      <c r="J115" s="2" t="s">
        <v>223</v>
      </c>
      <c r="K115" s="2" t="s">
        <v>304</v>
      </c>
      <c r="L115" s="2" t="s">
        <v>119</v>
      </c>
      <c r="M115" s="8" t="str">
        <f>HYPERLINK("http://slimages.macys.com/is/image/MCY/14428246 ")</f>
        <v xml:space="preserve">http://slimages.macys.com/is/image/MCY/14428246 </v>
      </c>
    </row>
    <row r="116" spans="1:13" ht="120" x14ac:dyDescent="0.25">
      <c r="A116" s="7" t="s">
        <v>427</v>
      </c>
      <c r="B116" s="2" t="s">
        <v>428</v>
      </c>
      <c r="C116" s="4">
        <v>1</v>
      </c>
      <c r="D116" s="5">
        <v>7.75</v>
      </c>
      <c r="E116" s="5">
        <v>19.989999999999998</v>
      </c>
      <c r="F116" s="4" t="s">
        <v>429</v>
      </c>
      <c r="G116" s="2" t="s">
        <v>310</v>
      </c>
      <c r="H116" s="7" t="s">
        <v>42</v>
      </c>
      <c r="I116" s="2" t="s">
        <v>92</v>
      </c>
      <c r="J116" s="2" t="s">
        <v>430</v>
      </c>
      <c r="K116" s="2" t="s">
        <v>304</v>
      </c>
      <c r="L116" s="2" t="s">
        <v>431</v>
      </c>
      <c r="M116" s="8" t="str">
        <f>HYPERLINK("http://slimages.macys.com/is/image/MCY/11712507 ")</f>
        <v xml:space="preserve">http://slimages.macys.com/is/image/MCY/11712507 </v>
      </c>
    </row>
    <row r="117" spans="1:13" ht="60" x14ac:dyDescent="0.25">
      <c r="A117" s="7" t="s">
        <v>432</v>
      </c>
      <c r="B117" s="2" t="s">
        <v>433</v>
      </c>
      <c r="C117" s="4">
        <v>1</v>
      </c>
      <c r="D117" s="5">
        <v>7.61</v>
      </c>
      <c r="E117" s="5">
        <v>19.989999999999998</v>
      </c>
      <c r="F117" s="4" t="s">
        <v>434</v>
      </c>
      <c r="G117" s="2" t="s">
        <v>353</v>
      </c>
      <c r="H117" s="7" t="s">
        <v>123</v>
      </c>
      <c r="I117" s="2" t="s">
        <v>292</v>
      </c>
      <c r="J117" s="2" t="s">
        <v>354</v>
      </c>
      <c r="K117" s="2" t="s">
        <v>304</v>
      </c>
      <c r="L117" s="2" t="s">
        <v>125</v>
      </c>
      <c r="M117" s="8" t="str">
        <f>HYPERLINK("http://slimages.macys.com/is/image/MCY/13077239 ")</f>
        <v xml:space="preserve">http://slimages.macys.com/is/image/MCY/13077239 </v>
      </c>
    </row>
    <row r="118" spans="1:13" ht="96" x14ac:dyDescent="0.25">
      <c r="A118" s="7" t="s">
        <v>435</v>
      </c>
      <c r="B118" s="2" t="s">
        <v>436</v>
      </c>
      <c r="C118" s="4">
        <v>1</v>
      </c>
      <c r="D118" s="5">
        <v>7.6</v>
      </c>
      <c r="E118" s="5">
        <v>17.28</v>
      </c>
      <c r="F118" s="4">
        <v>18372810</v>
      </c>
      <c r="G118" s="2" t="s">
        <v>437</v>
      </c>
      <c r="H118" s="7" t="s">
        <v>438</v>
      </c>
      <c r="I118" s="2" t="s">
        <v>153</v>
      </c>
      <c r="J118" s="2" t="s">
        <v>154</v>
      </c>
      <c r="K118" s="2" t="s">
        <v>304</v>
      </c>
      <c r="L118" s="2" t="s">
        <v>439</v>
      </c>
      <c r="M118" s="8" t="str">
        <f>HYPERLINK("http://slimages.macys.com/is/image/MCY/14608281 ")</f>
        <v xml:space="preserve">http://slimages.macys.com/is/image/MCY/14608281 </v>
      </c>
    </row>
    <row r="119" spans="1:13" ht="60" x14ac:dyDescent="0.25">
      <c r="A119" s="7" t="s">
        <v>440</v>
      </c>
      <c r="B119" s="2" t="s">
        <v>441</v>
      </c>
      <c r="C119" s="4">
        <v>1</v>
      </c>
      <c r="D119" s="5">
        <v>7.6</v>
      </c>
      <c r="E119" s="5">
        <v>17.28</v>
      </c>
      <c r="F119" s="4">
        <v>18386310</v>
      </c>
      <c r="G119" s="2"/>
      <c r="H119" s="7" t="s">
        <v>442</v>
      </c>
      <c r="I119" s="2" t="s">
        <v>153</v>
      </c>
      <c r="J119" s="2" t="s">
        <v>154</v>
      </c>
      <c r="K119" s="2" t="s">
        <v>304</v>
      </c>
      <c r="L119" s="2" t="s">
        <v>38</v>
      </c>
      <c r="M119" s="8" t="str">
        <f>HYPERLINK("http://slimages.macys.com/is/image/MCY/13743112 ")</f>
        <v xml:space="preserve">http://slimages.macys.com/is/image/MCY/13743112 </v>
      </c>
    </row>
    <row r="120" spans="1:13" ht="96" x14ac:dyDescent="0.25">
      <c r="A120" s="7" t="s">
        <v>443</v>
      </c>
      <c r="B120" s="2" t="s">
        <v>444</v>
      </c>
      <c r="C120" s="4">
        <v>1</v>
      </c>
      <c r="D120" s="5">
        <v>7.5</v>
      </c>
      <c r="E120" s="5">
        <v>16.989999999999998</v>
      </c>
      <c r="F120" s="4" t="s">
        <v>445</v>
      </c>
      <c r="G120" s="2" t="s">
        <v>28</v>
      </c>
      <c r="H120" s="7" t="s">
        <v>217</v>
      </c>
      <c r="I120" s="2" t="s">
        <v>30</v>
      </c>
      <c r="J120" s="2" t="s">
        <v>446</v>
      </c>
      <c r="K120" s="2" t="s">
        <v>304</v>
      </c>
      <c r="L120" s="2" t="s">
        <v>447</v>
      </c>
      <c r="M120" s="8" t="str">
        <f>HYPERLINK("http://slimages.macys.com/is/image/MCY/10172233 ")</f>
        <v xml:space="preserve">http://slimages.macys.com/is/image/MCY/10172233 </v>
      </c>
    </row>
    <row r="121" spans="1:13" ht="60" x14ac:dyDescent="0.25">
      <c r="A121" s="7" t="s">
        <v>448</v>
      </c>
      <c r="B121" s="2" t="s">
        <v>449</v>
      </c>
      <c r="C121" s="4">
        <v>1</v>
      </c>
      <c r="D121" s="5">
        <v>7.5</v>
      </c>
      <c r="E121" s="5">
        <v>21.99</v>
      </c>
      <c r="F121" s="4" t="s">
        <v>450</v>
      </c>
      <c r="G121" s="2" t="s">
        <v>253</v>
      </c>
      <c r="H121" s="7" t="s">
        <v>209</v>
      </c>
      <c r="I121" s="2" t="s">
        <v>64</v>
      </c>
      <c r="J121" s="2" t="s">
        <v>65</v>
      </c>
      <c r="K121" s="2" t="s">
        <v>304</v>
      </c>
      <c r="L121" s="2" t="s">
        <v>451</v>
      </c>
      <c r="M121" s="8" t="str">
        <f>HYPERLINK("http://slimages.macys.com/is/image/MCY/10323979 ")</f>
        <v xml:space="preserve">http://slimages.macys.com/is/image/MCY/10323979 </v>
      </c>
    </row>
    <row r="122" spans="1:13" ht="72" x14ac:dyDescent="0.25">
      <c r="A122" s="7" t="s">
        <v>452</v>
      </c>
      <c r="B122" s="2" t="s">
        <v>453</v>
      </c>
      <c r="C122" s="4">
        <v>1</v>
      </c>
      <c r="D122" s="5">
        <v>7.5</v>
      </c>
      <c r="E122" s="5">
        <v>16.989999999999998</v>
      </c>
      <c r="F122" s="4" t="s">
        <v>454</v>
      </c>
      <c r="G122" s="2" t="s">
        <v>455</v>
      </c>
      <c r="H122" s="7" t="s">
        <v>284</v>
      </c>
      <c r="I122" s="2" t="s">
        <v>30</v>
      </c>
      <c r="J122" s="2" t="s">
        <v>446</v>
      </c>
      <c r="K122" s="2" t="s">
        <v>304</v>
      </c>
      <c r="L122" s="2" t="s">
        <v>456</v>
      </c>
      <c r="M122" s="8" t="str">
        <f>HYPERLINK("http://slimages.macys.com/is/image/MCY/9439568 ")</f>
        <v xml:space="preserve">http://slimages.macys.com/is/image/MCY/9439568 </v>
      </c>
    </row>
    <row r="123" spans="1:13" ht="60" x14ac:dyDescent="0.25">
      <c r="A123" s="7" t="s">
        <v>457</v>
      </c>
      <c r="B123" s="2" t="s">
        <v>458</v>
      </c>
      <c r="C123" s="4">
        <v>3</v>
      </c>
      <c r="D123" s="5">
        <v>7.5</v>
      </c>
      <c r="E123" s="5">
        <v>16.989999999999998</v>
      </c>
      <c r="F123" s="4" t="s">
        <v>459</v>
      </c>
      <c r="G123" s="2" t="s">
        <v>347</v>
      </c>
      <c r="H123" s="7" t="s">
        <v>159</v>
      </c>
      <c r="I123" s="2" t="s">
        <v>30</v>
      </c>
      <c r="J123" s="2" t="s">
        <v>446</v>
      </c>
      <c r="K123" s="2" t="s">
        <v>304</v>
      </c>
      <c r="L123" s="2" t="s">
        <v>460</v>
      </c>
      <c r="M123" s="8" t="str">
        <f>HYPERLINK("http://slimages.macys.com/is/image/MCY/12071760 ")</f>
        <v xml:space="preserve">http://slimages.macys.com/is/image/MCY/12071760 </v>
      </c>
    </row>
    <row r="124" spans="1:13" ht="60" x14ac:dyDescent="0.25">
      <c r="A124" s="7" t="s">
        <v>461</v>
      </c>
      <c r="B124" s="2" t="s">
        <v>462</v>
      </c>
      <c r="C124" s="4">
        <v>1</v>
      </c>
      <c r="D124" s="5">
        <v>7</v>
      </c>
      <c r="E124" s="5">
        <v>15.99</v>
      </c>
      <c r="F124" s="4" t="s">
        <v>463</v>
      </c>
      <c r="G124" s="2" t="s">
        <v>28</v>
      </c>
      <c r="H124" s="7" t="s">
        <v>68</v>
      </c>
      <c r="I124" s="2" t="s">
        <v>73</v>
      </c>
      <c r="J124" s="2" t="s">
        <v>464</v>
      </c>
      <c r="K124" s="2" t="s">
        <v>304</v>
      </c>
      <c r="L124" s="2" t="s">
        <v>125</v>
      </c>
      <c r="M124" s="8" t="str">
        <f>HYPERLINK("http://slimages.macys.com/is/image/MCY/12076321 ")</f>
        <v xml:space="preserve">http://slimages.macys.com/is/image/MCY/12076321 </v>
      </c>
    </row>
    <row r="125" spans="1:13" ht="60" x14ac:dyDescent="0.25">
      <c r="A125" s="7" t="s">
        <v>465</v>
      </c>
      <c r="B125" s="2" t="s">
        <v>466</v>
      </c>
      <c r="C125" s="4">
        <v>1</v>
      </c>
      <c r="D125" s="5">
        <v>6.85</v>
      </c>
      <c r="E125" s="5">
        <v>18</v>
      </c>
      <c r="F125" s="4" t="s">
        <v>467</v>
      </c>
      <c r="G125" s="2" t="s">
        <v>62</v>
      </c>
      <c r="H125" s="7" t="s">
        <v>172</v>
      </c>
      <c r="I125" s="2" t="s">
        <v>468</v>
      </c>
      <c r="J125" s="2" t="s">
        <v>469</v>
      </c>
      <c r="K125" s="2" t="s">
        <v>304</v>
      </c>
      <c r="L125" s="2" t="s">
        <v>206</v>
      </c>
      <c r="M125" s="8" t="str">
        <f>HYPERLINK("http://slimages.macys.com/is/image/MCY/11640093 ")</f>
        <v xml:space="preserve">http://slimages.macys.com/is/image/MCY/11640093 </v>
      </c>
    </row>
    <row r="126" spans="1:13" ht="60" x14ac:dyDescent="0.25">
      <c r="A126" s="7" t="s">
        <v>470</v>
      </c>
      <c r="B126" s="2" t="s">
        <v>471</v>
      </c>
      <c r="C126" s="4">
        <v>1</v>
      </c>
      <c r="D126" s="5">
        <v>6.75</v>
      </c>
      <c r="E126" s="5">
        <v>29.5</v>
      </c>
      <c r="F126" s="4" t="s">
        <v>472</v>
      </c>
      <c r="G126" s="2" t="s">
        <v>86</v>
      </c>
      <c r="H126" s="7"/>
      <c r="I126" s="2" t="s">
        <v>57</v>
      </c>
      <c r="J126" s="2" t="s">
        <v>58</v>
      </c>
      <c r="K126" s="2" t="s">
        <v>304</v>
      </c>
      <c r="L126" s="2" t="s">
        <v>206</v>
      </c>
      <c r="M126" s="8" t="str">
        <f>HYPERLINK("http://slimages.macys.com/is/image/MCY/14815927 ")</f>
        <v xml:space="preserve">http://slimages.macys.com/is/image/MCY/14815927 </v>
      </c>
    </row>
    <row r="127" spans="1:13" ht="84" x14ac:dyDescent="0.25">
      <c r="A127" s="7" t="s">
        <v>473</v>
      </c>
      <c r="B127" s="2" t="s">
        <v>474</v>
      </c>
      <c r="C127" s="4">
        <v>1</v>
      </c>
      <c r="D127" s="5">
        <v>6.75</v>
      </c>
      <c r="E127" s="5">
        <v>16.989999999999998</v>
      </c>
      <c r="F127" s="4" t="s">
        <v>475</v>
      </c>
      <c r="G127" s="2" t="s">
        <v>476</v>
      </c>
      <c r="H127" s="7" t="s">
        <v>209</v>
      </c>
      <c r="I127" s="2" t="s">
        <v>321</v>
      </c>
      <c r="J127" s="2" t="s">
        <v>477</v>
      </c>
      <c r="K127" s="2" t="s">
        <v>304</v>
      </c>
      <c r="L127" s="2" t="s">
        <v>478</v>
      </c>
      <c r="M127" s="8" t="str">
        <f>HYPERLINK("http://slimages.macys.com/is/image/MCY/13860353 ")</f>
        <v xml:space="preserve">http://slimages.macys.com/is/image/MCY/13860353 </v>
      </c>
    </row>
    <row r="128" spans="1:13" ht="60" x14ac:dyDescent="0.25">
      <c r="A128" s="7" t="s">
        <v>479</v>
      </c>
      <c r="B128" s="2" t="s">
        <v>480</v>
      </c>
      <c r="C128" s="4">
        <v>1</v>
      </c>
      <c r="D128" s="5">
        <v>6.25</v>
      </c>
      <c r="E128" s="5">
        <v>11.99</v>
      </c>
      <c r="F128" s="4" t="s">
        <v>481</v>
      </c>
      <c r="G128" s="2" t="s">
        <v>62</v>
      </c>
      <c r="H128" s="7" t="s">
        <v>482</v>
      </c>
      <c r="I128" s="2" t="s">
        <v>483</v>
      </c>
      <c r="J128" s="2" t="s">
        <v>484</v>
      </c>
      <c r="K128" s="2" t="s">
        <v>304</v>
      </c>
      <c r="L128" s="2" t="s">
        <v>206</v>
      </c>
      <c r="M128" s="8" t="str">
        <f>HYPERLINK("http://slimages.macys.com/is/image/MCY/8550083 ")</f>
        <v xml:space="preserve">http://slimages.macys.com/is/image/MCY/8550083 </v>
      </c>
    </row>
    <row r="129" spans="1:13" ht="60" x14ac:dyDescent="0.25">
      <c r="A129" s="7" t="s">
        <v>485</v>
      </c>
      <c r="B129" s="2" t="s">
        <v>486</v>
      </c>
      <c r="C129" s="4">
        <v>1</v>
      </c>
      <c r="D129" s="5">
        <v>6.25</v>
      </c>
      <c r="E129" s="5">
        <v>12.5</v>
      </c>
      <c r="F129" s="4">
        <v>37876010</v>
      </c>
      <c r="G129" s="2"/>
      <c r="H129" s="7" t="s">
        <v>166</v>
      </c>
      <c r="I129" s="2" t="s">
        <v>487</v>
      </c>
      <c r="J129" s="2" t="s">
        <v>488</v>
      </c>
      <c r="K129" s="2" t="s">
        <v>304</v>
      </c>
      <c r="L129" s="2" t="s">
        <v>119</v>
      </c>
      <c r="M129" s="8" t="str">
        <f>HYPERLINK("http://slimages.macys.com/is/image/MCY/13941831 ")</f>
        <v xml:space="preserve">http://slimages.macys.com/is/image/MCY/13941831 </v>
      </c>
    </row>
    <row r="130" spans="1:13" ht="60" x14ac:dyDescent="0.25">
      <c r="A130" s="7" t="s">
        <v>489</v>
      </c>
      <c r="B130" s="2" t="s">
        <v>490</v>
      </c>
      <c r="C130" s="4">
        <v>1</v>
      </c>
      <c r="D130" s="5">
        <v>6</v>
      </c>
      <c r="E130" s="5">
        <v>15.99</v>
      </c>
      <c r="F130" s="4" t="s">
        <v>491</v>
      </c>
      <c r="G130" s="2" t="s">
        <v>79</v>
      </c>
      <c r="H130" s="7"/>
      <c r="I130" s="2" t="s">
        <v>321</v>
      </c>
      <c r="J130" s="2" t="s">
        <v>492</v>
      </c>
      <c r="K130" s="2" t="s">
        <v>304</v>
      </c>
      <c r="L130" s="2" t="s">
        <v>493</v>
      </c>
      <c r="M130" s="8" t="str">
        <f>HYPERLINK("http://slimages.macys.com/is/image/MCY/11539243 ")</f>
        <v xml:space="preserve">http://slimages.macys.com/is/image/MCY/11539243 </v>
      </c>
    </row>
    <row r="131" spans="1:13" ht="60" x14ac:dyDescent="0.25">
      <c r="A131" s="7" t="s">
        <v>494</v>
      </c>
      <c r="B131" s="2" t="s">
        <v>495</v>
      </c>
      <c r="C131" s="4">
        <v>1</v>
      </c>
      <c r="D131" s="5">
        <v>6</v>
      </c>
      <c r="E131" s="5">
        <v>11.98</v>
      </c>
      <c r="F131" s="4" t="s">
        <v>496</v>
      </c>
      <c r="G131" s="2" t="s">
        <v>297</v>
      </c>
      <c r="H131" s="7" t="s">
        <v>482</v>
      </c>
      <c r="I131" s="2" t="s">
        <v>43</v>
      </c>
      <c r="J131" s="2" t="s">
        <v>497</v>
      </c>
      <c r="K131" s="2" t="s">
        <v>304</v>
      </c>
      <c r="L131" s="2" t="s">
        <v>87</v>
      </c>
      <c r="M131" s="8" t="str">
        <f>HYPERLINK("http://slimages.macys.com/is/image/MCY/2908881 ")</f>
        <v xml:space="preserve">http://slimages.macys.com/is/image/MCY/2908881 </v>
      </c>
    </row>
    <row r="132" spans="1:13" ht="60" x14ac:dyDescent="0.25">
      <c r="A132" s="7" t="s">
        <v>498</v>
      </c>
      <c r="B132" s="2" t="s">
        <v>499</v>
      </c>
      <c r="C132" s="4">
        <v>1</v>
      </c>
      <c r="D132" s="5">
        <v>6</v>
      </c>
      <c r="E132" s="5">
        <v>15.99</v>
      </c>
      <c r="F132" s="4" t="s">
        <v>500</v>
      </c>
      <c r="G132" s="2" t="s">
        <v>62</v>
      </c>
      <c r="H132" s="7"/>
      <c r="I132" s="2" t="s">
        <v>321</v>
      </c>
      <c r="J132" s="2" t="s">
        <v>492</v>
      </c>
      <c r="K132" s="2" t="s">
        <v>304</v>
      </c>
      <c r="L132" s="2" t="s">
        <v>125</v>
      </c>
      <c r="M132" s="8" t="str">
        <f>HYPERLINK("http://slimages.macys.com/is/image/MCY/10924195 ")</f>
        <v xml:space="preserve">http://slimages.macys.com/is/image/MCY/10924195 </v>
      </c>
    </row>
    <row r="133" spans="1:13" ht="60" x14ac:dyDescent="0.25">
      <c r="A133" s="7" t="s">
        <v>501</v>
      </c>
      <c r="B133" s="2" t="s">
        <v>499</v>
      </c>
      <c r="C133" s="4">
        <v>1</v>
      </c>
      <c r="D133" s="5">
        <v>6</v>
      </c>
      <c r="E133" s="5">
        <v>15.99</v>
      </c>
      <c r="F133" s="4" t="s">
        <v>500</v>
      </c>
      <c r="G133" s="2" t="s">
        <v>62</v>
      </c>
      <c r="H133" s="7"/>
      <c r="I133" s="2" t="s">
        <v>321</v>
      </c>
      <c r="J133" s="2" t="s">
        <v>492</v>
      </c>
      <c r="K133" s="2" t="s">
        <v>304</v>
      </c>
      <c r="L133" s="2" t="s">
        <v>125</v>
      </c>
      <c r="M133" s="8" t="str">
        <f>HYPERLINK("http://slimages.macys.com/is/image/MCY/10924195 ")</f>
        <v xml:space="preserve">http://slimages.macys.com/is/image/MCY/10924195 </v>
      </c>
    </row>
    <row r="134" spans="1:13" ht="60" x14ac:dyDescent="0.25">
      <c r="A134" s="7" t="s">
        <v>502</v>
      </c>
      <c r="B134" s="2" t="s">
        <v>503</v>
      </c>
      <c r="C134" s="4">
        <v>1</v>
      </c>
      <c r="D134" s="5">
        <v>5.85</v>
      </c>
      <c r="E134" s="5">
        <v>12.99</v>
      </c>
      <c r="F134" s="4" t="s">
        <v>504</v>
      </c>
      <c r="G134" s="2" t="s">
        <v>165</v>
      </c>
      <c r="H134" s="7" t="s">
        <v>123</v>
      </c>
      <c r="I134" s="2" t="s">
        <v>80</v>
      </c>
      <c r="J134" s="2" t="s">
        <v>167</v>
      </c>
      <c r="K134" s="2" t="s">
        <v>304</v>
      </c>
      <c r="L134" s="2" t="s">
        <v>206</v>
      </c>
      <c r="M134" s="8" t="str">
        <f>HYPERLINK("http://slimages.macys.com/is/image/MCY/13534181 ")</f>
        <v xml:space="preserve">http://slimages.macys.com/is/image/MCY/13534181 </v>
      </c>
    </row>
    <row r="135" spans="1:13" ht="180" x14ac:dyDescent="0.25">
      <c r="A135" s="7" t="s">
        <v>505</v>
      </c>
      <c r="B135" s="2" t="s">
        <v>506</v>
      </c>
      <c r="C135" s="4">
        <v>1</v>
      </c>
      <c r="D135" s="5">
        <v>5.85</v>
      </c>
      <c r="E135" s="5">
        <v>12.99</v>
      </c>
      <c r="F135" s="4">
        <v>15952210</v>
      </c>
      <c r="G135" s="2" t="s">
        <v>41</v>
      </c>
      <c r="H135" s="7" t="s">
        <v>233</v>
      </c>
      <c r="I135" s="2" t="s">
        <v>153</v>
      </c>
      <c r="J135" s="2" t="s">
        <v>154</v>
      </c>
      <c r="K135" s="2" t="s">
        <v>304</v>
      </c>
      <c r="L135" s="2" t="s">
        <v>507</v>
      </c>
      <c r="M135" s="8" t="str">
        <f>HYPERLINK("http://slimages.macys.com/is/image/MCY/11387814 ")</f>
        <v xml:space="preserve">http://slimages.macys.com/is/image/MCY/11387814 </v>
      </c>
    </row>
    <row r="136" spans="1:13" ht="60" x14ac:dyDescent="0.25">
      <c r="A136" s="7" t="s">
        <v>508</v>
      </c>
      <c r="B136" s="2" t="s">
        <v>509</v>
      </c>
      <c r="C136" s="4">
        <v>1</v>
      </c>
      <c r="D136" s="5">
        <v>5.85</v>
      </c>
      <c r="E136" s="5">
        <v>16.989999999999998</v>
      </c>
      <c r="F136" s="4" t="s">
        <v>510</v>
      </c>
      <c r="G136" s="2" t="s">
        <v>41</v>
      </c>
      <c r="H136" s="7" t="s">
        <v>217</v>
      </c>
      <c r="I136" s="2" t="s">
        <v>468</v>
      </c>
      <c r="J136" s="2" t="s">
        <v>469</v>
      </c>
      <c r="K136" s="2" t="s">
        <v>304</v>
      </c>
      <c r="L136" s="2" t="s">
        <v>206</v>
      </c>
      <c r="M136" s="8" t="str">
        <f>HYPERLINK("http://slimages.macys.com/is/image/MCY/11959634 ")</f>
        <v xml:space="preserve">http://slimages.macys.com/is/image/MCY/11959634 </v>
      </c>
    </row>
    <row r="137" spans="1:13" ht="60" x14ac:dyDescent="0.25">
      <c r="A137" s="7" t="s">
        <v>511</v>
      </c>
      <c r="B137" s="2" t="s">
        <v>512</v>
      </c>
      <c r="C137" s="4">
        <v>1</v>
      </c>
      <c r="D137" s="5">
        <v>5.59</v>
      </c>
      <c r="E137" s="5">
        <v>14.99</v>
      </c>
      <c r="F137" s="4" t="s">
        <v>513</v>
      </c>
      <c r="G137" s="2" t="s">
        <v>171</v>
      </c>
      <c r="H137" s="7" t="s">
        <v>514</v>
      </c>
      <c r="I137" s="2" t="s">
        <v>515</v>
      </c>
      <c r="J137" s="2" t="s">
        <v>516</v>
      </c>
      <c r="K137" s="2" t="s">
        <v>304</v>
      </c>
      <c r="L137" s="2" t="s">
        <v>358</v>
      </c>
      <c r="M137" s="8" t="str">
        <f>HYPERLINK("http://slimages.macys.com/is/image/MCY/11464206 ")</f>
        <v xml:space="preserve">http://slimages.macys.com/is/image/MCY/11464206 </v>
      </c>
    </row>
    <row r="138" spans="1:13" ht="60" x14ac:dyDescent="0.25">
      <c r="A138" s="7" t="s">
        <v>517</v>
      </c>
      <c r="B138" s="2" t="s">
        <v>518</v>
      </c>
      <c r="C138" s="4">
        <v>1</v>
      </c>
      <c r="D138" s="5">
        <v>5.5</v>
      </c>
      <c r="E138" s="5">
        <v>13.99</v>
      </c>
      <c r="F138" s="4">
        <v>91191787</v>
      </c>
      <c r="G138" s="2" t="s">
        <v>62</v>
      </c>
      <c r="H138" s="7" t="s">
        <v>217</v>
      </c>
      <c r="I138" s="2" t="s">
        <v>80</v>
      </c>
      <c r="J138" s="2" t="s">
        <v>519</v>
      </c>
      <c r="K138" s="2" t="s">
        <v>304</v>
      </c>
      <c r="L138" s="2" t="s">
        <v>125</v>
      </c>
      <c r="M138" s="8" t="str">
        <f>HYPERLINK("http://slimages.macys.com/is/image/MCY/12752830 ")</f>
        <v xml:space="preserve">http://slimages.macys.com/is/image/MCY/12752830 </v>
      </c>
    </row>
    <row r="139" spans="1:13" ht="60" x14ac:dyDescent="0.25">
      <c r="A139" s="7" t="s">
        <v>520</v>
      </c>
      <c r="B139" s="2" t="s">
        <v>521</v>
      </c>
      <c r="C139" s="4">
        <v>1</v>
      </c>
      <c r="D139" s="5">
        <v>5.5</v>
      </c>
      <c r="E139" s="5">
        <v>14</v>
      </c>
      <c r="F139" s="4" t="s">
        <v>522</v>
      </c>
      <c r="G139" s="2" t="s">
        <v>62</v>
      </c>
      <c r="H139" s="7"/>
      <c r="I139" s="2" t="s">
        <v>523</v>
      </c>
      <c r="J139" s="2" t="s">
        <v>524</v>
      </c>
      <c r="K139" s="2" t="s">
        <v>304</v>
      </c>
      <c r="L139" s="2" t="s">
        <v>224</v>
      </c>
      <c r="M139" s="8" t="str">
        <f>HYPERLINK("http://slimages.macys.com/is/image/MCY/11797079 ")</f>
        <v xml:space="preserve">http://slimages.macys.com/is/image/MCY/11797079 </v>
      </c>
    </row>
    <row r="140" spans="1:13" ht="60" x14ac:dyDescent="0.25">
      <c r="A140" s="7" t="s">
        <v>525</v>
      </c>
      <c r="B140" s="2" t="s">
        <v>526</v>
      </c>
      <c r="C140" s="4">
        <v>1</v>
      </c>
      <c r="D140" s="5">
        <v>5.25</v>
      </c>
      <c r="E140" s="5">
        <v>10.5</v>
      </c>
      <c r="F140" s="4">
        <v>27854410</v>
      </c>
      <c r="G140" s="2" t="s">
        <v>527</v>
      </c>
      <c r="H140" s="7" t="s">
        <v>144</v>
      </c>
      <c r="I140" s="2" t="s">
        <v>487</v>
      </c>
      <c r="J140" s="2" t="s">
        <v>488</v>
      </c>
      <c r="K140" s="2" t="s">
        <v>304</v>
      </c>
      <c r="L140" s="2" t="s">
        <v>119</v>
      </c>
      <c r="M140" s="8" t="str">
        <f>HYPERLINK("http://slimages.macys.com/is/image/MCY/13852880 ")</f>
        <v xml:space="preserve">http://slimages.macys.com/is/image/MCY/13852880 </v>
      </c>
    </row>
    <row r="141" spans="1:13" ht="84" x14ac:dyDescent="0.25">
      <c r="A141" s="7" t="s">
        <v>528</v>
      </c>
      <c r="B141" s="2" t="s">
        <v>529</v>
      </c>
      <c r="C141" s="4">
        <v>1</v>
      </c>
      <c r="D141" s="5">
        <v>5.0999999999999996</v>
      </c>
      <c r="E141" s="5">
        <v>10.99</v>
      </c>
      <c r="F141" s="4" t="s">
        <v>530</v>
      </c>
      <c r="G141" s="2" t="s">
        <v>41</v>
      </c>
      <c r="H141" s="7" t="s">
        <v>531</v>
      </c>
      <c r="I141" s="2" t="s">
        <v>483</v>
      </c>
      <c r="J141" s="2" t="s">
        <v>484</v>
      </c>
      <c r="K141" s="2" t="s">
        <v>304</v>
      </c>
      <c r="L141" s="2" t="s">
        <v>532</v>
      </c>
      <c r="M141" s="8" t="str">
        <f>HYPERLINK("http://slimages.macys.com/is/image/MCY/8549851 ")</f>
        <v xml:space="preserve">http://slimages.macys.com/is/image/MCY/8549851 </v>
      </c>
    </row>
    <row r="142" spans="1:13" ht="60" x14ac:dyDescent="0.25">
      <c r="A142" s="7" t="s">
        <v>533</v>
      </c>
      <c r="B142" s="2" t="s">
        <v>534</v>
      </c>
      <c r="C142" s="4">
        <v>1</v>
      </c>
      <c r="D142" s="5">
        <v>5.0999999999999996</v>
      </c>
      <c r="E142" s="5">
        <v>13.5</v>
      </c>
      <c r="F142" s="4" t="s">
        <v>535</v>
      </c>
      <c r="G142" s="2" t="s">
        <v>86</v>
      </c>
      <c r="H142" s="7"/>
      <c r="I142" s="2" t="s">
        <v>483</v>
      </c>
      <c r="J142" s="2" t="s">
        <v>536</v>
      </c>
      <c r="K142" s="2" t="s">
        <v>304</v>
      </c>
      <c r="L142" s="2" t="s">
        <v>537</v>
      </c>
      <c r="M142" s="8" t="str">
        <f>HYPERLINK("http://slimages.macys.com/is/image/MCY/9157948 ")</f>
        <v xml:space="preserve">http://slimages.macys.com/is/image/MCY/9157948 </v>
      </c>
    </row>
    <row r="143" spans="1:13" ht="60" x14ac:dyDescent="0.25">
      <c r="A143" s="7" t="s">
        <v>538</v>
      </c>
      <c r="B143" s="2" t="s">
        <v>539</v>
      </c>
      <c r="C143" s="4">
        <v>1</v>
      </c>
      <c r="D143" s="5">
        <v>4.76</v>
      </c>
      <c r="E143" s="5">
        <v>12.99</v>
      </c>
      <c r="F143" s="4" t="s">
        <v>540</v>
      </c>
      <c r="G143" s="2" t="s">
        <v>62</v>
      </c>
      <c r="H143" s="7" t="s">
        <v>42</v>
      </c>
      <c r="I143" s="2" t="s">
        <v>483</v>
      </c>
      <c r="J143" s="2" t="s">
        <v>536</v>
      </c>
      <c r="K143" s="2" t="s">
        <v>304</v>
      </c>
      <c r="L143" s="2" t="s">
        <v>38</v>
      </c>
      <c r="M143" s="8" t="str">
        <f>HYPERLINK("http://slimages.macys.com/is/image/MCY/14385161 ")</f>
        <v xml:space="preserve">http://slimages.macys.com/is/image/MCY/14385161 </v>
      </c>
    </row>
    <row r="144" spans="1:13" ht="60" x14ac:dyDescent="0.25">
      <c r="A144" s="7" t="s">
        <v>541</v>
      </c>
      <c r="B144" s="2" t="s">
        <v>542</v>
      </c>
      <c r="C144" s="4">
        <v>1</v>
      </c>
      <c r="D144" s="5">
        <v>4.1500000000000004</v>
      </c>
      <c r="E144" s="5">
        <v>8.99</v>
      </c>
      <c r="F144" s="4" t="s">
        <v>543</v>
      </c>
      <c r="G144" s="2" t="s">
        <v>86</v>
      </c>
      <c r="H144" s="7" t="s">
        <v>123</v>
      </c>
      <c r="I144" s="2" t="s">
        <v>380</v>
      </c>
      <c r="J144" s="2" t="s">
        <v>544</v>
      </c>
      <c r="K144" s="2" t="s">
        <v>304</v>
      </c>
      <c r="L144" s="2" t="s">
        <v>119</v>
      </c>
      <c r="M144" s="8" t="str">
        <f>HYPERLINK("http://slimages.macys.com/is/image/MCY/11644403 ")</f>
        <v xml:space="preserve">http://slimages.macys.com/is/image/MCY/11644403 </v>
      </c>
    </row>
    <row r="145" spans="1:13" ht="60" x14ac:dyDescent="0.25">
      <c r="A145" s="7" t="s">
        <v>545</v>
      </c>
      <c r="B145" s="2" t="s">
        <v>546</v>
      </c>
      <c r="C145" s="4">
        <v>2</v>
      </c>
      <c r="D145" s="5">
        <v>4</v>
      </c>
      <c r="E145" s="5">
        <v>8.99</v>
      </c>
      <c r="F145" s="4">
        <v>18194210</v>
      </c>
      <c r="G145" s="2" t="s">
        <v>36</v>
      </c>
      <c r="H145" s="7" t="s">
        <v>482</v>
      </c>
      <c r="I145" s="2" t="s">
        <v>153</v>
      </c>
      <c r="J145" s="2" t="s">
        <v>154</v>
      </c>
      <c r="K145" s="2" t="s">
        <v>304</v>
      </c>
      <c r="L145" s="2" t="s">
        <v>206</v>
      </c>
      <c r="M145" s="8" t="str">
        <f>HYPERLINK("http://slimages.macys.com/is/image/MCY/15107923 ")</f>
        <v xml:space="preserve">http://slimages.macys.com/is/image/MCY/15107923 </v>
      </c>
    </row>
    <row r="146" spans="1:13" ht="60" x14ac:dyDescent="0.25">
      <c r="A146" s="7" t="s">
        <v>547</v>
      </c>
      <c r="B146" s="2" t="s">
        <v>548</v>
      </c>
      <c r="C146" s="4">
        <v>1</v>
      </c>
      <c r="D146" s="5">
        <v>4</v>
      </c>
      <c r="E146" s="5">
        <v>9.3000000000000007</v>
      </c>
      <c r="F146" s="4">
        <v>16527912</v>
      </c>
      <c r="G146" s="2"/>
      <c r="H146" s="7" t="s">
        <v>482</v>
      </c>
      <c r="I146" s="2" t="s">
        <v>153</v>
      </c>
      <c r="J146" s="2" t="s">
        <v>154</v>
      </c>
      <c r="K146" s="2" t="s">
        <v>304</v>
      </c>
      <c r="L146" s="2" t="s">
        <v>87</v>
      </c>
      <c r="M146" s="8" t="str">
        <f>HYPERLINK("http://slimages.macys.com/is/image/MCY/12236035 ")</f>
        <v xml:space="preserve">http://slimages.macys.com/is/image/MCY/12236035 </v>
      </c>
    </row>
    <row r="147" spans="1:13" ht="60" x14ac:dyDescent="0.25">
      <c r="A147" s="7" t="s">
        <v>549</v>
      </c>
      <c r="B147" s="2" t="s">
        <v>550</v>
      </c>
      <c r="C147" s="4">
        <v>1</v>
      </c>
      <c r="D147" s="5">
        <v>3.82</v>
      </c>
      <c r="E147" s="5">
        <v>9.99</v>
      </c>
      <c r="F147" s="4" t="s">
        <v>551</v>
      </c>
      <c r="G147" s="2" t="s">
        <v>195</v>
      </c>
      <c r="H147" s="7" t="s">
        <v>149</v>
      </c>
      <c r="I147" s="2" t="s">
        <v>483</v>
      </c>
      <c r="J147" s="2" t="s">
        <v>536</v>
      </c>
      <c r="K147" s="2" t="s">
        <v>304</v>
      </c>
      <c r="L147" s="2" t="s">
        <v>119</v>
      </c>
      <c r="M147" s="8" t="str">
        <f>HYPERLINK("http://slimages.macys.com/is/image/MCY/14384897 ")</f>
        <v xml:space="preserve">http://slimages.macys.com/is/image/MCY/14384897 </v>
      </c>
    </row>
    <row r="148" spans="1:13" ht="60" x14ac:dyDescent="0.25">
      <c r="A148" s="7" t="s">
        <v>552</v>
      </c>
      <c r="B148" s="2" t="s">
        <v>553</v>
      </c>
      <c r="C148" s="4">
        <v>1</v>
      </c>
      <c r="D148" s="5">
        <v>3.54</v>
      </c>
      <c r="E148" s="5">
        <v>7.99</v>
      </c>
      <c r="F148" s="4" t="s">
        <v>554</v>
      </c>
      <c r="G148" s="2" t="s">
        <v>134</v>
      </c>
      <c r="H148" s="7" t="s">
        <v>514</v>
      </c>
      <c r="I148" s="2" t="s">
        <v>483</v>
      </c>
      <c r="J148" s="2" t="s">
        <v>536</v>
      </c>
      <c r="K148" s="2" t="s">
        <v>304</v>
      </c>
      <c r="L148" s="2" t="s">
        <v>119</v>
      </c>
      <c r="M148" s="8" t="str">
        <f>HYPERLINK("http://slimages.macys.com/is/image/MCY/14532191 ")</f>
        <v xml:space="preserve">http://slimages.macys.com/is/image/MCY/14532191 </v>
      </c>
    </row>
    <row r="149" spans="1:13" ht="60" x14ac:dyDescent="0.25">
      <c r="A149" s="7" t="s">
        <v>555</v>
      </c>
      <c r="B149" s="2" t="s">
        <v>556</v>
      </c>
      <c r="C149" s="4">
        <v>1</v>
      </c>
      <c r="D149" s="5">
        <v>3.5</v>
      </c>
      <c r="E149" s="5">
        <v>7.99</v>
      </c>
      <c r="F149" s="4">
        <v>18197810</v>
      </c>
      <c r="G149" s="2" t="s">
        <v>36</v>
      </c>
      <c r="H149" s="7" t="s">
        <v>482</v>
      </c>
      <c r="I149" s="2" t="s">
        <v>153</v>
      </c>
      <c r="J149" s="2" t="s">
        <v>154</v>
      </c>
      <c r="K149" s="2" t="s">
        <v>304</v>
      </c>
      <c r="L149" s="2" t="s">
        <v>206</v>
      </c>
      <c r="M149" s="8" t="str">
        <f>HYPERLINK("http://slimages.macys.com/is/image/MCY/14661953 ")</f>
        <v xml:space="preserve">http://slimages.macys.com/is/image/MCY/14661953 </v>
      </c>
    </row>
    <row r="150" spans="1:13" ht="60" x14ac:dyDescent="0.25">
      <c r="A150" s="7" t="s">
        <v>557</v>
      </c>
      <c r="B150" s="2" t="s">
        <v>558</v>
      </c>
      <c r="C150" s="4">
        <v>1</v>
      </c>
      <c r="D150" s="5">
        <v>3.5</v>
      </c>
      <c r="E150" s="5">
        <v>7.99</v>
      </c>
      <c r="F150" s="4">
        <v>18192210</v>
      </c>
      <c r="G150" s="2" t="s">
        <v>36</v>
      </c>
      <c r="H150" s="7" t="s">
        <v>442</v>
      </c>
      <c r="I150" s="2" t="s">
        <v>153</v>
      </c>
      <c r="J150" s="2" t="s">
        <v>154</v>
      </c>
      <c r="K150" s="2" t="s">
        <v>304</v>
      </c>
      <c r="L150" s="2" t="s">
        <v>38</v>
      </c>
      <c r="M150" s="8" t="str">
        <f>HYPERLINK("http://slimages.macys.com/is/image/MCY/13852974 ")</f>
        <v xml:space="preserve">http://slimages.macys.com/is/image/MCY/13852974 </v>
      </c>
    </row>
    <row r="151" spans="1:13" ht="60" x14ac:dyDescent="0.25">
      <c r="A151" s="7" t="s">
        <v>559</v>
      </c>
      <c r="B151" s="2" t="s">
        <v>560</v>
      </c>
      <c r="C151" s="4">
        <v>1</v>
      </c>
      <c r="D151" s="5">
        <v>3.49</v>
      </c>
      <c r="E151" s="5">
        <v>7.99</v>
      </c>
      <c r="F151" s="4" t="s">
        <v>561</v>
      </c>
      <c r="G151" s="2" t="s">
        <v>28</v>
      </c>
      <c r="H151" s="7" t="s">
        <v>317</v>
      </c>
      <c r="I151" s="2" t="s">
        <v>292</v>
      </c>
      <c r="J151" s="2" t="s">
        <v>354</v>
      </c>
      <c r="K151" s="2" t="s">
        <v>304</v>
      </c>
      <c r="L151" s="2" t="s">
        <v>119</v>
      </c>
      <c r="M151" s="8" t="str">
        <f>HYPERLINK("http://slimages.macys.com/is/image/MCY/11527513 ")</f>
        <v xml:space="preserve">http://slimages.macys.com/is/image/MCY/11527513 </v>
      </c>
    </row>
    <row r="152" spans="1:13" ht="60" x14ac:dyDescent="0.25">
      <c r="A152" s="7" t="s">
        <v>562</v>
      </c>
      <c r="B152" s="2" t="s">
        <v>563</v>
      </c>
      <c r="C152" s="4">
        <v>2</v>
      </c>
      <c r="D152" s="5">
        <v>3.46</v>
      </c>
      <c r="E152" s="5">
        <v>8.99</v>
      </c>
      <c r="F152" s="4">
        <v>100007426</v>
      </c>
      <c r="G152" s="2" t="s">
        <v>41</v>
      </c>
      <c r="H152" s="7" t="s">
        <v>531</v>
      </c>
      <c r="I152" s="2" t="s">
        <v>483</v>
      </c>
      <c r="J152" s="2" t="s">
        <v>484</v>
      </c>
      <c r="K152" s="2" t="s">
        <v>304</v>
      </c>
      <c r="L152" s="2" t="s">
        <v>119</v>
      </c>
      <c r="M152" s="8" t="str">
        <f>HYPERLINK("http://slimages.macys.com/is/image/MCY/9157888 ")</f>
        <v xml:space="preserve">http://slimages.macys.com/is/image/MCY/9157888 </v>
      </c>
    </row>
    <row r="153" spans="1:13" ht="108" x14ac:dyDescent="0.25">
      <c r="A153" s="7" t="s">
        <v>564</v>
      </c>
      <c r="B153" s="2" t="s">
        <v>565</v>
      </c>
      <c r="C153" s="4">
        <v>1</v>
      </c>
      <c r="D153" s="5">
        <v>3.45</v>
      </c>
      <c r="E153" s="5">
        <v>7.99</v>
      </c>
      <c r="F153" s="4" t="s">
        <v>566</v>
      </c>
      <c r="G153" s="2" t="s">
        <v>28</v>
      </c>
      <c r="H153" s="7" t="s">
        <v>209</v>
      </c>
      <c r="I153" s="2" t="s">
        <v>292</v>
      </c>
      <c r="J153" s="2" t="s">
        <v>354</v>
      </c>
      <c r="K153" s="2" t="s">
        <v>304</v>
      </c>
      <c r="L153" s="2" t="s">
        <v>567</v>
      </c>
      <c r="M153" s="8" t="str">
        <f>HYPERLINK("http://slimages.macys.com/is/image/MCY/12684419 ")</f>
        <v xml:space="preserve">http://slimages.macys.com/is/image/MCY/12684419 </v>
      </c>
    </row>
    <row r="154" spans="1:13" ht="60" x14ac:dyDescent="0.25">
      <c r="A154" s="7" t="s">
        <v>568</v>
      </c>
      <c r="B154" s="2" t="s">
        <v>569</v>
      </c>
      <c r="C154" s="4">
        <v>1</v>
      </c>
      <c r="D154" s="5">
        <v>3.33</v>
      </c>
      <c r="E154" s="5">
        <v>7.99</v>
      </c>
      <c r="F154" s="4" t="s">
        <v>570</v>
      </c>
      <c r="G154" s="2" t="s">
        <v>86</v>
      </c>
      <c r="H154" s="7" t="s">
        <v>209</v>
      </c>
      <c r="I154" s="2" t="s">
        <v>292</v>
      </c>
      <c r="J154" s="2" t="s">
        <v>354</v>
      </c>
      <c r="K154" s="2" t="s">
        <v>304</v>
      </c>
      <c r="L154" s="2" t="s">
        <v>571</v>
      </c>
      <c r="M154" s="8" t="str">
        <f>HYPERLINK("http://slimages.macys.com/is/image/MCY/12684379 ")</f>
        <v xml:space="preserve">http://slimages.macys.com/is/image/MCY/12684379 </v>
      </c>
    </row>
    <row r="155" spans="1:13" ht="60" x14ac:dyDescent="0.25">
      <c r="A155" s="7" t="s">
        <v>572</v>
      </c>
      <c r="B155" s="2" t="s">
        <v>569</v>
      </c>
      <c r="C155" s="4">
        <v>2</v>
      </c>
      <c r="D155" s="5">
        <v>3.33</v>
      </c>
      <c r="E155" s="5">
        <v>7.99</v>
      </c>
      <c r="F155" s="4" t="s">
        <v>570</v>
      </c>
      <c r="G155" s="2" t="s">
        <v>86</v>
      </c>
      <c r="H155" s="7" t="s">
        <v>311</v>
      </c>
      <c r="I155" s="2" t="s">
        <v>292</v>
      </c>
      <c r="J155" s="2" t="s">
        <v>354</v>
      </c>
      <c r="K155" s="2" t="s">
        <v>304</v>
      </c>
      <c r="L155" s="2" t="s">
        <v>571</v>
      </c>
      <c r="M155" s="8" t="str">
        <f>HYPERLINK("http://slimages.macys.com/is/image/MCY/12684379 ")</f>
        <v xml:space="preserve">http://slimages.macys.com/is/image/MCY/12684379 </v>
      </c>
    </row>
    <row r="156" spans="1:13" ht="60" x14ac:dyDescent="0.25">
      <c r="A156" s="7" t="s">
        <v>573</v>
      </c>
      <c r="B156" s="2" t="s">
        <v>569</v>
      </c>
      <c r="C156" s="4">
        <v>4</v>
      </c>
      <c r="D156" s="5">
        <v>3.33</v>
      </c>
      <c r="E156" s="5">
        <v>7.99</v>
      </c>
      <c r="F156" s="4" t="s">
        <v>570</v>
      </c>
      <c r="G156" s="2" t="s">
        <v>86</v>
      </c>
      <c r="H156" s="7" t="s">
        <v>123</v>
      </c>
      <c r="I156" s="2" t="s">
        <v>292</v>
      </c>
      <c r="J156" s="2" t="s">
        <v>354</v>
      </c>
      <c r="K156" s="2" t="s">
        <v>304</v>
      </c>
      <c r="L156" s="2" t="s">
        <v>571</v>
      </c>
      <c r="M156" s="8" t="str">
        <f>HYPERLINK("http://slimages.macys.com/is/image/MCY/12684379 ")</f>
        <v xml:space="preserve">http://slimages.macys.com/is/image/MCY/12684379 </v>
      </c>
    </row>
    <row r="157" spans="1:13" ht="60" x14ac:dyDescent="0.25">
      <c r="A157" s="7" t="s">
        <v>574</v>
      </c>
      <c r="B157" s="2" t="s">
        <v>569</v>
      </c>
      <c r="C157" s="4">
        <v>2</v>
      </c>
      <c r="D157" s="5">
        <v>3.33</v>
      </c>
      <c r="E157" s="5">
        <v>7.99</v>
      </c>
      <c r="F157" s="4" t="s">
        <v>570</v>
      </c>
      <c r="G157" s="2" t="s">
        <v>86</v>
      </c>
      <c r="H157" s="7" t="s">
        <v>166</v>
      </c>
      <c r="I157" s="2" t="s">
        <v>292</v>
      </c>
      <c r="J157" s="2" t="s">
        <v>354</v>
      </c>
      <c r="K157" s="2" t="s">
        <v>304</v>
      </c>
      <c r="L157" s="2" t="s">
        <v>571</v>
      </c>
      <c r="M157" s="8" t="str">
        <f>HYPERLINK("http://slimages.macys.com/is/image/MCY/12684379 ")</f>
        <v xml:space="preserve">http://slimages.macys.com/is/image/MCY/12684379 </v>
      </c>
    </row>
    <row r="158" spans="1:13" ht="60" x14ac:dyDescent="0.25">
      <c r="A158" s="7" t="s">
        <v>575</v>
      </c>
      <c r="B158" s="2" t="s">
        <v>576</v>
      </c>
      <c r="C158" s="4">
        <v>1</v>
      </c>
      <c r="D158" s="5">
        <v>3.33</v>
      </c>
      <c r="E158" s="5">
        <v>7.99</v>
      </c>
      <c r="F158" s="4" t="s">
        <v>577</v>
      </c>
      <c r="G158" s="2" t="s">
        <v>41</v>
      </c>
      <c r="H158" s="7" t="s">
        <v>578</v>
      </c>
      <c r="I158" s="2" t="s">
        <v>292</v>
      </c>
      <c r="J158" s="2" t="s">
        <v>354</v>
      </c>
      <c r="K158" s="2" t="s">
        <v>304</v>
      </c>
      <c r="L158" s="2" t="s">
        <v>571</v>
      </c>
      <c r="M158" s="8" t="str">
        <f>HYPERLINK("http://slimages.macys.com/is/image/MCY/12951297 ")</f>
        <v xml:space="preserve">http://slimages.macys.com/is/image/MCY/12951297 </v>
      </c>
    </row>
    <row r="159" spans="1:13" ht="60" x14ac:dyDescent="0.25">
      <c r="A159" s="7" t="s">
        <v>579</v>
      </c>
      <c r="B159" s="2" t="s">
        <v>580</v>
      </c>
      <c r="C159" s="4">
        <v>1</v>
      </c>
      <c r="D159" s="5">
        <v>3.25</v>
      </c>
      <c r="E159" s="5">
        <v>7.99</v>
      </c>
      <c r="F159" s="4" t="s">
        <v>581</v>
      </c>
      <c r="G159" s="2" t="s">
        <v>582</v>
      </c>
      <c r="H159" s="7"/>
      <c r="I159" s="2" t="s">
        <v>523</v>
      </c>
      <c r="J159" s="2" t="s">
        <v>583</v>
      </c>
      <c r="K159" s="2" t="s">
        <v>304</v>
      </c>
      <c r="L159" s="2" t="s">
        <v>358</v>
      </c>
      <c r="M159" s="8" t="str">
        <f>HYPERLINK("http://slimages.macys.com/is/image/MCY/10084714 ")</f>
        <v xml:space="preserve">http://slimages.macys.com/is/image/MCY/10084714 </v>
      </c>
    </row>
    <row r="160" spans="1:13" ht="60" x14ac:dyDescent="0.25">
      <c r="A160" s="7" t="s">
        <v>584</v>
      </c>
      <c r="B160" s="2" t="s">
        <v>585</v>
      </c>
      <c r="C160" s="4">
        <v>1</v>
      </c>
      <c r="D160" s="5">
        <v>3.14</v>
      </c>
      <c r="E160" s="5">
        <v>7.99</v>
      </c>
      <c r="F160" s="4">
        <v>10004192500</v>
      </c>
      <c r="G160" s="2" t="s">
        <v>171</v>
      </c>
      <c r="H160" s="7" t="s">
        <v>586</v>
      </c>
      <c r="I160" s="2" t="s">
        <v>483</v>
      </c>
      <c r="J160" s="2" t="s">
        <v>536</v>
      </c>
      <c r="K160" s="2" t="s">
        <v>304</v>
      </c>
      <c r="L160" s="2" t="s">
        <v>75</v>
      </c>
      <c r="M160" s="8" t="str">
        <f>HYPERLINK("http://slimages.macys.com/is/image/MCY/11519409 ")</f>
        <v xml:space="preserve">http://slimages.macys.com/is/image/MCY/11519409 </v>
      </c>
    </row>
    <row r="161" spans="1:13" ht="60" x14ac:dyDescent="0.25">
      <c r="A161" s="7" t="s">
        <v>587</v>
      </c>
      <c r="B161" s="2" t="s">
        <v>588</v>
      </c>
      <c r="C161" s="4">
        <v>1</v>
      </c>
      <c r="D161" s="5">
        <v>2.96</v>
      </c>
      <c r="E161" s="5">
        <v>6.99</v>
      </c>
      <c r="F161" s="4" t="s">
        <v>589</v>
      </c>
      <c r="G161" s="2" t="s">
        <v>134</v>
      </c>
      <c r="H161" s="7" t="s">
        <v>590</v>
      </c>
      <c r="I161" s="2" t="s">
        <v>483</v>
      </c>
      <c r="J161" s="2" t="s">
        <v>536</v>
      </c>
      <c r="K161" s="2" t="s">
        <v>304</v>
      </c>
      <c r="L161" s="2" t="s">
        <v>119</v>
      </c>
      <c r="M161" s="8" t="str">
        <f>HYPERLINK("http://slimages.macys.com/is/image/MCY/14532191 ")</f>
        <v xml:space="preserve">http://slimages.macys.com/is/image/MCY/14532191 </v>
      </c>
    </row>
    <row r="162" spans="1:13" ht="60" x14ac:dyDescent="0.25">
      <c r="A162" s="7" t="s">
        <v>591</v>
      </c>
      <c r="B162" s="2" t="s">
        <v>588</v>
      </c>
      <c r="C162" s="4">
        <v>2</v>
      </c>
      <c r="D162" s="5">
        <v>2.96</v>
      </c>
      <c r="E162" s="5">
        <v>6.99</v>
      </c>
      <c r="F162" s="4" t="s">
        <v>589</v>
      </c>
      <c r="G162" s="2" t="s">
        <v>134</v>
      </c>
      <c r="H162" s="7" t="s">
        <v>42</v>
      </c>
      <c r="I162" s="2" t="s">
        <v>483</v>
      </c>
      <c r="J162" s="2" t="s">
        <v>536</v>
      </c>
      <c r="K162" s="2" t="s">
        <v>304</v>
      </c>
      <c r="L162" s="2" t="s">
        <v>119</v>
      </c>
      <c r="M162" s="8" t="str">
        <f>HYPERLINK("http://slimages.macys.com/is/image/MCY/14532191 ")</f>
        <v xml:space="preserve">http://slimages.macys.com/is/image/MCY/14532191 </v>
      </c>
    </row>
    <row r="163" spans="1:13" ht="60" x14ac:dyDescent="0.25">
      <c r="A163" s="7" t="s">
        <v>592</v>
      </c>
      <c r="B163" s="2" t="s">
        <v>593</v>
      </c>
      <c r="C163" s="4">
        <v>2</v>
      </c>
      <c r="D163" s="5">
        <v>2.9</v>
      </c>
      <c r="E163" s="5">
        <v>7.99</v>
      </c>
      <c r="F163" s="4" t="s">
        <v>594</v>
      </c>
      <c r="G163" s="2" t="s">
        <v>595</v>
      </c>
      <c r="H163" s="7" t="s">
        <v>578</v>
      </c>
      <c r="I163" s="2" t="s">
        <v>483</v>
      </c>
      <c r="J163" s="2" t="s">
        <v>536</v>
      </c>
      <c r="K163" s="2" t="s">
        <v>304</v>
      </c>
      <c r="L163" s="2" t="s">
        <v>596</v>
      </c>
      <c r="M163" s="8" t="str">
        <f>HYPERLINK("http://slimages.macys.com/is/image/MCY/14885497 ")</f>
        <v xml:space="preserve">http://slimages.macys.com/is/image/MCY/14885497 </v>
      </c>
    </row>
    <row r="164" spans="1:13" ht="120" x14ac:dyDescent="0.25">
      <c r="A164" s="7" t="s">
        <v>597</v>
      </c>
      <c r="B164" s="2" t="s">
        <v>598</v>
      </c>
      <c r="C164" s="4">
        <v>1</v>
      </c>
      <c r="D164" s="5">
        <v>2.84</v>
      </c>
      <c r="E164" s="5">
        <v>7.99</v>
      </c>
      <c r="F164" s="4" t="s">
        <v>599</v>
      </c>
      <c r="G164" s="2" t="s">
        <v>62</v>
      </c>
      <c r="H164" s="7"/>
      <c r="I164" s="2" t="s">
        <v>483</v>
      </c>
      <c r="J164" s="2" t="s">
        <v>536</v>
      </c>
      <c r="K164" s="2" t="s">
        <v>304</v>
      </c>
      <c r="L164" s="2" t="s">
        <v>600</v>
      </c>
      <c r="M164" s="8" t="str">
        <f>HYPERLINK("http://slimages.macys.com/is/image/MCY/14384837 ")</f>
        <v xml:space="preserve">http://slimages.macys.com/is/image/MCY/14384837 </v>
      </c>
    </row>
    <row r="165" spans="1:13" ht="60" x14ac:dyDescent="0.25">
      <c r="A165" s="7" t="s">
        <v>601</v>
      </c>
      <c r="B165" s="2" t="s">
        <v>602</v>
      </c>
      <c r="C165" s="4">
        <v>1</v>
      </c>
      <c r="D165" s="5">
        <v>2.77</v>
      </c>
      <c r="E165" s="5">
        <v>7.99</v>
      </c>
      <c r="F165" s="4" t="s">
        <v>603</v>
      </c>
      <c r="G165" s="2" t="s">
        <v>297</v>
      </c>
      <c r="H165" s="7" t="s">
        <v>604</v>
      </c>
      <c r="I165" s="2" t="s">
        <v>483</v>
      </c>
      <c r="J165" s="2" t="s">
        <v>536</v>
      </c>
      <c r="K165" s="2" t="s">
        <v>304</v>
      </c>
      <c r="L165" s="2" t="s">
        <v>119</v>
      </c>
      <c r="M165" s="8" t="str">
        <f>HYPERLINK("http://slimages.macys.com/is/image/MCY/11520409 ")</f>
        <v xml:space="preserve">http://slimages.macys.com/is/image/MCY/11520409 </v>
      </c>
    </row>
    <row r="166" spans="1:13" ht="60" x14ac:dyDescent="0.25">
      <c r="A166" s="7" t="s">
        <v>605</v>
      </c>
      <c r="B166" s="2" t="s">
        <v>602</v>
      </c>
      <c r="C166" s="4">
        <v>1</v>
      </c>
      <c r="D166" s="5">
        <v>2.77</v>
      </c>
      <c r="E166" s="5">
        <v>7.99</v>
      </c>
      <c r="F166" s="4" t="s">
        <v>603</v>
      </c>
      <c r="G166" s="2" t="s">
        <v>297</v>
      </c>
      <c r="H166" s="7"/>
      <c r="I166" s="2" t="s">
        <v>483</v>
      </c>
      <c r="J166" s="2" t="s">
        <v>536</v>
      </c>
      <c r="K166" s="2" t="s">
        <v>304</v>
      </c>
      <c r="L166" s="2" t="s">
        <v>119</v>
      </c>
      <c r="M166" s="8" t="str">
        <f>HYPERLINK("http://slimages.macys.com/is/image/MCY/11520409 ")</f>
        <v xml:space="preserve">http://slimages.macys.com/is/image/MCY/11520409 </v>
      </c>
    </row>
    <row r="167" spans="1:13" ht="60" x14ac:dyDescent="0.25">
      <c r="A167" s="7" t="s">
        <v>606</v>
      </c>
      <c r="B167" s="2" t="s">
        <v>607</v>
      </c>
      <c r="C167" s="4">
        <v>1</v>
      </c>
      <c r="D167" s="5">
        <v>2.62</v>
      </c>
      <c r="E167" s="5">
        <v>6.99</v>
      </c>
      <c r="F167" s="4" t="s">
        <v>608</v>
      </c>
      <c r="G167" s="2" t="s">
        <v>41</v>
      </c>
      <c r="H167" s="7" t="s">
        <v>42</v>
      </c>
      <c r="I167" s="2" t="s">
        <v>483</v>
      </c>
      <c r="J167" s="2" t="s">
        <v>536</v>
      </c>
      <c r="K167" s="2" t="s">
        <v>304</v>
      </c>
      <c r="L167" s="2" t="s">
        <v>100</v>
      </c>
      <c r="M167" s="8" t="str">
        <f>HYPERLINK("http://slimages.macys.com/is/image/MCY/13336572 ")</f>
        <v xml:space="preserve">http://slimages.macys.com/is/image/MCY/13336572 </v>
      </c>
    </row>
    <row r="168" spans="1:13" ht="60" x14ac:dyDescent="0.25">
      <c r="A168" s="7" t="s">
        <v>609</v>
      </c>
      <c r="B168" s="2" t="s">
        <v>610</v>
      </c>
      <c r="C168" s="4">
        <v>1</v>
      </c>
      <c r="D168" s="5">
        <v>2.58</v>
      </c>
      <c r="E168" s="5">
        <v>6.99</v>
      </c>
      <c r="F168" s="4" t="s">
        <v>611</v>
      </c>
      <c r="G168" s="2" t="s">
        <v>297</v>
      </c>
      <c r="H168" s="7" t="s">
        <v>590</v>
      </c>
      <c r="I168" s="2" t="s">
        <v>483</v>
      </c>
      <c r="J168" s="2" t="s">
        <v>536</v>
      </c>
      <c r="K168" s="2" t="s">
        <v>304</v>
      </c>
      <c r="L168" s="2" t="s">
        <v>358</v>
      </c>
      <c r="M168" s="8" t="str">
        <f>HYPERLINK("http://slimages.macys.com/is/image/MCY/14384900 ")</f>
        <v xml:space="preserve">http://slimages.macys.com/is/image/MCY/14384900 </v>
      </c>
    </row>
    <row r="169" spans="1:13" ht="60" x14ac:dyDescent="0.25">
      <c r="A169" s="7" t="s">
        <v>612</v>
      </c>
      <c r="B169" s="2" t="s">
        <v>613</v>
      </c>
      <c r="C169" s="4">
        <v>1</v>
      </c>
      <c r="D169" s="5">
        <v>2.54</v>
      </c>
      <c r="E169" s="5">
        <v>6.99</v>
      </c>
      <c r="F169" s="4" t="s">
        <v>614</v>
      </c>
      <c r="G169" s="2" t="s">
        <v>297</v>
      </c>
      <c r="H169" s="7" t="s">
        <v>590</v>
      </c>
      <c r="I169" s="2" t="s">
        <v>483</v>
      </c>
      <c r="J169" s="2" t="s">
        <v>536</v>
      </c>
      <c r="K169" s="2" t="s">
        <v>304</v>
      </c>
      <c r="L169" s="2" t="s">
        <v>38</v>
      </c>
      <c r="M169" s="8" t="str">
        <f>HYPERLINK("http://slimages.macys.com/is/image/MCY/14380594 ")</f>
        <v xml:space="preserve">http://slimages.macys.com/is/image/MCY/14380594 </v>
      </c>
    </row>
    <row r="170" spans="1:13" ht="60" x14ac:dyDescent="0.25">
      <c r="A170" s="7" t="s">
        <v>615</v>
      </c>
      <c r="B170" s="2" t="s">
        <v>616</v>
      </c>
      <c r="C170" s="4">
        <v>1</v>
      </c>
      <c r="D170" s="5">
        <v>2.5</v>
      </c>
      <c r="E170" s="5">
        <v>5.99</v>
      </c>
      <c r="F170" s="4" t="s">
        <v>617</v>
      </c>
      <c r="G170" s="2" t="s">
        <v>262</v>
      </c>
      <c r="H170" s="7" t="s">
        <v>618</v>
      </c>
      <c r="I170" s="2" t="s">
        <v>380</v>
      </c>
      <c r="J170" s="2" t="s">
        <v>544</v>
      </c>
      <c r="K170" s="2" t="s">
        <v>304</v>
      </c>
      <c r="L170" s="2" t="s">
        <v>38</v>
      </c>
      <c r="M170" s="8" t="str">
        <f>HYPERLINK("http://slimages.macys.com/is/image/MCY/12228048 ")</f>
        <v xml:space="preserve">http://slimages.macys.com/is/image/MCY/12228048 </v>
      </c>
    </row>
    <row r="171" spans="1:13" ht="60" x14ac:dyDescent="0.25">
      <c r="A171" s="7" t="s">
        <v>619</v>
      </c>
      <c r="B171" s="2" t="s">
        <v>616</v>
      </c>
      <c r="C171" s="4">
        <v>1</v>
      </c>
      <c r="D171" s="5">
        <v>2.5</v>
      </c>
      <c r="E171" s="5">
        <v>5.99</v>
      </c>
      <c r="F171" s="4" t="s">
        <v>617</v>
      </c>
      <c r="G171" s="2" t="s">
        <v>262</v>
      </c>
      <c r="H171" s="7" t="s">
        <v>379</v>
      </c>
      <c r="I171" s="2" t="s">
        <v>380</v>
      </c>
      <c r="J171" s="2" t="s">
        <v>544</v>
      </c>
      <c r="K171" s="2" t="s">
        <v>304</v>
      </c>
      <c r="L171" s="2" t="s">
        <v>38</v>
      </c>
      <c r="M171" s="8" t="str">
        <f>HYPERLINK("http://slimages.macys.com/is/image/MCY/12228048 ")</f>
        <v xml:space="preserve">http://slimages.macys.com/is/image/MCY/12228048 </v>
      </c>
    </row>
    <row r="172" spans="1:13" ht="60" x14ac:dyDescent="0.25">
      <c r="A172" s="7" t="s">
        <v>620</v>
      </c>
      <c r="B172" s="2" t="s">
        <v>616</v>
      </c>
      <c r="C172" s="4">
        <v>2</v>
      </c>
      <c r="D172" s="5">
        <v>2.5</v>
      </c>
      <c r="E172" s="5">
        <v>5.99</v>
      </c>
      <c r="F172" s="4" t="s">
        <v>617</v>
      </c>
      <c r="G172" s="2" t="s">
        <v>262</v>
      </c>
      <c r="H172" s="7" t="s">
        <v>166</v>
      </c>
      <c r="I172" s="2" t="s">
        <v>380</v>
      </c>
      <c r="J172" s="2" t="s">
        <v>544</v>
      </c>
      <c r="K172" s="2" t="s">
        <v>304</v>
      </c>
      <c r="L172" s="2" t="s">
        <v>87</v>
      </c>
      <c r="M172" s="8" t="str">
        <f>HYPERLINK("http://slimages.macys.com/is/image/MCY/12228048 ")</f>
        <v xml:space="preserve">http://slimages.macys.com/is/image/MCY/12228048 </v>
      </c>
    </row>
    <row r="173" spans="1:13" ht="60" x14ac:dyDescent="0.25">
      <c r="A173" s="7" t="s">
        <v>621</v>
      </c>
      <c r="B173" s="2" t="s">
        <v>622</v>
      </c>
      <c r="C173" s="4">
        <v>1</v>
      </c>
      <c r="D173" s="5">
        <v>2.48</v>
      </c>
      <c r="E173" s="5">
        <v>7.99</v>
      </c>
      <c r="F173" s="4">
        <v>10005379300</v>
      </c>
      <c r="G173" s="2" t="s">
        <v>437</v>
      </c>
      <c r="H173" s="7" t="s">
        <v>590</v>
      </c>
      <c r="I173" s="2" t="s">
        <v>483</v>
      </c>
      <c r="J173" s="2" t="s">
        <v>536</v>
      </c>
      <c r="K173" s="2" t="s">
        <v>304</v>
      </c>
      <c r="L173" s="2" t="s">
        <v>623</v>
      </c>
      <c r="M173" s="8" t="str">
        <f>HYPERLINK("http://slimages.macys.com/is/image/MCY/12465415 ")</f>
        <v xml:space="preserve">http://slimages.macys.com/is/image/MCY/12465415 </v>
      </c>
    </row>
    <row r="174" spans="1:13" ht="60" x14ac:dyDescent="0.25">
      <c r="A174" s="7" t="s">
        <v>624</v>
      </c>
      <c r="B174" s="2" t="s">
        <v>625</v>
      </c>
      <c r="C174" s="4">
        <v>1</v>
      </c>
      <c r="D174" s="5">
        <v>2.37</v>
      </c>
      <c r="E174" s="5">
        <v>5.99</v>
      </c>
      <c r="F174" s="4" t="s">
        <v>626</v>
      </c>
      <c r="G174" s="2" t="s">
        <v>28</v>
      </c>
      <c r="H174" s="7" t="s">
        <v>91</v>
      </c>
      <c r="I174" s="2" t="s">
        <v>483</v>
      </c>
      <c r="J174" s="2" t="s">
        <v>536</v>
      </c>
      <c r="K174" s="2"/>
      <c r="L174" s="2"/>
      <c r="M174" s="8" t="str">
        <f>HYPERLINK("http://slimages.macys.com/is/image/MCY/11857490 ")</f>
        <v xml:space="preserve">http://slimages.macys.com/is/image/MCY/11857490 </v>
      </c>
    </row>
    <row r="175" spans="1:13" ht="60" x14ac:dyDescent="0.25">
      <c r="A175" s="7" t="s">
        <v>627</v>
      </c>
      <c r="B175" s="2" t="s">
        <v>628</v>
      </c>
      <c r="C175" s="4">
        <v>1</v>
      </c>
      <c r="D175" s="5">
        <v>2.36</v>
      </c>
      <c r="E175" s="5">
        <v>6.99</v>
      </c>
      <c r="F175" s="4" t="s">
        <v>629</v>
      </c>
      <c r="G175" s="2" t="s">
        <v>388</v>
      </c>
      <c r="H175" s="7" t="s">
        <v>149</v>
      </c>
      <c r="I175" s="2" t="s">
        <v>483</v>
      </c>
      <c r="J175" s="2" t="s">
        <v>536</v>
      </c>
      <c r="K175" s="2" t="s">
        <v>304</v>
      </c>
      <c r="L175" s="2" t="s">
        <v>87</v>
      </c>
      <c r="M175" s="8" t="str">
        <f>HYPERLINK("http://slimages.macys.com/is/image/MCY/14532052 ")</f>
        <v xml:space="preserve">http://slimages.macys.com/is/image/MCY/14532052 </v>
      </c>
    </row>
    <row r="176" spans="1:13" ht="60" x14ac:dyDescent="0.25">
      <c r="A176" s="7" t="s">
        <v>630</v>
      </c>
      <c r="B176" s="2" t="s">
        <v>631</v>
      </c>
      <c r="C176" s="4">
        <v>1</v>
      </c>
      <c r="D176" s="5">
        <v>2.27</v>
      </c>
      <c r="E176" s="5">
        <v>5.99</v>
      </c>
      <c r="F176" s="4" t="s">
        <v>632</v>
      </c>
      <c r="G176" s="2" t="s">
        <v>28</v>
      </c>
      <c r="H176" s="7" t="s">
        <v>91</v>
      </c>
      <c r="I176" s="2" t="s">
        <v>483</v>
      </c>
      <c r="J176" s="2" t="s">
        <v>536</v>
      </c>
      <c r="K176" s="2" t="s">
        <v>304</v>
      </c>
      <c r="L176" s="2" t="s">
        <v>38</v>
      </c>
      <c r="M176" s="8" t="str">
        <f>HYPERLINK("http://slimages.macys.com/is/image/MCY/11857610 ")</f>
        <v xml:space="preserve">http://slimages.macys.com/is/image/MCY/11857610 </v>
      </c>
    </row>
    <row r="177" spans="1:13" ht="60" x14ac:dyDescent="0.25">
      <c r="A177" s="7" t="s">
        <v>633</v>
      </c>
      <c r="B177" s="2" t="s">
        <v>634</v>
      </c>
      <c r="C177" s="4">
        <v>1</v>
      </c>
      <c r="D177" s="5">
        <v>2.2200000000000002</v>
      </c>
      <c r="E177" s="5">
        <v>5.99</v>
      </c>
      <c r="F177" s="4" t="s">
        <v>635</v>
      </c>
      <c r="G177" s="2" t="s">
        <v>28</v>
      </c>
      <c r="H177" s="7" t="s">
        <v>149</v>
      </c>
      <c r="I177" s="2" t="s">
        <v>483</v>
      </c>
      <c r="J177" s="2" t="s">
        <v>536</v>
      </c>
      <c r="K177" s="2" t="s">
        <v>304</v>
      </c>
      <c r="L177" s="2" t="s">
        <v>100</v>
      </c>
      <c r="M177" s="8" t="str">
        <f>HYPERLINK("http://slimages.macys.com/is/image/MCY/11856941 ")</f>
        <v xml:space="preserve">http://slimages.macys.com/is/image/MCY/11856941 </v>
      </c>
    </row>
    <row r="178" spans="1:13" ht="84" x14ac:dyDescent="0.25">
      <c r="A178" s="7" t="s">
        <v>636</v>
      </c>
      <c r="B178" s="2" t="s">
        <v>637</v>
      </c>
      <c r="C178" s="4">
        <v>1</v>
      </c>
      <c r="D178" s="5">
        <v>2.21</v>
      </c>
      <c r="E178" s="5">
        <v>6.99</v>
      </c>
      <c r="F178" s="4" t="s">
        <v>638</v>
      </c>
      <c r="G178" s="2" t="s">
        <v>171</v>
      </c>
      <c r="H178" s="7" t="s">
        <v>604</v>
      </c>
      <c r="I178" s="2" t="s">
        <v>483</v>
      </c>
      <c r="J178" s="2" t="s">
        <v>536</v>
      </c>
      <c r="K178" s="2" t="s">
        <v>304</v>
      </c>
      <c r="L178" s="2" t="s">
        <v>639</v>
      </c>
      <c r="M178" s="8" t="str">
        <f>HYPERLINK("http://slimages.macys.com/is/image/MCY/13987507 ")</f>
        <v xml:space="preserve">http://slimages.macys.com/is/image/MCY/13987507 </v>
      </c>
    </row>
    <row r="179" spans="1:13" ht="60" x14ac:dyDescent="0.25">
      <c r="A179" s="7" t="s">
        <v>640</v>
      </c>
      <c r="B179" s="2" t="s">
        <v>641</v>
      </c>
      <c r="C179" s="4">
        <v>1</v>
      </c>
      <c r="D179" s="5">
        <v>2.21</v>
      </c>
      <c r="E179" s="5">
        <v>5.99</v>
      </c>
      <c r="F179" s="4" t="s">
        <v>642</v>
      </c>
      <c r="G179" s="2" t="s">
        <v>643</v>
      </c>
      <c r="H179" s="7" t="s">
        <v>590</v>
      </c>
      <c r="I179" s="2" t="s">
        <v>483</v>
      </c>
      <c r="J179" s="2" t="s">
        <v>536</v>
      </c>
      <c r="K179" s="2" t="s">
        <v>304</v>
      </c>
      <c r="L179" s="2" t="s">
        <v>38</v>
      </c>
      <c r="M179" s="8" t="str">
        <f>HYPERLINK("http://slimages.macys.com/is/image/MCY/13987601 ")</f>
        <v xml:space="preserve">http://slimages.macys.com/is/image/MCY/13987601 </v>
      </c>
    </row>
    <row r="180" spans="1:13" ht="60" x14ac:dyDescent="0.25">
      <c r="A180" s="7" t="s">
        <v>644</v>
      </c>
      <c r="B180" s="2" t="s">
        <v>645</v>
      </c>
      <c r="C180" s="4">
        <v>1</v>
      </c>
      <c r="D180" s="5">
        <v>12.25</v>
      </c>
      <c r="E180" s="5">
        <v>35</v>
      </c>
      <c r="F180" s="4" t="s">
        <v>646</v>
      </c>
      <c r="G180" s="2" t="s">
        <v>238</v>
      </c>
      <c r="H180" s="7" t="s">
        <v>68</v>
      </c>
      <c r="I180" s="2" t="s">
        <v>80</v>
      </c>
      <c r="J180" s="2" t="s">
        <v>647</v>
      </c>
      <c r="K180" s="2"/>
      <c r="L180" s="2"/>
      <c r="M180" s="8"/>
    </row>
    <row r="181" spans="1:13" ht="36" x14ac:dyDescent="0.25">
      <c r="A181" s="7" t="s">
        <v>648</v>
      </c>
      <c r="B181" s="2" t="s">
        <v>649</v>
      </c>
      <c r="C181" s="4">
        <v>1</v>
      </c>
      <c r="D181" s="5">
        <v>10.75</v>
      </c>
      <c r="E181" s="5">
        <v>38</v>
      </c>
      <c r="F181" s="4" t="s">
        <v>649</v>
      </c>
      <c r="G181" s="2" t="s">
        <v>303</v>
      </c>
      <c r="H181" s="7" t="s">
        <v>311</v>
      </c>
      <c r="I181" s="2" t="s">
        <v>50</v>
      </c>
      <c r="J181" s="2" t="s">
        <v>650</v>
      </c>
      <c r="K181" s="2"/>
      <c r="L181" s="2"/>
      <c r="M181" s="8"/>
    </row>
    <row r="182" spans="1:13" ht="36" x14ac:dyDescent="0.25">
      <c r="A182" s="7" t="s">
        <v>651</v>
      </c>
      <c r="B182" s="2" t="s">
        <v>652</v>
      </c>
      <c r="C182" s="4">
        <v>1</v>
      </c>
      <c r="D182" s="5">
        <v>9</v>
      </c>
      <c r="E182" s="5">
        <v>34</v>
      </c>
      <c r="F182" s="4" t="s">
        <v>652</v>
      </c>
      <c r="G182" s="2" t="s">
        <v>653</v>
      </c>
      <c r="H182" s="7" t="s">
        <v>177</v>
      </c>
      <c r="I182" s="2" t="s">
        <v>50</v>
      </c>
      <c r="J182" s="2" t="s">
        <v>650</v>
      </c>
      <c r="K182" s="2"/>
      <c r="L182" s="2"/>
      <c r="M182" s="8"/>
    </row>
  </sheetData>
  <pageMargins left="0.5" right="0.5" top="0.25" bottom="0.25" header="0.3" footer="0.3"/>
  <pageSetup scale="65" orientation="landscape" horizontalDpi="0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55"/>
  <sheetViews>
    <sheetView workbookViewId="0">
      <selection activeCell="B2" sqref="B2"/>
    </sheetView>
  </sheetViews>
  <sheetFormatPr defaultRowHeight="15" x14ac:dyDescent="0.25"/>
  <cols>
    <col min="1" max="1" width="14.28515625" customWidth="1"/>
    <col min="2" max="2" width="42.28515625" customWidth="1"/>
    <col min="3" max="3" width="15" customWidth="1"/>
    <col min="4" max="4" width="10.85546875" customWidth="1"/>
    <col min="5" max="6" width="15" customWidth="1"/>
    <col min="7" max="7" width="10.28515625" customWidth="1"/>
    <col min="8" max="8" width="12.5703125" customWidth="1"/>
    <col min="9" max="11" width="11.42578125" customWidth="1"/>
    <col min="12" max="12" width="7.42578125" customWidth="1"/>
    <col min="13" max="13" width="10.85546875" customWidth="1"/>
    <col min="14" max="14" width="12.140625" customWidth="1"/>
    <col min="15" max="15" width="36.5703125" bestFit="1" customWidth="1"/>
    <col min="16" max="17" width="20.7109375" customWidth="1"/>
    <col min="18" max="18" width="64.28515625" customWidth="1"/>
  </cols>
  <sheetData>
    <row r="1" spans="1:13" ht="36" x14ac:dyDescent="0.25">
      <c r="A1" s="33" t="s">
        <v>0</v>
      </c>
      <c r="B1" s="33" t="s">
        <v>1</v>
      </c>
      <c r="C1" s="33" t="s">
        <v>2</v>
      </c>
      <c r="D1" s="33" t="s">
        <v>3</v>
      </c>
      <c r="E1" s="33" t="s">
        <v>4</v>
      </c>
      <c r="F1" s="33" t="s">
        <v>5</v>
      </c>
      <c r="G1" s="33" t="s">
        <v>6</v>
      </c>
      <c r="H1" s="33" t="s">
        <v>7</v>
      </c>
      <c r="I1" s="33" t="s">
        <v>8</v>
      </c>
      <c r="J1" s="33" t="s">
        <v>9</v>
      </c>
    </row>
    <row r="2" spans="1:13" ht="36" x14ac:dyDescent="0.25">
      <c r="A2" s="2" t="s">
        <v>654</v>
      </c>
      <c r="B2" s="3">
        <v>12486748</v>
      </c>
      <c r="C2" s="2" t="s">
        <v>11</v>
      </c>
      <c r="D2" s="2" t="s">
        <v>12</v>
      </c>
      <c r="E2" s="4">
        <v>1</v>
      </c>
      <c r="F2" s="4">
        <v>16</v>
      </c>
      <c r="G2" s="2">
        <v>162</v>
      </c>
      <c r="H2" s="5">
        <v>4072.79</v>
      </c>
      <c r="I2" s="5">
        <v>10138.040000000001</v>
      </c>
      <c r="J2" s="2">
        <v>511</v>
      </c>
    </row>
    <row r="4" spans="1:13" s="6" customFormat="1" x14ac:dyDescent="0.25"/>
    <row r="7" spans="1:13" s="6" customFormat="1" x14ac:dyDescent="0.25"/>
    <row r="8" spans="1:13" ht="36" x14ac:dyDescent="0.25">
      <c r="A8" s="33" t="s">
        <v>13</v>
      </c>
      <c r="B8" s="33" t="s">
        <v>14</v>
      </c>
      <c r="C8" s="33" t="s">
        <v>15</v>
      </c>
      <c r="D8" s="33" t="s">
        <v>16</v>
      </c>
      <c r="E8" s="33" t="s">
        <v>17</v>
      </c>
      <c r="F8" s="33" t="s">
        <v>18</v>
      </c>
      <c r="G8" s="33" t="s">
        <v>19</v>
      </c>
      <c r="H8" s="33" t="s">
        <v>20</v>
      </c>
      <c r="I8" s="33" t="s">
        <v>21</v>
      </c>
      <c r="J8" s="33" t="s">
        <v>22</v>
      </c>
      <c r="K8" s="33" t="s">
        <v>2737</v>
      </c>
      <c r="L8" s="33" t="s">
        <v>23</v>
      </c>
      <c r="M8" s="33" t="s">
        <v>24</v>
      </c>
    </row>
    <row r="9" spans="1:13" ht="72" x14ac:dyDescent="0.25">
      <c r="A9" s="7" t="s">
        <v>14014</v>
      </c>
      <c r="B9" s="2" t="s">
        <v>14015</v>
      </c>
      <c r="C9" s="4">
        <v>1</v>
      </c>
      <c r="D9" s="5">
        <v>32</v>
      </c>
      <c r="E9" s="5">
        <v>89.99</v>
      </c>
      <c r="F9" s="4" t="s">
        <v>14016</v>
      </c>
      <c r="G9" s="2" t="s">
        <v>103</v>
      </c>
      <c r="H9" s="7" t="s">
        <v>177</v>
      </c>
      <c r="I9" s="2" t="s">
        <v>668</v>
      </c>
      <c r="J9" s="2" t="s">
        <v>239</v>
      </c>
      <c r="K9" s="2" t="s">
        <v>304</v>
      </c>
      <c r="L9" s="2" t="s">
        <v>14017</v>
      </c>
      <c r="M9" s="8" t="str">
        <f>HYPERLINK("http://slimages.macys.com/is/image/MCY/11975965 ")</f>
        <v xml:space="preserve">http://slimages.macys.com/is/image/MCY/11975965 </v>
      </c>
    </row>
    <row r="10" spans="1:13" ht="72" x14ac:dyDescent="0.25">
      <c r="A10" s="7" t="s">
        <v>14018</v>
      </c>
      <c r="B10" s="2" t="s">
        <v>14015</v>
      </c>
      <c r="C10" s="4">
        <v>1</v>
      </c>
      <c r="D10" s="5">
        <v>32</v>
      </c>
      <c r="E10" s="5">
        <v>89.99</v>
      </c>
      <c r="F10" s="4" t="s">
        <v>14016</v>
      </c>
      <c r="G10" s="2" t="s">
        <v>103</v>
      </c>
      <c r="H10" s="7" t="s">
        <v>97</v>
      </c>
      <c r="I10" s="2" t="s">
        <v>668</v>
      </c>
      <c r="J10" s="2" t="s">
        <v>239</v>
      </c>
      <c r="K10" s="2" t="s">
        <v>304</v>
      </c>
      <c r="L10" s="2" t="s">
        <v>14017</v>
      </c>
      <c r="M10" s="8" t="str">
        <f>HYPERLINK("http://slimages.macys.com/is/image/MCY/11975965 ")</f>
        <v xml:space="preserve">http://slimages.macys.com/is/image/MCY/11975965 </v>
      </c>
    </row>
    <row r="11" spans="1:13" ht="72" x14ac:dyDescent="0.25">
      <c r="A11" s="7" t="s">
        <v>14019</v>
      </c>
      <c r="B11" s="2" t="s">
        <v>14015</v>
      </c>
      <c r="C11" s="4">
        <v>1</v>
      </c>
      <c r="D11" s="5">
        <v>32</v>
      </c>
      <c r="E11" s="5">
        <v>89.99</v>
      </c>
      <c r="F11" s="4" t="s">
        <v>14016</v>
      </c>
      <c r="G11" s="2" t="s">
        <v>103</v>
      </c>
      <c r="H11" s="7" t="s">
        <v>172</v>
      </c>
      <c r="I11" s="2" t="s">
        <v>668</v>
      </c>
      <c r="J11" s="2" t="s">
        <v>239</v>
      </c>
      <c r="K11" s="2" t="s">
        <v>304</v>
      </c>
      <c r="L11" s="2" t="s">
        <v>14017</v>
      </c>
      <c r="M11" s="8" t="str">
        <f>HYPERLINK("http://slimages.macys.com/is/image/MCY/11975965 ")</f>
        <v xml:space="preserve">http://slimages.macys.com/is/image/MCY/11975965 </v>
      </c>
    </row>
    <row r="12" spans="1:13" ht="60" x14ac:dyDescent="0.25">
      <c r="A12" s="7" t="s">
        <v>14020</v>
      </c>
      <c r="B12" s="2" t="s">
        <v>14021</v>
      </c>
      <c r="C12" s="4">
        <v>1</v>
      </c>
      <c r="D12" s="5">
        <v>30</v>
      </c>
      <c r="E12" s="5">
        <v>60</v>
      </c>
      <c r="F12" s="4" t="s">
        <v>14022</v>
      </c>
      <c r="G12" s="2" t="s">
        <v>4645</v>
      </c>
      <c r="H12" s="7" t="s">
        <v>14023</v>
      </c>
      <c r="I12" s="2" t="s">
        <v>50</v>
      </c>
      <c r="J12" s="2" t="s">
        <v>51</v>
      </c>
      <c r="K12" s="2" t="s">
        <v>304</v>
      </c>
      <c r="L12" s="2" t="s">
        <v>4646</v>
      </c>
      <c r="M12" s="8" t="str">
        <f>HYPERLINK("http://slimages.macys.com/is/image/MCY/3532511 ")</f>
        <v xml:space="preserve">http://slimages.macys.com/is/image/MCY/3532511 </v>
      </c>
    </row>
    <row r="13" spans="1:13" ht="60" x14ac:dyDescent="0.25">
      <c r="A13" s="7" t="s">
        <v>14024</v>
      </c>
      <c r="B13" s="2" t="s">
        <v>40</v>
      </c>
      <c r="C13" s="4">
        <v>1</v>
      </c>
      <c r="D13" s="5">
        <v>26.75</v>
      </c>
      <c r="E13" s="5">
        <v>70</v>
      </c>
      <c r="F13" s="4">
        <v>1455</v>
      </c>
      <c r="G13" s="2" t="s">
        <v>41</v>
      </c>
      <c r="H13" s="7" t="s">
        <v>42</v>
      </c>
      <c r="I13" s="2" t="s">
        <v>43</v>
      </c>
      <c r="J13" s="2" t="s">
        <v>44</v>
      </c>
      <c r="K13" s="2" t="s">
        <v>2746</v>
      </c>
      <c r="L13" s="2" t="s">
        <v>125</v>
      </c>
      <c r="M13" s="8" t="str">
        <f>HYPERLINK("http://slimages.macys.com/is/image/MCY/928601 ")</f>
        <v xml:space="preserve">http://slimages.macys.com/is/image/MCY/928601 </v>
      </c>
    </row>
    <row r="14" spans="1:13" ht="60" x14ac:dyDescent="0.25">
      <c r="A14" s="7" t="s">
        <v>14025</v>
      </c>
      <c r="B14" s="2" t="s">
        <v>3611</v>
      </c>
      <c r="C14" s="4">
        <v>1</v>
      </c>
      <c r="D14" s="5">
        <v>24.75</v>
      </c>
      <c r="E14" s="5">
        <v>65</v>
      </c>
      <c r="F14" s="4">
        <v>1418</v>
      </c>
      <c r="G14" s="2" t="s">
        <v>41</v>
      </c>
      <c r="H14" s="7" t="s">
        <v>42</v>
      </c>
      <c r="I14" s="2" t="s">
        <v>43</v>
      </c>
      <c r="J14" s="2" t="s">
        <v>44</v>
      </c>
      <c r="K14" s="2" t="s">
        <v>304</v>
      </c>
      <c r="L14" s="2" t="s">
        <v>125</v>
      </c>
      <c r="M14" s="8" t="str">
        <f>HYPERLINK("http://slimages.macys.com/is/image/MCY/1284611 ")</f>
        <v xml:space="preserve">http://slimages.macys.com/is/image/MCY/1284611 </v>
      </c>
    </row>
    <row r="15" spans="1:13" ht="60" x14ac:dyDescent="0.25">
      <c r="A15" s="7" t="s">
        <v>13750</v>
      </c>
      <c r="B15" s="2" t="s">
        <v>1413</v>
      </c>
      <c r="C15" s="4">
        <v>1</v>
      </c>
      <c r="D15" s="5">
        <v>24.75</v>
      </c>
      <c r="E15" s="5">
        <v>55</v>
      </c>
      <c r="F15" s="4">
        <v>310752315001</v>
      </c>
      <c r="G15" s="2" t="s">
        <v>41</v>
      </c>
      <c r="H15" s="7" t="s">
        <v>675</v>
      </c>
      <c r="I15" s="2" t="s">
        <v>676</v>
      </c>
      <c r="J15" s="2" t="s">
        <v>677</v>
      </c>
      <c r="K15" s="2" t="s">
        <v>304</v>
      </c>
      <c r="L15" s="2" t="s">
        <v>38</v>
      </c>
      <c r="M15" s="8" t="str">
        <f>HYPERLINK("http://slimages.macys.com/is/image/MCY/14361795 ")</f>
        <v xml:space="preserve">http://slimages.macys.com/is/image/MCY/14361795 </v>
      </c>
    </row>
    <row r="16" spans="1:13" ht="60" x14ac:dyDescent="0.25">
      <c r="A16" s="7" t="s">
        <v>14026</v>
      </c>
      <c r="B16" s="2" t="s">
        <v>13752</v>
      </c>
      <c r="C16" s="4">
        <v>1</v>
      </c>
      <c r="D16" s="5">
        <v>24.75</v>
      </c>
      <c r="E16" s="5">
        <v>55</v>
      </c>
      <c r="F16" s="4">
        <v>310767929001</v>
      </c>
      <c r="G16" s="2" t="s">
        <v>28</v>
      </c>
      <c r="H16" s="7" t="s">
        <v>675</v>
      </c>
      <c r="I16" s="2" t="s">
        <v>676</v>
      </c>
      <c r="J16" s="2" t="s">
        <v>677</v>
      </c>
      <c r="K16" s="2" t="s">
        <v>304</v>
      </c>
      <c r="L16" s="2" t="s">
        <v>38</v>
      </c>
      <c r="M16" s="8" t="str">
        <f>HYPERLINK("http://slimages.macys.com/is/image/MCY/14361796 ")</f>
        <v xml:space="preserve">http://slimages.macys.com/is/image/MCY/14361796 </v>
      </c>
    </row>
    <row r="17" spans="1:13" ht="96" x14ac:dyDescent="0.25">
      <c r="A17" s="7" t="s">
        <v>14027</v>
      </c>
      <c r="B17" s="2" t="s">
        <v>14028</v>
      </c>
      <c r="C17" s="4">
        <v>1</v>
      </c>
      <c r="D17" s="5">
        <v>23</v>
      </c>
      <c r="E17" s="5">
        <v>54.99</v>
      </c>
      <c r="F17" s="4" t="s">
        <v>14029</v>
      </c>
      <c r="G17" s="2" t="s">
        <v>41</v>
      </c>
      <c r="H17" s="7" t="s">
        <v>63</v>
      </c>
      <c r="I17" s="2" t="s">
        <v>668</v>
      </c>
      <c r="J17" s="2" t="s">
        <v>672</v>
      </c>
      <c r="K17" s="2" t="s">
        <v>304</v>
      </c>
      <c r="L17" s="2" t="s">
        <v>14030</v>
      </c>
      <c r="M17" s="8" t="str">
        <f>HYPERLINK("http://slimages.macys.com/is/image/MCY/9588740 ")</f>
        <v xml:space="preserve">http://slimages.macys.com/is/image/MCY/9588740 </v>
      </c>
    </row>
    <row r="18" spans="1:13" ht="96" x14ac:dyDescent="0.25">
      <c r="A18" s="7" t="s">
        <v>14031</v>
      </c>
      <c r="B18" s="2" t="s">
        <v>14028</v>
      </c>
      <c r="C18" s="4">
        <v>1</v>
      </c>
      <c r="D18" s="5">
        <v>23</v>
      </c>
      <c r="E18" s="5">
        <v>54.99</v>
      </c>
      <c r="F18" s="4" t="s">
        <v>14029</v>
      </c>
      <c r="G18" s="2" t="s">
        <v>41</v>
      </c>
      <c r="H18" s="7" t="s">
        <v>311</v>
      </c>
      <c r="I18" s="2" t="s">
        <v>668</v>
      </c>
      <c r="J18" s="2" t="s">
        <v>672</v>
      </c>
      <c r="K18" s="2" t="s">
        <v>304</v>
      </c>
      <c r="L18" s="2" t="s">
        <v>14030</v>
      </c>
      <c r="M18" s="8" t="str">
        <f>HYPERLINK("http://slimages.macys.com/is/image/MCY/9588740 ")</f>
        <v xml:space="preserve">http://slimages.macys.com/is/image/MCY/9588740 </v>
      </c>
    </row>
    <row r="19" spans="1:13" ht="60" x14ac:dyDescent="0.25">
      <c r="A19" s="7" t="s">
        <v>10770</v>
      </c>
      <c r="B19" s="2" t="s">
        <v>40</v>
      </c>
      <c r="C19" s="4">
        <v>1</v>
      </c>
      <c r="D19" s="5">
        <v>21</v>
      </c>
      <c r="E19" s="5">
        <v>55</v>
      </c>
      <c r="F19" s="4">
        <v>1201</v>
      </c>
      <c r="G19" s="2" t="s">
        <v>41</v>
      </c>
      <c r="H19" s="7"/>
      <c r="I19" s="2" t="s">
        <v>43</v>
      </c>
      <c r="J19" s="2" t="s">
        <v>44</v>
      </c>
      <c r="K19" s="2" t="s">
        <v>2746</v>
      </c>
      <c r="L19" s="2" t="s">
        <v>125</v>
      </c>
      <c r="M19" s="8" t="str">
        <f>HYPERLINK("http://slimages.macys.com/is/image/MCY/1087909 ")</f>
        <v xml:space="preserve">http://slimages.macys.com/is/image/MCY/1087909 </v>
      </c>
    </row>
    <row r="20" spans="1:13" ht="60" x14ac:dyDescent="0.25">
      <c r="A20" s="7" t="s">
        <v>14032</v>
      </c>
      <c r="B20" s="2" t="s">
        <v>14033</v>
      </c>
      <c r="C20" s="4">
        <v>1</v>
      </c>
      <c r="D20" s="5">
        <v>20</v>
      </c>
      <c r="E20" s="5">
        <v>20</v>
      </c>
      <c r="F20" s="4" t="s">
        <v>14034</v>
      </c>
      <c r="G20" s="2" t="s">
        <v>62</v>
      </c>
      <c r="H20" s="7" t="s">
        <v>104</v>
      </c>
      <c r="I20" s="2" t="s">
        <v>50</v>
      </c>
      <c r="J20" s="2" t="s">
        <v>51</v>
      </c>
      <c r="K20" s="2" t="s">
        <v>304</v>
      </c>
      <c r="L20" s="2" t="s">
        <v>4646</v>
      </c>
      <c r="M20" s="8" t="str">
        <f>HYPERLINK("http://slimages.macys.com/is/image/MCY/3532518 ")</f>
        <v xml:space="preserve">http://slimages.macys.com/is/image/MCY/3532518 </v>
      </c>
    </row>
    <row r="21" spans="1:13" ht="60" x14ac:dyDescent="0.25">
      <c r="A21" s="7" t="s">
        <v>14035</v>
      </c>
      <c r="B21" s="2" t="s">
        <v>14036</v>
      </c>
      <c r="C21" s="4">
        <v>1</v>
      </c>
      <c r="D21" s="5">
        <v>20</v>
      </c>
      <c r="E21" s="5">
        <v>40</v>
      </c>
      <c r="F21" s="4">
        <v>1330640</v>
      </c>
      <c r="G21" s="2" t="s">
        <v>86</v>
      </c>
      <c r="H21" s="7" t="s">
        <v>228</v>
      </c>
      <c r="I21" s="2" t="s">
        <v>80</v>
      </c>
      <c r="J21" s="2" t="s">
        <v>280</v>
      </c>
      <c r="K21" s="2" t="s">
        <v>304</v>
      </c>
      <c r="L21" s="2" t="s">
        <v>4809</v>
      </c>
      <c r="M21" s="8" t="str">
        <f>HYPERLINK("http://slimages.macys.com/is/image/MCY/12291420 ")</f>
        <v xml:space="preserve">http://slimages.macys.com/is/image/MCY/12291420 </v>
      </c>
    </row>
    <row r="22" spans="1:13" ht="60" x14ac:dyDescent="0.25">
      <c r="A22" s="7" t="s">
        <v>14037</v>
      </c>
      <c r="B22" s="2" t="s">
        <v>3627</v>
      </c>
      <c r="C22" s="4">
        <v>1</v>
      </c>
      <c r="D22" s="5">
        <v>19.25</v>
      </c>
      <c r="E22" s="5">
        <v>42.99</v>
      </c>
      <c r="F22" s="4" t="s">
        <v>3628</v>
      </c>
      <c r="G22" s="2" t="s">
        <v>165</v>
      </c>
      <c r="H22" s="7" t="s">
        <v>266</v>
      </c>
      <c r="I22" s="2" t="s">
        <v>73</v>
      </c>
      <c r="J22" s="2" t="s">
        <v>249</v>
      </c>
      <c r="K22" s="2" t="s">
        <v>304</v>
      </c>
      <c r="L22" s="2" t="s">
        <v>3629</v>
      </c>
      <c r="M22" s="8" t="str">
        <f>HYPERLINK("http://slimages.macys.com/is/image/MCY/14803983 ")</f>
        <v xml:space="preserve">http://slimages.macys.com/is/image/MCY/14803983 </v>
      </c>
    </row>
    <row r="23" spans="1:13" ht="60" x14ac:dyDescent="0.25">
      <c r="A23" s="7" t="s">
        <v>3635</v>
      </c>
      <c r="B23" s="2" t="s">
        <v>77</v>
      </c>
      <c r="C23" s="4">
        <v>1</v>
      </c>
      <c r="D23" s="5">
        <v>18.899999999999999</v>
      </c>
      <c r="E23" s="5">
        <v>45</v>
      </c>
      <c r="F23" s="4" t="s">
        <v>78</v>
      </c>
      <c r="G23" s="2" t="s">
        <v>79</v>
      </c>
      <c r="H23" s="7"/>
      <c r="I23" s="2" t="s">
        <v>80</v>
      </c>
      <c r="J23" s="2" t="s">
        <v>74</v>
      </c>
      <c r="K23" s="2" t="s">
        <v>304</v>
      </c>
      <c r="L23" s="2" t="s">
        <v>81</v>
      </c>
      <c r="M23" s="8" t="str">
        <f>HYPERLINK("http://slimages.macys.com/is/image/MCY/11281574 ")</f>
        <v xml:space="preserve">http://slimages.macys.com/is/image/MCY/11281574 </v>
      </c>
    </row>
    <row r="24" spans="1:13" ht="60" x14ac:dyDescent="0.25">
      <c r="A24" s="7" t="s">
        <v>14038</v>
      </c>
      <c r="B24" s="2" t="s">
        <v>710</v>
      </c>
      <c r="C24" s="4">
        <v>1</v>
      </c>
      <c r="D24" s="5">
        <v>18.5</v>
      </c>
      <c r="E24" s="5">
        <v>37</v>
      </c>
      <c r="F24" s="4" t="s">
        <v>14039</v>
      </c>
      <c r="G24" s="2" t="s">
        <v>171</v>
      </c>
      <c r="H24" s="7" t="s">
        <v>118</v>
      </c>
      <c r="I24" s="2" t="s">
        <v>30</v>
      </c>
      <c r="J24" s="2" t="s">
        <v>31</v>
      </c>
      <c r="K24" s="2" t="s">
        <v>304</v>
      </c>
      <c r="L24" s="2" t="s">
        <v>38</v>
      </c>
      <c r="M24" s="8" t="str">
        <f>HYPERLINK("http://slimages.macys.com/is/image/MCY/11831270 ")</f>
        <v xml:space="preserve">http://slimages.macys.com/is/image/MCY/11831270 </v>
      </c>
    </row>
    <row r="25" spans="1:13" ht="60" x14ac:dyDescent="0.25">
      <c r="A25" s="7" t="s">
        <v>14040</v>
      </c>
      <c r="B25" s="2" t="s">
        <v>5828</v>
      </c>
      <c r="C25" s="4">
        <v>1</v>
      </c>
      <c r="D25" s="5">
        <v>17.78</v>
      </c>
      <c r="E25" s="5">
        <v>39.5</v>
      </c>
      <c r="F25" s="4">
        <v>322750003003</v>
      </c>
      <c r="G25" s="2" t="s">
        <v>28</v>
      </c>
      <c r="H25" s="7" t="s">
        <v>123</v>
      </c>
      <c r="I25" s="2" t="s">
        <v>204</v>
      </c>
      <c r="J25" s="2" t="s">
        <v>205</v>
      </c>
      <c r="K25" s="2" t="s">
        <v>304</v>
      </c>
      <c r="L25" s="2" t="s">
        <v>38</v>
      </c>
      <c r="M25" s="8" t="str">
        <f>HYPERLINK("http://slimages.macys.com/is/image/MCY/16270161 ")</f>
        <v xml:space="preserve">http://slimages.macys.com/is/image/MCY/16270161 </v>
      </c>
    </row>
    <row r="26" spans="1:13" ht="108" x14ac:dyDescent="0.25">
      <c r="A26" s="7" t="s">
        <v>2460</v>
      </c>
      <c r="B26" s="2" t="s">
        <v>2461</v>
      </c>
      <c r="C26" s="4">
        <v>3</v>
      </c>
      <c r="D26" s="5">
        <v>17.25</v>
      </c>
      <c r="E26" s="5">
        <v>39.99</v>
      </c>
      <c r="F26" s="4" t="s">
        <v>2462</v>
      </c>
      <c r="G26" s="2" t="s">
        <v>129</v>
      </c>
      <c r="H26" s="7" t="s">
        <v>91</v>
      </c>
      <c r="I26" s="2" t="s">
        <v>92</v>
      </c>
      <c r="J26" s="2" t="s">
        <v>187</v>
      </c>
      <c r="K26" s="2" t="s">
        <v>304</v>
      </c>
      <c r="L26" s="2" t="s">
        <v>2463</v>
      </c>
      <c r="M26" s="8" t="str">
        <f>HYPERLINK("http://slimages.macys.com/is/image/MCY/14885619 ")</f>
        <v xml:space="preserve">http://slimages.macys.com/is/image/MCY/14885619 </v>
      </c>
    </row>
    <row r="27" spans="1:13" ht="108" x14ac:dyDescent="0.25">
      <c r="A27" s="7" t="s">
        <v>13198</v>
      </c>
      <c r="B27" s="2" t="s">
        <v>2461</v>
      </c>
      <c r="C27" s="4">
        <v>1</v>
      </c>
      <c r="D27" s="5">
        <v>17.25</v>
      </c>
      <c r="E27" s="5">
        <v>39.99</v>
      </c>
      <c r="F27" s="4" t="s">
        <v>2462</v>
      </c>
      <c r="G27" s="2" t="s">
        <v>129</v>
      </c>
      <c r="H27" s="7" t="s">
        <v>149</v>
      </c>
      <c r="I27" s="2" t="s">
        <v>92</v>
      </c>
      <c r="J27" s="2" t="s">
        <v>187</v>
      </c>
      <c r="K27" s="2" t="s">
        <v>304</v>
      </c>
      <c r="L27" s="2" t="s">
        <v>2463</v>
      </c>
      <c r="M27" s="8" t="str">
        <f>HYPERLINK("http://slimages.macys.com/is/image/MCY/14885619 ")</f>
        <v xml:space="preserve">http://slimages.macys.com/is/image/MCY/14885619 </v>
      </c>
    </row>
    <row r="28" spans="1:13" ht="108" x14ac:dyDescent="0.25">
      <c r="A28" s="7" t="s">
        <v>13199</v>
      </c>
      <c r="B28" s="2" t="s">
        <v>2461</v>
      </c>
      <c r="C28" s="4">
        <v>1</v>
      </c>
      <c r="D28" s="5">
        <v>17.25</v>
      </c>
      <c r="E28" s="5">
        <v>39.99</v>
      </c>
      <c r="F28" s="4" t="s">
        <v>2462</v>
      </c>
      <c r="G28" s="2" t="s">
        <v>129</v>
      </c>
      <c r="H28" s="7" t="s">
        <v>442</v>
      </c>
      <c r="I28" s="2" t="s">
        <v>92</v>
      </c>
      <c r="J28" s="2" t="s">
        <v>187</v>
      </c>
      <c r="K28" s="2" t="s">
        <v>304</v>
      </c>
      <c r="L28" s="2" t="s">
        <v>2463</v>
      </c>
      <c r="M28" s="8" t="str">
        <f>HYPERLINK("http://slimages.macys.com/is/image/MCY/14885619 ")</f>
        <v xml:space="preserve">http://slimages.macys.com/is/image/MCY/14885619 </v>
      </c>
    </row>
    <row r="29" spans="1:13" ht="264" x14ac:dyDescent="0.25">
      <c r="A29" s="7" t="s">
        <v>13527</v>
      </c>
      <c r="B29" s="2" t="s">
        <v>13208</v>
      </c>
      <c r="C29" s="4">
        <v>2</v>
      </c>
      <c r="D29" s="5">
        <v>16.75</v>
      </c>
      <c r="E29" s="5">
        <v>39.99</v>
      </c>
      <c r="F29" s="4" t="s">
        <v>13209</v>
      </c>
      <c r="G29" s="2" t="s">
        <v>129</v>
      </c>
      <c r="H29" s="7" t="s">
        <v>91</v>
      </c>
      <c r="I29" s="2" t="s">
        <v>92</v>
      </c>
      <c r="J29" s="2" t="s">
        <v>187</v>
      </c>
      <c r="K29" s="2" t="s">
        <v>304</v>
      </c>
      <c r="L29" s="2" t="s">
        <v>13210</v>
      </c>
      <c r="M29" s="8" t="str">
        <f>HYPERLINK("http://slimages.macys.com/is/image/MCY/14802453 ")</f>
        <v xml:space="preserve">http://slimages.macys.com/is/image/MCY/14802453 </v>
      </c>
    </row>
    <row r="30" spans="1:13" ht="180" x14ac:dyDescent="0.25">
      <c r="A30" s="7" t="s">
        <v>14041</v>
      </c>
      <c r="B30" s="2" t="s">
        <v>1450</v>
      </c>
      <c r="C30" s="4">
        <v>1</v>
      </c>
      <c r="D30" s="5">
        <v>16.5</v>
      </c>
      <c r="E30" s="5">
        <v>39.99</v>
      </c>
      <c r="F30" s="4" t="s">
        <v>1451</v>
      </c>
      <c r="G30" s="2" t="s">
        <v>103</v>
      </c>
      <c r="H30" s="7" t="s">
        <v>149</v>
      </c>
      <c r="I30" s="2" t="s">
        <v>92</v>
      </c>
      <c r="J30" s="2" t="s">
        <v>239</v>
      </c>
      <c r="K30" s="2" t="s">
        <v>304</v>
      </c>
      <c r="L30" s="2" t="s">
        <v>1452</v>
      </c>
      <c r="M30" s="8" t="str">
        <f>HYPERLINK("http://slimages.macys.com/is/image/MCY/14989365 ")</f>
        <v xml:space="preserve">http://slimages.macys.com/is/image/MCY/14989365 </v>
      </c>
    </row>
    <row r="31" spans="1:13" ht="120" x14ac:dyDescent="0.25">
      <c r="A31" s="7" t="s">
        <v>13528</v>
      </c>
      <c r="B31" s="2" t="s">
        <v>1454</v>
      </c>
      <c r="C31" s="4">
        <v>1</v>
      </c>
      <c r="D31" s="5">
        <v>16.5</v>
      </c>
      <c r="E31" s="5">
        <v>39.99</v>
      </c>
      <c r="F31" s="4" t="s">
        <v>1455</v>
      </c>
      <c r="G31" s="2" t="s">
        <v>103</v>
      </c>
      <c r="H31" s="7" t="s">
        <v>149</v>
      </c>
      <c r="I31" s="2" t="s">
        <v>92</v>
      </c>
      <c r="J31" s="2" t="s">
        <v>65</v>
      </c>
      <c r="K31" s="2" t="s">
        <v>304</v>
      </c>
      <c r="L31" s="2" t="s">
        <v>1456</v>
      </c>
      <c r="M31" s="8" t="str">
        <f>HYPERLINK("http://slimages.macys.com/is/image/MCY/13965178 ")</f>
        <v xml:space="preserve">http://slimages.macys.com/is/image/MCY/13965178 </v>
      </c>
    </row>
    <row r="32" spans="1:13" ht="84" x14ac:dyDescent="0.25">
      <c r="A32" s="7" t="s">
        <v>3664</v>
      </c>
      <c r="B32" s="2" t="s">
        <v>1458</v>
      </c>
      <c r="C32" s="4">
        <v>1</v>
      </c>
      <c r="D32" s="5">
        <v>16</v>
      </c>
      <c r="E32" s="5">
        <v>39.99</v>
      </c>
      <c r="F32" s="4" t="s">
        <v>1459</v>
      </c>
      <c r="G32" s="2" t="s">
        <v>129</v>
      </c>
      <c r="H32" s="7" t="s">
        <v>42</v>
      </c>
      <c r="I32" s="2" t="s">
        <v>92</v>
      </c>
      <c r="J32" s="2" t="s">
        <v>239</v>
      </c>
      <c r="K32" s="2" t="s">
        <v>304</v>
      </c>
      <c r="L32" s="2" t="s">
        <v>1460</v>
      </c>
      <c r="M32" s="8" t="str">
        <f>HYPERLINK("http://slimages.macys.com/is/image/MCY/14989246 ")</f>
        <v xml:space="preserve">http://slimages.macys.com/is/image/MCY/14989246 </v>
      </c>
    </row>
    <row r="33" spans="1:13" ht="60" x14ac:dyDescent="0.25">
      <c r="A33" s="7" t="s">
        <v>14042</v>
      </c>
      <c r="B33" s="2" t="s">
        <v>14043</v>
      </c>
      <c r="C33" s="4">
        <v>1</v>
      </c>
      <c r="D33" s="5">
        <v>16</v>
      </c>
      <c r="E33" s="5">
        <v>39.99</v>
      </c>
      <c r="F33" s="4" t="s">
        <v>14044</v>
      </c>
      <c r="G33" s="2" t="s">
        <v>800</v>
      </c>
      <c r="H33" s="7" t="s">
        <v>91</v>
      </c>
      <c r="I33" s="2" t="s">
        <v>92</v>
      </c>
      <c r="J33" s="2" t="s">
        <v>3633</v>
      </c>
      <c r="K33" s="2" t="s">
        <v>304</v>
      </c>
      <c r="L33" s="2" t="s">
        <v>3629</v>
      </c>
      <c r="M33" s="8" t="str">
        <f>HYPERLINK("http://slimages.macys.com/is/image/MCY/14543093 ")</f>
        <v xml:space="preserve">http://slimages.macys.com/is/image/MCY/14543093 </v>
      </c>
    </row>
    <row r="34" spans="1:13" ht="60" x14ac:dyDescent="0.25">
      <c r="A34" s="7" t="s">
        <v>14045</v>
      </c>
      <c r="B34" s="2" t="s">
        <v>14046</v>
      </c>
      <c r="C34" s="4">
        <v>1</v>
      </c>
      <c r="D34" s="5">
        <v>15.8</v>
      </c>
      <c r="E34" s="5">
        <v>39.5</v>
      </c>
      <c r="F34" s="4">
        <v>321552481001</v>
      </c>
      <c r="G34" s="2" t="s">
        <v>41</v>
      </c>
      <c r="H34" s="7" t="s">
        <v>209</v>
      </c>
      <c r="I34" s="2" t="s">
        <v>204</v>
      </c>
      <c r="J34" s="2" t="s">
        <v>205</v>
      </c>
      <c r="K34" s="2" t="s">
        <v>304</v>
      </c>
      <c r="L34" s="2" t="s">
        <v>87</v>
      </c>
      <c r="M34" s="8" t="str">
        <f>HYPERLINK("http://slimages.macys.com/is/image/MCY/8901444 ")</f>
        <v xml:space="preserve">http://slimages.macys.com/is/image/MCY/8901444 </v>
      </c>
    </row>
    <row r="35" spans="1:13" ht="60" x14ac:dyDescent="0.25">
      <c r="A35" s="7" t="s">
        <v>14047</v>
      </c>
      <c r="B35" s="2" t="s">
        <v>14048</v>
      </c>
      <c r="C35" s="4">
        <v>1</v>
      </c>
      <c r="D35" s="5">
        <v>15.58</v>
      </c>
      <c r="E35" s="5">
        <v>31.99</v>
      </c>
      <c r="F35" s="4">
        <v>939447</v>
      </c>
      <c r="G35" s="2" t="s">
        <v>667</v>
      </c>
      <c r="H35" s="7" t="s">
        <v>159</v>
      </c>
      <c r="I35" s="2" t="s">
        <v>73</v>
      </c>
      <c r="J35" s="2" t="s">
        <v>160</v>
      </c>
      <c r="K35" s="2" t="s">
        <v>304</v>
      </c>
      <c r="L35" s="2" t="s">
        <v>100</v>
      </c>
      <c r="M35" s="8" t="str">
        <f>HYPERLINK("http://slimages.macys.com/is/image/MCY/12874401 ")</f>
        <v xml:space="preserve">http://slimages.macys.com/is/image/MCY/12874401 </v>
      </c>
    </row>
    <row r="36" spans="1:13" ht="60" x14ac:dyDescent="0.25">
      <c r="A36" s="7" t="s">
        <v>14049</v>
      </c>
      <c r="B36" s="2" t="s">
        <v>14048</v>
      </c>
      <c r="C36" s="4">
        <v>1</v>
      </c>
      <c r="D36" s="5">
        <v>15.58</v>
      </c>
      <c r="E36" s="5">
        <v>31.99</v>
      </c>
      <c r="F36" s="4">
        <v>939447</v>
      </c>
      <c r="G36" s="2" t="s">
        <v>165</v>
      </c>
      <c r="H36" s="7" t="s">
        <v>159</v>
      </c>
      <c r="I36" s="2" t="s">
        <v>73</v>
      </c>
      <c r="J36" s="2" t="s">
        <v>160</v>
      </c>
      <c r="K36" s="2" t="s">
        <v>304</v>
      </c>
      <c r="L36" s="2" t="s">
        <v>100</v>
      </c>
      <c r="M36" s="8" t="str">
        <f>HYPERLINK("http://slimages.macys.com/is/image/MCY/13336378 ")</f>
        <v xml:space="preserve">http://slimages.macys.com/is/image/MCY/13336378 </v>
      </c>
    </row>
    <row r="37" spans="1:13" ht="60" x14ac:dyDescent="0.25">
      <c r="A37" s="7" t="s">
        <v>14050</v>
      </c>
      <c r="B37" s="2" t="s">
        <v>6139</v>
      </c>
      <c r="C37" s="4">
        <v>1</v>
      </c>
      <c r="D37" s="5">
        <v>15.57</v>
      </c>
      <c r="E37" s="5">
        <v>31.99</v>
      </c>
      <c r="F37" s="4" t="s">
        <v>3675</v>
      </c>
      <c r="G37" s="2" t="s">
        <v>79</v>
      </c>
      <c r="H37" s="7" t="s">
        <v>217</v>
      </c>
      <c r="I37" s="2" t="s">
        <v>80</v>
      </c>
      <c r="J37" s="2" t="s">
        <v>160</v>
      </c>
      <c r="K37" s="2" t="s">
        <v>304</v>
      </c>
      <c r="L37" s="2" t="s">
        <v>125</v>
      </c>
      <c r="M37" s="8" t="str">
        <f>HYPERLINK("http://slimages.macys.com/is/image/MCY/11485889 ")</f>
        <v xml:space="preserve">http://slimages.macys.com/is/image/MCY/11485889 </v>
      </c>
    </row>
    <row r="38" spans="1:13" ht="60" x14ac:dyDescent="0.25">
      <c r="A38" s="7" t="s">
        <v>14051</v>
      </c>
      <c r="B38" s="2" t="s">
        <v>14052</v>
      </c>
      <c r="C38" s="4">
        <v>1</v>
      </c>
      <c r="D38" s="5">
        <v>15.2</v>
      </c>
      <c r="E38" s="5">
        <v>40</v>
      </c>
      <c r="F38" s="4" t="s">
        <v>14053</v>
      </c>
      <c r="G38" s="2" t="s">
        <v>86</v>
      </c>
      <c r="H38" s="7" t="s">
        <v>166</v>
      </c>
      <c r="I38" s="2" t="s">
        <v>700</v>
      </c>
      <c r="J38" s="2" t="s">
        <v>1721</v>
      </c>
      <c r="K38" s="2" t="s">
        <v>304</v>
      </c>
      <c r="L38" s="2" t="s">
        <v>13767</v>
      </c>
      <c r="M38" s="8" t="str">
        <f>HYPERLINK("http://slimages.macys.com/is/image/MCY/14719398 ")</f>
        <v xml:space="preserve">http://slimages.macys.com/is/image/MCY/14719398 </v>
      </c>
    </row>
    <row r="39" spans="1:13" ht="72" x14ac:dyDescent="0.25">
      <c r="A39" s="7" t="s">
        <v>13769</v>
      </c>
      <c r="B39" s="2" t="s">
        <v>735</v>
      </c>
      <c r="C39" s="4">
        <v>1</v>
      </c>
      <c r="D39" s="5">
        <v>15</v>
      </c>
      <c r="E39" s="5">
        <v>39.99</v>
      </c>
      <c r="F39" s="4" t="s">
        <v>736</v>
      </c>
      <c r="G39" s="2" t="s">
        <v>595</v>
      </c>
      <c r="H39" s="7" t="s">
        <v>442</v>
      </c>
      <c r="I39" s="2" t="s">
        <v>92</v>
      </c>
      <c r="J39" s="2" t="s">
        <v>239</v>
      </c>
      <c r="K39" s="2" t="s">
        <v>304</v>
      </c>
      <c r="L39" s="2" t="s">
        <v>737</v>
      </c>
      <c r="M39" s="8" t="str">
        <f>HYPERLINK("http://slimages.macys.com/is/image/MCY/14989275 ")</f>
        <v xml:space="preserve">http://slimages.macys.com/is/image/MCY/14989275 </v>
      </c>
    </row>
    <row r="40" spans="1:13" ht="180" x14ac:dyDescent="0.25">
      <c r="A40" s="7" t="s">
        <v>13218</v>
      </c>
      <c r="B40" s="2" t="s">
        <v>13219</v>
      </c>
      <c r="C40" s="4">
        <v>1</v>
      </c>
      <c r="D40" s="5">
        <v>15</v>
      </c>
      <c r="E40" s="5">
        <v>39.99</v>
      </c>
      <c r="F40" s="4" t="s">
        <v>13220</v>
      </c>
      <c r="G40" s="2" t="s">
        <v>595</v>
      </c>
      <c r="H40" s="7" t="s">
        <v>42</v>
      </c>
      <c r="I40" s="2" t="s">
        <v>92</v>
      </c>
      <c r="J40" s="2" t="s">
        <v>239</v>
      </c>
      <c r="K40" s="2" t="s">
        <v>304</v>
      </c>
      <c r="L40" s="2" t="s">
        <v>1452</v>
      </c>
      <c r="M40" s="8" t="str">
        <f>HYPERLINK("http://slimages.macys.com/is/image/MCY/14988479 ")</f>
        <v xml:space="preserve">http://slimages.macys.com/is/image/MCY/14988479 </v>
      </c>
    </row>
    <row r="41" spans="1:13" ht="60" x14ac:dyDescent="0.25">
      <c r="A41" s="7" t="s">
        <v>1480</v>
      </c>
      <c r="B41" s="2" t="s">
        <v>1481</v>
      </c>
      <c r="C41" s="4">
        <v>1</v>
      </c>
      <c r="D41" s="5">
        <v>15</v>
      </c>
      <c r="E41" s="5">
        <v>39.99</v>
      </c>
      <c r="F41" s="4" t="s">
        <v>1482</v>
      </c>
      <c r="G41" s="2" t="s">
        <v>103</v>
      </c>
      <c r="H41" s="7" t="s">
        <v>149</v>
      </c>
      <c r="I41" s="2" t="s">
        <v>92</v>
      </c>
      <c r="J41" s="2" t="s">
        <v>239</v>
      </c>
      <c r="K41" s="2" t="s">
        <v>304</v>
      </c>
      <c r="L41" s="2" t="s">
        <v>125</v>
      </c>
      <c r="M41" s="8" t="str">
        <f>HYPERLINK("http://slimages.macys.com/is/image/MCY/15071393 ")</f>
        <v xml:space="preserve">http://slimages.macys.com/is/image/MCY/15071393 </v>
      </c>
    </row>
    <row r="42" spans="1:13" ht="180" x14ac:dyDescent="0.25">
      <c r="A42" s="7" t="s">
        <v>13537</v>
      </c>
      <c r="B42" s="2" t="s">
        <v>3698</v>
      </c>
      <c r="C42" s="4">
        <v>1</v>
      </c>
      <c r="D42" s="5">
        <v>14.5</v>
      </c>
      <c r="E42" s="5">
        <v>39.99</v>
      </c>
      <c r="F42" s="4" t="s">
        <v>3699</v>
      </c>
      <c r="G42" s="2" t="s">
        <v>62</v>
      </c>
      <c r="H42" s="7" t="s">
        <v>590</v>
      </c>
      <c r="I42" s="2" t="s">
        <v>92</v>
      </c>
      <c r="J42" s="2" t="s">
        <v>239</v>
      </c>
      <c r="K42" s="2" t="s">
        <v>304</v>
      </c>
      <c r="L42" s="2" t="s">
        <v>1452</v>
      </c>
      <c r="M42" s="8" t="str">
        <f>HYPERLINK("http://slimages.macys.com/is/image/MCY/14989303 ")</f>
        <v xml:space="preserve">http://slimages.macys.com/is/image/MCY/14989303 </v>
      </c>
    </row>
    <row r="43" spans="1:13" ht="216" x14ac:dyDescent="0.25">
      <c r="A43" s="7" t="s">
        <v>13540</v>
      </c>
      <c r="B43" s="2" t="s">
        <v>3701</v>
      </c>
      <c r="C43" s="4">
        <v>1</v>
      </c>
      <c r="D43" s="5">
        <v>14.5</v>
      </c>
      <c r="E43" s="5">
        <v>34.99</v>
      </c>
      <c r="F43" s="4" t="s">
        <v>3702</v>
      </c>
      <c r="G43" s="2" t="s">
        <v>752</v>
      </c>
      <c r="H43" s="7" t="s">
        <v>442</v>
      </c>
      <c r="I43" s="2" t="s">
        <v>92</v>
      </c>
      <c r="J43" s="2" t="s">
        <v>65</v>
      </c>
      <c r="K43" s="2" t="s">
        <v>304</v>
      </c>
      <c r="L43" s="2" t="s">
        <v>3703</v>
      </c>
      <c r="M43" s="8" t="str">
        <f>HYPERLINK("http://slimages.macys.com/is/image/MCY/16148944 ")</f>
        <v xml:space="preserve">http://slimages.macys.com/is/image/MCY/16148944 </v>
      </c>
    </row>
    <row r="44" spans="1:13" ht="216" x14ac:dyDescent="0.25">
      <c r="A44" s="7" t="s">
        <v>13227</v>
      </c>
      <c r="B44" s="2" t="s">
        <v>3701</v>
      </c>
      <c r="C44" s="4">
        <v>1</v>
      </c>
      <c r="D44" s="5">
        <v>14.5</v>
      </c>
      <c r="E44" s="5">
        <v>34.99</v>
      </c>
      <c r="F44" s="4" t="s">
        <v>3702</v>
      </c>
      <c r="G44" s="2" t="s">
        <v>752</v>
      </c>
      <c r="H44" s="7" t="s">
        <v>590</v>
      </c>
      <c r="I44" s="2" t="s">
        <v>92</v>
      </c>
      <c r="J44" s="2" t="s">
        <v>65</v>
      </c>
      <c r="K44" s="2" t="s">
        <v>304</v>
      </c>
      <c r="L44" s="2" t="s">
        <v>3703</v>
      </c>
      <c r="M44" s="8" t="str">
        <f>HYPERLINK("http://slimages.macys.com/is/image/MCY/16148944 ")</f>
        <v xml:space="preserve">http://slimages.macys.com/is/image/MCY/16148944 </v>
      </c>
    </row>
    <row r="45" spans="1:13" ht="180" x14ac:dyDescent="0.25">
      <c r="A45" s="7" t="s">
        <v>5196</v>
      </c>
      <c r="B45" s="2" t="s">
        <v>3698</v>
      </c>
      <c r="C45" s="4">
        <v>2</v>
      </c>
      <c r="D45" s="5">
        <v>14.5</v>
      </c>
      <c r="E45" s="5">
        <v>39.99</v>
      </c>
      <c r="F45" s="4" t="s">
        <v>3699</v>
      </c>
      <c r="G45" s="2" t="s">
        <v>62</v>
      </c>
      <c r="H45" s="7" t="s">
        <v>42</v>
      </c>
      <c r="I45" s="2" t="s">
        <v>92</v>
      </c>
      <c r="J45" s="2" t="s">
        <v>239</v>
      </c>
      <c r="K45" s="2" t="s">
        <v>304</v>
      </c>
      <c r="L45" s="2" t="s">
        <v>1452</v>
      </c>
      <c r="M45" s="8" t="str">
        <f>HYPERLINK("http://slimages.macys.com/is/image/MCY/14989303 ")</f>
        <v xml:space="preserve">http://slimages.macys.com/is/image/MCY/14989303 </v>
      </c>
    </row>
    <row r="46" spans="1:13" ht="180" x14ac:dyDescent="0.25">
      <c r="A46" s="7" t="s">
        <v>5197</v>
      </c>
      <c r="B46" s="2" t="s">
        <v>3698</v>
      </c>
      <c r="C46" s="4">
        <v>1</v>
      </c>
      <c r="D46" s="5">
        <v>14.5</v>
      </c>
      <c r="E46" s="5">
        <v>39.99</v>
      </c>
      <c r="F46" s="4" t="s">
        <v>3699</v>
      </c>
      <c r="G46" s="2" t="s">
        <v>62</v>
      </c>
      <c r="H46" s="7" t="s">
        <v>91</v>
      </c>
      <c r="I46" s="2" t="s">
        <v>92</v>
      </c>
      <c r="J46" s="2" t="s">
        <v>239</v>
      </c>
      <c r="K46" s="2" t="s">
        <v>304</v>
      </c>
      <c r="L46" s="2" t="s">
        <v>1452</v>
      </c>
      <c r="M46" s="8" t="str">
        <f>HYPERLINK("http://slimages.macys.com/is/image/MCY/14989303 ")</f>
        <v xml:space="preserve">http://slimages.macys.com/is/image/MCY/14989303 </v>
      </c>
    </row>
    <row r="47" spans="1:13" ht="180" x14ac:dyDescent="0.25">
      <c r="A47" s="7" t="s">
        <v>13250</v>
      </c>
      <c r="B47" s="2" t="s">
        <v>13245</v>
      </c>
      <c r="C47" s="4">
        <v>2</v>
      </c>
      <c r="D47" s="5">
        <v>14</v>
      </c>
      <c r="E47" s="5">
        <v>34.99</v>
      </c>
      <c r="F47" s="4" t="s">
        <v>13246</v>
      </c>
      <c r="G47" s="2" t="s">
        <v>752</v>
      </c>
      <c r="H47" s="7" t="s">
        <v>442</v>
      </c>
      <c r="I47" s="2" t="s">
        <v>92</v>
      </c>
      <c r="J47" s="2" t="s">
        <v>65</v>
      </c>
      <c r="K47" s="2" t="s">
        <v>304</v>
      </c>
      <c r="L47" s="2" t="s">
        <v>13247</v>
      </c>
      <c r="M47" s="8" t="str">
        <f>HYPERLINK("http://slimages.macys.com/is/image/MCY/14885620 ")</f>
        <v xml:space="preserve">http://slimages.macys.com/is/image/MCY/14885620 </v>
      </c>
    </row>
    <row r="48" spans="1:13" ht="120" x14ac:dyDescent="0.25">
      <c r="A48" s="7" t="s">
        <v>3721</v>
      </c>
      <c r="B48" s="2" t="s">
        <v>3711</v>
      </c>
      <c r="C48" s="4">
        <v>1</v>
      </c>
      <c r="D48" s="5">
        <v>14</v>
      </c>
      <c r="E48" s="5">
        <v>34.99</v>
      </c>
      <c r="F48" s="4" t="s">
        <v>3712</v>
      </c>
      <c r="G48" s="2" t="s">
        <v>262</v>
      </c>
      <c r="H48" s="7" t="s">
        <v>311</v>
      </c>
      <c r="I48" s="2" t="s">
        <v>80</v>
      </c>
      <c r="J48" s="2" t="s">
        <v>647</v>
      </c>
      <c r="K48" s="2" t="s">
        <v>304</v>
      </c>
      <c r="L48" s="2" t="s">
        <v>3722</v>
      </c>
      <c r="M48" s="8" t="str">
        <f>HYPERLINK("http://slimages.macys.com/is/image/MCY/14349453 ")</f>
        <v xml:space="preserve">http://slimages.macys.com/is/image/MCY/14349453 </v>
      </c>
    </row>
    <row r="49" spans="1:13" ht="240" x14ac:dyDescent="0.25">
      <c r="A49" s="7" t="s">
        <v>14054</v>
      </c>
      <c r="B49" s="2" t="s">
        <v>14055</v>
      </c>
      <c r="C49" s="4">
        <v>1</v>
      </c>
      <c r="D49" s="5">
        <v>14</v>
      </c>
      <c r="E49" s="5">
        <v>34.99</v>
      </c>
      <c r="F49" s="4" t="s">
        <v>14056</v>
      </c>
      <c r="G49" s="2" t="s">
        <v>310</v>
      </c>
      <c r="H49" s="7" t="s">
        <v>42</v>
      </c>
      <c r="I49" s="2" t="s">
        <v>92</v>
      </c>
      <c r="J49" s="2" t="s">
        <v>3086</v>
      </c>
      <c r="K49" s="2" t="s">
        <v>304</v>
      </c>
      <c r="L49" s="2" t="s">
        <v>14057</v>
      </c>
      <c r="M49" s="8" t="str">
        <f>HYPERLINK("http://slimages.macys.com/is/image/MCY/10169388 ")</f>
        <v xml:space="preserve">http://slimages.macys.com/is/image/MCY/10169388 </v>
      </c>
    </row>
    <row r="50" spans="1:13" ht="168" x14ac:dyDescent="0.25">
      <c r="A50" s="7" t="s">
        <v>126</v>
      </c>
      <c r="B50" s="2" t="s">
        <v>127</v>
      </c>
      <c r="C50" s="4">
        <v>1</v>
      </c>
      <c r="D50" s="5">
        <v>14</v>
      </c>
      <c r="E50" s="5">
        <v>34.99</v>
      </c>
      <c r="F50" s="4" t="s">
        <v>128</v>
      </c>
      <c r="G50" s="2" t="s">
        <v>129</v>
      </c>
      <c r="H50" s="7" t="s">
        <v>91</v>
      </c>
      <c r="I50" s="2" t="s">
        <v>92</v>
      </c>
      <c r="J50" s="2" t="s">
        <v>65</v>
      </c>
      <c r="K50" s="2" t="s">
        <v>304</v>
      </c>
      <c r="L50" s="2" t="s">
        <v>130</v>
      </c>
      <c r="M50" s="8" t="str">
        <f>HYPERLINK("http://slimages.macys.com/is/image/MCY/14885750 ")</f>
        <v xml:space="preserve">http://slimages.macys.com/is/image/MCY/14885750 </v>
      </c>
    </row>
    <row r="51" spans="1:13" ht="168" x14ac:dyDescent="0.25">
      <c r="A51" s="7" t="s">
        <v>13251</v>
      </c>
      <c r="B51" s="2" t="s">
        <v>127</v>
      </c>
      <c r="C51" s="4">
        <v>1</v>
      </c>
      <c r="D51" s="5">
        <v>14</v>
      </c>
      <c r="E51" s="5">
        <v>34.99</v>
      </c>
      <c r="F51" s="4" t="s">
        <v>128</v>
      </c>
      <c r="G51" s="2" t="s">
        <v>129</v>
      </c>
      <c r="H51" s="7" t="s">
        <v>42</v>
      </c>
      <c r="I51" s="2" t="s">
        <v>92</v>
      </c>
      <c r="J51" s="2" t="s">
        <v>65</v>
      </c>
      <c r="K51" s="2" t="s">
        <v>304</v>
      </c>
      <c r="L51" s="2" t="s">
        <v>130</v>
      </c>
      <c r="M51" s="8" t="str">
        <f>HYPERLINK("http://slimages.macys.com/is/image/MCY/14885750 ")</f>
        <v xml:space="preserve">http://slimages.macys.com/is/image/MCY/14885750 </v>
      </c>
    </row>
    <row r="52" spans="1:13" ht="60" x14ac:dyDescent="0.25">
      <c r="A52" s="7" t="s">
        <v>14058</v>
      </c>
      <c r="B52" s="2" t="s">
        <v>113</v>
      </c>
      <c r="C52" s="4">
        <v>1</v>
      </c>
      <c r="D52" s="5">
        <v>13.8</v>
      </c>
      <c r="E52" s="5">
        <v>34.5</v>
      </c>
      <c r="F52" s="4" t="s">
        <v>14059</v>
      </c>
      <c r="G52" s="2" t="s">
        <v>41</v>
      </c>
      <c r="H52" s="7" t="s">
        <v>144</v>
      </c>
      <c r="I52" s="2" t="s">
        <v>690</v>
      </c>
      <c r="J52" s="2" t="s">
        <v>58</v>
      </c>
      <c r="K52" s="2" t="s">
        <v>304</v>
      </c>
      <c r="L52" s="2" t="s">
        <v>87</v>
      </c>
      <c r="M52" s="8" t="str">
        <f>HYPERLINK("http://slimages.macys.com/is/image/MCY/13815670 ")</f>
        <v xml:space="preserve">http://slimages.macys.com/is/image/MCY/13815670 </v>
      </c>
    </row>
    <row r="53" spans="1:13" ht="168" x14ac:dyDescent="0.25">
      <c r="A53" s="7" t="s">
        <v>3014</v>
      </c>
      <c r="B53" s="2" t="s">
        <v>1522</v>
      </c>
      <c r="C53" s="4">
        <v>1</v>
      </c>
      <c r="D53" s="5">
        <v>13.75</v>
      </c>
      <c r="E53" s="5">
        <v>39.99</v>
      </c>
      <c r="F53" s="4" t="s">
        <v>1523</v>
      </c>
      <c r="G53" s="2" t="s">
        <v>62</v>
      </c>
      <c r="H53" s="7" t="s">
        <v>149</v>
      </c>
      <c r="I53" s="2" t="s">
        <v>92</v>
      </c>
      <c r="J53" s="2" t="s">
        <v>239</v>
      </c>
      <c r="K53" s="2" t="s">
        <v>304</v>
      </c>
      <c r="L53" s="2" t="s">
        <v>1524</v>
      </c>
      <c r="M53" s="8" t="str">
        <f>HYPERLINK("http://slimages.macys.com/is/image/MCY/14886823 ")</f>
        <v xml:space="preserve">http://slimages.macys.com/is/image/MCY/14886823 </v>
      </c>
    </row>
    <row r="54" spans="1:13" ht="264" x14ac:dyDescent="0.25">
      <c r="A54" s="7" t="s">
        <v>14060</v>
      </c>
      <c r="B54" s="2" t="s">
        <v>13258</v>
      </c>
      <c r="C54" s="4">
        <v>2</v>
      </c>
      <c r="D54" s="5">
        <v>13.75</v>
      </c>
      <c r="E54" s="5">
        <v>39.99</v>
      </c>
      <c r="F54" s="4" t="s">
        <v>13259</v>
      </c>
      <c r="G54" s="2" t="s">
        <v>129</v>
      </c>
      <c r="H54" s="7" t="s">
        <v>91</v>
      </c>
      <c r="I54" s="2" t="s">
        <v>92</v>
      </c>
      <c r="J54" s="2" t="s">
        <v>239</v>
      </c>
      <c r="K54" s="2" t="s">
        <v>304</v>
      </c>
      <c r="L54" s="2" t="s">
        <v>13260</v>
      </c>
      <c r="M54" s="8" t="str">
        <f>HYPERLINK("http://slimages.macys.com/is/image/MCY/14988481 ")</f>
        <v xml:space="preserve">http://slimages.macys.com/is/image/MCY/14988481 </v>
      </c>
    </row>
    <row r="55" spans="1:13" ht="168" x14ac:dyDescent="0.25">
      <c r="A55" s="7" t="s">
        <v>5211</v>
      </c>
      <c r="B55" s="2" t="s">
        <v>1522</v>
      </c>
      <c r="C55" s="4">
        <v>1</v>
      </c>
      <c r="D55" s="5">
        <v>13.75</v>
      </c>
      <c r="E55" s="5">
        <v>39.99</v>
      </c>
      <c r="F55" s="4" t="s">
        <v>1523</v>
      </c>
      <c r="G55" s="2" t="s">
        <v>62</v>
      </c>
      <c r="H55" s="7" t="s">
        <v>91</v>
      </c>
      <c r="I55" s="2" t="s">
        <v>92</v>
      </c>
      <c r="J55" s="2" t="s">
        <v>239</v>
      </c>
      <c r="K55" s="2" t="s">
        <v>304</v>
      </c>
      <c r="L55" s="2" t="s">
        <v>1524</v>
      </c>
      <c r="M55" s="8" t="str">
        <f>HYPERLINK("http://slimages.macys.com/is/image/MCY/14886823 ")</f>
        <v xml:space="preserve">http://slimages.macys.com/is/image/MCY/14886823 </v>
      </c>
    </row>
    <row r="56" spans="1:13" ht="264" x14ac:dyDescent="0.25">
      <c r="A56" s="7" t="s">
        <v>13257</v>
      </c>
      <c r="B56" s="2" t="s">
        <v>13258</v>
      </c>
      <c r="C56" s="4">
        <v>1</v>
      </c>
      <c r="D56" s="5">
        <v>13.75</v>
      </c>
      <c r="E56" s="5">
        <v>39.99</v>
      </c>
      <c r="F56" s="4" t="s">
        <v>13259</v>
      </c>
      <c r="G56" s="2" t="s">
        <v>129</v>
      </c>
      <c r="H56" s="7" t="s">
        <v>149</v>
      </c>
      <c r="I56" s="2" t="s">
        <v>92</v>
      </c>
      <c r="J56" s="2" t="s">
        <v>239</v>
      </c>
      <c r="K56" s="2" t="s">
        <v>304</v>
      </c>
      <c r="L56" s="2" t="s">
        <v>13260</v>
      </c>
      <c r="M56" s="8" t="str">
        <f>HYPERLINK("http://slimages.macys.com/is/image/MCY/14988481 ")</f>
        <v xml:space="preserve">http://slimages.macys.com/is/image/MCY/14988481 </v>
      </c>
    </row>
    <row r="57" spans="1:13" ht="264" x14ac:dyDescent="0.25">
      <c r="A57" s="7" t="s">
        <v>13263</v>
      </c>
      <c r="B57" s="2" t="s">
        <v>13258</v>
      </c>
      <c r="C57" s="4">
        <v>1</v>
      </c>
      <c r="D57" s="5">
        <v>13.75</v>
      </c>
      <c r="E57" s="5">
        <v>39.99</v>
      </c>
      <c r="F57" s="4" t="s">
        <v>13259</v>
      </c>
      <c r="G57" s="2" t="s">
        <v>129</v>
      </c>
      <c r="H57" s="7" t="s">
        <v>442</v>
      </c>
      <c r="I57" s="2" t="s">
        <v>92</v>
      </c>
      <c r="J57" s="2" t="s">
        <v>239</v>
      </c>
      <c r="K57" s="2" t="s">
        <v>304</v>
      </c>
      <c r="L57" s="2" t="s">
        <v>13260</v>
      </c>
      <c r="M57" s="8" t="str">
        <f>HYPERLINK("http://slimages.macys.com/is/image/MCY/14988481 ")</f>
        <v xml:space="preserve">http://slimages.macys.com/is/image/MCY/14988481 </v>
      </c>
    </row>
    <row r="58" spans="1:13" ht="144" x14ac:dyDescent="0.25">
      <c r="A58" s="7" t="s">
        <v>13550</v>
      </c>
      <c r="B58" s="2" t="s">
        <v>2493</v>
      </c>
      <c r="C58" s="4">
        <v>1</v>
      </c>
      <c r="D58" s="5">
        <v>13.75</v>
      </c>
      <c r="E58" s="5">
        <v>39.99</v>
      </c>
      <c r="F58" s="4" t="s">
        <v>2494</v>
      </c>
      <c r="G58" s="2" t="s">
        <v>752</v>
      </c>
      <c r="H58" s="7" t="s">
        <v>91</v>
      </c>
      <c r="I58" s="2" t="s">
        <v>92</v>
      </c>
      <c r="J58" s="2" t="s">
        <v>239</v>
      </c>
      <c r="K58" s="2" t="s">
        <v>304</v>
      </c>
      <c r="L58" s="2" t="s">
        <v>2495</v>
      </c>
      <c r="M58" s="8" t="str">
        <f>HYPERLINK("http://slimages.macys.com/is/image/MCY/14886820 ")</f>
        <v xml:space="preserve">http://slimages.macys.com/is/image/MCY/14886820 </v>
      </c>
    </row>
    <row r="59" spans="1:13" ht="144" x14ac:dyDescent="0.25">
      <c r="A59" s="7" t="s">
        <v>4788</v>
      </c>
      <c r="B59" s="2" t="s">
        <v>2493</v>
      </c>
      <c r="C59" s="4">
        <v>1</v>
      </c>
      <c r="D59" s="5">
        <v>13.75</v>
      </c>
      <c r="E59" s="5">
        <v>39.99</v>
      </c>
      <c r="F59" s="4" t="s">
        <v>2494</v>
      </c>
      <c r="G59" s="2" t="s">
        <v>752</v>
      </c>
      <c r="H59" s="7" t="s">
        <v>590</v>
      </c>
      <c r="I59" s="2" t="s">
        <v>92</v>
      </c>
      <c r="J59" s="2" t="s">
        <v>239</v>
      </c>
      <c r="K59" s="2" t="s">
        <v>304</v>
      </c>
      <c r="L59" s="2" t="s">
        <v>2495</v>
      </c>
      <c r="M59" s="8" t="str">
        <f>HYPERLINK("http://slimages.macys.com/is/image/MCY/14886820 ")</f>
        <v xml:space="preserve">http://slimages.macys.com/is/image/MCY/14886820 </v>
      </c>
    </row>
    <row r="60" spans="1:13" ht="168" x14ac:dyDescent="0.25">
      <c r="A60" s="7" t="s">
        <v>3015</v>
      </c>
      <c r="B60" s="2" t="s">
        <v>1522</v>
      </c>
      <c r="C60" s="4">
        <v>1</v>
      </c>
      <c r="D60" s="5">
        <v>13.75</v>
      </c>
      <c r="E60" s="5">
        <v>39.99</v>
      </c>
      <c r="F60" s="4" t="s">
        <v>1523</v>
      </c>
      <c r="G60" s="2" t="s">
        <v>62</v>
      </c>
      <c r="H60" s="7" t="s">
        <v>590</v>
      </c>
      <c r="I60" s="2" t="s">
        <v>92</v>
      </c>
      <c r="J60" s="2" t="s">
        <v>239</v>
      </c>
      <c r="K60" s="2" t="s">
        <v>304</v>
      </c>
      <c r="L60" s="2" t="s">
        <v>1524</v>
      </c>
      <c r="M60" s="8" t="str">
        <f>HYPERLINK("http://slimages.macys.com/is/image/MCY/14886823 ")</f>
        <v xml:space="preserve">http://slimages.macys.com/is/image/MCY/14886823 </v>
      </c>
    </row>
    <row r="61" spans="1:13" ht="168" x14ac:dyDescent="0.25">
      <c r="A61" s="7" t="s">
        <v>1521</v>
      </c>
      <c r="B61" s="2" t="s">
        <v>1522</v>
      </c>
      <c r="C61" s="4">
        <v>1</v>
      </c>
      <c r="D61" s="5">
        <v>13.75</v>
      </c>
      <c r="E61" s="5">
        <v>39.99</v>
      </c>
      <c r="F61" s="4" t="s">
        <v>1523</v>
      </c>
      <c r="G61" s="2" t="s">
        <v>62</v>
      </c>
      <c r="H61" s="7" t="s">
        <v>442</v>
      </c>
      <c r="I61" s="2" t="s">
        <v>92</v>
      </c>
      <c r="J61" s="2" t="s">
        <v>239</v>
      </c>
      <c r="K61" s="2" t="s">
        <v>304</v>
      </c>
      <c r="L61" s="2" t="s">
        <v>1524</v>
      </c>
      <c r="M61" s="8" t="str">
        <f>HYPERLINK("http://slimages.macys.com/is/image/MCY/14886823 ")</f>
        <v xml:space="preserve">http://slimages.macys.com/is/image/MCY/14886823 </v>
      </c>
    </row>
    <row r="62" spans="1:13" ht="204" x14ac:dyDescent="0.25">
      <c r="A62" s="7" t="s">
        <v>3017</v>
      </c>
      <c r="B62" s="2" t="s">
        <v>152</v>
      </c>
      <c r="C62" s="4">
        <v>1</v>
      </c>
      <c r="D62" s="5">
        <v>13.5</v>
      </c>
      <c r="E62" s="5">
        <v>30.7</v>
      </c>
      <c r="F62" s="4">
        <v>19320310</v>
      </c>
      <c r="G62" s="2"/>
      <c r="H62" s="7" t="s">
        <v>482</v>
      </c>
      <c r="I62" s="2" t="s">
        <v>153</v>
      </c>
      <c r="J62" s="2" t="s">
        <v>154</v>
      </c>
      <c r="K62" s="2" t="s">
        <v>304</v>
      </c>
      <c r="L62" s="2" t="s">
        <v>155</v>
      </c>
      <c r="M62" s="8" t="str">
        <f>HYPERLINK("http://slimages.macys.com/is/image/MCY/14608313 ")</f>
        <v xml:space="preserve">http://slimages.macys.com/is/image/MCY/14608313 </v>
      </c>
    </row>
    <row r="63" spans="1:13" ht="216" x14ac:dyDescent="0.25">
      <c r="A63" s="7" t="s">
        <v>757</v>
      </c>
      <c r="B63" s="2" t="s">
        <v>758</v>
      </c>
      <c r="C63" s="4">
        <v>1</v>
      </c>
      <c r="D63" s="5">
        <v>13.5</v>
      </c>
      <c r="E63" s="5">
        <v>34.99</v>
      </c>
      <c r="F63" s="4" t="s">
        <v>759</v>
      </c>
      <c r="G63" s="2" t="s">
        <v>752</v>
      </c>
      <c r="H63" s="7" t="s">
        <v>442</v>
      </c>
      <c r="I63" s="2" t="s">
        <v>92</v>
      </c>
      <c r="J63" s="2" t="s">
        <v>65</v>
      </c>
      <c r="K63" s="2" t="s">
        <v>304</v>
      </c>
      <c r="L63" s="2" t="s">
        <v>760</v>
      </c>
      <c r="M63" s="8" t="str">
        <f>HYPERLINK("http://slimages.macys.com/is/image/MCY/14815593 ")</f>
        <v xml:space="preserve">http://slimages.macys.com/is/image/MCY/14815593 </v>
      </c>
    </row>
    <row r="64" spans="1:13" ht="60" x14ac:dyDescent="0.25">
      <c r="A64" s="7" t="s">
        <v>1532</v>
      </c>
      <c r="B64" s="2" t="s">
        <v>1533</v>
      </c>
      <c r="C64" s="4">
        <v>1</v>
      </c>
      <c r="D64" s="5">
        <v>13.35</v>
      </c>
      <c r="E64" s="5">
        <v>26.99</v>
      </c>
      <c r="F64" s="4" t="s">
        <v>1534</v>
      </c>
      <c r="G64" s="2" t="s">
        <v>165</v>
      </c>
      <c r="H64" s="7" t="s">
        <v>159</v>
      </c>
      <c r="I64" s="2" t="s">
        <v>80</v>
      </c>
      <c r="J64" s="2" t="s">
        <v>160</v>
      </c>
      <c r="K64" s="2" t="s">
        <v>304</v>
      </c>
      <c r="L64" s="2" t="s">
        <v>125</v>
      </c>
      <c r="M64" s="8" t="str">
        <f>HYPERLINK("http://slimages.macys.com/is/image/MCY/15177038 ")</f>
        <v xml:space="preserve">http://slimages.macys.com/is/image/MCY/15177038 </v>
      </c>
    </row>
    <row r="65" spans="1:13" ht="60" x14ac:dyDescent="0.25">
      <c r="A65" s="7" t="s">
        <v>14061</v>
      </c>
      <c r="B65" s="2" t="s">
        <v>5217</v>
      </c>
      <c r="C65" s="4">
        <v>1</v>
      </c>
      <c r="D65" s="5">
        <v>13.35</v>
      </c>
      <c r="E65" s="5">
        <v>26.99</v>
      </c>
      <c r="F65" s="4" t="s">
        <v>5218</v>
      </c>
      <c r="G65" s="2" t="s">
        <v>698</v>
      </c>
      <c r="H65" s="7" t="s">
        <v>284</v>
      </c>
      <c r="I65" s="2" t="s">
        <v>80</v>
      </c>
      <c r="J65" s="2" t="s">
        <v>160</v>
      </c>
      <c r="K65" s="2" t="s">
        <v>304</v>
      </c>
      <c r="L65" s="2" t="s">
        <v>38</v>
      </c>
      <c r="M65" s="8" t="str">
        <f>HYPERLINK("http://slimages.macys.com/is/image/MCY/11485815 ")</f>
        <v xml:space="preserve">http://slimages.macys.com/is/image/MCY/11485815 </v>
      </c>
    </row>
    <row r="66" spans="1:13" ht="60" x14ac:dyDescent="0.25">
      <c r="A66" s="7" t="s">
        <v>14062</v>
      </c>
      <c r="B66" s="2" t="s">
        <v>203</v>
      </c>
      <c r="C66" s="4">
        <v>1</v>
      </c>
      <c r="D66" s="5">
        <v>13.28</v>
      </c>
      <c r="E66" s="5">
        <v>29.5</v>
      </c>
      <c r="F66" s="4">
        <v>323750963002</v>
      </c>
      <c r="G66" s="2" t="s">
        <v>353</v>
      </c>
      <c r="H66" s="7" t="s">
        <v>284</v>
      </c>
      <c r="I66" s="2" t="s">
        <v>204</v>
      </c>
      <c r="J66" s="2" t="s">
        <v>205</v>
      </c>
      <c r="K66" s="2" t="s">
        <v>304</v>
      </c>
      <c r="L66" s="2" t="s">
        <v>206</v>
      </c>
      <c r="M66" s="8" t="str">
        <f>HYPERLINK("http://slimages.macys.com/is/image/MCY/13743456 ")</f>
        <v xml:space="preserve">http://slimages.macys.com/is/image/MCY/13743456 </v>
      </c>
    </row>
    <row r="67" spans="1:13" ht="60" x14ac:dyDescent="0.25">
      <c r="A67" s="7" t="s">
        <v>13559</v>
      </c>
      <c r="B67" s="2" t="s">
        <v>13275</v>
      </c>
      <c r="C67" s="4">
        <v>1</v>
      </c>
      <c r="D67" s="5">
        <v>13.13</v>
      </c>
      <c r="E67" s="5">
        <v>30</v>
      </c>
      <c r="F67" s="4" t="s">
        <v>13276</v>
      </c>
      <c r="G67" s="2" t="s">
        <v>41</v>
      </c>
      <c r="H67" s="7" t="s">
        <v>442</v>
      </c>
      <c r="I67" s="2" t="s">
        <v>92</v>
      </c>
      <c r="J67" s="2" t="s">
        <v>187</v>
      </c>
      <c r="K67" s="2" t="s">
        <v>304</v>
      </c>
      <c r="L67" s="2" t="s">
        <v>38</v>
      </c>
      <c r="M67" s="8" t="str">
        <f>HYPERLINK("http://slimages.macys.com/is/image/MCY/15240489 ")</f>
        <v xml:space="preserve">http://slimages.macys.com/is/image/MCY/15240489 </v>
      </c>
    </row>
    <row r="68" spans="1:13" ht="60" x14ac:dyDescent="0.25">
      <c r="A68" s="7" t="s">
        <v>13278</v>
      </c>
      <c r="B68" s="2" t="s">
        <v>13275</v>
      </c>
      <c r="C68" s="4">
        <v>1</v>
      </c>
      <c r="D68" s="5">
        <v>13.13</v>
      </c>
      <c r="E68" s="5">
        <v>30</v>
      </c>
      <c r="F68" s="4" t="s">
        <v>13276</v>
      </c>
      <c r="G68" s="2" t="s">
        <v>41</v>
      </c>
      <c r="H68" s="7" t="s">
        <v>91</v>
      </c>
      <c r="I68" s="2" t="s">
        <v>92</v>
      </c>
      <c r="J68" s="2" t="s">
        <v>187</v>
      </c>
      <c r="K68" s="2" t="s">
        <v>304</v>
      </c>
      <c r="L68" s="2" t="s">
        <v>38</v>
      </c>
      <c r="M68" s="8" t="str">
        <f>HYPERLINK("http://slimages.macys.com/is/image/MCY/15240489 ")</f>
        <v xml:space="preserve">http://slimages.macys.com/is/image/MCY/15240489 </v>
      </c>
    </row>
    <row r="69" spans="1:13" ht="60" x14ac:dyDescent="0.25">
      <c r="A69" s="7" t="s">
        <v>14063</v>
      </c>
      <c r="B69" s="2" t="s">
        <v>13275</v>
      </c>
      <c r="C69" s="4">
        <v>3</v>
      </c>
      <c r="D69" s="5">
        <v>13.13</v>
      </c>
      <c r="E69" s="5">
        <v>30</v>
      </c>
      <c r="F69" s="4" t="s">
        <v>13276</v>
      </c>
      <c r="G69" s="2" t="s">
        <v>41</v>
      </c>
      <c r="H69" s="7" t="s">
        <v>590</v>
      </c>
      <c r="I69" s="2" t="s">
        <v>92</v>
      </c>
      <c r="J69" s="2" t="s">
        <v>187</v>
      </c>
      <c r="K69" s="2" t="s">
        <v>304</v>
      </c>
      <c r="L69" s="2" t="s">
        <v>38</v>
      </c>
      <c r="M69" s="8" t="str">
        <f>HYPERLINK("http://slimages.macys.com/is/image/MCY/15240489 ")</f>
        <v xml:space="preserve">http://slimages.macys.com/is/image/MCY/15240489 </v>
      </c>
    </row>
    <row r="70" spans="1:13" ht="60" x14ac:dyDescent="0.25">
      <c r="A70" s="7" t="s">
        <v>14064</v>
      </c>
      <c r="B70" s="2" t="s">
        <v>14065</v>
      </c>
      <c r="C70" s="4">
        <v>2</v>
      </c>
      <c r="D70" s="5">
        <v>13</v>
      </c>
      <c r="E70" s="5">
        <v>29.57</v>
      </c>
      <c r="F70" s="4">
        <v>19320510</v>
      </c>
      <c r="G70" s="2" t="s">
        <v>455</v>
      </c>
      <c r="H70" s="7" t="s">
        <v>482</v>
      </c>
      <c r="I70" s="2" t="s">
        <v>153</v>
      </c>
      <c r="J70" s="2" t="s">
        <v>154</v>
      </c>
      <c r="K70" s="2" t="s">
        <v>304</v>
      </c>
      <c r="L70" s="2" t="s">
        <v>206</v>
      </c>
      <c r="M70" s="8" t="str">
        <f>HYPERLINK("http://slimages.macys.com/is/image/MCY/14608279 ")</f>
        <v xml:space="preserve">http://slimages.macys.com/is/image/MCY/14608279 </v>
      </c>
    </row>
    <row r="71" spans="1:13" ht="60" x14ac:dyDescent="0.25">
      <c r="A71" s="7" t="s">
        <v>13279</v>
      </c>
      <c r="B71" s="2" t="s">
        <v>185</v>
      </c>
      <c r="C71" s="4">
        <v>1</v>
      </c>
      <c r="D71" s="5">
        <v>12.75</v>
      </c>
      <c r="E71" s="5">
        <v>30</v>
      </c>
      <c r="F71" s="4" t="s">
        <v>186</v>
      </c>
      <c r="G71" s="2" t="s">
        <v>28</v>
      </c>
      <c r="H71" s="7" t="s">
        <v>590</v>
      </c>
      <c r="I71" s="2" t="s">
        <v>92</v>
      </c>
      <c r="J71" s="2" t="s">
        <v>187</v>
      </c>
      <c r="K71" s="2" t="s">
        <v>304</v>
      </c>
      <c r="L71" s="2" t="s">
        <v>38</v>
      </c>
      <c r="M71" s="8" t="str">
        <f>HYPERLINK("http://slimages.macys.com/is/image/MCY/15240490 ")</f>
        <v xml:space="preserve">http://slimages.macys.com/is/image/MCY/15240490 </v>
      </c>
    </row>
    <row r="72" spans="1:13" ht="60" x14ac:dyDescent="0.25">
      <c r="A72" s="7" t="s">
        <v>13281</v>
      </c>
      <c r="B72" s="2" t="s">
        <v>185</v>
      </c>
      <c r="C72" s="4">
        <v>1</v>
      </c>
      <c r="D72" s="5">
        <v>12.75</v>
      </c>
      <c r="E72" s="5">
        <v>30</v>
      </c>
      <c r="F72" s="4" t="s">
        <v>186</v>
      </c>
      <c r="G72" s="2" t="s">
        <v>28</v>
      </c>
      <c r="H72" s="7" t="s">
        <v>442</v>
      </c>
      <c r="I72" s="2" t="s">
        <v>92</v>
      </c>
      <c r="J72" s="2" t="s">
        <v>187</v>
      </c>
      <c r="K72" s="2" t="s">
        <v>304</v>
      </c>
      <c r="L72" s="2" t="s">
        <v>38</v>
      </c>
      <c r="M72" s="8" t="str">
        <f>HYPERLINK("http://slimages.macys.com/is/image/MCY/15240490 ")</f>
        <v xml:space="preserve">http://slimages.macys.com/is/image/MCY/15240490 </v>
      </c>
    </row>
    <row r="73" spans="1:13" ht="60" x14ac:dyDescent="0.25">
      <c r="A73" s="7" t="s">
        <v>13280</v>
      </c>
      <c r="B73" s="2" t="s">
        <v>185</v>
      </c>
      <c r="C73" s="4">
        <v>2</v>
      </c>
      <c r="D73" s="5">
        <v>12.75</v>
      </c>
      <c r="E73" s="5">
        <v>30</v>
      </c>
      <c r="F73" s="4" t="s">
        <v>186</v>
      </c>
      <c r="G73" s="2" t="s">
        <v>28</v>
      </c>
      <c r="H73" s="7" t="s">
        <v>149</v>
      </c>
      <c r="I73" s="2" t="s">
        <v>92</v>
      </c>
      <c r="J73" s="2" t="s">
        <v>187</v>
      </c>
      <c r="K73" s="2" t="s">
        <v>304</v>
      </c>
      <c r="L73" s="2" t="s">
        <v>38</v>
      </c>
      <c r="M73" s="8" t="str">
        <f>HYPERLINK("http://slimages.macys.com/is/image/MCY/15240490 ")</f>
        <v xml:space="preserve">http://slimages.macys.com/is/image/MCY/15240490 </v>
      </c>
    </row>
    <row r="74" spans="1:13" ht="60" x14ac:dyDescent="0.25">
      <c r="A74" s="7" t="s">
        <v>13783</v>
      </c>
      <c r="B74" s="2" t="s">
        <v>3046</v>
      </c>
      <c r="C74" s="4">
        <v>1</v>
      </c>
      <c r="D74" s="5">
        <v>12.75</v>
      </c>
      <c r="E74" s="5">
        <v>34.5</v>
      </c>
      <c r="F74" s="4" t="s">
        <v>3047</v>
      </c>
      <c r="G74" s="2" t="s">
        <v>62</v>
      </c>
      <c r="H74" s="7"/>
      <c r="I74" s="2" t="s">
        <v>98</v>
      </c>
      <c r="J74" s="2" t="s">
        <v>99</v>
      </c>
      <c r="K74" s="2" t="s">
        <v>304</v>
      </c>
      <c r="L74" s="2" t="s">
        <v>119</v>
      </c>
      <c r="M74" s="8" t="str">
        <f>HYPERLINK("http://slimages.macys.com/is/image/MCY/14883513 ")</f>
        <v xml:space="preserve">http://slimages.macys.com/is/image/MCY/14883513 </v>
      </c>
    </row>
    <row r="75" spans="1:13" ht="60" x14ac:dyDescent="0.25">
      <c r="A75" s="7" t="s">
        <v>184</v>
      </c>
      <c r="B75" s="2" t="s">
        <v>185</v>
      </c>
      <c r="C75" s="4">
        <v>3</v>
      </c>
      <c r="D75" s="5">
        <v>12.75</v>
      </c>
      <c r="E75" s="5">
        <v>30</v>
      </c>
      <c r="F75" s="4" t="s">
        <v>186</v>
      </c>
      <c r="G75" s="2" t="s">
        <v>28</v>
      </c>
      <c r="H75" s="7" t="s">
        <v>91</v>
      </c>
      <c r="I75" s="2" t="s">
        <v>92</v>
      </c>
      <c r="J75" s="2" t="s">
        <v>187</v>
      </c>
      <c r="K75" s="2" t="s">
        <v>304</v>
      </c>
      <c r="L75" s="2" t="s">
        <v>38</v>
      </c>
      <c r="M75" s="8" t="str">
        <f>HYPERLINK("http://slimages.macys.com/is/image/MCY/15240490 ")</f>
        <v xml:space="preserve">http://slimages.macys.com/is/image/MCY/15240490 </v>
      </c>
    </row>
    <row r="76" spans="1:13" ht="168" x14ac:dyDescent="0.25">
      <c r="A76" s="7" t="s">
        <v>3074</v>
      </c>
      <c r="B76" s="2" t="s">
        <v>189</v>
      </c>
      <c r="C76" s="4">
        <v>1</v>
      </c>
      <c r="D76" s="5">
        <v>12.5</v>
      </c>
      <c r="E76" s="5">
        <v>34.99</v>
      </c>
      <c r="F76" s="4" t="s">
        <v>190</v>
      </c>
      <c r="G76" s="2" t="s">
        <v>129</v>
      </c>
      <c r="H76" s="7" t="s">
        <v>91</v>
      </c>
      <c r="I76" s="2" t="s">
        <v>92</v>
      </c>
      <c r="J76" s="2" t="s">
        <v>65</v>
      </c>
      <c r="K76" s="2" t="s">
        <v>304</v>
      </c>
      <c r="L76" s="2" t="s">
        <v>191</v>
      </c>
      <c r="M76" s="8" t="str">
        <f>HYPERLINK("http://slimages.macys.com/is/image/MCY/14815686 ")</f>
        <v xml:space="preserve">http://slimages.macys.com/is/image/MCY/14815686 </v>
      </c>
    </row>
    <row r="77" spans="1:13" ht="204" x14ac:dyDescent="0.25">
      <c r="A77" s="7" t="s">
        <v>3060</v>
      </c>
      <c r="B77" s="2" t="s">
        <v>1558</v>
      </c>
      <c r="C77" s="4">
        <v>1</v>
      </c>
      <c r="D77" s="5">
        <v>12.5</v>
      </c>
      <c r="E77" s="5">
        <v>34.99</v>
      </c>
      <c r="F77" s="4" t="s">
        <v>1559</v>
      </c>
      <c r="G77" s="2" t="s">
        <v>129</v>
      </c>
      <c r="H77" s="7" t="s">
        <v>149</v>
      </c>
      <c r="I77" s="2" t="s">
        <v>92</v>
      </c>
      <c r="J77" s="2" t="s">
        <v>65</v>
      </c>
      <c r="K77" s="2" t="s">
        <v>304</v>
      </c>
      <c r="L77" s="2" t="s">
        <v>1560</v>
      </c>
      <c r="M77" s="8" t="str">
        <f>HYPERLINK("http://slimages.macys.com/is/image/MCY/14815688 ")</f>
        <v xml:space="preserve">http://slimages.macys.com/is/image/MCY/14815688 </v>
      </c>
    </row>
    <row r="78" spans="1:13" ht="120" x14ac:dyDescent="0.25">
      <c r="A78" s="7" t="s">
        <v>3063</v>
      </c>
      <c r="B78" s="2" t="s">
        <v>3053</v>
      </c>
      <c r="C78" s="4">
        <v>1</v>
      </c>
      <c r="D78" s="5">
        <v>12.5</v>
      </c>
      <c r="E78" s="5">
        <v>34.99</v>
      </c>
      <c r="F78" s="4" t="s">
        <v>3054</v>
      </c>
      <c r="G78" s="2" t="s">
        <v>62</v>
      </c>
      <c r="H78" s="7" t="s">
        <v>42</v>
      </c>
      <c r="I78" s="2" t="s">
        <v>92</v>
      </c>
      <c r="J78" s="2" t="s">
        <v>65</v>
      </c>
      <c r="K78" s="2" t="s">
        <v>304</v>
      </c>
      <c r="L78" s="2" t="s">
        <v>3055</v>
      </c>
      <c r="M78" s="8" t="str">
        <f>HYPERLINK("http://slimages.macys.com/is/image/MCY/14815658 ")</f>
        <v xml:space="preserve">http://slimages.macys.com/is/image/MCY/14815658 </v>
      </c>
    </row>
    <row r="79" spans="1:13" ht="168" x14ac:dyDescent="0.25">
      <c r="A79" s="7" t="s">
        <v>13283</v>
      </c>
      <c r="B79" s="2" t="s">
        <v>189</v>
      </c>
      <c r="C79" s="4">
        <v>2</v>
      </c>
      <c r="D79" s="5">
        <v>12.5</v>
      </c>
      <c r="E79" s="5">
        <v>34.99</v>
      </c>
      <c r="F79" s="4" t="s">
        <v>190</v>
      </c>
      <c r="G79" s="2" t="s">
        <v>129</v>
      </c>
      <c r="H79" s="7" t="s">
        <v>442</v>
      </c>
      <c r="I79" s="2" t="s">
        <v>92</v>
      </c>
      <c r="J79" s="2" t="s">
        <v>65</v>
      </c>
      <c r="K79" s="2" t="s">
        <v>304</v>
      </c>
      <c r="L79" s="2" t="s">
        <v>191</v>
      </c>
      <c r="M79" s="8" t="str">
        <f>HYPERLINK("http://slimages.macys.com/is/image/MCY/14815686 ")</f>
        <v xml:space="preserve">http://slimages.macys.com/is/image/MCY/14815686 </v>
      </c>
    </row>
    <row r="80" spans="1:13" ht="168" x14ac:dyDescent="0.25">
      <c r="A80" s="7" t="s">
        <v>2510</v>
      </c>
      <c r="B80" s="2" t="s">
        <v>189</v>
      </c>
      <c r="C80" s="4">
        <v>3</v>
      </c>
      <c r="D80" s="5">
        <v>12.5</v>
      </c>
      <c r="E80" s="5">
        <v>34.99</v>
      </c>
      <c r="F80" s="4" t="s">
        <v>190</v>
      </c>
      <c r="G80" s="2" t="s">
        <v>129</v>
      </c>
      <c r="H80" s="7" t="s">
        <v>42</v>
      </c>
      <c r="I80" s="2" t="s">
        <v>92</v>
      </c>
      <c r="J80" s="2" t="s">
        <v>65</v>
      </c>
      <c r="K80" s="2" t="s">
        <v>304</v>
      </c>
      <c r="L80" s="2" t="s">
        <v>191</v>
      </c>
      <c r="M80" s="8" t="str">
        <f>HYPERLINK("http://slimages.macys.com/is/image/MCY/14815686 ")</f>
        <v xml:space="preserve">http://slimages.macys.com/is/image/MCY/14815686 </v>
      </c>
    </row>
    <row r="81" spans="1:13" ht="204" x14ac:dyDescent="0.25">
      <c r="A81" s="7" t="s">
        <v>13576</v>
      </c>
      <c r="B81" s="2" t="s">
        <v>1558</v>
      </c>
      <c r="C81" s="4">
        <v>2</v>
      </c>
      <c r="D81" s="5">
        <v>12.5</v>
      </c>
      <c r="E81" s="5">
        <v>34.99</v>
      </c>
      <c r="F81" s="4" t="s">
        <v>1559</v>
      </c>
      <c r="G81" s="2" t="s">
        <v>129</v>
      </c>
      <c r="H81" s="7" t="s">
        <v>42</v>
      </c>
      <c r="I81" s="2" t="s">
        <v>92</v>
      </c>
      <c r="J81" s="2" t="s">
        <v>65</v>
      </c>
      <c r="K81" s="2" t="s">
        <v>304</v>
      </c>
      <c r="L81" s="2" t="s">
        <v>1560</v>
      </c>
      <c r="M81" s="8" t="str">
        <f>HYPERLINK("http://slimages.macys.com/is/image/MCY/14815688 ")</f>
        <v xml:space="preserve">http://slimages.macys.com/is/image/MCY/14815688 </v>
      </c>
    </row>
    <row r="82" spans="1:13" ht="204" x14ac:dyDescent="0.25">
      <c r="A82" s="7" t="s">
        <v>13285</v>
      </c>
      <c r="B82" s="2" t="s">
        <v>1558</v>
      </c>
      <c r="C82" s="4">
        <v>1</v>
      </c>
      <c r="D82" s="5">
        <v>12.5</v>
      </c>
      <c r="E82" s="5">
        <v>34.99</v>
      </c>
      <c r="F82" s="4" t="s">
        <v>1559</v>
      </c>
      <c r="G82" s="2" t="s">
        <v>129</v>
      </c>
      <c r="H82" s="7" t="s">
        <v>442</v>
      </c>
      <c r="I82" s="2" t="s">
        <v>92</v>
      </c>
      <c r="J82" s="2" t="s">
        <v>65</v>
      </c>
      <c r="K82" s="2" t="s">
        <v>304</v>
      </c>
      <c r="L82" s="2" t="s">
        <v>1560</v>
      </c>
      <c r="M82" s="8" t="str">
        <f>HYPERLINK("http://slimages.macys.com/is/image/MCY/14815688 ")</f>
        <v xml:space="preserve">http://slimages.macys.com/is/image/MCY/14815688 </v>
      </c>
    </row>
    <row r="83" spans="1:13" ht="144" x14ac:dyDescent="0.25">
      <c r="A83" s="7" t="s">
        <v>3774</v>
      </c>
      <c r="B83" s="2" t="s">
        <v>3775</v>
      </c>
      <c r="C83" s="4">
        <v>1</v>
      </c>
      <c r="D83" s="5">
        <v>12.5</v>
      </c>
      <c r="E83" s="5">
        <v>34.99</v>
      </c>
      <c r="F83" s="4" t="s">
        <v>3776</v>
      </c>
      <c r="G83" s="2" t="s">
        <v>752</v>
      </c>
      <c r="H83" s="7" t="s">
        <v>42</v>
      </c>
      <c r="I83" s="2" t="s">
        <v>92</v>
      </c>
      <c r="J83" s="2" t="s">
        <v>65</v>
      </c>
      <c r="K83" s="2" t="s">
        <v>304</v>
      </c>
      <c r="L83" s="2" t="s">
        <v>3777</v>
      </c>
      <c r="M83" s="8" t="str">
        <f>HYPERLINK("http://slimages.macys.com/is/image/MCY/15240491 ")</f>
        <v xml:space="preserve">http://slimages.macys.com/is/image/MCY/15240491 </v>
      </c>
    </row>
    <row r="84" spans="1:13" ht="144" x14ac:dyDescent="0.25">
      <c r="A84" s="7" t="s">
        <v>13284</v>
      </c>
      <c r="B84" s="2" t="s">
        <v>3775</v>
      </c>
      <c r="C84" s="4">
        <v>1</v>
      </c>
      <c r="D84" s="5">
        <v>12.5</v>
      </c>
      <c r="E84" s="5">
        <v>34.99</v>
      </c>
      <c r="F84" s="4" t="s">
        <v>3776</v>
      </c>
      <c r="G84" s="2" t="s">
        <v>752</v>
      </c>
      <c r="H84" s="7" t="s">
        <v>91</v>
      </c>
      <c r="I84" s="2" t="s">
        <v>92</v>
      </c>
      <c r="J84" s="2" t="s">
        <v>65</v>
      </c>
      <c r="K84" s="2" t="s">
        <v>304</v>
      </c>
      <c r="L84" s="2" t="s">
        <v>3777</v>
      </c>
      <c r="M84" s="8" t="str">
        <f>HYPERLINK("http://slimages.macys.com/is/image/MCY/15240491 ")</f>
        <v xml:space="preserve">http://slimages.macys.com/is/image/MCY/15240491 </v>
      </c>
    </row>
    <row r="85" spans="1:13" ht="120" x14ac:dyDescent="0.25">
      <c r="A85" s="7" t="s">
        <v>4810</v>
      </c>
      <c r="B85" s="2" t="s">
        <v>3053</v>
      </c>
      <c r="C85" s="4">
        <v>1</v>
      </c>
      <c r="D85" s="5">
        <v>12.5</v>
      </c>
      <c r="E85" s="5">
        <v>34.99</v>
      </c>
      <c r="F85" s="4" t="s">
        <v>3054</v>
      </c>
      <c r="G85" s="2" t="s">
        <v>62</v>
      </c>
      <c r="H85" s="7" t="s">
        <v>442</v>
      </c>
      <c r="I85" s="2" t="s">
        <v>92</v>
      </c>
      <c r="J85" s="2" t="s">
        <v>65</v>
      </c>
      <c r="K85" s="2" t="s">
        <v>304</v>
      </c>
      <c r="L85" s="2" t="s">
        <v>3055</v>
      </c>
      <c r="M85" s="8" t="str">
        <f>HYPERLINK("http://slimages.macys.com/is/image/MCY/14815658 ")</f>
        <v xml:space="preserve">http://slimages.macys.com/is/image/MCY/14815658 </v>
      </c>
    </row>
    <row r="86" spans="1:13" ht="120" x14ac:dyDescent="0.25">
      <c r="A86" s="7" t="s">
        <v>3052</v>
      </c>
      <c r="B86" s="2" t="s">
        <v>3053</v>
      </c>
      <c r="C86" s="4">
        <v>2</v>
      </c>
      <c r="D86" s="5">
        <v>12.5</v>
      </c>
      <c r="E86" s="5">
        <v>34.99</v>
      </c>
      <c r="F86" s="4" t="s">
        <v>3054</v>
      </c>
      <c r="G86" s="2" t="s">
        <v>62</v>
      </c>
      <c r="H86" s="7" t="s">
        <v>149</v>
      </c>
      <c r="I86" s="2" t="s">
        <v>92</v>
      </c>
      <c r="J86" s="2" t="s">
        <v>65</v>
      </c>
      <c r="K86" s="2" t="s">
        <v>304</v>
      </c>
      <c r="L86" s="2" t="s">
        <v>3055</v>
      </c>
      <c r="M86" s="8" t="str">
        <f>HYPERLINK("http://slimages.macys.com/is/image/MCY/14815658 ")</f>
        <v xml:space="preserve">http://slimages.macys.com/is/image/MCY/14815658 </v>
      </c>
    </row>
    <row r="87" spans="1:13" ht="204" x14ac:dyDescent="0.25">
      <c r="A87" s="7" t="s">
        <v>1557</v>
      </c>
      <c r="B87" s="2" t="s">
        <v>1558</v>
      </c>
      <c r="C87" s="4">
        <v>1</v>
      </c>
      <c r="D87" s="5">
        <v>12.5</v>
      </c>
      <c r="E87" s="5">
        <v>34.99</v>
      </c>
      <c r="F87" s="4" t="s">
        <v>1559</v>
      </c>
      <c r="G87" s="2" t="s">
        <v>129</v>
      </c>
      <c r="H87" s="7" t="s">
        <v>91</v>
      </c>
      <c r="I87" s="2" t="s">
        <v>92</v>
      </c>
      <c r="J87" s="2" t="s">
        <v>65</v>
      </c>
      <c r="K87" s="2" t="s">
        <v>304</v>
      </c>
      <c r="L87" s="2" t="s">
        <v>1560</v>
      </c>
      <c r="M87" s="8" t="str">
        <f>HYPERLINK("http://slimages.macys.com/is/image/MCY/14815688 ")</f>
        <v xml:space="preserve">http://slimages.macys.com/is/image/MCY/14815688 </v>
      </c>
    </row>
    <row r="88" spans="1:13" ht="60" x14ac:dyDescent="0.25">
      <c r="A88" s="7" t="s">
        <v>779</v>
      </c>
      <c r="B88" s="2" t="s">
        <v>198</v>
      </c>
      <c r="C88" s="4">
        <v>5</v>
      </c>
      <c r="D88" s="5">
        <v>12.39</v>
      </c>
      <c r="E88" s="5">
        <v>29.5</v>
      </c>
      <c r="F88" s="4" t="s">
        <v>199</v>
      </c>
      <c r="G88" s="2" t="s">
        <v>200</v>
      </c>
      <c r="H88" s="7" t="s">
        <v>442</v>
      </c>
      <c r="I88" s="2" t="s">
        <v>135</v>
      </c>
      <c r="J88" s="2" t="s">
        <v>201</v>
      </c>
      <c r="K88" s="2" t="s">
        <v>304</v>
      </c>
      <c r="L88" s="2" t="s">
        <v>87</v>
      </c>
      <c r="M88" s="8" t="str">
        <f>HYPERLINK("http://slimages.macys.com/is/image/MCY/1477012 ")</f>
        <v xml:space="preserve">http://slimages.macys.com/is/image/MCY/1477012 </v>
      </c>
    </row>
    <row r="89" spans="1:13" ht="60" x14ac:dyDescent="0.25">
      <c r="A89" s="7" t="s">
        <v>197</v>
      </c>
      <c r="B89" s="2" t="s">
        <v>198</v>
      </c>
      <c r="C89" s="4">
        <v>18</v>
      </c>
      <c r="D89" s="5">
        <v>12.39</v>
      </c>
      <c r="E89" s="5">
        <v>29.5</v>
      </c>
      <c r="F89" s="4" t="s">
        <v>199</v>
      </c>
      <c r="G89" s="2" t="s">
        <v>200</v>
      </c>
      <c r="H89" s="7" t="s">
        <v>91</v>
      </c>
      <c r="I89" s="2" t="s">
        <v>135</v>
      </c>
      <c r="J89" s="2" t="s">
        <v>201</v>
      </c>
      <c r="K89" s="2" t="s">
        <v>304</v>
      </c>
      <c r="L89" s="2" t="s">
        <v>87</v>
      </c>
      <c r="M89" s="8" t="str">
        <f>HYPERLINK("http://slimages.macys.com/is/image/MCY/1477012 ")</f>
        <v xml:space="preserve">http://slimages.macys.com/is/image/MCY/1477012 </v>
      </c>
    </row>
    <row r="90" spans="1:13" ht="60" x14ac:dyDescent="0.25">
      <c r="A90" s="7" t="s">
        <v>2511</v>
      </c>
      <c r="B90" s="2" t="s">
        <v>198</v>
      </c>
      <c r="C90" s="4">
        <v>14</v>
      </c>
      <c r="D90" s="5">
        <v>12.39</v>
      </c>
      <c r="E90" s="5">
        <v>29.5</v>
      </c>
      <c r="F90" s="4" t="s">
        <v>199</v>
      </c>
      <c r="G90" s="2" t="s">
        <v>200</v>
      </c>
      <c r="H90" s="7" t="s">
        <v>42</v>
      </c>
      <c r="I90" s="2" t="s">
        <v>135</v>
      </c>
      <c r="J90" s="2" t="s">
        <v>201</v>
      </c>
      <c r="K90" s="2" t="s">
        <v>304</v>
      </c>
      <c r="L90" s="2" t="s">
        <v>87</v>
      </c>
      <c r="M90" s="8" t="str">
        <f>HYPERLINK("http://slimages.macys.com/is/image/MCY/1477012 ")</f>
        <v xml:space="preserve">http://slimages.macys.com/is/image/MCY/1477012 </v>
      </c>
    </row>
    <row r="91" spans="1:13" ht="60" x14ac:dyDescent="0.25">
      <c r="A91" s="7" t="s">
        <v>14066</v>
      </c>
      <c r="B91" s="2" t="s">
        <v>3792</v>
      </c>
      <c r="C91" s="4">
        <v>1</v>
      </c>
      <c r="D91" s="5">
        <v>12</v>
      </c>
      <c r="E91" s="5">
        <v>30</v>
      </c>
      <c r="F91" s="4">
        <v>1342064</v>
      </c>
      <c r="G91" s="2" t="s">
        <v>171</v>
      </c>
      <c r="H91" s="7" t="s">
        <v>284</v>
      </c>
      <c r="I91" s="2" t="s">
        <v>80</v>
      </c>
      <c r="J91" s="2" t="s">
        <v>280</v>
      </c>
      <c r="K91" s="2" t="s">
        <v>304</v>
      </c>
      <c r="L91" s="2" t="s">
        <v>125</v>
      </c>
      <c r="M91" s="8" t="str">
        <f>HYPERLINK("http://slimages.macys.com/is/image/MCY/13385828 ")</f>
        <v xml:space="preserve">http://slimages.macys.com/is/image/MCY/13385828 </v>
      </c>
    </row>
    <row r="92" spans="1:13" ht="60" x14ac:dyDescent="0.25">
      <c r="A92" s="7" t="s">
        <v>14067</v>
      </c>
      <c r="B92" s="2" t="s">
        <v>14068</v>
      </c>
      <c r="C92" s="4">
        <v>1</v>
      </c>
      <c r="D92" s="5">
        <v>12</v>
      </c>
      <c r="E92" s="5">
        <v>21.99</v>
      </c>
      <c r="F92" s="4" t="s">
        <v>14069</v>
      </c>
      <c r="G92" s="2" t="s">
        <v>892</v>
      </c>
      <c r="H92" s="7" t="s">
        <v>311</v>
      </c>
      <c r="I92" s="2" t="s">
        <v>380</v>
      </c>
      <c r="J92" s="2" t="s">
        <v>258</v>
      </c>
      <c r="K92" s="2" t="s">
        <v>304</v>
      </c>
      <c r="L92" s="2" t="s">
        <v>87</v>
      </c>
      <c r="M92" s="8" t="str">
        <f>HYPERLINK("http://slimages.macys.com/is/image/MCY/1699745 ")</f>
        <v xml:space="preserve">http://slimages.macys.com/is/image/MCY/1699745 </v>
      </c>
    </row>
    <row r="93" spans="1:13" ht="60" x14ac:dyDescent="0.25">
      <c r="A93" s="7" t="s">
        <v>14070</v>
      </c>
      <c r="B93" s="2" t="s">
        <v>14071</v>
      </c>
      <c r="C93" s="4">
        <v>2</v>
      </c>
      <c r="D93" s="5">
        <v>11.76</v>
      </c>
      <c r="E93" s="5">
        <v>28</v>
      </c>
      <c r="F93" s="4" t="s">
        <v>14072</v>
      </c>
      <c r="G93" s="2" t="s">
        <v>41</v>
      </c>
      <c r="H93" s="7" t="s">
        <v>213</v>
      </c>
      <c r="I93" s="2" t="s">
        <v>73</v>
      </c>
      <c r="J93" s="2" t="s">
        <v>74</v>
      </c>
      <c r="K93" s="2" t="s">
        <v>304</v>
      </c>
      <c r="L93" s="2" t="s">
        <v>206</v>
      </c>
      <c r="M93" s="8" t="str">
        <f>HYPERLINK("http://slimages.macys.com/is/image/MCY/11792239 ")</f>
        <v xml:space="preserve">http://slimages.macys.com/is/image/MCY/11792239 </v>
      </c>
    </row>
    <row r="94" spans="1:13" ht="108" x14ac:dyDescent="0.25">
      <c r="A94" s="7" t="s">
        <v>3107</v>
      </c>
      <c r="B94" s="2" t="s">
        <v>3108</v>
      </c>
      <c r="C94" s="4">
        <v>3</v>
      </c>
      <c r="D94" s="5">
        <v>11.5</v>
      </c>
      <c r="E94" s="5">
        <v>26.15</v>
      </c>
      <c r="F94" s="4">
        <v>19321110</v>
      </c>
      <c r="G94" s="2" t="s">
        <v>262</v>
      </c>
      <c r="H94" s="7" t="s">
        <v>482</v>
      </c>
      <c r="I94" s="2" t="s">
        <v>153</v>
      </c>
      <c r="J94" s="2" t="s">
        <v>154</v>
      </c>
      <c r="K94" s="2" t="s">
        <v>304</v>
      </c>
      <c r="L94" s="2" t="s">
        <v>3109</v>
      </c>
      <c r="M94" s="8" t="str">
        <f>HYPERLINK("http://slimages.macys.com/is/image/MCY/14608316 ")</f>
        <v xml:space="preserve">http://slimages.macys.com/is/image/MCY/14608316 </v>
      </c>
    </row>
    <row r="95" spans="1:13" ht="60" x14ac:dyDescent="0.25">
      <c r="A95" s="7" t="s">
        <v>14073</v>
      </c>
      <c r="B95" s="2" t="s">
        <v>13558</v>
      </c>
      <c r="C95" s="4">
        <v>1</v>
      </c>
      <c r="D95" s="5">
        <v>11.25</v>
      </c>
      <c r="E95" s="5">
        <v>25</v>
      </c>
      <c r="F95" s="4">
        <v>321755284001</v>
      </c>
      <c r="G95" s="2" t="s">
        <v>657</v>
      </c>
      <c r="H95" s="7" t="s">
        <v>68</v>
      </c>
      <c r="I95" s="2" t="s">
        <v>204</v>
      </c>
      <c r="J95" s="2" t="s">
        <v>205</v>
      </c>
      <c r="K95" s="2" t="s">
        <v>304</v>
      </c>
      <c r="L95" s="2" t="s">
        <v>38</v>
      </c>
      <c r="M95" s="8" t="str">
        <f>HYPERLINK("http://slimages.macys.com/is/image/MCY/14197671 ")</f>
        <v xml:space="preserve">http://slimages.macys.com/is/image/MCY/14197671 </v>
      </c>
    </row>
    <row r="96" spans="1:13" ht="60" x14ac:dyDescent="0.25">
      <c r="A96" s="7" t="s">
        <v>14074</v>
      </c>
      <c r="B96" s="2" t="s">
        <v>14075</v>
      </c>
      <c r="C96" s="4">
        <v>1</v>
      </c>
      <c r="D96" s="5">
        <v>11.2</v>
      </c>
      <c r="E96" s="5">
        <v>24.99</v>
      </c>
      <c r="F96" s="4" t="s">
        <v>14076</v>
      </c>
      <c r="G96" s="2" t="s">
        <v>262</v>
      </c>
      <c r="H96" s="7" t="s">
        <v>68</v>
      </c>
      <c r="I96" s="2" t="s">
        <v>80</v>
      </c>
      <c r="J96" s="2" t="s">
        <v>167</v>
      </c>
      <c r="K96" s="2" t="s">
        <v>304</v>
      </c>
      <c r="L96" s="2" t="s">
        <v>125</v>
      </c>
      <c r="M96" s="8" t="str">
        <f>HYPERLINK("http://slimages.macys.com/is/image/MCY/13117112 ")</f>
        <v xml:space="preserve">http://slimages.macys.com/is/image/MCY/13117112 </v>
      </c>
    </row>
    <row r="97" spans="1:13" ht="60" x14ac:dyDescent="0.25">
      <c r="A97" s="7" t="s">
        <v>14077</v>
      </c>
      <c r="B97" s="2" t="s">
        <v>1580</v>
      </c>
      <c r="C97" s="4">
        <v>1</v>
      </c>
      <c r="D97" s="5">
        <v>11.12</v>
      </c>
      <c r="E97" s="5">
        <v>22.99</v>
      </c>
      <c r="F97" s="4" t="s">
        <v>1581</v>
      </c>
      <c r="G97" s="2" t="s">
        <v>165</v>
      </c>
      <c r="H97" s="7" t="s">
        <v>196</v>
      </c>
      <c r="I97" s="2" t="s">
        <v>73</v>
      </c>
      <c r="J97" s="2" t="s">
        <v>160</v>
      </c>
      <c r="K97" s="2" t="s">
        <v>304</v>
      </c>
      <c r="L97" s="2" t="s">
        <v>206</v>
      </c>
      <c r="M97" s="8" t="str">
        <f>HYPERLINK("http://slimages.macys.com/is/image/MCY/12337182 ")</f>
        <v xml:space="preserve">http://slimages.macys.com/is/image/MCY/12337182 </v>
      </c>
    </row>
    <row r="98" spans="1:13" ht="144" x14ac:dyDescent="0.25">
      <c r="A98" s="7" t="s">
        <v>232</v>
      </c>
      <c r="B98" s="2" t="s">
        <v>152</v>
      </c>
      <c r="C98" s="4">
        <v>1</v>
      </c>
      <c r="D98" s="5">
        <v>11.1</v>
      </c>
      <c r="E98" s="5">
        <v>25.24</v>
      </c>
      <c r="F98" s="4">
        <v>19318310</v>
      </c>
      <c r="G98" s="2"/>
      <c r="H98" s="7" t="s">
        <v>233</v>
      </c>
      <c r="I98" s="2" t="s">
        <v>153</v>
      </c>
      <c r="J98" s="2" t="s">
        <v>154</v>
      </c>
      <c r="K98" s="2" t="s">
        <v>304</v>
      </c>
      <c r="L98" s="2" t="s">
        <v>234</v>
      </c>
      <c r="M98" s="8" t="str">
        <f>HYPERLINK("http://slimages.macys.com/is/image/MCY/14608343 ")</f>
        <v xml:space="preserve">http://slimages.macys.com/is/image/MCY/14608343 </v>
      </c>
    </row>
    <row r="99" spans="1:13" ht="144" x14ac:dyDescent="0.25">
      <c r="A99" s="7" t="s">
        <v>5253</v>
      </c>
      <c r="B99" s="2" t="s">
        <v>152</v>
      </c>
      <c r="C99" s="4">
        <v>3</v>
      </c>
      <c r="D99" s="5">
        <v>11.1</v>
      </c>
      <c r="E99" s="5">
        <v>25.24</v>
      </c>
      <c r="F99" s="4">
        <v>19318310</v>
      </c>
      <c r="G99" s="2"/>
      <c r="H99" s="7" t="s">
        <v>482</v>
      </c>
      <c r="I99" s="2" t="s">
        <v>153</v>
      </c>
      <c r="J99" s="2" t="s">
        <v>154</v>
      </c>
      <c r="K99" s="2" t="s">
        <v>304</v>
      </c>
      <c r="L99" s="2" t="s">
        <v>234</v>
      </c>
      <c r="M99" s="8" t="str">
        <f>HYPERLINK("http://slimages.macys.com/is/image/MCY/14608343 ")</f>
        <v xml:space="preserve">http://slimages.macys.com/is/image/MCY/14608343 </v>
      </c>
    </row>
    <row r="100" spans="1:13" ht="60" x14ac:dyDescent="0.25">
      <c r="A100" s="7" t="s">
        <v>14078</v>
      </c>
      <c r="B100" s="2" t="s">
        <v>13291</v>
      </c>
      <c r="C100" s="4">
        <v>1</v>
      </c>
      <c r="D100" s="5">
        <v>11</v>
      </c>
      <c r="E100" s="5">
        <v>29.99</v>
      </c>
      <c r="F100" s="4" t="s">
        <v>13292</v>
      </c>
      <c r="G100" s="2" t="s">
        <v>62</v>
      </c>
      <c r="H100" s="7" t="s">
        <v>149</v>
      </c>
      <c r="I100" s="2" t="s">
        <v>92</v>
      </c>
      <c r="J100" s="2" t="s">
        <v>239</v>
      </c>
      <c r="K100" s="2" t="s">
        <v>304</v>
      </c>
      <c r="L100" s="2" t="s">
        <v>100</v>
      </c>
      <c r="M100" s="8" t="str">
        <f>HYPERLINK("http://slimages.macys.com/is/image/MCY/13933713 ")</f>
        <v xml:space="preserve">http://slimages.macys.com/is/image/MCY/13933713 </v>
      </c>
    </row>
    <row r="101" spans="1:13" ht="156" x14ac:dyDescent="0.25">
      <c r="A101" s="7" t="s">
        <v>14079</v>
      </c>
      <c r="B101" s="2" t="s">
        <v>14080</v>
      </c>
      <c r="C101" s="4">
        <v>1</v>
      </c>
      <c r="D101" s="5">
        <v>11</v>
      </c>
      <c r="E101" s="5">
        <v>29.99</v>
      </c>
      <c r="F101" s="4" t="s">
        <v>14081</v>
      </c>
      <c r="G101" s="2" t="s">
        <v>129</v>
      </c>
      <c r="H101" s="7" t="s">
        <v>149</v>
      </c>
      <c r="I101" s="2" t="s">
        <v>92</v>
      </c>
      <c r="J101" s="2" t="s">
        <v>239</v>
      </c>
      <c r="K101" s="2" t="s">
        <v>304</v>
      </c>
      <c r="L101" s="2" t="s">
        <v>14082</v>
      </c>
      <c r="M101" s="8" t="str">
        <f>HYPERLINK("http://slimages.macys.com/is/image/MCY/14542898 ")</f>
        <v xml:space="preserve">http://slimages.macys.com/is/image/MCY/14542898 </v>
      </c>
    </row>
    <row r="102" spans="1:13" ht="60" x14ac:dyDescent="0.25">
      <c r="A102" s="7" t="s">
        <v>13290</v>
      </c>
      <c r="B102" s="2" t="s">
        <v>13291</v>
      </c>
      <c r="C102" s="4">
        <v>1</v>
      </c>
      <c r="D102" s="5">
        <v>11</v>
      </c>
      <c r="E102" s="5">
        <v>29.99</v>
      </c>
      <c r="F102" s="4" t="s">
        <v>13292</v>
      </c>
      <c r="G102" s="2" t="s">
        <v>62</v>
      </c>
      <c r="H102" s="7" t="s">
        <v>590</v>
      </c>
      <c r="I102" s="2" t="s">
        <v>92</v>
      </c>
      <c r="J102" s="2" t="s">
        <v>239</v>
      </c>
      <c r="K102" s="2" t="s">
        <v>304</v>
      </c>
      <c r="L102" s="2" t="s">
        <v>100</v>
      </c>
      <c r="M102" s="8" t="str">
        <f>HYPERLINK("http://slimages.macys.com/is/image/MCY/13933713 ")</f>
        <v xml:space="preserve">http://slimages.macys.com/is/image/MCY/13933713 </v>
      </c>
    </row>
    <row r="103" spans="1:13" ht="60" x14ac:dyDescent="0.25">
      <c r="A103" s="7" t="s">
        <v>14083</v>
      </c>
      <c r="B103" s="2" t="s">
        <v>6183</v>
      </c>
      <c r="C103" s="4">
        <v>1</v>
      </c>
      <c r="D103" s="5">
        <v>10.68</v>
      </c>
      <c r="E103" s="5">
        <v>29.99</v>
      </c>
      <c r="F103" s="4" t="s">
        <v>6184</v>
      </c>
      <c r="G103" s="2" t="s">
        <v>36</v>
      </c>
      <c r="H103" s="7" t="s">
        <v>196</v>
      </c>
      <c r="I103" s="2" t="s">
        <v>389</v>
      </c>
      <c r="J103" s="2" t="s">
        <v>354</v>
      </c>
      <c r="K103" s="2" t="s">
        <v>304</v>
      </c>
      <c r="L103" s="2" t="s">
        <v>596</v>
      </c>
      <c r="M103" s="8" t="str">
        <f>HYPERLINK("http://slimages.macys.com/is/image/MCY/12938556 ")</f>
        <v xml:space="preserve">http://slimages.macys.com/is/image/MCY/12938556 </v>
      </c>
    </row>
    <row r="104" spans="1:13" ht="96" x14ac:dyDescent="0.25">
      <c r="A104" s="7" t="s">
        <v>14084</v>
      </c>
      <c r="B104" s="2" t="s">
        <v>3838</v>
      </c>
      <c r="C104" s="4">
        <v>1</v>
      </c>
      <c r="D104" s="5">
        <v>10.5</v>
      </c>
      <c r="E104" s="5">
        <v>25.25</v>
      </c>
      <c r="F104" s="4">
        <v>19317910</v>
      </c>
      <c r="G104" s="2"/>
      <c r="H104" s="7" t="s">
        <v>233</v>
      </c>
      <c r="I104" s="2" t="s">
        <v>153</v>
      </c>
      <c r="J104" s="2" t="s">
        <v>154</v>
      </c>
      <c r="K104" s="2" t="s">
        <v>304</v>
      </c>
      <c r="L104" s="2" t="s">
        <v>3839</v>
      </c>
      <c r="M104" s="8" t="str">
        <f>HYPERLINK("http://slimages.macys.com/is/image/MCY/14608345 ")</f>
        <v xml:space="preserve">http://slimages.macys.com/is/image/MCY/14608345 </v>
      </c>
    </row>
    <row r="105" spans="1:13" ht="120" x14ac:dyDescent="0.25">
      <c r="A105" s="7" t="s">
        <v>3138</v>
      </c>
      <c r="B105" s="2" t="s">
        <v>268</v>
      </c>
      <c r="C105" s="4">
        <v>3</v>
      </c>
      <c r="D105" s="5">
        <v>10.5</v>
      </c>
      <c r="E105" s="5">
        <v>25.25</v>
      </c>
      <c r="F105" s="4">
        <v>19319310</v>
      </c>
      <c r="G105" s="2" t="s">
        <v>129</v>
      </c>
      <c r="H105" s="7" t="s">
        <v>482</v>
      </c>
      <c r="I105" s="2" t="s">
        <v>153</v>
      </c>
      <c r="J105" s="2" t="s">
        <v>154</v>
      </c>
      <c r="K105" s="2" t="s">
        <v>304</v>
      </c>
      <c r="L105" s="2" t="s">
        <v>269</v>
      </c>
      <c r="M105" s="8" t="str">
        <f>HYPERLINK("http://slimages.macys.com/is/image/MCY/14662011 ")</f>
        <v xml:space="preserve">http://slimages.macys.com/is/image/MCY/14662011 </v>
      </c>
    </row>
    <row r="106" spans="1:13" ht="60" x14ac:dyDescent="0.25">
      <c r="A106" s="7" t="s">
        <v>2522</v>
      </c>
      <c r="B106" s="2" t="s">
        <v>255</v>
      </c>
      <c r="C106" s="4">
        <v>2</v>
      </c>
      <c r="D106" s="5">
        <v>10.5</v>
      </c>
      <c r="E106" s="5">
        <v>24.99</v>
      </c>
      <c r="F106" s="4" t="s">
        <v>256</v>
      </c>
      <c r="G106" s="2" t="s">
        <v>86</v>
      </c>
      <c r="H106" s="7" t="s">
        <v>172</v>
      </c>
      <c r="I106" s="2" t="s">
        <v>257</v>
      </c>
      <c r="J106" s="2" t="s">
        <v>258</v>
      </c>
      <c r="K106" s="2" t="s">
        <v>304</v>
      </c>
      <c r="L106" s="2" t="s">
        <v>206</v>
      </c>
      <c r="M106" s="8" t="str">
        <f>HYPERLINK("http://slimages.macys.com/is/image/MCY/11722980 ")</f>
        <v xml:space="preserve">http://slimages.macys.com/is/image/MCY/11722980 </v>
      </c>
    </row>
    <row r="107" spans="1:13" ht="84" x14ac:dyDescent="0.25">
      <c r="A107" s="7" t="s">
        <v>5269</v>
      </c>
      <c r="B107" s="2" t="s">
        <v>809</v>
      </c>
      <c r="C107" s="4">
        <v>2</v>
      </c>
      <c r="D107" s="5">
        <v>10.5</v>
      </c>
      <c r="E107" s="5">
        <v>25.25</v>
      </c>
      <c r="F107" s="4">
        <v>19318710</v>
      </c>
      <c r="G107" s="2"/>
      <c r="H107" s="7" t="s">
        <v>482</v>
      </c>
      <c r="I107" s="2" t="s">
        <v>153</v>
      </c>
      <c r="J107" s="2" t="s">
        <v>154</v>
      </c>
      <c r="K107" s="2" t="s">
        <v>304</v>
      </c>
      <c r="L107" s="2" t="s">
        <v>810</v>
      </c>
      <c r="M107" s="8" t="str">
        <f>HYPERLINK("http://slimages.macys.com/is/image/MCY/14662007 ")</f>
        <v xml:space="preserve">http://slimages.macys.com/is/image/MCY/14662007 </v>
      </c>
    </row>
    <row r="108" spans="1:13" ht="120" x14ac:dyDescent="0.25">
      <c r="A108" s="7" t="s">
        <v>5271</v>
      </c>
      <c r="B108" s="2" t="s">
        <v>268</v>
      </c>
      <c r="C108" s="4">
        <v>1</v>
      </c>
      <c r="D108" s="5">
        <v>10.5</v>
      </c>
      <c r="E108" s="5">
        <v>25.25</v>
      </c>
      <c r="F108" s="4">
        <v>19319310</v>
      </c>
      <c r="G108" s="2" t="s">
        <v>129</v>
      </c>
      <c r="H108" s="7" t="s">
        <v>438</v>
      </c>
      <c r="I108" s="2" t="s">
        <v>153</v>
      </c>
      <c r="J108" s="2" t="s">
        <v>154</v>
      </c>
      <c r="K108" s="2" t="s">
        <v>304</v>
      </c>
      <c r="L108" s="2" t="s">
        <v>269</v>
      </c>
      <c r="M108" s="8" t="str">
        <f>HYPERLINK("http://slimages.macys.com/is/image/MCY/14662011 ")</f>
        <v xml:space="preserve">http://slimages.macys.com/is/image/MCY/14662011 </v>
      </c>
    </row>
    <row r="109" spans="1:13" ht="96" x14ac:dyDescent="0.25">
      <c r="A109" s="7" t="s">
        <v>5268</v>
      </c>
      <c r="B109" s="2" t="s">
        <v>3838</v>
      </c>
      <c r="C109" s="4">
        <v>2</v>
      </c>
      <c r="D109" s="5">
        <v>10.5</v>
      </c>
      <c r="E109" s="5">
        <v>25.25</v>
      </c>
      <c r="F109" s="4">
        <v>19317910</v>
      </c>
      <c r="G109" s="2"/>
      <c r="H109" s="7" t="s">
        <v>482</v>
      </c>
      <c r="I109" s="2" t="s">
        <v>153</v>
      </c>
      <c r="J109" s="2" t="s">
        <v>154</v>
      </c>
      <c r="K109" s="2" t="s">
        <v>304</v>
      </c>
      <c r="L109" s="2" t="s">
        <v>3839</v>
      </c>
      <c r="M109" s="8" t="str">
        <f>HYPERLINK("http://slimages.macys.com/is/image/MCY/14608345 ")</f>
        <v xml:space="preserve">http://slimages.macys.com/is/image/MCY/14608345 </v>
      </c>
    </row>
    <row r="110" spans="1:13" ht="60" x14ac:dyDescent="0.25">
      <c r="A110" s="7" t="s">
        <v>820</v>
      </c>
      <c r="B110" s="2" t="s">
        <v>255</v>
      </c>
      <c r="C110" s="4">
        <v>1</v>
      </c>
      <c r="D110" s="5">
        <v>10.5</v>
      </c>
      <c r="E110" s="5">
        <v>24.99</v>
      </c>
      <c r="F110" s="4" t="s">
        <v>256</v>
      </c>
      <c r="G110" s="2" t="s">
        <v>262</v>
      </c>
      <c r="H110" s="7" t="s">
        <v>97</v>
      </c>
      <c r="I110" s="2" t="s">
        <v>257</v>
      </c>
      <c r="J110" s="2" t="s">
        <v>258</v>
      </c>
      <c r="K110" s="2" t="s">
        <v>304</v>
      </c>
      <c r="L110" s="2" t="s">
        <v>206</v>
      </c>
      <c r="M110" s="8" t="str">
        <f>HYPERLINK("http://slimages.macys.com/is/image/MCY/11722982 ")</f>
        <v xml:space="preserve">http://slimages.macys.com/is/image/MCY/11722982 </v>
      </c>
    </row>
    <row r="111" spans="1:13" ht="60" x14ac:dyDescent="0.25">
      <c r="A111" s="7" t="s">
        <v>822</v>
      </c>
      <c r="B111" s="2" t="s">
        <v>255</v>
      </c>
      <c r="C111" s="4">
        <v>1</v>
      </c>
      <c r="D111" s="5">
        <v>10.5</v>
      </c>
      <c r="E111" s="5">
        <v>24.99</v>
      </c>
      <c r="F111" s="4" t="s">
        <v>256</v>
      </c>
      <c r="G111" s="2" t="s">
        <v>86</v>
      </c>
      <c r="H111" s="7" t="s">
        <v>97</v>
      </c>
      <c r="I111" s="2" t="s">
        <v>257</v>
      </c>
      <c r="J111" s="2" t="s">
        <v>258</v>
      </c>
      <c r="K111" s="2" t="s">
        <v>304</v>
      </c>
      <c r="L111" s="2" t="s">
        <v>206</v>
      </c>
      <c r="M111" s="8" t="str">
        <f>HYPERLINK("http://slimages.macys.com/is/image/MCY/11722980 ")</f>
        <v xml:space="preserve">http://slimages.macys.com/is/image/MCY/11722980 </v>
      </c>
    </row>
    <row r="112" spans="1:13" ht="60" x14ac:dyDescent="0.25">
      <c r="A112" s="7" t="s">
        <v>264</v>
      </c>
      <c r="B112" s="2" t="s">
        <v>255</v>
      </c>
      <c r="C112" s="4">
        <v>1</v>
      </c>
      <c r="D112" s="5">
        <v>10.5</v>
      </c>
      <c r="E112" s="5">
        <v>24.99</v>
      </c>
      <c r="F112" s="4" t="s">
        <v>256</v>
      </c>
      <c r="G112" s="2" t="s">
        <v>86</v>
      </c>
      <c r="H112" s="7" t="s">
        <v>177</v>
      </c>
      <c r="I112" s="2" t="s">
        <v>257</v>
      </c>
      <c r="J112" s="2" t="s">
        <v>258</v>
      </c>
      <c r="K112" s="2" t="s">
        <v>304</v>
      </c>
      <c r="L112" s="2" t="s">
        <v>206</v>
      </c>
      <c r="M112" s="8" t="str">
        <f>HYPERLINK("http://slimages.macys.com/is/image/MCY/11722980 ")</f>
        <v xml:space="preserve">http://slimages.macys.com/is/image/MCY/11722980 </v>
      </c>
    </row>
    <row r="113" spans="1:13" ht="60" x14ac:dyDescent="0.25">
      <c r="A113" s="7" t="s">
        <v>14085</v>
      </c>
      <c r="B113" s="2" t="s">
        <v>4844</v>
      </c>
      <c r="C113" s="4">
        <v>1</v>
      </c>
      <c r="D113" s="5">
        <v>10.45</v>
      </c>
      <c r="E113" s="5">
        <v>25.99</v>
      </c>
      <c r="F113" s="4" t="s">
        <v>4845</v>
      </c>
      <c r="G113" s="2" t="s">
        <v>28</v>
      </c>
      <c r="H113" s="7" t="s">
        <v>172</v>
      </c>
      <c r="I113" s="2" t="s">
        <v>292</v>
      </c>
      <c r="J113" s="2" t="s">
        <v>293</v>
      </c>
      <c r="K113" s="2" t="s">
        <v>304</v>
      </c>
      <c r="L113" s="2" t="s">
        <v>596</v>
      </c>
      <c r="M113" s="8" t="str">
        <f>HYPERLINK("http://slimages.macys.com/is/image/MCY/15197668 ")</f>
        <v xml:space="preserve">http://slimages.macys.com/is/image/MCY/15197668 </v>
      </c>
    </row>
    <row r="114" spans="1:13" ht="60" x14ac:dyDescent="0.25">
      <c r="A114" s="7" t="s">
        <v>11376</v>
      </c>
      <c r="B114" s="2" t="s">
        <v>3852</v>
      </c>
      <c r="C114" s="4">
        <v>1</v>
      </c>
      <c r="D114" s="5">
        <v>10.3</v>
      </c>
      <c r="E114" s="5">
        <v>25.05</v>
      </c>
      <c r="F114" s="4">
        <v>17986411</v>
      </c>
      <c r="G114" s="2"/>
      <c r="H114" s="7" t="s">
        <v>42</v>
      </c>
      <c r="I114" s="2" t="s">
        <v>153</v>
      </c>
      <c r="J114" s="2" t="s">
        <v>3580</v>
      </c>
      <c r="K114" s="2" t="s">
        <v>304</v>
      </c>
      <c r="L114" s="2" t="s">
        <v>206</v>
      </c>
      <c r="M114" s="8" t="str">
        <f>HYPERLINK("http://slimages.macys.com/is/image/MCY/13852926 ")</f>
        <v xml:space="preserve">http://slimages.macys.com/is/image/MCY/13852926 </v>
      </c>
    </row>
    <row r="115" spans="1:13" ht="60" x14ac:dyDescent="0.25">
      <c r="A115" s="7" t="s">
        <v>281</v>
      </c>
      <c r="B115" s="2" t="s">
        <v>282</v>
      </c>
      <c r="C115" s="4">
        <v>1</v>
      </c>
      <c r="D115" s="5">
        <v>10</v>
      </c>
      <c r="E115" s="5">
        <v>25</v>
      </c>
      <c r="F115" s="4">
        <v>1329007</v>
      </c>
      <c r="G115" s="2" t="s">
        <v>283</v>
      </c>
      <c r="H115" s="7" t="s">
        <v>284</v>
      </c>
      <c r="I115" s="2" t="s">
        <v>80</v>
      </c>
      <c r="J115" s="2" t="s">
        <v>280</v>
      </c>
      <c r="K115" s="2" t="s">
        <v>304</v>
      </c>
      <c r="L115" s="2" t="s">
        <v>125</v>
      </c>
      <c r="M115" s="8" t="str">
        <f>HYPERLINK("http://slimages.macys.com/is/image/MCY/14888348 ")</f>
        <v xml:space="preserve">http://slimages.macys.com/is/image/MCY/14888348 </v>
      </c>
    </row>
    <row r="116" spans="1:13" ht="156" x14ac:dyDescent="0.25">
      <c r="A116" s="7" t="s">
        <v>14086</v>
      </c>
      <c r="B116" s="2" t="s">
        <v>3038</v>
      </c>
      <c r="C116" s="4">
        <v>1</v>
      </c>
      <c r="D116" s="5">
        <v>9.9</v>
      </c>
      <c r="E116" s="5">
        <v>22.52</v>
      </c>
      <c r="F116" s="4">
        <v>19318910</v>
      </c>
      <c r="G116" s="2"/>
      <c r="H116" s="7" t="s">
        <v>482</v>
      </c>
      <c r="I116" s="2" t="s">
        <v>153</v>
      </c>
      <c r="J116" s="2" t="s">
        <v>154</v>
      </c>
      <c r="K116" s="2" t="s">
        <v>304</v>
      </c>
      <c r="L116" s="2" t="s">
        <v>3867</v>
      </c>
      <c r="M116" s="8" t="str">
        <f>HYPERLINK("http://slimages.macys.com/is/image/MCY/14608329 ")</f>
        <v xml:space="preserve">http://slimages.macys.com/is/image/MCY/14608329 </v>
      </c>
    </row>
    <row r="117" spans="1:13" ht="60" x14ac:dyDescent="0.25">
      <c r="A117" s="7" t="s">
        <v>3173</v>
      </c>
      <c r="B117" s="2" t="s">
        <v>3174</v>
      </c>
      <c r="C117" s="4">
        <v>1</v>
      </c>
      <c r="D117" s="5">
        <v>9.8000000000000007</v>
      </c>
      <c r="E117" s="5">
        <v>24.5</v>
      </c>
      <c r="F117" s="4" t="s">
        <v>3175</v>
      </c>
      <c r="G117" s="2" t="s">
        <v>353</v>
      </c>
      <c r="H117" s="7"/>
      <c r="I117" s="2" t="s">
        <v>98</v>
      </c>
      <c r="J117" s="2" t="s">
        <v>99</v>
      </c>
      <c r="K117" s="2" t="s">
        <v>304</v>
      </c>
      <c r="L117" s="2" t="s">
        <v>119</v>
      </c>
      <c r="M117" s="8" t="str">
        <f>HYPERLINK("http://slimages.macys.com/is/image/MCY/11682594 ")</f>
        <v xml:space="preserve">http://slimages.macys.com/is/image/MCY/11682594 </v>
      </c>
    </row>
    <row r="118" spans="1:13" ht="60" x14ac:dyDescent="0.25">
      <c r="A118" s="7" t="s">
        <v>300</v>
      </c>
      <c r="B118" s="2" t="s">
        <v>301</v>
      </c>
      <c r="C118" s="4">
        <v>1</v>
      </c>
      <c r="D118" s="5">
        <v>9.8000000000000007</v>
      </c>
      <c r="E118" s="5">
        <v>21.99</v>
      </c>
      <c r="F118" s="4" t="s">
        <v>302</v>
      </c>
      <c r="G118" s="2" t="s">
        <v>303</v>
      </c>
      <c r="H118" s="7" t="s">
        <v>248</v>
      </c>
      <c r="I118" s="2" t="s">
        <v>73</v>
      </c>
      <c r="J118" s="2" t="s">
        <v>249</v>
      </c>
      <c r="K118" s="2" t="s">
        <v>304</v>
      </c>
      <c r="L118" s="2" t="s">
        <v>125</v>
      </c>
      <c r="M118" s="8" t="str">
        <f>HYPERLINK("http://slimages.macys.com/is/image/MCY/14661401 ")</f>
        <v xml:space="preserve">http://slimages.macys.com/is/image/MCY/14661401 </v>
      </c>
    </row>
    <row r="119" spans="1:13" ht="72" x14ac:dyDescent="0.25">
      <c r="A119" s="7" t="s">
        <v>14087</v>
      </c>
      <c r="B119" s="2" t="s">
        <v>3219</v>
      </c>
      <c r="C119" s="4">
        <v>1</v>
      </c>
      <c r="D119" s="5">
        <v>9.6</v>
      </c>
      <c r="E119" s="5">
        <v>23.99</v>
      </c>
      <c r="F119" s="4" t="s">
        <v>3874</v>
      </c>
      <c r="G119" s="2" t="s">
        <v>41</v>
      </c>
      <c r="H119" s="7"/>
      <c r="I119" s="2" t="s">
        <v>173</v>
      </c>
      <c r="J119" s="2" t="s">
        <v>174</v>
      </c>
      <c r="K119" s="2" t="s">
        <v>304</v>
      </c>
      <c r="L119" s="2" t="s">
        <v>2540</v>
      </c>
      <c r="M119" s="8" t="str">
        <f>HYPERLINK("http://slimages.macys.com/is/image/MCY/12726096 ")</f>
        <v xml:space="preserve">http://slimages.macys.com/is/image/MCY/12726096 </v>
      </c>
    </row>
    <row r="120" spans="1:13" ht="72" x14ac:dyDescent="0.25">
      <c r="A120" s="7" t="s">
        <v>11917</v>
      </c>
      <c r="B120" s="2" t="s">
        <v>3219</v>
      </c>
      <c r="C120" s="4">
        <v>1</v>
      </c>
      <c r="D120" s="5">
        <v>9.6</v>
      </c>
      <c r="E120" s="5">
        <v>23.99</v>
      </c>
      <c r="F120" s="4" t="s">
        <v>3874</v>
      </c>
      <c r="G120" s="2" t="s">
        <v>171</v>
      </c>
      <c r="H120" s="7" t="s">
        <v>97</v>
      </c>
      <c r="I120" s="2" t="s">
        <v>173</v>
      </c>
      <c r="J120" s="2" t="s">
        <v>174</v>
      </c>
      <c r="K120" s="2" t="s">
        <v>304</v>
      </c>
      <c r="L120" s="2" t="s">
        <v>2540</v>
      </c>
      <c r="M120" s="8" t="str">
        <f>HYPERLINK("http://slimages.macys.com/is/image/MCY/12726096 ")</f>
        <v xml:space="preserve">http://slimages.macys.com/is/image/MCY/12726096 </v>
      </c>
    </row>
    <row r="121" spans="1:13" ht="96" x14ac:dyDescent="0.25">
      <c r="A121" s="7" t="s">
        <v>14088</v>
      </c>
      <c r="B121" s="2" t="s">
        <v>3192</v>
      </c>
      <c r="C121" s="4">
        <v>1</v>
      </c>
      <c r="D121" s="5">
        <v>9.41</v>
      </c>
      <c r="E121" s="5">
        <v>22.99</v>
      </c>
      <c r="F121" s="4" t="s">
        <v>3193</v>
      </c>
      <c r="G121" s="2" t="s">
        <v>1091</v>
      </c>
      <c r="H121" s="7" t="s">
        <v>442</v>
      </c>
      <c r="I121" s="2" t="s">
        <v>483</v>
      </c>
      <c r="J121" s="2" t="s">
        <v>536</v>
      </c>
      <c r="K121" s="2" t="s">
        <v>304</v>
      </c>
      <c r="L121" s="2" t="s">
        <v>3194</v>
      </c>
      <c r="M121" s="8" t="str">
        <f>HYPERLINK("http://slimages.macys.com/is/image/MCY/14385247 ")</f>
        <v xml:space="preserve">http://slimages.macys.com/is/image/MCY/14385247 </v>
      </c>
    </row>
    <row r="122" spans="1:13" ht="60" x14ac:dyDescent="0.25">
      <c r="A122" s="7" t="s">
        <v>14089</v>
      </c>
      <c r="B122" s="2" t="s">
        <v>3898</v>
      </c>
      <c r="C122" s="4">
        <v>1</v>
      </c>
      <c r="D122" s="5">
        <v>9.1</v>
      </c>
      <c r="E122" s="5">
        <v>20.99</v>
      </c>
      <c r="F122" s="4" t="s">
        <v>3899</v>
      </c>
      <c r="G122" s="2" t="s">
        <v>165</v>
      </c>
      <c r="H122" s="7" t="s">
        <v>68</v>
      </c>
      <c r="I122" s="2" t="s">
        <v>73</v>
      </c>
      <c r="J122" s="2" t="s">
        <v>778</v>
      </c>
      <c r="K122" s="2" t="s">
        <v>304</v>
      </c>
      <c r="L122" s="2" t="s">
        <v>3900</v>
      </c>
      <c r="M122" s="8" t="str">
        <f>HYPERLINK("http://slimages.macys.com/is/image/MCY/12800705 ")</f>
        <v xml:space="preserve">http://slimages.macys.com/is/image/MCY/12800705 </v>
      </c>
    </row>
    <row r="123" spans="1:13" ht="120" x14ac:dyDescent="0.25">
      <c r="A123" s="7" t="s">
        <v>14090</v>
      </c>
      <c r="B123" s="2" t="s">
        <v>3908</v>
      </c>
      <c r="C123" s="4">
        <v>1</v>
      </c>
      <c r="D123" s="5">
        <v>9</v>
      </c>
      <c r="E123" s="5">
        <v>24.99</v>
      </c>
      <c r="F123" s="4" t="s">
        <v>3909</v>
      </c>
      <c r="G123" s="2" t="s">
        <v>310</v>
      </c>
      <c r="H123" s="7" t="s">
        <v>63</v>
      </c>
      <c r="I123" s="2" t="s">
        <v>342</v>
      </c>
      <c r="J123" s="2" t="s">
        <v>362</v>
      </c>
      <c r="K123" s="2" t="s">
        <v>304</v>
      </c>
      <c r="L123" s="2" t="s">
        <v>3910</v>
      </c>
      <c r="M123" s="8" t="str">
        <f>HYPERLINK("http://slimages.macys.com/is/image/MCY/11860867 ")</f>
        <v xml:space="preserve">http://slimages.macys.com/is/image/MCY/11860867 </v>
      </c>
    </row>
    <row r="124" spans="1:13" ht="60" x14ac:dyDescent="0.25">
      <c r="A124" s="7" t="s">
        <v>14091</v>
      </c>
      <c r="B124" s="2" t="s">
        <v>4860</v>
      </c>
      <c r="C124" s="4">
        <v>1</v>
      </c>
      <c r="D124" s="5">
        <v>9</v>
      </c>
      <c r="E124" s="5">
        <v>22.5</v>
      </c>
      <c r="F124" s="4" t="s">
        <v>14092</v>
      </c>
      <c r="G124" s="2" t="s">
        <v>62</v>
      </c>
      <c r="H124" s="7" t="s">
        <v>317</v>
      </c>
      <c r="I124" s="2" t="s">
        <v>690</v>
      </c>
      <c r="J124" s="2" t="s">
        <v>58</v>
      </c>
      <c r="K124" s="2" t="s">
        <v>304</v>
      </c>
      <c r="L124" s="2" t="s">
        <v>119</v>
      </c>
      <c r="M124" s="8" t="str">
        <f>HYPERLINK("http://slimages.macys.com/is/image/MCY/12899348 ")</f>
        <v xml:space="preserve">http://slimages.macys.com/is/image/MCY/12899348 </v>
      </c>
    </row>
    <row r="125" spans="1:13" ht="60" x14ac:dyDescent="0.25">
      <c r="A125" s="7" t="s">
        <v>14093</v>
      </c>
      <c r="B125" s="2" t="s">
        <v>10430</v>
      </c>
      <c r="C125" s="4">
        <v>1</v>
      </c>
      <c r="D125" s="5">
        <v>9</v>
      </c>
      <c r="E125" s="5">
        <v>22.5</v>
      </c>
      <c r="F125" s="4" t="s">
        <v>14094</v>
      </c>
      <c r="G125" s="2" t="s">
        <v>62</v>
      </c>
      <c r="H125" s="7" t="s">
        <v>68</v>
      </c>
      <c r="I125" s="2" t="s">
        <v>690</v>
      </c>
      <c r="J125" s="2" t="s">
        <v>58</v>
      </c>
      <c r="K125" s="2" t="s">
        <v>304</v>
      </c>
      <c r="L125" s="2" t="s">
        <v>119</v>
      </c>
      <c r="M125" s="8" t="str">
        <f>HYPERLINK("http://slimages.macys.com/is/image/MCY/13049165 ")</f>
        <v xml:space="preserve">http://slimages.macys.com/is/image/MCY/13049165 </v>
      </c>
    </row>
    <row r="126" spans="1:13" ht="60" x14ac:dyDescent="0.25">
      <c r="A126" s="7" t="s">
        <v>14095</v>
      </c>
      <c r="B126" s="2" t="s">
        <v>14096</v>
      </c>
      <c r="C126" s="4">
        <v>1</v>
      </c>
      <c r="D126" s="5">
        <v>8.8000000000000007</v>
      </c>
      <c r="E126" s="5">
        <v>20</v>
      </c>
      <c r="F126" s="4">
        <v>1345275</v>
      </c>
      <c r="G126" s="2" t="s">
        <v>41</v>
      </c>
      <c r="H126" s="7" t="s">
        <v>159</v>
      </c>
      <c r="I126" s="2" t="s">
        <v>80</v>
      </c>
      <c r="J126" s="2" t="s">
        <v>280</v>
      </c>
      <c r="K126" s="2" t="s">
        <v>304</v>
      </c>
      <c r="L126" s="2" t="s">
        <v>119</v>
      </c>
      <c r="M126" s="8" t="str">
        <f>HYPERLINK("http://slimages.macys.com/is/image/MCY/13368523 ")</f>
        <v xml:space="preserve">http://slimages.macys.com/is/image/MCY/13368523 </v>
      </c>
    </row>
    <row r="127" spans="1:13" ht="120" x14ac:dyDescent="0.25">
      <c r="A127" s="7" t="s">
        <v>1656</v>
      </c>
      <c r="B127" s="2" t="s">
        <v>360</v>
      </c>
      <c r="C127" s="4">
        <v>1</v>
      </c>
      <c r="D127" s="5">
        <v>8.75</v>
      </c>
      <c r="E127" s="5">
        <v>24.99</v>
      </c>
      <c r="F127" s="4" t="s">
        <v>361</v>
      </c>
      <c r="G127" s="2" t="s">
        <v>310</v>
      </c>
      <c r="H127" s="7" t="s">
        <v>63</v>
      </c>
      <c r="I127" s="2" t="s">
        <v>342</v>
      </c>
      <c r="J127" s="2" t="s">
        <v>362</v>
      </c>
      <c r="K127" s="2" t="s">
        <v>304</v>
      </c>
      <c r="L127" s="2" t="s">
        <v>1657</v>
      </c>
      <c r="M127" s="8" t="str">
        <f>HYPERLINK("http://slimages.macys.com/is/image/MCY/14399757 ")</f>
        <v xml:space="preserve">http://slimages.macys.com/is/image/MCY/14399757 </v>
      </c>
    </row>
    <row r="128" spans="1:13" ht="132" x14ac:dyDescent="0.25">
      <c r="A128" s="7" t="s">
        <v>14097</v>
      </c>
      <c r="B128" s="2" t="s">
        <v>14098</v>
      </c>
      <c r="C128" s="4">
        <v>1</v>
      </c>
      <c r="D128" s="5">
        <v>8.75</v>
      </c>
      <c r="E128" s="5">
        <v>24.99</v>
      </c>
      <c r="F128" s="4" t="s">
        <v>14099</v>
      </c>
      <c r="G128" s="2" t="s">
        <v>310</v>
      </c>
      <c r="H128" s="7" t="s">
        <v>68</v>
      </c>
      <c r="I128" s="2" t="s">
        <v>342</v>
      </c>
      <c r="J128" s="2" t="s">
        <v>362</v>
      </c>
      <c r="K128" s="2" t="s">
        <v>304</v>
      </c>
      <c r="L128" s="2" t="s">
        <v>14100</v>
      </c>
      <c r="M128" s="8" t="str">
        <f>HYPERLINK("http://slimages.macys.com/is/image/MCY/14399769 ")</f>
        <v xml:space="preserve">http://slimages.macys.com/is/image/MCY/14399769 </v>
      </c>
    </row>
    <row r="129" spans="1:13" ht="132" x14ac:dyDescent="0.25">
      <c r="A129" s="7" t="s">
        <v>13824</v>
      </c>
      <c r="B129" s="2" t="s">
        <v>13825</v>
      </c>
      <c r="C129" s="4">
        <v>1</v>
      </c>
      <c r="D129" s="5">
        <v>8.75</v>
      </c>
      <c r="E129" s="5">
        <v>24.99</v>
      </c>
      <c r="F129" s="4" t="s">
        <v>13826</v>
      </c>
      <c r="G129" s="2" t="s">
        <v>310</v>
      </c>
      <c r="H129" s="7" t="s">
        <v>209</v>
      </c>
      <c r="I129" s="2" t="s">
        <v>342</v>
      </c>
      <c r="J129" s="2" t="s">
        <v>362</v>
      </c>
      <c r="K129" s="2" t="s">
        <v>304</v>
      </c>
      <c r="L129" s="2" t="s">
        <v>363</v>
      </c>
      <c r="M129" s="8" t="str">
        <f>HYPERLINK("http://slimages.macys.com/is/image/MCY/14399836 ")</f>
        <v xml:space="preserve">http://slimages.macys.com/is/image/MCY/14399836 </v>
      </c>
    </row>
    <row r="130" spans="1:13" ht="60" x14ac:dyDescent="0.25">
      <c r="A130" s="7" t="s">
        <v>870</v>
      </c>
      <c r="B130" s="2" t="s">
        <v>853</v>
      </c>
      <c r="C130" s="4">
        <v>2</v>
      </c>
      <c r="D130" s="5">
        <v>8.75</v>
      </c>
      <c r="E130" s="5">
        <v>19.989999999999998</v>
      </c>
      <c r="F130" s="4" t="s">
        <v>854</v>
      </c>
      <c r="G130" s="2" t="s">
        <v>858</v>
      </c>
      <c r="H130" s="7"/>
      <c r="I130" s="2" t="s">
        <v>815</v>
      </c>
      <c r="J130" s="2" t="s">
        <v>778</v>
      </c>
      <c r="K130" s="2" t="s">
        <v>304</v>
      </c>
      <c r="L130" s="2" t="s">
        <v>125</v>
      </c>
      <c r="M130" s="8" t="str">
        <f>HYPERLINK("http://slimages.macys.com/is/image/MCY/11724609 ")</f>
        <v xml:space="preserve">http://slimages.macys.com/is/image/MCY/11724609 </v>
      </c>
    </row>
    <row r="131" spans="1:13" ht="60" x14ac:dyDescent="0.25">
      <c r="A131" s="7" t="s">
        <v>373</v>
      </c>
      <c r="B131" s="2" t="s">
        <v>374</v>
      </c>
      <c r="C131" s="4">
        <v>1</v>
      </c>
      <c r="D131" s="5">
        <v>8.75</v>
      </c>
      <c r="E131" s="5">
        <v>18.989999999999998</v>
      </c>
      <c r="F131" s="4" t="s">
        <v>375</v>
      </c>
      <c r="G131" s="2" t="s">
        <v>165</v>
      </c>
      <c r="H131" s="7" t="s">
        <v>172</v>
      </c>
      <c r="I131" s="2" t="s">
        <v>73</v>
      </c>
      <c r="J131" s="2" t="s">
        <v>249</v>
      </c>
      <c r="K131" s="2" t="s">
        <v>304</v>
      </c>
      <c r="L131" s="2" t="s">
        <v>358</v>
      </c>
      <c r="M131" s="8" t="str">
        <f>HYPERLINK("http://slimages.macys.com/is/image/MCY/14601682 ")</f>
        <v xml:space="preserve">http://slimages.macys.com/is/image/MCY/14601682 </v>
      </c>
    </row>
    <row r="132" spans="1:13" ht="60" x14ac:dyDescent="0.25">
      <c r="A132" s="7" t="s">
        <v>852</v>
      </c>
      <c r="B132" s="2" t="s">
        <v>853</v>
      </c>
      <c r="C132" s="4">
        <v>1</v>
      </c>
      <c r="D132" s="5">
        <v>8.75</v>
      </c>
      <c r="E132" s="5">
        <v>19.989999999999998</v>
      </c>
      <c r="F132" s="4" t="s">
        <v>854</v>
      </c>
      <c r="G132" s="2" t="s">
        <v>165</v>
      </c>
      <c r="H132" s="7"/>
      <c r="I132" s="2" t="s">
        <v>815</v>
      </c>
      <c r="J132" s="2" t="s">
        <v>778</v>
      </c>
      <c r="K132" s="2" t="s">
        <v>304</v>
      </c>
      <c r="L132" s="2" t="s">
        <v>125</v>
      </c>
      <c r="M132" s="8" t="str">
        <f>HYPERLINK("http://slimages.macys.com/is/image/MCY/11724609 ")</f>
        <v xml:space="preserve">http://slimages.macys.com/is/image/MCY/11724609 </v>
      </c>
    </row>
    <row r="133" spans="1:13" ht="120" x14ac:dyDescent="0.25">
      <c r="A133" s="7" t="s">
        <v>14101</v>
      </c>
      <c r="B133" s="2" t="s">
        <v>360</v>
      </c>
      <c r="C133" s="4">
        <v>1</v>
      </c>
      <c r="D133" s="5">
        <v>8.75</v>
      </c>
      <c r="E133" s="5">
        <v>24.99</v>
      </c>
      <c r="F133" s="4" t="s">
        <v>361</v>
      </c>
      <c r="G133" s="2" t="s">
        <v>310</v>
      </c>
      <c r="H133" s="7" t="s">
        <v>311</v>
      </c>
      <c r="I133" s="2" t="s">
        <v>342</v>
      </c>
      <c r="J133" s="2" t="s">
        <v>362</v>
      </c>
      <c r="K133" s="2" t="s">
        <v>304</v>
      </c>
      <c r="L133" s="2" t="s">
        <v>1657</v>
      </c>
      <c r="M133" s="8" t="str">
        <f>HYPERLINK("http://slimages.macys.com/is/image/MCY/14399757 ")</f>
        <v xml:space="preserve">http://slimages.macys.com/is/image/MCY/14399757 </v>
      </c>
    </row>
    <row r="134" spans="1:13" ht="60" x14ac:dyDescent="0.25">
      <c r="A134" s="7" t="s">
        <v>1658</v>
      </c>
      <c r="B134" s="2" t="s">
        <v>1659</v>
      </c>
      <c r="C134" s="4">
        <v>1</v>
      </c>
      <c r="D134" s="5">
        <v>8.75</v>
      </c>
      <c r="E134" s="5">
        <v>19.989999999999998</v>
      </c>
      <c r="F134" s="4" t="s">
        <v>1660</v>
      </c>
      <c r="G134" s="2" t="s">
        <v>667</v>
      </c>
      <c r="H134" s="7" t="s">
        <v>1661</v>
      </c>
      <c r="I134" s="2" t="s">
        <v>92</v>
      </c>
      <c r="J134" s="2" t="s">
        <v>778</v>
      </c>
      <c r="K134" s="2" t="s">
        <v>304</v>
      </c>
      <c r="L134" s="2" t="s">
        <v>125</v>
      </c>
      <c r="M134" s="8" t="str">
        <f>HYPERLINK("http://slimages.macys.com/is/image/MCY/12953479 ")</f>
        <v xml:space="preserve">http://slimages.macys.com/is/image/MCY/12953479 </v>
      </c>
    </row>
    <row r="135" spans="1:13" ht="60" x14ac:dyDescent="0.25">
      <c r="A135" s="7" t="s">
        <v>3250</v>
      </c>
      <c r="B135" s="2" t="s">
        <v>3249</v>
      </c>
      <c r="C135" s="4">
        <v>1</v>
      </c>
      <c r="D135" s="5">
        <v>8.65</v>
      </c>
      <c r="E135" s="5">
        <v>17.3</v>
      </c>
      <c r="F135" s="4">
        <v>27878810</v>
      </c>
      <c r="G135" s="2"/>
      <c r="H135" s="7" t="s">
        <v>144</v>
      </c>
      <c r="I135" s="2" t="s">
        <v>487</v>
      </c>
      <c r="J135" s="2" t="s">
        <v>488</v>
      </c>
      <c r="K135" s="2" t="s">
        <v>304</v>
      </c>
      <c r="L135" s="2" t="s">
        <v>38</v>
      </c>
      <c r="M135" s="8" t="str">
        <f>HYPERLINK("http://slimages.macys.com/is/image/MCY/13852827 ")</f>
        <v xml:space="preserve">http://slimages.macys.com/is/image/MCY/13852827 </v>
      </c>
    </row>
    <row r="136" spans="1:13" ht="60" x14ac:dyDescent="0.25">
      <c r="A136" s="7" t="s">
        <v>3248</v>
      </c>
      <c r="B136" s="2" t="s">
        <v>3249</v>
      </c>
      <c r="C136" s="4">
        <v>1</v>
      </c>
      <c r="D136" s="5">
        <v>8.65</v>
      </c>
      <c r="E136" s="5">
        <v>17.3</v>
      </c>
      <c r="F136" s="4">
        <v>27878810</v>
      </c>
      <c r="G136" s="2"/>
      <c r="H136" s="7" t="s">
        <v>68</v>
      </c>
      <c r="I136" s="2" t="s">
        <v>487</v>
      </c>
      <c r="J136" s="2" t="s">
        <v>488</v>
      </c>
      <c r="K136" s="2" t="s">
        <v>304</v>
      </c>
      <c r="L136" s="2" t="s">
        <v>38</v>
      </c>
      <c r="M136" s="8" t="str">
        <f>HYPERLINK("http://slimages.macys.com/is/image/MCY/13852827 ")</f>
        <v xml:space="preserve">http://slimages.macys.com/is/image/MCY/13852827 </v>
      </c>
    </row>
    <row r="137" spans="1:13" ht="84" x14ac:dyDescent="0.25">
      <c r="A137" s="7" t="s">
        <v>13835</v>
      </c>
      <c r="B137" s="2" t="s">
        <v>377</v>
      </c>
      <c r="C137" s="4">
        <v>1</v>
      </c>
      <c r="D137" s="5">
        <v>8.5</v>
      </c>
      <c r="E137" s="5">
        <v>20</v>
      </c>
      <c r="F137" s="4" t="s">
        <v>378</v>
      </c>
      <c r="G137" s="2" t="s">
        <v>62</v>
      </c>
      <c r="H137" s="7" t="s">
        <v>123</v>
      </c>
      <c r="I137" s="2" t="s">
        <v>380</v>
      </c>
      <c r="J137" s="2" t="s">
        <v>381</v>
      </c>
      <c r="K137" s="2" t="s">
        <v>304</v>
      </c>
      <c r="L137" s="2" t="s">
        <v>382</v>
      </c>
      <c r="M137" s="8" t="str">
        <f>HYPERLINK("http://slimages.macys.com/is/image/MCY/12550109 ")</f>
        <v xml:space="preserve">http://slimages.macys.com/is/image/MCY/12550109 </v>
      </c>
    </row>
    <row r="138" spans="1:13" ht="84" x14ac:dyDescent="0.25">
      <c r="A138" s="7" t="s">
        <v>6221</v>
      </c>
      <c r="B138" s="2" t="s">
        <v>3925</v>
      </c>
      <c r="C138" s="4">
        <v>1</v>
      </c>
      <c r="D138" s="5">
        <v>8.5</v>
      </c>
      <c r="E138" s="5">
        <v>20</v>
      </c>
      <c r="F138" s="4" t="s">
        <v>3926</v>
      </c>
      <c r="G138" s="2" t="s">
        <v>171</v>
      </c>
      <c r="H138" s="7" t="s">
        <v>379</v>
      </c>
      <c r="I138" s="2" t="s">
        <v>380</v>
      </c>
      <c r="J138" s="2" t="s">
        <v>381</v>
      </c>
      <c r="K138" s="2" t="s">
        <v>304</v>
      </c>
      <c r="L138" s="2" t="s">
        <v>382</v>
      </c>
      <c r="M138" s="8" t="str">
        <f>HYPERLINK("http://slimages.macys.com/is/image/MCY/12550115 ")</f>
        <v xml:space="preserve">http://slimages.macys.com/is/image/MCY/12550115 </v>
      </c>
    </row>
    <row r="139" spans="1:13" ht="60" x14ac:dyDescent="0.25">
      <c r="A139" s="7" t="s">
        <v>14102</v>
      </c>
      <c r="B139" s="2" t="s">
        <v>3928</v>
      </c>
      <c r="C139" s="4">
        <v>1</v>
      </c>
      <c r="D139" s="5">
        <v>8.4499999999999993</v>
      </c>
      <c r="E139" s="5">
        <v>17.98</v>
      </c>
      <c r="F139" s="4" t="s">
        <v>14103</v>
      </c>
      <c r="G139" s="2"/>
      <c r="H139" s="7" t="s">
        <v>284</v>
      </c>
      <c r="I139" s="2" t="s">
        <v>523</v>
      </c>
      <c r="J139" s="2" t="s">
        <v>3930</v>
      </c>
      <c r="K139" s="2" t="s">
        <v>304</v>
      </c>
      <c r="L139" s="2" t="s">
        <v>87</v>
      </c>
      <c r="M139" s="8" t="str">
        <f>HYPERLINK("http://slimages.macys.com/is/image/MCY/10265036 ")</f>
        <v xml:space="preserve">http://slimages.macys.com/is/image/MCY/10265036 </v>
      </c>
    </row>
    <row r="140" spans="1:13" ht="60" x14ac:dyDescent="0.25">
      <c r="A140" s="7" t="s">
        <v>14104</v>
      </c>
      <c r="B140" s="2" t="s">
        <v>3928</v>
      </c>
      <c r="C140" s="4">
        <v>1</v>
      </c>
      <c r="D140" s="5">
        <v>8.4499999999999993</v>
      </c>
      <c r="E140" s="5">
        <v>17.98</v>
      </c>
      <c r="F140" s="4" t="s">
        <v>6224</v>
      </c>
      <c r="G140" s="2" t="s">
        <v>262</v>
      </c>
      <c r="H140" s="7" t="s">
        <v>228</v>
      </c>
      <c r="I140" s="2" t="s">
        <v>523</v>
      </c>
      <c r="J140" s="2" t="s">
        <v>3930</v>
      </c>
      <c r="K140" s="2" t="s">
        <v>304</v>
      </c>
      <c r="L140" s="2" t="s">
        <v>206</v>
      </c>
      <c r="M140" s="8" t="str">
        <f>HYPERLINK("http://slimages.macys.com/is/image/MCY/11671060 ")</f>
        <v xml:space="preserve">http://slimages.macys.com/is/image/MCY/11671060 </v>
      </c>
    </row>
    <row r="141" spans="1:13" ht="60" x14ac:dyDescent="0.25">
      <c r="A141" s="7" t="s">
        <v>5902</v>
      </c>
      <c r="B141" s="2" t="s">
        <v>386</v>
      </c>
      <c r="C141" s="4">
        <v>1</v>
      </c>
      <c r="D141" s="5">
        <v>8.43</v>
      </c>
      <c r="E141" s="5">
        <v>26.99</v>
      </c>
      <c r="F141" s="4" t="s">
        <v>387</v>
      </c>
      <c r="G141" s="2" t="s">
        <v>388</v>
      </c>
      <c r="H141" s="7" t="s">
        <v>228</v>
      </c>
      <c r="I141" s="2" t="s">
        <v>389</v>
      </c>
      <c r="J141" s="2" t="s">
        <v>354</v>
      </c>
      <c r="K141" s="2" t="s">
        <v>304</v>
      </c>
      <c r="L141" s="2" t="s">
        <v>390</v>
      </c>
      <c r="M141" s="8" t="str">
        <f>HYPERLINK("http://slimages.macys.com/is/image/MCY/12938536 ")</f>
        <v xml:space="preserve">http://slimages.macys.com/is/image/MCY/12938536 </v>
      </c>
    </row>
    <row r="142" spans="1:13" ht="60" x14ac:dyDescent="0.25">
      <c r="A142" s="7" t="s">
        <v>13331</v>
      </c>
      <c r="B142" s="2" t="s">
        <v>3943</v>
      </c>
      <c r="C142" s="4">
        <v>1</v>
      </c>
      <c r="D142" s="5">
        <v>8.2100000000000009</v>
      </c>
      <c r="E142" s="5">
        <v>22.99</v>
      </c>
      <c r="F142" s="4" t="s">
        <v>3944</v>
      </c>
      <c r="G142" s="2" t="s">
        <v>582</v>
      </c>
      <c r="H142" s="7" t="s">
        <v>159</v>
      </c>
      <c r="I142" s="2" t="s">
        <v>389</v>
      </c>
      <c r="J142" s="2" t="s">
        <v>354</v>
      </c>
      <c r="K142" s="2" t="s">
        <v>304</v>
      </c>
      <c r="L142" s="2" t="s">
        <v>390</v>
      </c>
      <c r="M142" s="8" t="str">
        <f>HYPERLINK("http://slimages.macys.com/is/image/MCY/13638249 ")</f>
        <v xml:space="preserve">http://slimages.macys.com/is/image/MCY/13638249 </v>
      </c>
    </row>
    <row r="143" spans="1:13" ht="60" x14ac:dyDescent="0.25">
      <c r="A143" s="7" t="s">
        <v>14105</v>
      </c>
      <c r="B143" s="2" t="s">
        <v>14106</v>
      </c>
      <c r="C143" s="4">
        <v>1</v>
      </c>
      <c r="D143" s="5">
        <v>8.1</v>
      </c>
      <c r="E143" s="5">
        <v>22.5</v>
      </c>
      <c r="F143" s="4" t="s">
        <v>14107</v>
      </c>
      <c r="G143" s="2" t="s">
        <v>653</v>
      </c>
      <c r="H143" s="7" t="s">
        <v>68</v>
      </c>
      <c r="I143" s="2" t="s">
        <v>880</v>
      </c>
      <c r="J143" s="2" t="s">
        <v>881</v>
      </c>
      <c r="K143" s="2" t="s">
        <v>304</v>
      </c>
      <c r="L143" s="2" t="s">
        <v>119</v>
      </c>
      <c r="M143" s="8" t="str">
        <f>HYPERLINK("http://slimages.macys.com/is/image/MCY/13892420 ")</f>
        <v xml:space="preserve">http://slimages.macys.com/is/image/MCY/13892420 </v>
      </c>
    </row>
    <row r="144" spans="1:13" ht="60" x14ac:dyDescent="0.25">
      <c r="A144" s="7" t="s">
        <v>13846</v>
      </c>
      <c r="B144" s="2" t="s">
        <v>1704</v>
      </c>
      <c r="C144" s="4">
        <v>1</v>
      </c>
      <c r="D144" s="5">
        <v>8.01</v>
      </c>
      <c r="E144" s="5">
        <v>19</v>
      </c>
      <c r="F144" s="4" t="s">
        <v>1705</v>
      </c>
      <c r="G144" s="2" t="s">
        <v>41</v>
      </c>
      <c r="H144" s="7" t="s">
        <v>159</v>
      </c>
      <c r="I144" s="2" t="s">
        <v>73</v>
      </c>
      <c r="J144" s="2" t="s">
        <v>160</v>
      </c>
      <c r="K144" s="2" t="s">
        <v>304</v>
      </c>
      <c r="L144" s="2" t="s">
        <v>38</v>
      </c>
      <c r="M144" s="8" t="str">
        <f>HYPERLINK("http://slimages.macys.com/is/image/MCY/14630831 ")</f>
        <v xml:space="preserve">http://slimages.macys.com/is/image/MCY/14630831 </v>
      </c>
    </row>
    <row r="145" spans="1:13" ht="60" x14ac:dyDescent="0.25">
      <c r="A145" s="7" t="s">
        <v>400</v>
      </c>
      <c r="B145" s="2" t="s">
        <v>397</v>
      </c>
      <c r="C145" s="4">
        <v>1</v>
      </c>
      <c r="D145" s="5">
        <v>8.01</v>
      </c>
      <c r="E145" s="5">
        <v>19</v>
      </c>
      <c r="F145" s="4" t="s">
        <v>398</v>
      </c>
      <c r="G145" s="2" t="s">
        <v>41</v>
      </c>
      <c r="H145" s="7" t="s">
        <v>228</v>
      </c>
      <c r="I145" s="2" t="s">
        <v>73</v>
      </c>
      <c r="J145" s="2" t="s">
        <v>160</v>
      </c>
      <c r="K145" s="2" t="s">
        <v>304</v>
      </c>
      <c r="L145" s="2" t="s">
        <v>206</v>
      </c>
      <c r="M145" s="8" t="str">
        <f>HYPERLINK("http://slimages.macys.com/is/image/MCY/14724089 ")</f>
        <v xml:space="preserve">http://slimages.macys.com/is/image/MCY/14724089 </v>
      </c>
    </row>
    <row r="146" spans="1:13" ht="60" x14ac:dyDescent="0.25">
      <c r="A146" s="7" t="s">
        <v>14108</v>
      </c>
      <c r="B146" s="2" t="s">
        <v>14109</v>
      </c>
      <c r="C146" s="4">
        <v>1</v>
      </c>
      <c r="D146" s="5">
        <v>8.01</v>
      </c>
      <c r="E146" s="5">
        <v>17.989999999999998</v>
      </c>
      <c r="F146" s="4" t="s">
        <v>14110</v>
      </c>
      <c r="G146" s="2" t="s">
        <v>657</v>
      </c>
      <c r="H146" s="7" t="s">
        <v>284</v>
      </c>
      <c r="I146" s="2" t="s">
        <v>80</v>
      </c>
      <c r="J146" s="2" t="s">
        <v>160</v>
      </c>
      <c r="K146" s="2" t="s">
        <v>304</v>
      </c>
      <c r="L146" s="2" t="s">
        <v>206</v>
      </c>
      <c r="M146" s="8" t="str">
        <f>HYPERLINK("http://slimages.macys.com/is/image/MCY/10923542 ")</f>
        <v xml:space="preserve">http://slimages.macys.com/is/image/MCY/10923542 </v>
      </c>
    </row>
    <row r="147" spans="1:13" ht="60" x14ac:dyDescent="0.25">
      <c r="A147" s="7" t="s">
        <v>14111</v>
      </c>
      <c r="B147" s="2" t="s">
        <v>14112</v>
      </c>
      <c r="C147" s="4">
        <v>2</v>
      </c>
      <c r="D147" s="5">
        <v>8.01</v>
      </c>
      <c r="E147" s="5">
        <v>17.989999999999998</v>
      </c>
      <c r="F147" s="4" t="s">
        <v>10467</v>
      </c>
      <c r="G147" s="2" t="s">
        <v>657</v>
      </c>
      <c r="H147" s="7" t="s">
        <v>284</v>
      </c>
      <c r="I147" s="2" t="s">
        <v>80</v>
      </c>
      <c r="J147" s="2" t="s">
        <v>160</v>
      </c>
      <c r="K147" s="2" t="s">
        <v>304</v>
      </c>
      <c r="L147" s="2" t="s">
        <v>206</v>
      </c>
      <c r="M147" s="8" t="str">
        <f>HYPERLINK("http://slimages.macys.com/is/image/MCY/12225606 ")</f>
        <v xml:space="preserve">http://slimages.macys.com/is/image/MCY/12225606 </v>
      </c>
    </row>
    <row r="148" spans="1:13" ht="60" x14ac:dyDescent="0.25">
      <c r="A148" s="7" t="s">
        <v>1703</v>
      </c>
      <c r="B148" s="2" t="s">
        <v>1704</v>
      </c>
      <c r="C148" s="4">
        <v>1</v>
      </c>
      <c r="D148" s="5">
        <v>8.01</v>
      </c>
      <c r="E148" s="5">
        <v>19</v>
      </c>
      <c r="F148" s="4" t="s">
        <v>1705</v>
      </c>
      <c r="G148" s="2" t="s">
        <v>41</v>
      </c>
      <c r="H148" s="7" t="s">
        <v>228</v>
      </c>
      <c r="I148" s="2" t="s">
        <v>73</v>
      </c>
      <c r="J148" s="2" t="s">
        <v>160</v>
      </c>
      <c r="K148" s="2" t="s">
        <v>304</v>
      </c>
      <c r="L148" s="2" t="s">
        <v>38</v>
      </c>
      <c r="M148" s="8" t="str">
        <f>HYPERLINK("http://slimages.macys.com/is/image/MCY/14630831 ")</f>
        <v xml:space="preserve">http://slimages.macys.com/is/image/MCY/14630831 </v>
      </c>
    </row>
    <row r="149" spans="1:13" ht="60" x14ac:dyDescent="0.25">
      <c r="A149" s="7" t="s">
        <v>409</v>
      </c>
      <c r="B149" s="2" t="s">
        <v>405</v>
      </c>
      <c r="C149" s="4">
        <v>2</v>
      </c>
      <c r="D149" s="5">
        <v>8.01</v>
      </c>
      <c r="E149" s="5">
        <v>17.989999999999998</v>
      </c>
      <c r="F149" s="4" t="s">
        <v>406</v>
      </c>
      <c r="G149" s="2" t="s">
        <v>103</v>
      </c>
      <c r="H149" s="7" t="s">
        <v>284</v>
      </c>
      <c r="I149" s="2" t="s">
        <v>80</v>
      </c>
      <c r="J149" s="2" t="s">
        <v>160</v>
      </c>
      <c r="K149" s="2" t="s">
        <v>304</v>
      </c>
      <c r="L149" s="2" t="s">
        <v>206</v>
      </c>
      <c r="M149" s="8" t="str">
        <f>HYPERLINK("http://slimages.macys.com/is/image/MCY/13758788 ")</f>
        <v xml:space="preserve">http://slimages.macys.com/is/image/MCY/13758788 </v>
      </c>
    </row>
    <row r="150" spans="1:13" ht="60" x14ac:dyDescent="0.25">
      <c r="A150" s="7" t="s">
        <v>14113</v>
      </c>
      <c r="B150" s="2" t="s">
        <v>9479</v>
      </c>
      <c r="C150" s="4">
        <v>1</v>
      </c>
      <c r="D150" s="5">
        <v>8</v>
      </c>
      <c r="E150" s="5">
        <v>19.989999999999998</v>
      </c>
      <c r="F150" s="4" t="s">
        <v>9480</v>
      </c>
      <c r="G150" s="2" t="s">
        <v>62</v>
      </c>
      <c r="H150" s="7" t="s">
        <v>159</v>
      </c>
      <c r="I150" s="2" t="s">
        <v>218</v>
      </c>
      <c r="J150" s="2" t="s">
        <v>219</v>
      </c>
      <c r="K150" s="2" t="s">
        <v>304</v>
      </c>
      <c r="L150" s="2" t="s">
        <v>119</v>
      </c>
      <c r="M150" s="8" t="str">
        <f>HYPERLINK("http://slimages.macys.com/is/image/MCY/9511702 ")</f>
        <v xml:space="preserve">http://slimages.macys.com/is/image/MCY/9511702 </v>
      </c>
    </row>
    <row r="151" spans="1:13" ht="60" x14ac:dyDescent="0.25">
      <c r="A151" s="7" t="s">
        <v>14114</v>
      </c>
      <c r="B151" s="2" t="s">
        <v>14115</v>
      </c>
      <c r="C151" s="4">
        <v>1</v>
      </c>
      <c r="D151" s="5">
        <v>8</v>
      </c>
      <c r="E151" s="5">
        <v>19.989999999999998</v>
      </c>
      <c r="F151" s="4">
        <v>91193429</v>
      </c>
      <c r="G151" s="2" t="s">
        <v>62</v>
      </c>
      <c r="H151" s="7" t="s">
        <v>228</v>
      </c>
      <c r="I151" s="2" t="s">
        <v>80</v>
      </c>
      <c r="J151" s="2" t="s">
        <v>519</v>
      </c>
      <c r="K151" s="2" t="s">
        <v>304</v>
      </c>
      <c r="L151" s="2" t="s">
        <v>119</v>
      </c>
      <c r="M151" s="8" t="str">
        <f>HYPERLINK("http://slimages.macys.com/is/image/MCY/12751507 ")</f>
        <v xml:space="preserve">http://slimages.macys.com/is/image/MCY/12751507 </v>
      </c>
    </row>
    <row r="152" spans="1:13" ht="168" x14ac:dyDescent="0.25">
      <c r="A152" s="7" t="s">
        <v>14116</v>
      </c>
      <c r="B152" s="2" t="s">
        <v>14117</v>
      </c>
      <c r="C152" s="4">
        <v>1</v>
      </c>
      <c r="D152" s="5">
        <v>8</v>
      </c>
      <c r="E152" s="5">
        <v>21.99</v>
      </c>
      <c r="F152" s="4" t="s">
        <v>14118</v>
      </c>
      <c r="G152" s="2" t="s">
        <v>41</v>
      </c>
      <c r="H152" s="7" t="s">
        <v>311</v>
      </c>
      <c r="I152" s="2" t="s">
        <v>64</v>
      </c>
      <c r="J152" s="2" t="s">
        <v>65</v>
      </c>
      <c r="K152" s="2" t="s">
        <v>304</v>
      </c>
      <c r="L152" s="2" t="s">
        <v>14119</v>
      </c>
      <c r="M152" s="8" t="str">
        <f>HYPERLINK("http://slimages.macys.com/is/image/MCY/13531618 ")</f>
        <v xml:space="preserve">http://slimages.macys.com/is/image/MCY/13531618 </v>
      </c>
    </row>
    <row r="153" spans="1:13" ht="60" x14ac:dyDescent="0.25">
      <c r="A153" s="7" t="s">
        <v>14120</v>
      </c>
      <c r="B153" s="2" t="s">
        <v>14121</v>
      </c>
      <c r="C153" s="4">
        <v>1</v>
      </c>
      <c r="D153" s="5">
        <v>7.88</v>
      </c>
      <c r="E153" s="5">
        <v>17.5</v>
      </c>
      <c r="F153" s="4">
        <v>320703642023</v>
      </c>
      <c r="G153" s="2" t="s">
        <v>653</v>
      </c>
      <c r="H153" s="7" t="s">
        <v>233</v>
      </c>
      <c r="I153" s="2" t="s">
        <v>676</v>
      </c>
      <c r="J153" s="2" t="s">
        <v>677</v>
      </c>
      <c r="K153" s="2" t="s">
        <v>304</v>
      </c>
      <c r="L153" s="2" t="s">
        <v>38</v>
      </c>
      <c r="M153" s="8" t="str">
        <f>HYPERLINK("http://slimages.macys.com/is/image/MCY/14361823 ")</f>
        <v xml:space="preserve">http://slimages.macys.com/is/image/MCY/14361823 </v>
      </c>
    </row>
    <row r="154" spans="1:13" ht="96" x14ac:dyDescent="0.25">
      <c r="A154" s="7" t="s">
        <v>14122</v>
      </c>
      <c r="B154" s="2" t="s">
        <v>5915</v>
      </c>
      <c r="C154" s="4">
        <v>1</v>
      </c>
      <c r="D154" s="5">
        <v>7.6</v>
      </c>
      <c r="E154" s="5">
        <v>17.28</v>
      </c>
      <c r="F154" s="4">
        <v>18015810</v>
      </c>
      <c r="G154" s="2" t="s">
        <v>41</v>
      </c>
      <c r="H154" s="7" t="s">
        <v>438</v>
      </c>
      <c r="I154" s="2" t="s">
        <v>153</v>
      </c>
      <c r="J154" s="2" t="s">
        <v>154</v>
      </c>
      <c r="K154" s="2" t="s">
        <v>304</v>
      </c>
      <c r="L154" s="2" t="s">
        <v>439</v>
      </c>
      <c r="M154" s="8" t="str">
        <f>HYPERLINK("http://slimages.macys.com/is/image/MCY/13382603 ")</f>
        <v xml:space="preserve">http://slimages.macys.com/is/image/MCY/13382603 </v>
      </c>
    </row>
    <row r="155" spans="1:13" ht="108" x14ac:dyDescent="0.25">
      <c r="A155" s="7" t="s">
        <v>14123</v>
      </c>
      <c r="B155" s="2" t="s">
        <v>7513</v>
      </c>
      <c r="C155" s="4">
        <v>1</v>
      </c>
      <c r="D155" s="5">
        <v>7.6</v>
      </c>
      <c r="E155" s="5">
        <v>17.28</v>
      </c>
      <c r="F155" s="4">
        <v>17864010</v>
      </c>
      <c r="G155" s="2" t="s">
        <v>437</v>
      </c>
      <c r="H155" s="7" t="s">
        <v>91</v>
      </c>
      <c r="I155" s="2" t="s">
        <v>153</v>
      </c>
      <c r="J155" s="2" t="s">
        <v>154</v>
      </c>
      <c r="K155" s="2" t="s">
        <v>304</v>
      </c>
      <c r="L155" s="2" t="s">
        <v>5921</v>
      </c>
      <c r="M155" s="8" t="str">
        <f>HYPERLINK("http://slimages.macys.com/is/image/MCY/13382600 ")</f>
        <v xml:space="preserve">http://slimages.macys.com/is/image/MCY/13382600 </v>
      </c>
    </row>
    <row r="156" spans="1:13" ht="96" x14ac:dyDescent="0.25">
      <c r="A156" s="7" t="s">
        <v>2568</v>
      </c>
      <c r="B156" s="2" t="s">
        <v>2569</v>
      </c>
      <c r="C156" s="4">
        <v>1</v>
      </c>
      <c r="D156" s="5">
        <v>7.6</v>
      </c>
      <c r="E156" s="5">
        <v>17.28</v>
      </c>
      <c r="F156" s="4">
        <v>18373610</v>
      </c>
      <c r="G156" s="2" t="s">
        <v>476</v>
      </c>
      <c r="H156" s="7" t="s">
        <v>438</v>
      </c>
      <c r="I156" s="2" t="s">
        <v>153</v>
      </c>
      <c r="J156" s="2" t="s">
        <v>154</v>
      </c>
      <c r="K156" s="2" t="s">
        <v>304</v>
      </c>
      <c r="L156" s="2" t="s">
        <v>439</v>
      </c>
      <c r="M156" s="8" t="str">
        <f>HYPERLINK("http://slimages.macys.com/is/image/MCY/14608259 ")</f>
        <v xml:space="preserve">http://slimages.macys.com/is/image/MCY/14608259 </v>
      </c>
    </row>
    <row r="157" spans="1:13" ht="60" x14ac:dyDescent="0.25">
      <c r="A157" s="7" t="s">
        <v>8239</v>
      </c>
      <c r="B157" s="2" t="s">
        <v>3986</v>
      </c>
      <c r="C157" s="4">
        <v>1</v>
      </c>
      <c r="D157" s="5">
        <v>7.6</v>
      </c>
      <c r="E157" s="5">
        <v>17.28</v>
      </c>
      <c r="F157" s="4">
        <v>18389710</v>
      </c>
      <c r="G157" s="2" t="s">
        <v>48</v>
      </c>
      <c r="H157" s="7" t="s">
        <v>91</v>
      </c>
      <c r="I157" s="2" t="s">
        <v>153</v>
      </c>
      <c r="J157" s="2" t="s">
        <v>154</v>
      </c>
      <c r="K157" s="2" t="s">
        <v>304</v>
      </c>
      <c r="L157" s="2" t="s">
        <v>38</v>
      </c>
      <c r="M157" s="8" t="str">
        <f>HYPERLINK("http://slimages.macys.com/is/image/MCY/14608342 ")</f>
        <v xml:space="preserve">http://slimages.macys.com/is/image/MCY/14608342 </v>
      </c>
    </row>
    <row r="158" spans="1:13" ht="96" x14ac:dyDescent="0.25">
      <c r="A158" s="7" t="s">
        <v>5914</v>
      </c>
      <c r="B158" s="2" t="s">
        <v>5915</v>
      </c>
      <c r="C158" s="4">
        <v>1</v>
      </c>
      <c r="D158" s="5">
        <v>7.6</v>
      </c>
      <c r="E158" s="5">
        <v>17.28</v>
      </c>
      <c r="F158" s="4">
        <v>18015810</v>
      </c>
      <c r="G158" s="2" t="s">
        <v>41</v>
      </c>
      <c r="H158" s="7" t="s">
        <v>42</v>
      </c>
      <c r="I158" s="2" t="s">
        <v>153</v>
      </c>
      <c r="J158" s="2" t="s">
        <v>154</v>
      </c>
      <c r="K158" s="2" t="s">
        <v>304</v>
      </c>
      <c r="L158" s="2" t="s">
        <v>439</v>
      </c>
      <c r="M158" s="8" t="str">
        <f>HYPERLINK("http://slimages.macys.com/is/image/MCY/13382603 ")</f>
        <v xml:space="preserve">http://slimages.macys.com/is/image/MCY/13382603 </v>
      </c>
    </row>
    <row r="159" spans="1:13" ht="60" x14ac:dyDescent="0.25">
      <c r="A159" s="7" t="s">
        <v>11527</v>
      </c>
      <c r="B159" s="2" t="s">
        <v>11521</v>
      </c>
      <c r="C159" s="4">
        <v>1</v>
      </c>
      <c r="D159" s="5">
        <v>7.25</v>
      </c>
      <c r="E159" s="5">
        <v>14.98</v>
      </c>
      <c r="F159" s="4" t="s">
        <v>11522</v>
      </c>
      <c r="G159" s="2"/>
      <c r="H159" s="7" t="s">
        <v>4085</v>
      </c>
      <c r="I159" s="2" t="s">
        <v>523</v>
      </c>
      <c r="J159" s="2" t="s">
        <v>4086</v>
      </c>
      <c r="K159" s="2" t="s">
        <v>304</v>
      </c>
      <c r="L159" s="2" t="s">
        <v>358</v>
      </c>
      <c r="M159" s="8" t="str">
        <f>HYPERLINK("http://slimages.macys.com/is/image/MCY/2885301 ")</f>
        <v xml:space="preserve">http://slimages.macys.com/is/image/MCY/2885301 </v>
      </c>
    </row>
    <row r="160" spans="1:13" ht="72" x14ac:dyDescent="0.25">
      <c r="A160" s="7" t="s">
        <v>14124</v>
      </c>
      <c r="B160" s="2" t="s">
        <v>10491</v>
      </c>
      <c r="C160" s="4">
        <v>1</v>
      </c>
      <c r="D160" s="5">
        <v>7.25</v>
      </c>
      <c r="E160" s="5">
        <v>14.98</v>
      </c>
      <c r="F160" s="4" t="s">
        <v>10492</v>
      </c>
      <c r="G160" s="2" t="s">
        <v>41</v>
      </c>
      <c r="H160" s="7"/>
      <c r="I160" s="2" t="s">
        <v>523</v>
      </c>
      <c r="J160" s="2" t="s">
        <v>4086</v>
      </c>
      <c r="K160" s="2" t="s">
        <v>304</v>
      </c>
      <c r="L160" s="2" t="s">
        <v>10493</v>
      </c>
      <c r="M160" s="8" t="str">
        <f>HYPERLINK("http://slimages.macys.com/is/image/MCY/11722413 ")</f>
        <v xml:space="preserve">http://slimages.macys.com/is/image/MCY/11722413 </v>
      </c>
    </row>
    <row r="161" spans="1:13" ht="72" x14ac:dyDescent="0.25">
      <c r="A161" s="7" t="s">
        <v>14125</v>
      </c>
      <c r="B161" s="2" t="s">
        <v>6261</v>
      </c>
      <c r="C161" s="4">
        <v>1</v>
      </c>
      <c r="D161" s="5">
        <v>7.25</v>
      </c>
      <c r="E161" s="5">
        <v>15.99</v>
      </c>
      <c r="F161" s="4" t="s">
        <v>6262</v>
      </c>
      <c r="G161" s="2" t="s">
        <v>107</v>
      </c>
      <c r="H161" s="7" t="s">
        <v>144</v>
      </c>
      <c r="I161" s="2" t="s">
        <v>80</v>
      </c>
      <c r="J161" s="2" t="s">
        <v>124</v>
      </c>
      <c r="K161" s="2" t="s">
        <v>304</v>
      </c>
      <c r="L161" s="2" t="s">
        <v>6263</v>
      </c>
      <c r="M161" s="8" t="str">
        <f>HYPERLINK("http://slimages.macys.com/is/image/MCY/13581394 ")</f>
        <v xml:space="preserve">http://slimages.macys.com/is/image/MCY/13581394 </v>
      </c>
    </row>
    <row r="162" spans="1:13" ht="60" x14ac:dyDescent="0.25">
      <c r="A162" s="7" t="s">
        <v>14126</v>
      </c>
      <c r="B162" s="2" t="s">
        <v>14127</v>
      </c>
      <c r="C162" s="4">
        <v>1</v>
      </c>
      <c r="D162" s="5">
        <v>7.25</v>
      </c>
      <c r="E162" s="5">
        <v>14.98</v>
      </c>
      <c r="F162" s="4" t="s">
        <v>14128</v>
      </c>
      <c r="G162" s="2" t="s">
        <v>41</v>
      </c>
      <c r="H162" s="7"/>
      <c r="I162" s="2" t="s">
        <v>523</v>
      </c>
      <c r="J162" s="2" t="s">
        <v>14129</v>
      </c>
      <c r="K162" s="2" t="s">
        <v>304</v>
      </c>
      <c r="L162" s="2" t="s">
        <v>358</v>
      </c>
      <c r="M162" s="8" t="str">
        <f>HYPERLINK("http://slimages.macys.com/is/image/MCY/9908015 ")</f>
        <v xml:space="preserve">http://slimages.macys.com/is/image/MCY/9908015 </v>
      </c>
    </row>
    <row r="163" spans="1:13" ht="60" x14ac:dyDescent="0.25">
      <c r="A163" s="7" t="s">
        <v>947</v>
      </c>
      <c r="B163" s="2" t="s">
        <v>942</v>
      </c>
      <c r="C163" s="4">
        <v>1</v>
      </c>
      <c r="D163" s="5">
        <v>7.2</v>
      </c>
      <c r="E163" s="5">
        <v>18</v>
      </c>
      <c r="F163" s="4" t="s">
        <v>943</v>
      </c>
      <c r="G163" s="2" t="s">
        <v>41</v>
      </c>
      <c r="H163" s="7"/>
      <c r="I163" s="2" t="s">
        <v>523</v>
      </c>
      <c r="J163" s="2" t="s">
        <v>937</v>
      </c>
      <c r="K163" s="2" t="s">
        <v>304</v>
      </c>
      <c r="L163" s="2" t="s">
        <v>944</v>
      </c>
      <c r="M163" s="8" t="str">
        <f>HYPERLINK("http://slimages.macys.com/is/image/MCY/10426043 ")</f>
        <v xml:space="preserve">http://slimages.macys.com/is/image/MCY/10426043 </v>
      </c>
    </row>
    <row r="164" spans="1:13" ht="60" x14ac:dyDescent="0.25">
      <c r="A164" s="7" t="s">
        <v>941</v>
      </c>
      <c r="B164" s="2" t="s">
        <v>942</v>
      </c>
      <c r="C164" s="4">
        <v>1</v>
      </c>
      <c r="D164" s="5">
        <v>7.2</v>
      </c>
      <c r="E164" s="5">
        <v>18</v>
      </c>
      <c r="F164" s="4" t="s">
        <v>943</v>
      </c>
      <c r="G164" s="2" t="s">
        <v>165</v>
      </c>
      <c r="H164" s="7"/>
      <c r="I164" s="2" t="s">
        <v>523</v>
      </c>
      <c r="J164" s="2" t="s">
        <v>937</v>
      </c>
      <c r="K164" s="2" t="s">
        <v>304</v>
      </c>
      <c r="L164" s="2" t="s">
        <v>944</v>
      </c>
      <c r="M164" s="8" t="str">
        <f>HYPERLINK("http://slimages.macys.com/is/image/MCY/10426043 ")</f>
        <v xml:space="preserve">http://slimages.macys.com/is/image/MCY/10426043 </v>
      </c>
    </row>
    <row r="165" spans="1:13" ht="60" x14ac:dyDescent="0.25">
      <c r="A165" s="7" t="s">
        <v>14130</v>
      </c>
      <c r="B165" s="2" t="s">
        <v>942</v>
      </c>
      <c r="C165" s="4">
        <v>1</v>
      </c>
      <c r="D165" s="5">
        <v>7.2</v>
      </c>
      <c r="E165" s="5">
        <v>18</v>
      </c>
      <c r="F165" s="4" t="s">
        <v>943</v>
      </c>
      <c r="G165" s="2" t="s">
        <v>752</v>
      </c>
      <c r="H165" s="7"/>
      <c r="I165" s="2" t="s">
        <v>523</v>
      </c>
      <c r="J165" s="2" t="s">
        <v>937</v>
      </c>
      <c r="K165" s="2" t="s">
        <v>304</v>
      </c>
      <c r="L165" s="2" t="s">
        <v>944</v>
      </c>
      <c r="M165" s="8" t="str">
        <f>HYPERLINK("http://slimages.macys.com/is/image/MCY/10426043 ")</f>
        <v xml:space="preserve">http://slimages.macys.com/is/image/MCY/10426043 </v>
      </c>
    </row>
    <row r="166" spans="1:13" ht="60" x14ac:dyDescent="0.25">
      <c r="A166" s="7" t="s">
        <v>14131</v>
      </c>
      <c r="B166" s="2" t="s">
        <v>14132</v>
      </c>
      <c r="C166" s="4">
        <v>1</v>
      </c>
      <c r="D166" s="5">
        <v>7.1</v>
      </c>
      <c r="E166" s="5">
        <v>16.510000000000002</v>
      </c>
      <c r="F166" s="4">
        <v>16394711</v>
      </c>
      <c r="G166" s="2"/>
      <c r="H166" s="7" t="s">
        <v>233</v>
      </c>
      <c r="I166" s="2" t="s">
        <v>153</v>
      </c>
      <c r="J166" s="2" t="s">
        <v>154</v>
      </c>
      <c r="K166" s="2" t="s">
        <v>304</v>
      </c>
      <c r="L166" s="2" t="s">
        <v>14133</v>
      </c>
      <c r="M166" s="8" t="str">
        <f>HYPERLINK("http://slimages.macys.com/is/image/MCY/11177124 ")</f>
        <v xml:space="preserve">http://slimages.macys.com/is/image/MCY/11177124 </v>
      </c>
    </row>
    <row r="167" spans="1:13" ht="60" x14ac:dyDescent="0.25">
      <c r="A167" s="7" t="s">
        <v>14134</v>
      </c>
      <c r="B167" s="2" t="s">
        <v>2571</v>
      </c>
      <c r="C167" s="4">
        <v>1</v>
      </c>
      <c r="D167" s="5">
        <v>7.05</v>
      </c>
      <c r="E167" s="5">
        <v>16.04</v>
      </c>
      <c r="F167" s="4">
        <v>17879610</v>
      </c>
      <c r="G167" s="2"/>
      <c r="H167" s="7" t="s">
        <v>233</v>
      </c>
      <c r="I167" s="2" t="s">
        <v>153</v>
      </c>
      <c r="J167" s="2" t="s">
        <v>154</v>
      </c>
      <c r="K167" s="2" t="s">
        <v>304</v>
      </c>
      <c r="L167" s="2" t="s">
        <v>38</v>
      </c>
      <c r="M167" s="8" t="str">
        <f>HYPERLINK("http://slimages.macys.com/is/image/MCY/13853132 ")</f>
        <v xml:space="preserve">http://slimages.macys.com/is/image/MCY/13853132 </v>
      </c>
    </row>
    <row r="168" spans="1:13" ht="60" x14ac:dyDescent="0.25">
      <c r="A168" s="7" t="s">
        <v>7543</v>
      </c>
      <c r="B168" s="2" t="s">
        <v>3325</v>
      </c>
      <c r="C168" s="4">
        <v>1</v>
      </c>
      <c r="D168" s="5">
        <v>6.9</v>
      </c>
      <c r="E168" s="5">
        <v>16.989999999999998</v>
      </c>
      <c r="F168" s="4" t="s">
        <v>3326</v>
      </c>
      <c r="G168" s="2" t="s">
        <v>86</v>
      </c>
      <c r="H168" s="7" t="s">
        <v>618</v>
      </c>
      <c r="I168" s="2" t="s">
        <v>292</v>
      </c>
      <c r="J168" s="2" t="s">
        <v>354</v>
      </c>
      <c r="K168" s="2" t="s">
        <v>304</v>
      </c>
      <c r="L168" s="2" t="s">
        <v>596</v>
      </c>
      <c r="M168" s="8" t="str">
        <f>HYPERLINK("http://slimages.macys.com/is/image/MCY/13893132 ")</f>
        <v xml:space="preserve">http://slimages.macys.com/is/image/MCY/13893132 </v>
      </c>
    </row>
    <row r="169" spans="1:13" ht="60" x14ac:dyDescent="0.25">
      <c r="A169" s="7" t="s">
        <v>3329</v>
      </c>
      <c r="B169" s="2" t="s">
        <v>1776</v>
      </c>
      <c r="C169" s="4">
        <v>1</v>
      </c>
      <c r="D169" s="5">
        <v>6.84</v>
      </c>
      <c r="E169" s="5">
        <v>19.989999999999998</v>
      </c>
      <c r="F169" s="4" t="s">
        <v>1777</v>
      </c>
      <c r="G169" s="2" t="s">
        <v>388</v>
      </c>
      <c r="H169" s="7" t="s">
        <v>63</v>
      </c>
      <c r="I169" s="2" t="s">
        <v>1689</v>
      </c>
      <c r="J169" s="2" t="s">
        <v>354</v>
      </c>
      <c r="K169" s="2" t="s">
        <v>304</v>
      </c>
      <c r="L169" s="2" t="s">
        <v>390</v>
      </c>
      <c r="M169" s="8" t="str">
        <f>HYPERLINK("http://slimages.macys.com/is/image/MCY/12890114 ")</f>
        <v xml:space="preserve">http://slimages.macys.com/is/image/MCY/12890114 </v>
      </c>
    </row>
    <row r="170" spans="1:13" ht="60" x14ac:dyDescent="0.25">
      <c r="A170" s="7" t="s">
        <v>14135</v>
      </c>
      <c r="B170" s="2" t="s">
        <v>5416</v>
      </c>
      <c r="C170" s="4">
        <v>1</v>
      </c>
      <c r="D170" s="5">
        <v>6.84</v>
      </c>
      <c r="E170" s="5">
        <v>14.99</v>
      </c>
      <c r="F170" s="4" t="s">
        <v>5417</v>
      </c>
      <c r="G170" s="2" t="s">
        <v>28</v>
      </c>
      <c r="H170" s="7" t="s">
        <v>618</v>
      </c>
      <c r="I170" s="2" t="s">
        <v>292</v>
      </c>
      <c r="J170" s="2" t="s">
        <v>354</v>
      </c>
      <c r="K170" s="2" t="s">
        <v>304</v>
      </c>
      <c r="L170" s="2" t="s">
        <v>100</v>
      </c>
      <c r="M170" s="8" t="str">
        <f>HYPERLINK("http://slimages.macys.com/is/image/MCY/13893127 ")</f>
        <v xml:space="preserve">http://slimages.macys.com/is/image/MCY/13893127 </v>
      </c>
    </row>
    <row r="171" spans="1:13" ht="60" x14ac:dyDescent="0.25">
      <c r="A171" s="7" t="s">
        <v>5423</v>
      </c>
      <c r="B171" s="2" t="s">
        <v>4070</v>
      </c>
      <c r="C171" s="4">
        <v>1</v>
      </c>
      <c r="D171" s="5">
        <v>6.79</v>
      </c>
      <c r="E171" s="5">
        <v>16.989999999999998</v>
      </c>
      <c r="F171" s="4" t="s">
        <v>4071</v>
      </c>
      <c r="G171" s="2" t="s">
        <v>262</v>
      </c>
      <c r="H171" s="7" t="s">
        <v>42</v>
      </c>
      <c r="I171" s="2" t="s">
        <v>483</v>
      </c>
      <c r="J171" s="2" t="s">
        <v>536</v>
      </c>
      <c r="K171" s="2" t="s">
        <v>304</v>
      </c>
      <c r="L171" s="2" t="s">
        <v>38</v>
      </c>
      <c r="M171" s="8" t="str">
        <f>HYPERLINK("http://slimages.macys.com/is/image/MCY/14385171 ")</f>
        <v xml:space="preserve">http://slimages.macys.com/is/image/MCY/14385171 </v>
      </c>
    </row>
    <row r="172" spans="1:13" ht="120" x14ac:dyDescent="0.25">
      <c r="A172" s="7" t="s">
        <v>12007</v>
      </c>
      <c r="B172" s="2" t="s">
        <v>12008</v>
      </c>
      <c r="C172" s="4">
        <v>2</v>
      </c>
      <c r="D172" s="5">
        <v>6.75</v>
      </c>
      <c r="E172" s="5">
        <v>18</v>
      </c>
      <c r="F172" s="4">
        <v>7122</v>
      </c>
      <c r="G172" s="2" t="s">
        <v>41</v>
      </c>
      <c r="H172" s="7" t="s">
        <v>228</v>
      </c>
      <c r="I172" s="2" t="s">
        <v>43</v>
      </c>
      <c r="J172" s="2" t="s">
        <v>44</v>
      </c>
      <c r="K172" s="2" t="s">
        <v>304</v>
      </c>
      <c r="L172" s="2" t="s">
        <v>12009</v>
      </c>
      <c r="M172" s="8" t="str">
        <f>HYPERLINK("http://slimages.macys.com/is/image/MCY/694346 ")</f>
        <v xml:space="preserve">http://slimages.macys.com/is/image/MCY/694346 </v>
      </c>
    </row>
    <row r="173" spans="1:13" ht="60" x14ac:dyDescent="0.25">
      <c r="A173" s="7" t="s">
        <v>13668</v>
      </c>
      <c r="B173" s="2" t="s">
        <v>1002</v>
      </c>
      <c r="C173" s="4">
        <v>1</v>
      </c>
      <c r="D173" s="5">
        <v>6.75</v>
      </c>
      <c r="E173" s="5">
        <v>16.989999999999998</v>
      </c>
      <c r="F173" s="4" t="s">
        <v>1003</v>
      </c>
      <c r="G173" s="2" t="s">
        <v>107</v>
      </c>
      <c r="H173" s="7" t="s">
        <v>442</v>
      </c>
      <c r="I173" s="2" t="s">
        <v>92</v>
      </c>
      <c r="J173" s="2" t="s">
        <v>65</v>
      </c>
      <c r="K173" s="2" t="s">
        <v>304</v>
      </c>
      <c r="L173" s="2" t="s">
        <v>1004</v>
      </c>
      <c r="M173" s="8" t="str">
        <f>HYPERLINK("http://slimages.macys.com/is/image/MCY/14803429 ")</f>
        <v xml:space="preserve">http://slimages.macys.com/is/image/MCY/14803429 </v>
      </c>
    </row>
    <row r="174" spans="1:13" ht="72" x14ac:dyDescent="0.25">
      <c r="A174" s="7" t="s">
        <v>4091</v>
      </c>
      <c r="B174" s="2" t="s">
        <v>4092</v>
      </c>
      <c r="C174" s="4">
        <v>1</v>
      </c>
      <c r="D174" s="5">
        <v>6.75</v>
      </c>
      <c r="E174" s="5">
        <v>14.99</v>
      </c>
      <c r="F174" s="4" t="s">
        <v>4093</v>
      </c>
      <c r="G174" s="2" t="s">
        <v>657</v>
      </c>
      <c r="H174" s="7" t="s">
        <v>217</v>
      </c>
      <c r="I174" s="2" t="s">
        <v>257</v>
      </c>
      <c r="J174" s="2" t="s">
        <v>4094</v>
      </c>
      <c r="K174" s="2" t="s">
        <v>304</v>
      </c>
      <c r="L174" s="2" t="s">
        <v>4095</v>
      </c>
      <c r="M174" s="8" t="str">
        <f>HYPERLINK("http://slimages.macys.com/is/image/MCY/12080168 ")</f>
        <v xml:space="preserve">http://slimages.macys.com/is/image/MCY/12080168 </v>
      </c>
    </row>
    <row r="175" spans="1:13" ht="60" x14ac:dyDescent="0.25">
      <c r="A175" s="7" t="s">
        <v>14136</v>
      </c>
      <c r="B175" s="2" t="s">
        <v>6868</v>
      </c>
      <c r="C175" s="4">
        <v>1</v>
      </c>
      <c r="D175" s="5">
        <v>6.75</v>
      </c>
      <c r="E175" s="5">
        <v>14.99</v>
      </c>
      <c r="F175" s="4" t="s">
        <v>6869</v>
      </c>
      <c r="G175" s="2" t="s">
        <v>657</v>
      </c>
      <c r="H175" s="7" t="s">
        <v>159</v>
      </c>
      <c r="I175" s="2" t="s">
        <v>257</v>
      </c>
      <c r="J175" s="2" t="s">
        <v>4094</v>
      </c>
      <c r="K175" s="2" t="s">
        <v>304</v>
      </c>
      <c r="L175" s="2" t="s">
        <v>460</v>
      </c>
      <c r="M175" s="8" t="str">
        <f>HYPERLINK("http://slimages.macys.com/is/image/MCY/11959839 ")</f>
        <v xml:space="preserve">http://slimages.macys.com/is/image/MCY/11959839 </v>
      </c>
    </row>
    <row r="176" spans="1:13" ht="60" x14ac:dyDescent="0.25">
      <c r="A176" s="7" t="s">
        <v>1001</v>
      </c>
      <c r="B176" s="2" t="s">
        <v>1002</v>
      </c>
      <c r="C176" s="4">
        <v>2</v>
      </c>
      <c r="D176" s="5">
        <v>6.75</v>
      </c>
      <c r="E176" s="5">
        <v>16.989999999999998</v>
      </c>
      <c r="F176" s="4" t="s">
        <v>1003</v>
      </c>
      <c r="G176" s="2" t="s">
        <v>107</v>
      </c>
      <c r="H176" s="7" t="s">
        <v>91</v>
      </c>
      <c r="I176" s="2" t="s">
        <v>92</v>
      </c>
      <c r="J176" s="2" t="s">
        <v>65</v>
      </c>
      <c r="K176" s="2" t="s">
        <v>304</v>
      </c>
      <c r="L176" s="2" t="s">
        <v>1004</v>
      </c>
      <c r="M176" s="8" t="str">
        <f>HYPERLINK("http://slimages.macys.com/is/image/MCY/14803429 ")</f>
        <v xml:space="preserve">http://slimages.macys.com/is/image/MCY/14803429 </v>
      </c>
    </row>
    <row r="177" spans="1:13" ht="96" x14ac:dyDescent="0.25">
      <c r="A177" s="7" t="s">
        <v>14137</v>
      </c>
      <c r="B177" s="2" t="s">
        <v>14138</v>
      </c>
      <c r="C177" s="4">
        <v>2</v>
      </c>
      <c r="D177" s="5">
        <v>6.7</v>
      </c>
      <c r="E177" s="5">
        <v>24.99</v>
      </c>
      <c r="F177" s="4" t="s">
        <v>14139</v>
      </c>
      <c r="G177" s="2" t="s">
        <v>310</v>
      </c>
      <c r="H177" s="7" t="s">
        <v>42</v>
      </c>
      <c r="I177" s="2" t="s">
        <v>135</v>
      </c>
      <c r="J177" s="2" t="s">
        <v>99</v>
      </c>
      <c r="K177" s="2" t="s">
        <v>304</v>
      </c>
      <c r="L177" s="2" t="s">
        <v>9552</v>
      </c>
      <c r="M177" s="8" t="str">
        <f>HYPERLINK("http://slimages.macys.com/is/image/MCY/12827909 ")</f>
        <v xml:space="preserve">http://slimages.macys.com/is/image/MCY/12827909 </v>
      </c>
    </row>
    <row r="178" spans="1:13" ht="60" x14ac:dyDescent="0.25">
      <c r="A178" s="7" t="s">
        <v>14140</v>
      </c>
      <c r="B178" s="2" t="s">
        <v>3360</v>
      </c>
      <c r="C178" s="4">
        <v>1</v>
      </c>
      <c r="D178" s="5">
        <v>6.52</v>
      </c>
      <c r="E178" s="5">
        <v>16.989999999999998</v>
      </c>
      <c r="F178" s="4" t="s">
        <v>3361</v>
      </c>
      <c r="G178" s="2" t="s">
        <v>28</v>
      </c>
      <c r="H178" s="7" t="s">
        <v>159</v>
      </c>
      <c r="I178" s="2" t="s">
        <v>218</v>
      </c>
      <c r="J178" s="2" t="s">
        <v>1740</v>
      </c>
      <c r="K178" s="2" t="s">
        <v>304</v>
      </c>
      <c r="L178" s="2" t="s">
        <v>125</v>
      </c>
      <c r="M178" s="8" t="str">
        <f>HYPERLINK("http://slimages.macys.com/is/image/MCY/12688507 ")</f>
        <v xml:space="preserve">http://slimages.macys.com/is/image/MCY/12688507 </v>
      </c>
    </row>
    <row r="179" spans="1:13" ht="60" x14ac:dyDescent="0.25">
      <c r="A179" s="7" t="s">
        <v>5935</v>
      </c>
      <c r="B179" s="2" t="s">
        <v>1815</v>
      </c>
      <c r="C179" s="4">
        <v>1</v>
      </c>
      <c r="D179" s="5">
        <v>6.43</v>
      </c>
      <c r="E179" s="5">
        <v>16.989999999999998</v>
      </c>
      <c r="F179" s="4" t="s">
        <v>1816</v>
      </c>
      <c r="G179" s="2" t="s">
        <v>353</v>
      </c>
      <c r="H179" s="7" t="s">
        <v>284</v>
      </c>
      <c r="I179" s="2" t="s">
        <v>515</v>
      </c>
      <c r="J179" s="2" t="s">
        <v>827</v>
      </c>
      <c r="K179" s="2" t="s">
        <v>304</v>
      </c>
      <c r="L179" s="2" t="s">
        <v>358</v>
      </c>
      <c r="M179" s="8" t="str">
        <f>HYPERLINK("http://slimages.macys.com/is/image/MCY/13118981 ")</f>
        <v xml:space="preserve">http://slimages.macys.com/is/image/MCY/13118981 </v>
      </c>
    </row>
    <row r="180" spans="1:13" ht="60" x14ac:dyDescent="0.25">
      <c r="A180" s="7" t="s">
        <v>6297</v>
      </c>
      <c r="B180" s="2" t="s">
        <v>1815</v>
      </c>
      <c r="C180" s="4">
        <v>1</v>
      </c>
      <c r="D180" s="5">
        <v>6.43</v>
      </c>
      <c r="E180" s="5">
        <v>16.989999999999998</v>
      </c>
      <c r="F180" s="4" t="s">
        <v>1816</v>
      </c>
      <c r="G180" s="2" t="s">
        <v>353</v>
      </c>
      <c r="H180" s="7" t="s">
        <v>196</v>
      </c>
      <c r="I180" s="2" t="s">
        <v>515</v>
      </c>
      <c r="J180" s="2" t="s">
        <v>827</v>
      </c>
      <c r="K180" s="2" t="s">
        <v>304</v>
      </c>
      <c r="L180" s="2" t="s">
        <v>358</v>
      </c>
      <c r="M180" s="8" t="str">
        <f>HYPERLINK("http://slimages.macys.com/is/image/MCY/13118981 ")</f>
        <v xml:space="preserve">http://slimages.macys.com/is/image/MCY/13118981 </v>
      </c>
    </row>
    <row r="181" spans="1:13" ht="60" x14ac:dyDescent="0.25">
      <c r="A181" s="7" t="s">
        <v>6298</v>
      </c>
      <c r="B181" s="2" t="s">
        <v>1815</v>
      </c>
      <c r="C181" s="4">
        <v>2</v>
      </c>
      <c r="D181" s="5">
        <v>6.43</v>
      </c>
      <c r="E181" s="5">
        <v>16.989999999999998</v>
      </c>
      <c r="F181" s="4" t="s">
        <v>1816</v>
      </c>
      <c r="G181" s="2" t="s">
        <v>353</v>
      </c>
      <c r="H181" s="7" t="s">
        <v>228</v>
      </c>
      <c r="I181" s="2" t="s">
        <v>515</v>
      </c>
      <c r="J181" s="2" t="s">
        <v>827</v>
      </c>
      <c r="K181" s="2" t="s">
        <v>304</v>
      </c>
      <c r="L181" s="2" t="s">
        <v>358</v>
      </c>
      <c r="M181" s="8" t="str">
        <f>HYPERLINK("http://slimages.macys.com/is/image/MCY/13118981 ")</f>
        <v xml:space="preserve">http://slimages.macys.com/is/image/MCY/13118981 </v>
      </c>
    </row>
    <row r="182" spans="1:13" ht="72" x14ac:dyDescent="0.25">
      <c r="A182" s="7" t="s">
        <v>14141</v>
      </c>
      <c r="B182" s="2" t="s">
        <v>4946</v>
      </c>
      <c r="C182" s="4">
        <v>1</v>
      </c>
      <c r="D182" s="5">
        <v>6.4</v>
      </c>
      <c r="E182" s="5">
        <v>16</v>
      </c>
      <c r="F182" s="4" t="s">
        <v>4947</v>
      </c>
      <c r="G182" s="2" t="s">
        <v>262</v>
      </c>
      <c r="H182" s="7"/>
      <c r="I182" s="2" t="s">
        <v>523</v>
      </c>
      <c r="J182" s="2" t="s">
        <v>937</v>
      </c>
      <c r="K182" s="2" t="s">
        <v>304</v>
      </c>
      <c r="L182" s="2" t="s">
        <v>938</v>
      </c>
      <c r="M182" s="8" t="str">
        <f>HYPERLINK("http://slimages.macys.com/is/image/MCY/9628116 ")</f>
        <v xml:space="preserve">http://slimages.macys.com/is/image/MCY/9628116 </v>
      </c>
    </row>
    <row r="183" spans="1:13" ht="60" x14ac:dyDescent="0.25">
      <c r="A183" s="7" t="s">
        <v>13672</v>
      </c>
      <c r="B183" s="2" t="s">
        <v>3382</v>
      </c>
      <c r="C183" s="4">
        <v>1</v>
      </c>
      <c r="D183" s="5">
        <v>6.3</v>
      </c>
      <c r="E183" s="5">
        <v>10.99</v>
      </c>
      <c r="F183" s="4" t="s">
        <v>13673</v>
      </c>
      <c r="G183" s="2" t="s">
        <v>134</v>
      </c>
      <c r="H183" s="7" t="s">
        <v>159</v>
      </c>
      <c r="I183" s="2" t="s">
        <v>80</v>
      </c>
      <c r="J183" s="2" t="s">
        <v>1917</v>
      </c>
      <c r="K183" s="2" t="s">
        <v>304</v>
      </c>
      <c r="L183" s="2" t="s">
        <v>119</v>
      </c>
      <c r="M183" s="8" t="str">
        <f>HYPERLINK("http://slimages.macys.com/is/image/MCY/12742372 ")</f>
        <v xml:space="preserve">http://slimages.macys.com/is/image/MCY/12742372 </v>
      </c>
    </row>
    <row r="184" spans="1:13" ht="60" x14ac:dyDescent="0.25">
      <c r="A184" s="7" t="s">
        <v>13674</v>
      </c>
      <c r="B184" s="2" t="s">
        <v>480</v>
      </c>
      <c r="C184" s="4">
        <v>1</v>
      </c>
      <c r="D184" s="5">
        <v>6.25</v>
      </c>
      <c r="E184" s="5">
        <v>11.99</v>
      </c>
      <c r="F184" s="4" t="s">
        <v>481</v>
      </c>
      <c r="G184" s="2" t="s">
        <v>62</v>
      </c>
      <c r="H184" s="7" t="s">
        <v>590</v>
      </c>
      <c r="I184" s="2" t="s">
        <v>483</v>
      </c>
      <c r="J184" s="2" t="s">
        <v>484</v>
      </c>
      <c r="K184" s="2" t="s">
        <v>304</v>
      </c>
      <c r="L184" s="2" t="s">
        <v>206</v>
      </c>
      <c r="M184" s="8" t="str">
        <f>HYPERLINK("http://slimages.macys.com/is/image/MCY/8550083 ")</f>
        <v xml:space="preserve">http://slimages.macys.com/is/image/MCY/8550083 </v>
      </c>
    </row>
    <row r="185" spans="1:13" ht="60" x14ac:dyDescent="0.25">
      <c r="A185" s="7" t="s">
        <v>10113</v>
      </c>
      <c r="B185" s="2" t="s">
        <v>6907</v>
      </c>
      <c r="C185" s="4">
        <v>1</v>
      </c>
      <c r="D185" s="5">
        <v>6.13</v>
      </c>
      <c r="E185" s="5">
        <v>16.989999999999998</v>
      </c>
      <c r="F185" s="4" t="s">
        <v>6908</v>
      </c>
      <c r="G185" s="2" t="s">
        <v>793</v>
      </c>
      <c r="H185" s="7" t="s">
        <v>284</v>
      </c>
      <c r="I185" s="2" t="s">
        <v>389</v>
      </c>
      <c r="J185" s="2" t="s">
        <v>354</v>
      </c>
      <c r="K185" s="2" t="s">
        <v>304</v>
      </c>
      <c r="L185" s="2" t="s">
        <v>119</v>
      </c>
      <c r="M185" s="8" t="str">
        <f>HYPERLINK("http://slimages.macys.com/is/image/MCY/12121666 ")</f>
        <v xml:space="preserve">http://slimages.macys.com/is/image/MCY/12121666 </v>
      </c>
    </row>
    <row r="186" spans="1:13" ht="96" x14ac:dyDescent="0.25">
      <c r="A186" s="7" t="s">
        <v>1867</v>
      </c>
      <c r="B186" s="2" t="s">
        <v>1862</v>
      </c>
      <c r="C186" s="4">
        <v>1</v>
      </c>
      <c r="D186" s="5">
        <v>6</v>
      </c>
      <c r="E186" s="5">
        <v>14.99</v>
      </c>
      <c r="F186" s="4" t="s">
        <v>1863</v>
      </c>
      <c r="G186" s="2" t="s">
        <v>195</v>
      </c>
      <c r="H186" s="7" t="s">
        <v>63</v>
      </c>
      <c r="I186" s="2" t="s">
        <v>73</v>
      </c>
      <c r="J186" s="2" t="s">
        <v>778</v>
      </c>
      <c r="K186" s="2" t="s">
        <v>304</v>
      </c>
      <c r="L186" s="2" t="s">
        <v>1864</v>
      </c>
      <c r="M186" s="8" t="str">
        <f>HYPERLINK("http://slimages.macys.com/is/image/MCY/15103710 ")</f>
        <v xml:space="preserve">http://slimages.macys.com/is/image/MCY/15103710 </v>
      </c>
    </row>
    <row r="187" spans="1:13" ht="60" x14ac:dyDescent="0.25">
      <c r="A187" s="7" t="s">
        <v>14142</v>
      </c>
      <c r="B187" s="2" t="s">
        <v>14143</v>
      </c>
      <c r="C187" s="4">
        <v>1</v>
      </c>
      <c r="D187" s="5">
        <v>6</v>
      </c>
      <c r="E187" s="5">
        <v>14.99</v>
      </c>
      <c r="F187" s="4" t="s">
        <v>14144</v>
      </c>
      <c r="G187" s="2" t="s">
        <v>297</v>
      </c>
      <c r="H187" s="7" t="s">
        <v>311</v>
      </c>
      <c r="I187" s="2" t="s">
        <v>73</v>
      </c>
      <c r="J187" s="2" t="s">
        <v>778</v>
      </c>
      <c r="K187" s="2" t="s">
        <v>304</v>
      </c>
      <c r="L187" s="2" t="s">
        <v>125</v>
      </c>
      <c r="M187" s="8" t="str">
        <f>HYPERLINK("http://slimages.macys.com/is/image/MCY/8475282 ")</f>
        <v xml:space="preserve">http://slimages.macys.com/is/image/MCY/8475282 </v>
      </c>
    </row>
    <row r="188" spans="1:13" ht="60" x14ac:dyDescent="0.25">
      <c r="A188" s="7" t="s">
        <v>14145</v>
      </c>
      <c r="B188" s="2" t="s">
        <v>3382</v>
      </c>
      <c r="C188" s="4">
        <v>1</v>
      </c>
      <c r="D188" s="5">
        <v>6</v>
      </c>
      <c r="E188" s="5">
        <v>10.99</v>
      </c>
      <c r="F188" s="4" t="s">
        <v>3383</v>
      </c>
      <c r="G188" s="2" t="s">
        <v>48</v>
      </c>
      <c r="H188" s="7" t="s">
        <v>317</v>
      </c>
      <c r="I188" s="2" t="s">
        <v>80</v>
      </c>
      <c r="J188" s="2" t="s">
        <v>1857</v>
      </c>
      <c r="K188" s="2" t="s">
        <v>304</v>
      </c>
      <c r="L188" s="2" t="s">
        <v>119</v>
      </c>
      <c r="M188" s="8" t="str">
        <f>HYPERLINK("http://slimages.macys.com/is/image/MCY/12742372 ")</f>
        <v xml:space="preserve">http://slimages.macys.com/is/image/MCY/12742372 </v>
      </c>
    </row>
    <row r="189" spans="1:13" ht="60" x14ac:dyDescent="0.25">
      <c r="A189" s="7" t="s">
        <v>14146</v>
      </c>
      <c r="B189" s="2" t="s">
        <v>4969</v>
      </c>
      <c r="C189" s="4">
        <v>1</v>
      </c>
      <c r="D189" s="5">
        <v>6</v>
      </c>
      <c r="E189" s="5">
        <v>10.99</v>
      </c>
      <c r="F189" s="4" t="s">
        <v>4970</v>
      </c>
      <c r="G189" s="2" t="s">
        <v>48</v>
      </c>
      <c r="H189" s="7" t="s">
        <v>68</v>
      </c>
      <c r="I189" s="2" t="s">
        <v>80</v>
      </c>
      <c r="J189" s="2" t="s">
        <v>1857</v>
      </c>
      <c r="K189" s="2" t="s">
        <v>304</v>
      </c>
      <c r="L189" s="2" t="s">
        <v>119</v>
      </c>
      <c r="M189" s="8" t="str">
        <f>HYPERLINK("http://slimages.macys.com/is/image/MCY/11207821 ")</f>
        <v xml:space="preserve">http://slimages.macys.com/is/image/MCY/11207821 </v>
      </c>
    </row>
    <row r="190" spans="1:13" ht="60" x14ac:dyDescent="0.25">
      <c r="A190" s="7" t="s">
        <v>1038</v>
      </c>
      <c r="B190" s="2" t="s">
        <v>1039</v>
      </c>
      <c r="C190" s="4">
        <v>1</v>
      </c>
      <c r="D190" s="5">
        <v>5.87</v>
      </c>
      <c r="E190" s="5">
        <v>16</v>
      </c>
      <c r="F190" s="4" t="s">
        <v>1040</v>
      </c>
      <c r="G190" s="2" t="s">
        <v>1041</v>
      </c>
      <c r="H190" s="7" t="s">
        <v>72</v>
      </c>
      <c r="I190" s="2" t="s">
        <v>523</v>
      </c>
      <c r="J190" s="2" t="s">
        <v>1042</v>
      </c>
      <c r="K190" s="2" t="s">
        <v>304</v>
      </c>
      <c r="L190" s="2" t="s">
        <v>1043</v>
      </c>
      <c r="M190" s="8" t="str">
        <f>HYPERLINK("http://slimages.macys.com/is/image/MCY/11647558 ")</f>
        <v xml:space="preserve">http://slimages.macys.com/is/image/MCY/11647558 </v>
      </c>
    </row>
    <row r="191" spans="1:13" ht="60" x14ac:dyDescent="0.25">
      <c r="A191" s="7" t="s">
        <v>12041</v>
      </c>
      <c r="B191" s="2" t="s">
        <v>1869</v>
      </c>
      <c r="C191" s="4">
        <v>1</v>
      </c>
      <c r="D191" s="5">
        <v>5.85</v>
      </c>
      <c r="E191" s="5">
        <v>15.99</v>
      </c>
      <c r="F191" s="4" t="s">
        <v>4128</v>
      </c>
      <c r="G191" s="2" t="s">
        <v>657</v>
      </c>
      <c r="H191" s="7" t="s">
        <v>8995</v>
      </c>
      <c r="I191" s="2" t="s">
        <v>342</v>
      </c>
      <c r="J191" s="2" t="s">
        <v>1872</v>
      </c>
      <c r="K191" s="2" t="s">
        <v>304</v>
      </c>
      <c r="L191" s="2" t="s">
        <v>390</v>
      </c>
      <c r="M191" s="8" t="str">
        <f>HYPERLINK("http://slimages.macys.com/is/image/MCY/11636027 ")</f>
        <v xml:space="preserve">http://slimages.macys.com/is/image/MCY/11636027 </v>
      </c>
    </row>
    <row r="192" spans="1:13" ht="60" x14ac:dyDescent="0.25">
      <c r="A192" s="7" t="s">
        <v>14147</v>
      </c>
      <c r="B192" s="2" t="s">
        <v>13684</v>
      </c>
      <c r="C192" s="4">
        <v>1</v>
      </c>
      <c r="D192" s="5">
        <v>5.85</v>
      </c>
      <c r="E192" s="5">
        <v>12.99</v>
      </c>
      <c r="F192" s="4" t="s">
        <v>13685</v>
      </c>
      <c r="G192" s="2" t="s">
        <v>41</v>
      </c>
      <c r="H192" s="7" t="s">
        <v>311</v>
      </c>
      <c r="I192" s="2" t="s">
        <v>80</v>
      </c>
      <c r="J192" s="2" t="s">
        <v>167</v>
      </c>
      <c r="K192" s="2" t="s">
        <v>304</v>
      </c>
      <c r="L192" s="2" t="s">
        <v>38</v>
      </c>
      <c r="M192" s="8" t="str">
        <f>HYPERLINK("http://slimages.macys.com/is/image/MCY/12793811 ")</f>
        <v xml:space="preserve">http://slimages.macys.com/is/image/MCY/12793811 </v>
      </c>
    </row>
    <row r="193" spans="1:13" ht="60" x14ac:dyDescent="0.25">
      <c r="A193" s="7" t="s">
        <v>3392</v>
      </c>
      <c r="B193" s="2" t="s">
        <v>3393</v>
      </c>
      <c r="C193" s="4">
        <v>1</v>
      </c>
      <c r="D193" s="5">
        <v>5.8</v>
      </c>
      <c r="E193" s="5">
        <v>13.19</v>
      </c>
      <c r="F193" s="4">
        <v>17892010</v>
      </c>
      <c r="G193" s="2"/>
      <c r="H193" s="7" t="s">
        <v>233</v>
      </c>
      <c r="I193" s="2" t="s">
        <v>153</v>
      </c>
      <c r="J193" s="2" t="s">
        <v>154</v>
      </c>
      <c r="K193" s="2" t="s">
        <v>304</v>
      </c>
      <c r="L193" s="2" t="s">
        <v>38</v>
      </c>
      <c r="M193" s="8" t="str">
        <f>HYPERLINK("http://slimages.macys.com/is/image/MCY/13341121 ")</f>
        <v xml:space="preserve">http://slimages.macys.com/is/image/MCY/13341121 </v>
      </c>
    </row>
    <row r="194" spans="1:13" ht="60" x14ac:dyDescent="0.25">
      <c r="A194" s="7" t="s">
        <v>12722</v>
      </c>
      <c r="B194" s="2" t="s">
        <v>5487</v>
      </c>
      <c r="C194" s="4">
        <v>1</v>
      </c>
      <c r="D194" s="5">
        <v>5.75</v>
      </c>
      <c r="E194" s="5">
        <v>16.989999999999998</v>
      </c>
      <c r="F194" s="4" t="s">
        <v>5488</v>
      </c>
      <c r="G194" s="2" t="s">
        <v>582</v>
      </c>
      <c r="H194" s="7" t="s">
        <v>196</v>
      </c>
      <c r="I194" s="2" t="s">
        <v>389</v>
      </c>
      <c r="J194" s="2" t="s">
        <v>354</v>
      </c>
      <c r="K194" s="2" t="s">
        <v>304</v>
      </c>
      <c r="L194" s="2" t="s">
        <v>596</v>
      </c>
      <c r="M194" s="8" t="str">
        <f>HYPERLINK("http://slimages.macys.com/is/image/MCY/12645395 ")</f>
        <v xml:space="preserve">http://slimages.macys.com/is/image/MCY/12645395 </v>
      </c>
    </row>
    <row r="195" spans="1:13" ht="60" x14ac:dyDescent="0.25">
      <c r="A195" s="7" t="s">
        <v>14148</v>
      </c>
      <c r="B195" s="2" t="s">
        <v>4143</v>
      </c>
      <c r="C195" s="4">
        <v>1</v>
      </c>
      <c r="D195" s="5">
        <v>5.75</v>
      </c>
      <c r="E195" s="5">
        <v>11.98</v>
      </c>
      <c r="F195" s="4" t="s">
        <v>4144</v>
      </c>
      <c r="G195" s="2" t="s">
        <v>262</v>
      </c>
      <c r="H195" s="7"/>
      <c r="I195" s="2" t="s">
        <v>523</v>
      </c>
      <c r="J195" s="2" t="s">
        <v>3930</v>
      </c>
      <c r="K195" s="2" t="s">
        <v>304</v>
      </c>
      <c r="L195" s="2" t="s">
        <v>206</v>
      </c>
      <c r="M195" s="8" t="str">
        <f>HYPERLINK("http://slimages.macys.com/is/image/MCY/11667346 ")</f>
        <v xml:space="preserve">http://slimages.macys.com/is/image/MCY/11667346 </v>
      </c>
    </row>
    <row r="196" spans="1:13" ht="60" x14ac:dyDescent="0.25">
      <c r="A196" s="7" t="s">
        <v>14149</v>
      </c>
      <c r="B196" s="2" t="s">
        <v>4143</v>
      </c>
      <c r="C196" s="4">
        <v>1</v>
      </c>
      <c r="D196" s="5">
        <v>5.75</v>
      </c>
      <c r="E196" s="5">
        <v>11.98</v>
      </c>
      <c r="F196" s="4" t="s">
        <v>14150</v>
      </c>
      <c r="G196" s="2" t="s">
        <v>347</v>
      </c>
      <c r="H196" s="7"/>
      <c r="I196" s="2" t="s">
        <v>523</v>
      </c>
      <c r="J196" s="2" t="s">
        <v>3930</v>
      </c>
      <c r="K196" s="2" t="s">
        <v>304</v>
      </c>
      <c r="L196" s="2" t="s">
        <v>206</v>
      </c>
      <c r="M196" s="8" t="str">
        <f>HYPERLINK("http://slimages.macys.com/is/image/MCY/11667346 ")</f>
        <v xml:space="preserve">http://slimages.macys.com/is/image/MCY/11667346 </v>
      </c>
    </row>
    <row r="197" spans="1:13" ht="60" x14ac:dyDescent="0.25">
      <c r="A197" s="7" t="s">
        <v>14151</v>
      </c>
      <c r="B197" s="2" t="s">
        <v>14152</v>
      </c>
      <c r="C197" s="4">
        <v>2</v>
      </c>
      <c r="D197" s="5">
        <v>5.75</v>
      </c>
      <c r="E197" s="5">
        <v>11.98</v>
      </c>
      <c r="F197" s="4" t="s">
        <v>14153</v>
      </c>
      <c r="G197" s="2"/>
      <c r="H197" s="7" t="s">
        <v>284</v>
      </c>
      <c r="I197" s="2" t="s">
        <v>523</v>
      </c>
      <c r="J197" s="2" t="s">
        <v>3930</v>
      </c>
      <c r="K197" s="2" t="s">
        <v>304</v>
      </c>
      <c r="L197" s="2" t="s">
        <v>206</v>
      </c>
      <c r="M197" s="8" t="str">
        <f>HYPERLINK("http://slimages.macys.com/is/image/MCY/11670796 ")</f>
        <v xml:space="preserve">http://slimages.macys.com/is/image/MCY/11670796 </v>
      </c>
    </row>
    <row r="198" spans="1:13" ht="96" x14ac:dyDescent="0.25">
      <c r="A198" s="7" t="s">
        <v>14154</v>
      </c>
      <c r="B198" s="2" t="s">
        <v>10147</v>
      </c>
      <c r="C198" s="4">
        <v>1</v>
      </c>
      <c r="D198" s="5">
        <v>5.75</v>
      </c>
      <c r="E198" s="5">
        <v>12.99</v>
      </c>
      <c r="F198" s="4" t="s">
        <v>10148</v>
      </c>
      <c r="G198" s="2" t="s">
        <v>86</v>
      </c>
      <c r="H198" s="7" t="s">
        <v>149</v>
      </c>
      <c r="I198" s="2" t="s">
        <v>483</v>
      </c>
      <c r="J198" s="2" t="s">
        <v>536</v>
      </c>
      <c r="K198" s="2" t="s">
        <v>304</v>
      </c>
      <c r="L198" s="2" t="s">
        <v>10149</v>
      </c>
      <c r="M198" s="8" t="str">
        <f>HYPERLINK("http://slimages.macys.com/is/image/MCY/11439974 ")</f>
        <v xml:space="preserve">http://slimages.macys.com/is/image/MCY/11439974 </v>
      </c>
    </row>
    <row r="199" spans="1:13" ht="60" x14ac:dyDescent="0.25">
      <c r="A199" s="7" t="s">
        <v>1052</v>
      </c>
      <c r="B199" s="2" t="s">
        <v>1050</v>
      </c>
      <c r="C199" s="4">
        <v>1</v>
      </c>
      <c r="D199" s="5">
        <v>5.75</v>
      </c>
      <c r="E199" s="5">
        <v>11.99</v>
      </c>
      <c r="F199" s="4">
        <v>2581</v>
      </c>
      <c r="G199" s="2" t="s">
        <v>36</v>
      </c>
      <c r="H199" s="7" t="s">
        <v>228</v>
      </c>
      <c r="I199" s="2" t="s">
        <v>523</v>
      </c>
      <c r="J199" s="2" t="s">
        <v>921</v>
      </c>
      <c r="K199" s="2" t="s">
        <v>304</v>
      </c>
      <c r="L199" s="2" t="s">
        <v>323</v>
      </c>
      <c r="M199" s="8" t="str">
        <f>HYPERLINK("http://slimages.macys.com/is/image/MCY/13050177 ")</f>
        <v xml:space="preserve">http://slimages.macys.com/is/image/MCY/13050177 </v>
      </c>
    </row>
    <row r="200" spans="1:13" ht="60" x14ac:dyDescent="0.25">
      <c r="A200" s="7" t="s">
        <v>14155</v>
      </c>
      <c r="B200" s="2" t="s">
        <v>14156</v>
      </c>
      <c r="C200" s="4">
        <v>1</v>
      </c>
      <c r="D200" s="5">
        <v>5.73</v>
      </c>
      <c r="E200" s="5">
        <v>11.99</v>
      </c>
      <c r="F200" s="4" t="s">
        <v>14157</v>
      </c>
      <c r="G200" s="2" t="s">
        <v>310</v>
      </c>
      <c r="H200" s="7" t="s">
        <v>217</v>
      </c>
      <c r="I200" s="2" t="s">
        <v>523</v>
      </c>
      <c r="J200" s="2" t="s">
        <v>4102</v>
      </c>
      <c r="K200" s="2" t="s">
        <v>304</v>
      </c>
      <c r="L200" s="2" t="s">
        <v>206</v>
      </c>
      <c r="M200" s="8" t="str">
        <f>HYPERLINK("http://slimages.macys.com/is/image/MCY/2952189 ")</f>
        <v xml:space="preserve">http://slimages.macys.com/is/image/MCY/2952189 </v>
      </c>
    </row>
    <row r="201" spans="1:13" ht="96" x14ac:dyDescent="0.25">
      <c r="A201" s="7" t="s">
        <v>4156</v>
      </c>
      <c r="B201" s="2" t="s">
        <v>4152</v>
      </c>
      <c r="C201" s="4">
        <v>1</v>
      </c>
      <c r="D201" s="5">
        <v>5.67</v>
      </c>
      <c r="E201" s="5">
        <v>14.99</v>
      </c>
      <c r="F201" s="4" t="s">
        <v>4153</v>
      </c>
      <c r="G201" s="2" t="s">
        <v>41</v>
      </c>
      <c r="H201" s="7" t="s">
        <v>149</v>
      </c>
      <c r="I201" s="2" t="s">
        <v>483</v>
      </c>
      <c r="J201" s="2" t="s">
        <v>536</v>
      </c>
      <c r="K201" s="2" t="s">
        <v>304</v>
      </c>
      <c r="L201" s="2" t="s">
        <v>4154</v>
      </c>
      <c r="M201" s="8" t="str">
        <f>HYPERLINK("http://slimages.macys.com/is/image/MCY/14384813 ")</f>
        <v xml:space="preserve">http://slimages.macys.com/is/image/MCY/14384813 </v>
      </c>
    </row>
    <row r="202" spans="1:13" ht="96" x14ac:dyDescent="0.25">
      <c r="A202" s="7" t="s">
        <v>4158</v>
      </c>
      <c r="B202" s="2" t="s">
        <v>4152</v>
      </c>
      <c r="C202" s="4">
        <v>1</v>
      </c>
      <c r="D202" s="5">
        <v>5.67</v>
      </c>
      <c r="E202" s="5">
        <v>14.99</v>
      </c>
      <c r="F202" s="4" t="s">
        <v>4153</v>
      </c>
      <c r="G202" s="2" t="s">
        <v>41</v>
      </c>
      <c r="H202" s="7" t="s">
        <v>590</v>
      </c>
      <c r="I202" s="2" t="s">
        <v>483</v>
      </c>
      <c r="J202" s="2" t="s">
        <v>536</v>
      </c>
      <c r="K202" s="2" t="s">
        <v>304</v>
      </c>
      <c r="L202" s="2" t="s">
        <v>4154</v>
      </c>
      <c r="M202" s="8" t="str">
        <f>HYPERLINK("http://slimages.macys.com/is/image/MCY/14384813 ")</f>
        <v xml:space="preserve">http://slimages.macys.com/is/image/MCY/14384813 </v>
      </c>
    </row>
    <row r="203" spans="1:13" ht="60" x14ac:dyDescent="0.25">
      <c r="A203" s="7" t="s">
        <v>2638</v>
      </c>
      <c r="B203" s="2" t="s">
        <v>2639</v>
      </c>
      <c r="C203" s="4">
        <v>5</v>
      </c>
      <c r="D203" s="5">
        <v>5.6</v>
      </c>
      <c r="E203" s="5">
        <v>13.99</v>
      </c>
      <c r="F203" s="4" t="s">
        <v>2640</v>
      </c>
      <c r="G203" s="2" t="s">
        <v>874</v>
      </c>
      <c r="H203" s="7" t="s">
        <v>91</v>
      </c>
      <c r="I203" s="2" t="s">
        <v>483</v>
      </c>
      <c r="J203" s="2" t="s">
        <v>536</v>
      </c>
      <c r="K203" s="2" t="s">
        <v>304</v>
      </c>
      <c r="L203" s="2" t="s">
        <v>125</v>
      </c>
      <c r="M203" s="8" t="str">
        <f>HYPERLINK("http://slimages.macys.com/is/image/MCY/14446785 ")</f>
        <v xml:space="preserve">http://slimages.macys.com/is/image/MCY/14446785 </v>
      </c>
    </row>
    <row r="204" spans="1:13" ht="60" x14ac:dyDescent="0.25">
      <c r="A204" s="7" t="s">
        <v>2641</v>
      </c>
      <c r="B204" s="2" t="s">
        <v>2639</v>
      </c>
      <c r="C204" s="4">
        <v>3</v>
      </c>
      <c r="D204" s="5">
        <v>5.6</v>
      </c>
      <c r="E204" s="5">
        <v>13.99</v>
      </c>
      <c r="F204" s="4" t="s">
        <v>2640</v>
      </c>
      <c r="G204" s="2" t="s">
        <v>874</v>
      </c>
      <c r="H204" s="7" t="s">
        <v>42</v>
      </c>
      <c r="I204" s="2" t="s">
        <v>483</v>
      </c>
      <c r="J204" s="2" t="s">
        <v>536</v>
      </c>
      <c r="K204" s="2" t="s">
        <v>304</v>
      </c>
      <c r="L204" s="2" t="s">
        <v>125</v>
      </c>
      <c r="M204" s="8" t="str">
        <f>HYPERLINK("http://slimages.macys.com/is/image/MCY/14446785 ")</f>
        <v xml:space="preserve">http://slimages.macys.com/is/image/MCY/14446785 </v>
      </c>
    </row>
    <row r="205" spans="1:13" ht="60" x14ac:dyDescent="0.25">
      <c r="A205" s="7" t="s">
        <v>13697</v>
      </c>
      <c r="B205" s="2" t="s">
        <v>2639</v>
      </c>
      <c r="C205" s="4">
        <v>1</v>
      </c>
      <c r="D205" s="5">
        <v>5.6</v>
      </c>
      <c r="E205" s="5">
        <v>13.99</v>
      </c>
      <c r="F205" s="4" t="s">
        <v>2640</v>
      </c>
      <c r="G205" s="2" t="s">
        <v>874</v>
      </c>
      <c r="H205" s="7" t="s">
        <v>149</v>
      </c>
      <c r="I205" s="2" t="s">
        <v>483</v>
      </c>
      <c r="J205" s="2" t="s">
        <v>536</v>
      </c>
      <c r="K205" s="2" t="s">
        <v>304</v>
      </c>
      <c r="L205" s="2" t="s">
        <v>125</v>
      </c>
      <c r="M205" s="8" t="str">
        <f>HYPERLINK("http://slimages.macys.com/is/image/MCY/14446785 ")</f>
        <v xml:space="preserve">http://slimages.macys.com/is/image/MCY/14446785 </v>
      </c>
    </row>
    <row r="206" spans="1:13" ht="60" x14ac:dyDescent="0.25">
      <c r="A206" s="7" t="s">
        <v>1054</v>
      </c>
      <c r="B206" s="2" t="s">
        <v>1055</v>
      </c>
      <c r="C206" s="4">
        <v>1</v>
      </c>
      <c r="D206" s="5">
        <v>5.6</v>
      </c>
      <c r="E206" s="5">
        <v>14</v>
      </c>
      <c r="F206" s="4" t="s">
        <v>1056</v>
      </c>
      <c r="G206" s="2" t="s">
        <v>41</v>
      </c>
      <c r="H206" s="7" t="s">
        <v>317</v>
      </c>
      <c r="I206" s="2" t="s">
        <v>523</v>
      </c>
      <c r="J206" s="2" t="s">
        <v>937</v>
      </c>
      <c r="K206" s="2" t="s">
        <v>304</v>
      </c>
      <c r="L206" s="2" t="s">
        <v>263</v>
      </c>
      <c r="M206" s="8" t="str">
        <f>HYPERLINK("http://slimages.macys.com/is/image/MCY/12038119 ")</f>
        <v xml:space="preserve">http://slimages.macys.com/is/image/MCY/12038119 </v>
      </c>
    </row>
    <row r="207" spans="1:13" ht="60" x14ac:dyDescent="0.25">
      <c r="A207" s="7" t="s">
        <v>2642</v>
      </c>
      <c r="B207" s="2" t="s">
        <v>2639</v>
      </c>
      <c r="C207" s="4">
        <v>3</v>
      </c>
      <c r="D207" s="5">
        <v>5.6</v>
      </c>
      <c r="E207" s="5">
        <v>13.99</v>
      </c>
      <c r="F207" s="4" t="s">
        <v>2640</v>
      </c>
      <c r="G207" s="2" t="s">
        <v>874</v>
      </c>
      <c r="H207" s="7" t="s">
        <v>442</v>
      </c>
      <c r="I207" s="2" t="s">
        <v>483</v>
      </c>
      <c r="J207" s="2" t="s">
        <v>536</v>
      </c>
      <c r="K207" s="2" t="s">
        <v>304</v>
      </c>
      <c r="L207" s="2" t="s">
        <v>125</v>
      </c>
      <c r="M207" s="8" t="str">
        <f>HYPERLINK("http://slimages.macys.com/is/image/MCY/14446785 ")</f>
        <v xml:space="preserve">http://slimages.macys.com/is/image/MCY/14446785 </v>
      </c>
    </row>
    <row r="208" spans="1:13" ht="60" x14ac:dyDescent="0.25">
      <c r="A208" s="7" t="s">
        <v>8308</v>
      </c>
      <c r="B208" s="2" t="s">
        <v>1069</v>
      </c>
      <c r="C208" s="4">
        <v>1</v>
      </c>
      <c r="D208" s="5">
        <v>5.6</v>
      </c>
      <c r="E208" s="5">
        <v>14</v>
      </c>
      <c r="F208" s="4" t="s">
        <v>8309</v>
      </c>
      <c r="G208" s="2" t="s">
        <v>165</v>
      </c>
      <c r="H208" s="7"/>
      <c r="I208" s="2" t="s">
        <v>523</v>
      </c>
      <c r="J208" s="2" t="s">
        <v>937</v>
      </c>
      <c r="K208" s="2" t="s">
        <v>304</v>
      </c>
      <c r="L208" s="2" t="s">
        <v>224</v>
      </c>
      <c r="M208" s="8" t="str">
        <f>HYPERLINK("http://slimages.macys.com/is/image/MCY/11954954 ")</f>
        <v xml:space="preserve">http://slimages.macys.com/is/image/MCY/11954954 </v>
      </c>
    </row>
    <row r="209" spans="1:13" ht="60" x14ac:dyDescent="0.25">
      <c r="A209" s="7" t="s">
        <v>3405</v>
      </c>
      <c r="B209" s="2" t="s">
        <v>2639</v>
      </c>
      <c r="C209" s="4">
        <v>1</v>
      </c>
      <c r="D209" s="5">
        <v>5.6</v>
      </c>
      <c r="E209" s="5">
        <v>13.99</v>
      </c>
      <c r="F209" s="4" t="s">
        <v>2640</v>
      </c>
      <c r="G209" s="2" t="s">
        <v>874</v>
      </c>
      <c r="H209" s="7" t="s">
        <v>590</v>
      </c>
      <c r="I209" s="2" t="s">
        <v>483</v>
      </c>
      <c r="J209" s="2" t="s">
        <v>536</v>
      </c>
      <c r="K209" s="2" t="s">
        <v>304</v>
      </c>
      <c r="L209" s="2" t="s">
        <v>125</v>
      </c>
      <c r="M209" s="8" t="str">
        <f>HYPERLINK("http://slimages.macys.com/is/image/MCY/14446785 ")</f>
        <v xml:space="preserve">http://slimages.macys.com/is/image/MCY/14446785 </v>
      </c>
    </row>
    <row r="210" spans="1:13" ht="60" x14ac:dyDescent="0.25">
      <c r="A210" s="7" t="s">
        <v>14158</v>
      </c>
      <c r="B210" s="2" t="s">
        <v>14159</v>
      </c>
      <c r="C210" s="4">
        <v>1</v>
      </c>
      <c r="D210" s="5">
        <v>5.6</v>
      </c>
      <c r="E210" s="5">
        <v>14</v>
      </c>
      <c r="F210" s="4" t="s">
        <v>14160</v>
      </c>
      <c r="G210" s="2" t="s">
        <v>752</v>
      </c>
      <c r="H210" s="7"/>
      <c r="I210" s="2" t="s">
        <v>523</v>
      </c>
      <c r="J210" s="2" t="s">
        <v>937</v>
      </c>
      <c r="K210" s="2" t="s">
        <v>304</v>
      </c>
      <c r="L210" s="2" t="s">
        <v>944</v>
      </c>
      <c r="M210" s="8" t="str">
        <f>HYPERLINK("http://slimages.macys.com/is/image/MCY/10423554 ")</f>
        <v xml:space="preserve">http://slimages.macys.com/is/image/MCY/10423554 </v>
      </c>
    </row>
    <row r="211" spans="1:13" ht="60" x14ac:dyDescent="0.25">
      <c r="A211" s="7" t="s">
        <v>1059</v>
      </c>
      <c r="B211" s="2" t="s">
        <v>1060</v>
      </c>
      <c r="C211" s="4">
        <v>1</v>
      </c>
      <c r="D211" s="5">
        <v>5.6</v>
      </c>
      <c r="E211" s="5">
        <v>14</v>
      </c>
      <c r="F211" s="4" t="s">
        <v>1061</v>
      </c>
      <c r="G211" s="2" t="s">
        <v>752</v>
      </c>
      <c r="H211" s="7"/>
      <c r="I211" s="2" t="s">
        <v>523</v>
      </c>
      <c r="J211" s="2" t="s">
        <v>937</v>
      </c>
      <c r="K211" s="2" t="s">
        <v>304</v>
      </c>
      <c r="L211" s="2" t="s">
        <v>944</v>
      </c>
      <c r="M211" s="8" t="str">
        <f>HYPERLINK("http://slimages.macys.com/is/image/MCY/10425971 ")</f>
        <v xml:space="preserve">http://slimages.macys.com/is/image/MCY/10425971 </v>
      </c>
    </row>
    <row r="212" spans="1:13" ht="60" x14ac:dyDescent="0.25">
      <c r="A212" s="7" t="s">
        <v>4165</v>
      </c>
      <c r="B212" s="2" t="s">
        <v>3410</v>
      </c>
      <c r="C212" s="4">
        <v>1</v>
      </c>
      <c r="D212" s="5">
        <v>5.52</v>
      </c>
      <c r="E212" s="5">
        <v>13.99</v>
      </c>
      <c r="F212" s="4" t="s">
        <v>3411</v>
      </c>
      <c r="G212" s="2" t="s">
        <v>62</v>
      </c>
      <c r="H212" s="7" t="s">
        <v>590</v>
      </c>
      <c r="I212" s="2" t="s">
        <v>483</v>
      </c>
      <c r="J212" s="2" t="s">
        <v>536</v>
      </c>
      <c r="K212" s="2" t="s">
        <v>304</v>
      </c>
      <c r="L212" s="2" t="s">
        <v>596</v>
      </c>
      <c r="M212" s="8" t="str">
        <f>HYPERLINK("http://slimages.macys.com/is/image/MCY/14630640 ")</f>
        <v xml:space="preserve">http://slimages.macys.com/is/image/MCY/14630640 </v>
      </c>
    </row>
    <row r="213" spans="1:13" ht="60" x14ac:dyDescent="0.25">
      <c r="A213" s="7" t="s">
        <v>3409</v>
      </c>
      <c r="B213" s="2" t="s">
        <v>3410</v>
      </c>
      <c r="C213" s="4">
        <v>1</v>
      </c>
      <c r="D213" s="5">
        <v>5.52</v>
      </c>
      <c r="E213" s="5">
        <v>13.99</v>
      </c>
      <c r="F213" s="4" t="s">
        <v>3411</v>
      </c>
      <c r="G213" s="2" t="s">
        <v>62</v>
      </c>
      <c r="H213" s="7" t="s">
        <v>149</v>
      </c>
      <c r="I213" s="2" t="s">
        <v>483</v>
      </c>
      <c r="J213" s="2" t="s">
        <v>536</v>
      </c>
      <c r="K213" s="2" t="s">
        <v>304</v>
      </c>
      <c r="L213" s="2" t="s">
        <v>596</v>
      </c>
      <c r="M213" s="8" t="str">
        <f>HYPERLINK("http://slimages.macys.com/is/image/MCY/14630640 ")</f>
        <v xml:space="preserve">http://slimages.macys.com/is/image/MCY/14630640 </v>
      </c>
    </row>
    <row r="214" spans="1:13" ht="60" x14ac:dyDescent="0.25">
      <c r="A214" s="7" t="s">
        <v>14161</v>
      </c>
      <c r="B214" s="2" t="s">
        <v>11614</v>
      </c>
      <c r="C214" s="4">
        <v>1</v>
      </c>
      <c r="D214" s="5">
        <v>5.5</v>
      </c>
      <c r="E214" s="5">
        <v>11.99</v>
      </c>
      <c r="F214" s="4" t="s">
        <v>11615</v>
      </c>
      <c r="G214" s="2" t="s">
        <v>41</v>
      </c>
      <c r="H214" s="7" t="s">
        <v>228</v>
      </c>
      <c r="I214" s="2" t="s">
        <v>523</v>
      </c>
      <c r="J214" s="2" t="s">
        <v>11616</v>
      </c>
      <c r="K214" s="2" t="s">
        <v>304</v>
      </c>
      <c r="L214" s="2" t="s">
        <v>11617</v>
      </c>
      <c r="M214" s="8" t="str">
        <f>HYPERLINK("http://slimages.macys.com/is/image/MCY/9399003 ")</f>
        <v xml:space="preserve">http://slimages.macys.com/is/image/MCY/9399003 </v>
      </c>
    </row>
    <row r="215" spans="1:13" ht="144" x14ac:dyDescent="0.25">
      <c r="A215" s="7" t="s">
        <v>14162</v>
      </c>
      <c r="B215" s="2" t="s">
        <v>14163</v>
      </c>
      <c r="C215" s="4">
        <v>1</v>
      </c>
      <c r="D215" s="5">
        <v>5.5</v>
      </c>
      <c r="E215" s="5">
        <v>12</v>
      </c>
      <c r="F215" s="4" t="s">
        <v>14164</v>
      </c>
      <c r="G215" s="2" t="s">
        <v>41</v>
      </c>
      <c r="H215" s="7" t="s">
        <v>14165</v>
      </c>
      <c r="I215" s="2" t="s">
        <v>43</v>
      </c>
      <c r="J215" s="2" t="s">
        <v>14166</v>
      </c>
      <c r="K215" s="2" t="s">
        <v>304</v>
      </c>
      <c r="L215" s="2" t="s">
        <v>5015</v>
      </c>
      <c r="M215" s="8" t="str">
        <f>HYPERLINK("http://slimages.macys.com/is/image/MCY/12337425 ")</f>
        <v xml:space="preserve">http://slimages.macys.com/is/image/MCY/12337425 </v>
      </c>
    </row>
    <row r="216" spans="1:13" ht="60" x14ac:dyDescent="0.25">
      <c r="A216" s="7" t="s">
        <v>5501</v>
      </c>
      <c r="B216" s="2" t="s">
        <v>1081</v>
      </c>
      <c r="C216" s="4">
        <v>2</v>
      </c>
      <c r="D216" s="5">
        <v>5.35</v>
      </c>
      <c r="E216" s="5">
        <v>13.99</v>
      </c>
      <c r="F216" s="4" t="s">
        <v>1082</v>
      </c>
      <c r="G216" s="2" t="s">
        <v>41</v>
      </c>
      <c r="H216" s="7" t="s">
        <v>149</v>
      </c>
      <c r="I216" s="2" t="s">
        <v>483</v>
      </c>
      <c r="J216" s="2" t="s">
        <v>536</v>
      </c>
      <c r="K216" s="2" t="s">
        <v>304</v>
      </c>
      <c r="L216" s="2" t="s">
        <v>125</v>
      </c>
      <c r="M216" s="8" t="str">
        <f>HYPERLINK("http://slimages.macys.com/is/image/MCY/14447244 ")</f>
        <v xml:space="preserve">http://slimages.macys.com/is/image/MCY/14447244 </v>
      </c>
    </row>
    <row r="217" spans="1:13" ht="60" x14ac:dyDescent="0.25">
      <c r="A217" s="7" t="s">
        <v>4181</v>
      </c>
      <c r="B217" s="2" t="s">
        <v>1081</v>
      </c>
      <c r="C217" s="4">
        <v>1</v>
      </c>
      <c r="D217" s="5">
        <v>5.35</v>
      </c>
      <c r="E217" s="5">
        <v>13.99</v>
      </c>
      <c r="F217" s="4" t="s">
        <v>1082</v>
      </c>
      <c r="G217" s="2" t="s">
        <v>41</v>
      </c>
      <c r="H217" s="7" t="s">
        <v>91</v>
      </c>
      <c r="I217" s="2" t="s">
        <v>483</v>
      </c>
      <c r="J217" s="2" t="s">
        <v>536</v>
      </c>
      <c r="K217" s="2" t="s">
        <v>304</v>
      </c>
      <c r="L217" s="2" t="s">
        <v>125</v>
      </c>
      <c r="M217" s="8" t="str">
        <f>HYPERLINK("http://slimages.macys.com/is/image/MCY/14447244 ")</f>
        <v xml:space="preserve">http://slimages.macys.com/is/image/MCY/14447244 </v>
      </c>
    </row>
    <row r="218" spans="1:13" ht="60" x14ac:dyDescent="0.25">
      <c r="A218" s="7" t="s">
        <v>13700</v>
      </c>
      <c r="B218" s="2" t="s">
        <v>1081</v>
      </c>
      <c r="C218" s="4">
        <v>1</v>
      </c>
      <c r="D218" s="5">
        <v>5.35</v>
      </c>
      <c r="E218" s="5">
        <v>13.99</v>
      </c>
      <c r="F218" s="4" t="s">
        <v>1082</v>
      </c>
      <c r="G218" s="2" t="s">
        <v>41</v>
      </c>
      <c r="H218" s="7" t="s">
        <v>442</v>
      </c>
      <c r="I218" s="2" t="s">
        <v>483</v>
      </c>
      <c r="J218" s="2" t="s">
        <v>536</v>
      </c>
      <c r="K218" s="2" t="s">
        <v>304</v>
      </c>
      <c r="L218" s="2" t="s">
        <v>125</v>
      </c>
      <c r="M218" s="8" t="str">
        <f>HYPERLINK("http://slimages.macys.com/is/image/MCY/14447244 ")</f>
        <v xml:space="preserve">http://slimages.macys.com/is/image/MCY/14447244 </v>
      </c>
    </row>
    <row r="219" spans="1:13" ht="60" x14ac:dyDescent="0.25">
      <c r="A219" s="7" t="s">
        <v>1080</v>
      </c>
      <c r="B219" s="2" t="s">
        <v>1081</v>
      </c>
      <c r="C219" s="4">
        <v>1</v>
      </c>
      <c r="D219" s="5">
        <v>5.35</v>
      </c>
      <c r="E219" s="5">
        <v>13.99</v>
      </c>
      <c r="F219" s="4" t="s">
        <v>1082</v>
      </c>
      <c r="G219" s="2" t="s">
        <v>41</v>
      </c>
      <c r="H219" s="7" t="s">
        <v>590</v>
      </c>
      <c r="I219" s="2" t="s">
        <v>483</v>
      </c>
      <c r="J219" s="2" t="s">
        <v>536</v>
      </c>
      <c r="K219" s="2" t="s">
        <v>304</v>
      </c>
      <c r="L219" s="2" t="s">
        <v>125</v>
      </c>
      <c r="M219" s="8" t="str">
        <f>HYPERLINK("http://slimages.macys.com/is/image/MCY/14447244 ")</f>
        <v xml:space="preserve">http://slimages.macys.com/is/image/MCY/14447244 </v>
      </c>
    </row>
    <row r="220" spans="1:13" ht="60" x14ac:dyDescent="0.25">
      <c r="A220" s="7" t="s">
        <v>6969</v>
      </c>
      <c r="B220" s="2" t="s">
        <v>6970</v>
      </c>
      <c r="C220" s="4">
        <v>1</v>
      </c>
      <c r="D220" s="5">
        <v>5.25</v>
      </c>
      <c r="E220" s="5">
        <v>12.77</v>
      </c>
      <c r="F220" s="4">
        <v>17880810</v>
      </c>
      <c r="G220" s="2"/>
      <c r="H220" s="7" t="s">
        <v>442</v>
      </c>
      <c r="I220" s="2" t="s">
        <v>153</v>
      </c>
      <c r="J220" s="2" t="s">
        <v>3580</v>
      </c>
      <c r="K220" s="2" t="s">
        <v>304</v>
      </c>
      <c r="L220" s="2" t="s">
        <v>125</v>
      </c>
      <c r="M220" s="8" t="str">
        <f>HYPERLINK("http://slimages.macys.com/is/image/MCY/13728577 ")</f>
        <v xml:space="preserve">http://slimages.macys.com/is/image/MCY/13728577 </v>
      </c>
    </row>
    <row r="221" spans="1:13" ht="96" x14ac:dyDescent="0.25">
      <c r="A221" s="7" t="s">
        <v>2651</v>
      </c>
      <c r="B221" s="2" t="s">
        <v>2649</v>
      </c>
      <c r="C221" s="4">
        <v>12</v>
      </c>
      <c r="D221" s="5">
        <v>5.25</v>
      </c>
      <c r="E221" s="5">
        <v>14.99</v>
      </c>
      <c r="F221" s="4" t="s">
        <v>2650</v>
      </c>
      <c r="G221" s="2" t="s">
        <v>48</v>
      </c>
      <c r="H221" s="7" t="s">
        <v>68</v>
      </c>
      <c r="I221" s="2" t="s">
        <v>135</v>
      </c>
      <c r="J221" s="2" t="s">
        <v>1076</v>
      </c>
      <c r="K221" s="2" t="s">
        <v>304</v>
      </c>
      <c r="L221" s="2" t="s">
        <v>1948</v>
      </c>
      <c r="M221" s="8" t="str">
        <f>HYPERLINK("http://slimages.macys.com/is/image/MCY/15367969 ")</f>
        <v xml:space="preserve">http://slimages.macys.com/is/image/MCY/15367969 </v>
      </c>
    </row>
    <row r="222" spans="1:13" ht="96" x14ac:dyDescent="0.25">
      <c r="A222" s="7" t="s">
        <v>2653</v>
      </c>
      <c r="B222" s="2" t="s">
        <v>2654</v>
      </c>
      <c r="C222" s="4">
        <v>1</v>
      </c>
      <c r="D222" s="5">
        <v>5.25</v>
      </c>
      <c r="E222" s="5">
        <v>14.99</v>
      </c>
      <c r="F222" s="4" t="s">
        <v>2655</v>
      </c>
      <c r="G222" s="2" t="s">
        <v>48</v>
      </c>
      <c r="H222" s="7" t="s">
        <v>42</v>
      </c>
      <c r="I222" s="2" t="s">
        <v>135</v>
      </c>
      <c r="J222" s="2" t="s">
        <v>1076</v>
      </c>
      <c r="K222" s="2" t="s">
        <v>304</v>
      </c>
      <c r="L222" s="2" t="s">
        <v>1948</v>
      </c>
      <c r="M222" s="8" t="str">
        <f>HYPERLINK("http://slimages.macys.com/is/image/MCY/15654520 ")</f>
        <v xml:space="preserve">http://slimages.macys.com/is/image/MCY/15654520 </v>
      </c>
    </row>
    <row r="223" spans="1:13" ht="96" x14ac:dyDescent="0.25">
      <c r="A223" s="7" t="s">
        <v>13387</v>
      </c>
      <c r="B223" s="2" t="s">
        <v>2654</v>
      </c>
      <c r="C223" s="4">
        <v>1</v>
      </c>
      <c r="D223" s="5">
        <v>5.25</v>
      </c>
      <c r="E223" s="5">
        <v>14.99</v>
      </c>
      <c r="F223" s="4" t="s">
        <v>2655</v>
      </c>
      <c r="G223" s="2" t="s">
        <v>48</v>
      </c>
      <c r="H223" s="7" t="s">
        <v>68</v>
      </c>
      <c r="I223" s="2" t="s">
        <v>135</v>
      </c>
      <c r="J223" s="2" t="s">
        <v>1076</v>
      </c>
      <c r="K223" s="2" t="s">
        <v>304</v>
      </c>
      <c r="L223" s="2" t="s">
        <v>1948</v>
      </c>
      <c r="M223" s="8" t="str">
        <f>HYPERLINK("http://slimages.macys.com/is/image/MCY/15654520 ")</f>
        <v xml:space="preserve">http://slimages.macys.com/is/image/MCY/15654520 </v>
      </c>
    </row>
    <row r="224" spans="1:13" ht="96" x14ac:dyDescent="0.25">
      <c r="A224" s="7" t="s">
        <v>14167</v>
      </c>
      <c r="B224" s="2" t="s">
        <v>13381</v>
      </c>
      <c r="C224" s="4">
        <v>1</v>
      </c>
      <c r="D224" s="5">
        <v>5.25</v>
      </c>
      <c r="E224" s="5">
        <v>14.99</v>
      </c>
      <c r="F224" s="4" t="s">
        <v>13382</v>
      </c>
      <c r="G224" s="2" t="s">
        <v>129</v>
      </c>
      <c r="H224" s="7" t="s">
        <v>209</v>
      </c>
      <c r="I224" s="2" t="s">
        <v>135</v>
      </c>
      <c r="J224" s="2" t="s">
        <v>1076</v>
      </c>
      <c r="K224" s="2" t="s">
        <v>304</v>
      </c>
      <c r="L224" s="2" t="s">
        <v>1948</v>
      </c>
      <c r="M224" s="8" t="str">
        <f>HYPERLINK("http://slimages.macys.com/is/image/MCY/15654539 ")</f>
        <v xml:space="preserve">http://slimages.macys.com/is/image/MCY/15654539 </v>
      </c>
    </row>
    <row r="225" spans="1:13" ht="96" x14ac:dyDescent="0.25">
      <c r="A225" s="7" t="s">
        <v>14168</v>
      </c>
      <c r="B225" s="2" t="s">
        <v>4186</v>
      </c>
      <c r="C225" s="4">
        <v>1</v>
      </c>
      <c r="D225" s="5">
        <v>5.25</v>
      </c>
      <c r="E225" s="5">
        <v>14.99</v>
      </c>
      <c r="F225" s="4" t="s">
        <v>4187</v>
      </c>
      <c r="G225" s="2" t="s">
        <v>28</v>
      </c>
      <c r="H225" s="7" t="s">
        <v>91</v>
      </c>
      <c r="I225" s="2" t="s">
        <v>135</v>
      </c>
      <c r="J225" s="2" t="s">
        <v>1076</v>
      </c>
      <c r="K225" s="2" t="s">
        <v>304</v>
      </c>
      <c r="L225" s="2" t="s">
        <v>1948</v>
      </c>
      <c r="M225" s="8" t="str">
        <f>HYPERLINK("http://slimages.macys.com/is/image/MCY/15654516 ")</f>
        <v xml:space="preserve">http://slimages.macys.com/is/image/MCY/15654516 </v>
      </c>
    </row>
    <row r="226" spans="1:13" ht="96" x14ac:dyDescent="0.25">
      <c r="A226" s="7" t="s">
        <v>1954</v>
      </c>
      <c r="B226" s="2" t="s">
        <v>1946</v>
      </c>
      <c r="C226" s="4">
        <v>1</v>
      </c>
      <c r="D226" s="5">
        <v>5.25</v>
      </c>
      <c r="E226" s="5">
        <v>14.99</v>
      </c>
      <c r="F226" s="4" t="s">
        <v>1947</v>
      </c>
      <c r="G226" s="2"/>
      <c r="H226" s="7" t="s">
        <v>42</v>
      </c>
      <c r="I226" s="2" t="s">
        <v>92</v>
      </c>
      <c r="J226" s="2" t="s">
        <v>1076</v>
      </c>
      <c r="K226" s="2" t="s">
        <v>304</v>
      </c>
      <c r="L226" s="2" t="s">
        <v>1948</v>
      </c>
      <c r="M226" s="8" t="str">
        <f>HYPERLINK("http://slimages.macys.com/is/image/MCY/15654526 ")</f>
        <v xml:space="preserve">http://slimages.macys.com/is/image/MCY/15654526 </v>
      </c>
    </row>
    <row r="227" spans="1:13" ht="96" x14ac:dyDescent="0.25">
      <c r="A227" s="7" t="s">
        <v>13706</v>
      </c>
      <c r="B227" s="2" t="s">
        <v>2649</v>
      </c>
      <c r="C227" s="4">
        <v>1</v>
      </c>
      <c r="D227" s="5">
        <v>5.25</v>
      </c>
      <c r="E227" s="5">
        <v>14.99</v>
      </c>
      <c r="F227" s="4" t="s">
        <v>2650</v>
      </c>
      <c r="G227" s="2" t="s">
        <v>48</v>
      </c>
      <c r="H227" s="7" t="s">
        <v>144</v>
      </c>
      <c r="I227" s="2" t="s">
        <v>135</v>
      </c>
      <c r="J227" s="2" t="s">
        <v>1076</v>
      </c>
      <c r="K227" s="2" t="s">
        <v>304</v>
      </c>
      <c r="L227" s="2" t="s">
        <v>1948</v>
      </c>
      <c r="M227" s="8" t="str">
        <f>HYPERLINK("http://slimages.macys.com/is/image/MCY/15367969 ")</f>
        <v xml:space="preserve">http://slimages.macys.com/is/image/MCY/15367969 </v>
      </c>
    </row>
    <row r="228" spans="1:13" ht="96" x14ac:dyDescent="0.25">
      <c r="A228" s="7" t="s">
        <v>14169</v>
      </c>
      <c r="B228" s="2" t="s">
        <v>2654</v>
      </c>
      <c r="C228" s="4">
        <v>1</v>
      </c>
      <c r="D228" s="5">
        <v>5.25</v>
      </c>
      <c r="E228" s="5">
        <v>14.99</v>
      </c>
      <c r="F228" s="4" t="s">
        <v>2655</v>
      </c>
      <c r="G228" s="2" t="s">
        <v>48</v>
      </c>
      <c r="H228" s="7" t="s">
        <v>91</v>
      </c>
      <c r="I228" s="2" t="s">
        <v>135</v>
      </c>
      <c r="J228" s="2" t="s">
        <v>1076</v>
      </c>
      <c r="K228" s="2" t="s">
        <v>304</v>
      </c>
      <c r="L228" s="2" t="s">
        <v>1948</v>
      </c>
      <c r="M228" s="8" t="str">
        <f>HYPERLINK("http://slimages.macys.com/is/image/MCY/15654520 ")</f>
        <v xml:space="preserve">http://slimages.macys.com/is/image/MCY/15654520 </v>
      </c>
    </row>
    <row r="229" spans="1:13" ht="60" x14ac:dyDescent="0.25">
      <c r="A229" s="7" t="s">
        <v>1957</v>
      </c>
      <c r="B229" s="2" t="s">
        <v>534</v>
      </c>
      <c r="C229" s="4">
        <v>2</v>
      </c>
      <c r="D229" s="5">
        <v>5.0999999999999996</v>
      </c>
      <c r="E229" s="5">
        <v>13.5</v>
      </c>
      <c r="F229" s="4">
        <v>100006338</v>
      </c>
      <c r="G229" s="2" t="s">
        <v>86</v>
      </c>
      <c r="H229" s="7" t="s">
        <v>149</v>
      </c>
      <c r="I229" s="2" t="s">
        <v>483</v>
      </c>
      <c r="J229" s="2" t="s">
        <v>536</v>
      </c>
      <c r="K229" s="2" t="s">
        <v>304</v>
      </c>
      <c r="L229" s="2" t="s">
        <v>537</v>
      </c>
      <c r="M229" s="8" t="str">
        <f>HYPERLINK("http://slimages.macys.com/is/image/MCY/9157948 ")</f>
        <v xml:space="preserve">http://slimages.macys.com/is/image/MCY/9157948 </v>
      </c>
    </row>
    <row r="230" spans="1:13" ht="60" x14ac:dyDescent="0.25">
      <c r="A230" s="7" t="s">
        <v>14170</v>
      </c>
      <c r="B230" s="2" t="s">
        <v>534</v>
      </c>
      <c r="C230" s="4">
        <v>1</v>
      </c>
      <c r="D230" s="5">
        <v>5.0999999999999996</v>
      </c>
      <c r="E230" s="5">
        <v>13.5</v>
      </c>
      <c r="F230" s="4" t="s">
        <v>535</v>
      </c>
      <c r="G230" s="2" t="s">
        <v>86</v>
      </c>
      <c r="H230" s="7" t="s">
        <v>42</v>
      </c>
      <c r="I230" s="2" t="s">
        <v>483</v>
      </c>
      <c r="J230" s="2" t="s">
        <v>536</v>
      </c>
      <c r="K230" s="2" t="s">
        <v>304</v>
      </c>
      <c r="L230" s="2" t="s">
        <v>537</v>
      </c>
      <c r="M230" s="8" t="str">
        <f>HYPERLINK("http://slimages.macys.com/is/image/MCY/9157948 ")</f>
        <v xml:space="preserve">http://slimages.macys.com/is/image/MCY/9157948 </v>
      </c>
    </row>
    <row r="231" spans="1:13" ht="60" x14ac:dyDescent="0.25">
      <c r="A231" s="7" t="s">
        <v>533</v>
      </c>
      <c r="B231" s="2" t="s">
        <v>534</v>
      </c>
      <c r="C231" s="4">
        <v>2</v>
      </c>
      <c r="D231" s="5">
        <v>5.0999999999999996</v>
      </c>
      <c r="E231" s="5">
        <v>13.5</v>
      </c>
      <c r="F231" s="4" t="s">
        <v>535</v>
      </c>
      <c r="G231" s="2" t="s">
        <v>86</v>
      </c>
      <c r="H231" s="7"/>
      <c r="I231" s="2" t="s">
        <v>483</v>
      </c>
      <c r="J231" s="2" t="s">
        <v>536</v>
      </c>
      <c r="K231" s="2" t="s">
        <v>304</v>
      </c>
      <c r="L231" s="2" t="s">
        <v>537</v>
      </c>
      <c r="M231" s="8" t="str">
        <f>HYPERLINK("http://slimages.macys.com/is/image/MCY/9157948 ")</f>
        <v xml:space="preserve">http://slimages.macys.com/is/image/MCY/9157948 </v>
      </c>
    </row>
    <row r="232" spans="1:13" ht="84" x14ac:dyDescent="0.25">
      <c r="A232" s="7" t="s">
        <v>528</v>
      </c>
      <c r="B232" s="2" t="s">
        <v>529</v>
      </c>
      <c r="C232" s="4">
        <v>1</v>
      </c>
      <c r="D232" s="5">
        <v>5.0999999999999996</v>
      </c>
      <c r="E232" s="5">
        <v>10.99</v>
      </c>
      <c r="F232" s="4" t="s">
        <v>530</v>
      </c>
      <c r="G232" s="2" t="s">
        <v>41</v>
      </c>
      <c r="H232" s="7" t="s">
        <v>531</v>
      </c>
      <c r="I232" s="2" t="s">
        <v>483</v>
      </c>
      <c r="J232" s="2" t="s">
        <v>484</v>
      </c>
      <c r="K232" s="2" t="s">
        <v>304</v>
      </c>
      <c r="L232" s="2" t="s">
        <v>532</v>
      </c>
      <c r="M232" s="8" t="str">
        <f>HYPERLINK("http://slimages.macys.com/is/image/MCY/8549851 ")</f>
        <v xml:space="preserve">http://slimages.macys.com/is/image/MCY/8549851 </v>
      </c>
    </row>
    <row r="233" spans="1:13" ht="60" x14ac:dyDescent="0.25">
      <c r="A233" s="7" t="s">
        <v>3422</v>
      </c>
      <c r="B233" s="2" t="s">
        <v>3420</v>
      </c>
      <c r="C233" s="4">
        <v>1</v>
      </c>
      <c r="D233" s="5">
        <v>5.0999999999999996</v>
      </c>
      <c r="E233" s="5">
        <v>10.199999999999999</v>
      </c>
      <c r="F233" s="4">
        <v>28379610</v>
      </c>
      <c r="G233" s="2" t="s">
        <v>643</v>
      </c>
      <c r="H233" s="7" t="s">
        <v>209</v>
      </c>
      <c r="I233" s="2" t="s">
        <v>487</v>
      </c>
      <c r="J233" s="2" t="s">
        <v>488</v>
      </c>
      <c r="K233" s="2" t="s">
        <v>304</v>
      </c>
      <c r="L233" s="2" t="s">
        <v>206</v>
      </c>
      <c r="M233" s="8" t="str">
        <f>HYPERLINK("http://slimages.macys.com/is/image/MCY/13743113 ")</f>
        <v xml:space="preserve">http://slimages.macys.com/is/image/MCY/13743113 </v>
      </c>
    </row>
    <row r="234" spans="1:13" ht="60" x14ac:dyDescent="0.25">
      <c r="A234" s="7" t="s">
        <v>14171</v>
      </c>
      <c r="B234" s="2" t="s">
        <v>14172</v>
      </c>
      <c r="C234" s="4">
        <v>1</v>
      </c>
      <c r="D234" s="5">
        <v>5.05</v>
      </c>
      <c r="E234" s="5">
        <v>10.1</v>
      </c>
      <c r="F234" s="4">
        <v>37838410</v>
      </c>
      <c r="G234" s="2" t="s">
        <v>48</v>
      </c>
      <c r="H234" s="7" t="s">
        <v>166</v>
      </c>
      <c r="I234" s="2" t="s">
        <v>487</v>
      </c>
      <c r="J234" s="2" t="s">
        <v>488</v>
      </c>
      <c r="K234" s="2" t="s">
        <v>304</v>
      </c>
      <c r="L234" s="2" t="s">
        <v>38</v>
      </c>
      <c r="M234" s="8" t="str">
        <f>HYPERLINK("http://slimages.macys.com/is/image/MCY/13852822 ")</f>
        <v xml:space="preserve">http://slimages.macys.com/is/image/MCY/13852822 </v>
      </c>
    </row>
    <row r="235" spans="1:13" ht="60" x14ac:dyDescent="0.25">
      <c r="A235" s="7" t="s">
        <v>14173</v>
      </c>
      <c r="B235" s="2" t="s">
        <v>1750</v>
      </c>
      <c r="C235" s="4">
        <v>1</v>
      </c>
      <c r="D235" s="5">
        <v>5</v>
      </c>
      <c r="E235" s="5">
        <v>9.99</v>
      </c>
      <c r="F235" s="4" t="s">
        <v>14174</v>
      </c>
      <c r="G235" s="2" t="s">
        <v>36</v>
      </c>
      <c r="H235" s="7" t="s">
        <v>63</v>
      </c>
      <c r="I235" s="2" t="s">
        <v>73</v>
      </c>
      <c r="J235" s="2" t="s">
        <v>1963</v>
      </c>
      <c r="K235" s="2" t="s">
        <v>304</v>
      </c>
      <c r="L235" s="2" t="s">
        <v>125</v>
      </c>
      <c r="M235" s="8" t="str">
        <f>HYPERLINK("http://slimages.macys.com/is/image/MCY/12789105 ")</f>
        <v xml:space="preserve">http://slimages.macys.com/is/image/MCY/12789105 </v>
      </c>
    </row>
    <row r="236" spans="1:13" ht="60" x14ac:dyDescent="0.25">
      <c r="A236" s="7" t="s">
        <v>9637</v>
      </c>
      <c r="B236" s="2" t="s">
        <v>1969</v>
      </c>
      <c r="C236" s="4">
        <v>1</v>
      </c>
      <c r="D236" s="5">
        <v>4.9800000000000004</v>
      </c>
      <c r="E236" s="5">
        <v>12.99</v>
      </c>
      <c r="F236" s="4" t="s">
        <v>1970</v>
      </c>
      <c r="G236" s="2" t="s">
        <v>437</v>
      </c>
      <c r="H236" s="7" t="s">
        <v>284</v>
      </c>
      <c r="I236" s="2" t="s">
        <v>515</v>
      </c>
      <c r="J236" s="2" t="s">
        <v>1971</v>
      </c>
      <c r="K236" s="2" t="s">
        <v>304</v>
      </c>
      <c r="L236" s="2" t="s">
        <v>119</v>
      </c>
      <c r="M236" s="8" t="str">
        <f>HYPERLINK("http://slimages.macys.com/is/image/MCY/13586213 ")</f>
        <v xml:space="preserve">http://slimages.macys.com/is/image/MCY/13586213 </v>
      </c>
    </row>
    <row r="237" spans="1:13" ht="60" x14ac:dyDescent="0.25">
      <c r="A237" s="7" t="s">
        <v>1977</v>
      </c>
      <c r="B237" s="2" t="s">
        <v>1975</v>
      </c>
      <c r="C237" s="4">
        <v>1</v>
      </c>
      <c r="D237" s="5">
        <v>4.93</v>
      </c>
      <c r="E237" s="5">
        <v>12.99</v>
      </c>
      <c r="F237" s="4" t="s">
        <v>1976</v>
      </c>
      <c r="G237" s="2" t="s">
        <v>527</v>
      </c>
      <c r="H237" s="7" t="s">
        <v>159</v>
      </c>
      <c r="I237" s="2" t="s">
        <v>515</v>
      </c>
      <c r="J237" s="2" t="s">
        <v>1971</v>
      </c>
      <c r="K237" s="2" t="s">
        <v>304</v>
      </c>
      <c r="L237" s="2" t="s">
        <v>119</v>
      </c>
      <c r="M237" s="8" t="str">
        <f>HYPERLINK("http://slimages.macys.com/is/image/MCY/11860776 ")</f>
        <v xml:space="preserve">http://slimages.macys.com/is/image/MCY/11860776 </v>
      </c>
    </row>
    <row r="238" spans="1:13" ht="60" x14ac:dyDescent="0.25">
      <c r="A238" s="7" t="s">
        <v>14175</v>
      </c>
      <c r="B238" s="2" t="s">
        <v>6367</v>
      </c>
      <c r="C238" s="4">
        <v>1</v>
      </c>
      <c r="D238" s="5">
        <v>4.93</v>
      </c>
      <c r="E238" s="5">
        <v>12.99</v>
      </c>
      <c r="F238" s="4" t="s">
        <v>13712</v>
      </c>
      <c r="G238" s="2" t="s">
        <v>41</v>
      </c>
      <c r="H238" s="7" t="s">
        <v>228</v>
      </c>
      <c r="I238" s="2" t="s">
        <v>515</v>
      </c>
      <c r="J238" s="2" t="s">
        <v>1971</v>
      </c>
      <c r="K238" s="2" t="s">
        <v>304</v>
      </c>
      <c r="L238" s="2" t="s">
        <v>119</v>
      </c>
      <c r="M238" s="8" t="str">
        <f>HYPERLINK("http://slimages.macys.com/is/image/MCY/12507472 ")</f>
        <v xml:space="preserve">http://slimages.macys.com/is/image/MCY/12507472 </v>
      </c>
    </row>
    <row r="239" spans="1:13" ht="60" x14ac:dyDescent="0.25">
      <c r="A239" s="7" t="s">
        <v>5505</v>
      </c>
      <c r="B239" s="2" t="s">
        <v>5506</v>
      </c>
      <c r="C239" s="4">
        <v>1</v>
      </c>
      <c r="D239" s="5">
        <v>4.92</v>
      </c>
      <c r="E239" s="5">
        <v>11.99</v>
      </c>
      <c r="F239" s="4" t="s">
        <v>5507</v>
      </c>
      <c r="G239" s="2" t="s">
        <v>657</v>
      </c>
      <c r="H239" s="7" t="s">
        <v>159</v>
      </c>
      <c r="I239" s="2" t="s">
        <v>292</v>
      </c>
      <c r="J239" s="2" t="s">
        <v>293</v>
      </c>
      <c r="K239" s="2" t="s">
        <v>304</v>
      </c>
      <c r="L239" s="2" t="s">
        <v>571</v>
      </c>
      <c r="M239" s="8" t="str">
        <f>HYPERLINK("http://slimages.macys.com/is/image/MCY/12951035 ")</f>
        <v xml:space="preserve">http://slimages.macys.com/is/image/MCY/12951035 </v>
      </c>
    </row>
    <row r="240" spans="1:13" ht="60" x14ac:dyDescent="0.25">
      <c r="A240" s="7" t="s">
        <v>3439</v>
      </c>
      <c r="B240" s="2" t="s">
        <v>2661</v>
      </c>
      <c r="C240" s="4">
        <v>4</v>
      </c>
      <c r="D240" s="5">
        <v>4.88</v>
      </c>
      <c r="E240" s="5">
        <v>12.99</v>
      </c>
      <c r="F240" s="4" t="s">
        <v>2662</v>
      </c>
      <c r="G240" s="2" t="s">
        <v>134</v>
      </c>
      <c r="H240" s="7" t="s">
        <v>42</v>
      </c>
      <c r="I240" s="2" t="s">
        <v>483</v>
      </c>
      <c r="J240" s="2" t="s">
        <v>536</v>
      </c>
      <c r="K240" s="2" t="s">
        <v>304</v>
      </c>
      <c r="L240" s="2" t="s">
        <v>38</v>
      </c>
      <c r="M240" s="8" t="str">
        <f>HYPERLINK("http://slimages.macys.com/is/image/MCY/14517553 ")</f>
        <v xml:space="preserve">http://slimages.macys.com/is/image/MCY/14517553 </v>
      </c>
    </row>
    <row r="241" spans="1:13" ht="60" x14ac:dyDescent="0.25">
      <c r="A241" s="7" t="s">
        <v>13713</v>
      </c>
      <c r="B241" s="2" t="s">
        <v>5516</v>
      </c>
      <c r="C241" s="4">
        <v>1</v>
      </c>
      <c r="D241" s="5">
        <v>4.88</v>
      </c>
      <c r="E241" s="5">
        <v>12.99</v>
      </c>
      <c r="F241" s="4" t="s">
        <v>5517</v>
      </c>
      <c r="G241" s="2" t="s">
        <v>86</v>
      </c>
      <c r="H241" s="7" t="s">
        <v>42</v>
      </c>
      <c r="I241" s="2" t="s">
        <v>483</v>
      </c>
      <c r="J241" s="2" t="s">
        <v>536</v>
      </c>
      <c r="K241" s="2" t="s">
        <v>304</v>
      </c>
      <c r="L241" s="2" t="s">
        <v>206</v>
      </c>
      <c r="M241" s="8" t="str">
        <f>HYPERLINK("http://slimages.macys.com/is/image/MCY/14446383 ")</f>
        <v xml:space="preserve">http://slimages.macys.com/is/image/MCY/14446383 </v>
      </c>
    </row>
    <row r="242" spans="1:13" ht="60" x14ac:dyDescent="0.25">
      <c r="A242" s="7" t="s">
        <v>5041</v>
      </c>
      <c r="B242" s="2" t="s">
        <v>2661</v>
      </c>
      <c r="C242" s="4">
        <v>4</v>
      </c>
      <c r="D242" s="5">
        <v>4.88</v>
      </c>
      <c r="E242" s="5">
        <v>12.99</v>
      </c>
      <c r="F242" s="4" t="s">
        <v>2662</v>
      </c>
      <c r="G242" s="2" t="s">
        <v>134</v>
      </c>
      <c r="H242" s="7" t="s">
        <v>149</v>
      </c>
      <c r="I242" s="2" t="s">
        <v>483</v>
      </c>
      <c r="J242" s="2" t="s">
        <v>536</v>
      </c>
      <c r="K242" s="2" t="s">
        <v>304</v>
      </c>
      <c r="L242" s="2" t="s">
        <v>38</v>
      </c>
      <c r="M242" s="8" t="str">
        <f>HYPERLINK("http://slimages.macys.com/is/image/MCY/14517553 ")</f>
        <v xml:space="preserve">http://slimages.macys.com/is/image/MCY/14517553 </v>
      </c>
    </row>
    <row r="243" spans="1:13" ht="60" x14ac:dyDescent="0.25">
      <c r="A243" s="7" t="s">
        <v>2660</v>
      </c>
      <c r="B243" s="2" t="s">
        <v>2661</v>
      </c>
      <c r="C243" s="4">
        <v>1</v>
      </c>
      <c r="D243" s="5">
        <v>4.88</v>
      </c>
      <c r="E243" s="5">
        <v>12.99</v>
      </c>
      <c r="F243" s="4" t="s">
        <v>2662</v>
      </c>
      <c r="G243" s="2" t="s">
        <v>134</v>
      </c>
      <c r="H243" s="7" t="s">
        <v>91</v>
      </c>
      <c r="I243" s="2" t="s">
        <v>483</v>
      </c>
      <c r="J243" s="2" t="s">
        <v>536</v>
      </c>
      <c r="K243" s="2" t="s">
        <v>304</v>
      </c>
      <c r="L243" s="2" t="s">
        <v>38</v>
      </c>
      <c r="M243" s="8" t="str">
        <f>HYPERLINK("http://slimages.macys.com/is/image/MCY/14517553 ")</f>
        <v xml:space="preserve">http://slimages.macys.com/is/image/MCY/14517553 </v>
      </c>
    </row>
    <row r="244" spans="1:13" ht="60" x14ac:dyDescent="0.25">
      <c r="A244" s="7" t="s">
        <v>2663</v>
      </c>
      <c r="B244" s="2" t="s">
        <v>2661</v>
      </c>
      <c r="C244" s="4">
        <v>1</v>
      </c>
      <c r="D244" s="5">
        <v>4.88</v>
      </c>
      <c r="E244" s="5">
        <v>12.99</v>
      </c>
      <c r="F244" s="4" t="s">
        <v>2662</v>
      </c>
      <c r="G244" s="2" t="s">
        <v>134</v>
      </c>
      <c r="H244" s="7" t="s">
        <v>590</v>
      </c>
      <c r="I244" s="2" t="s">
        <v>483</v>
      </c>
      <c r="J244" s="2" t="s">
        <v>536</v>
      </c>
      <c r="K244" s="2" t="s">
        <v>304</v>
      </c>
      <c r="L244" s="2" t="s">
        <v>38</v>
      </c>
      <c r="M244" s="8" t="str">
        <f>HYPERLINK("http://slimages.macys.com/is/image/MCY/14517553 ")</f>
        <v xml:space="preserve">http://slimages.macys.com/is/image/MCY/14517553 </v>
      </c>
    </row>
    <row r="245" spans="1:13" ht="60" x14ac:dyDescent="0.25">
      <c r="A245" s="7" t="s">
        <v>14176</v>
      </c>
      <c r="B245" s="2" t="s">
        <v>13718</v>
      </c>
      <c r="C245" s="4">
        <v>2</v>
      </c>
      <c r="D245" s="5">
        <v>4.75</v>
      </c>
      <c r="E245" s="5">
        <v>9.99</v>
      </c>
      <c r="F245" s="4" t="s">
        <v>13719</v>
      </c>
      <c r="G245" s="2" t="s">
        <v>28</v>
      </c>
      <c r="H245" s="7" t="s">
        <v>159</v>
      </c>
      <c r="I245" s="2" t="s">
        <v>523</v>
      </c>
      <c r="J245" s="2" t="s">
        <v>13720</v>
      </c>
      <c r="K245" s="2" t="s">
        <v>304</v>
      </c>
      <c r="L245" s="2" t="s">
        <v>323</v>
      </c>
      <c r="M245" s="8" t="str">
        <f>HYPERLINK("http://slimages.macys.com/is/image/MCY/2568984 ")</f>
        <v xml:space="preserve">http://slimages.macys.com/is/image/MCY/2568984 </v>
      </c>
    </row>
    <row r="246" spans="1:13" ht="60" x14ac:dyDescent="0.25">
      <c r="A246" s="7" t="s">
        <v>1109</v>
      </c>
      <c r="B246" s="2" t="s">
        <v>1086</v>
      </c>
      <c r="C246" s="4">
        <v>1</v>
      </c>
      <c r="D246" s="5">
        <v>4.75</v>
      </c>
      <c r="E246" s="5">
        <v>11.99</v>
      </c>
      <c r="F246" s="4">
        <v>4217</v>
      </c>
      <c r="G246" s="2" t="s">
        <v>582</v>
      </c>
      <c r="H246" s="7" t="s">
        <v>284</v>
      </c>
      <c r="I246" s="2" t="s">
        <v>523</v>
      </c>
      <c r="J246" s="2" t="s">
        <v>921</v>
      </c>
      <c r="K246" s="2" t="s">
        <v>304</v>
      </c>
      <c r="L246" s="2" t="s">
        <v>323</v>
      </c>
      <c r="M246" s="8" t="str">
        <f>HYPERLINK("http://slimages.macys.com/is/image/MCY/13050181 ")</f>
        <v xml:space="preserve">http://slimages.macys.com/is/image/MCY/13050181 </v>
      </c>
    </row>
    <row r="247" spans="1:13" ht="60" x14ac:dyDescent="0.25">
      <c r="A247" s="7" t="s">
        <v>7006</v>
      </c>
      <c r="B247" s="2" t="s">
        <v>1086</v>
      </c>
      <c r="C247" s="4">
        <v>1</v>
      </c>
      <c r="D247" s="5">
        <v>4.75</v>
      </c>
      <c r="E247" s="5">
        <v>11.99</v>
      </c>
      <c r="F247" s="4">
        <v>4217</v>
      </c>
      <c r="G247" s="2" t="s">
        <v>582</v>
      </c>
      <c r="H247" s="7" t="s">
        <v>196</v>
      </c>
      <c r="I247" s="2" t="s">
        <v>523</v>
      </c>
      <c r="J247" s="2" t="s">
        <v>921</v>
      </c>
      <c r="K247" s="2" t="s">
        <v>304</v>
      </c>
      <c r="L247" s="2" t="s">
        <v>323</v>
      </c>
      <c r="M247" s="8" t="str">
        <f>HYPERLINK("http://slimages.macys.com/is/image/MCY/13050181 ")</f>
        <v xml:space="preserve">http://slimages.macys.com/is/image/MCY/13050181 </v>
      </c>
    </row>
    <row r="248" spans="1:13" ht="60" x14ac:dyDescent="0.25">
      <c r="A248" s="7" t="s">
        <v>14177</v>
      </c>
      <c r="B248" s="2" t="s">
        <v>13718</v>
      </c>
      <c r="C248" s="4">
        <v>1</v>
      </c>
      <c r="D248" s="5">
        <v>4.75</v>
      </c>
      <c r="E248" s="5">
        <v>9.99</v>
      </c>
      <c r="F248" s="4" t="s">
        <v>13719</v>
      </c>
      <c r="G248" s="2" t="s">
        <v>28</v>
      </c>
      <c r="H248" s="7" t="s">
        <v>228</v>
      </c>
      <c r="I248" s="2" t="s">
        <v>523</v>
      </c>
      <c r="J248" s="2" t="s">
        <v>13720</v>
      </c>
      <c r="K248" s="2" t="s">
        <v>304</v>
      </c>
      <c r="L248" s="2" t="s">
        <v>323</v>
      </c>
      <c r="M248" s="8" t="str">
        <f>HYPERLINK("http://slimages.macys.com/is/image/MCY/2568984 ")</f>
        <v xml:space="preserve">http://slimages.macys.com/is/image/MCY/2568984 </v>
      </c>
    </row>
    <row r="249" spans="1:13" ht="60" x14ac:dyDescent="0.25">
      <c r="A249" s="7" t="s">
        <v>5985</v>
      </c>
      <c r="B249" s="2" t="s">
        <v>2002</v>
      </c>
      <c r="C249" s="4">
        <v>1</v>
      </c>
      <c r="D249" s="5">
        <v>4.6500000000000004</v>
      </c>
      <c r="E249" s="5">
        <v>14.99</v>
      </c>
      <c r="F249" s="4" t="s">
        <v>2003</v>
      </c>
      <c r="G249" s="2" t="s">
        <v>657</v>
      </c>
      <c r="H249" s="7" t="s">
        <v>618</v>
      </c>
      <c r="I249" s="2" t="s">
        <v>292</v>
      </c>
      <c r="J249" s="2" t="s">
        <v>354</v>
      </c>
      <c r="K249" s="2" t="s">
        <v>304</v>
      </c>
      <c r="L249" s="2" t="s">
        <v>125</v>
      </c>
      <c r="M249" s="8" t="str">
        <f>HYPERLINK("http://slimages.macys.com/is/image/MCY/13893167 ")</f>
        <v xml:space="preserve">http://slimages.macys.com/is/image/MCY/13893167 </v>
      </c>
    </row>
    <row r="250" spans="1:13" ht="60" x14ac:dyDescent="0.25">
      <c r="A250" s="7" t="s">
        <v>14178</v>
      </c>
      <c r="B250" s="2" t="s">
        <v>5533</v>
      </c>
      <c r="C250" s="4">
        <v>1</v>
      </c>
      <c r="D250" s="5">
        <v>4.59</v>
      </c>
      <c r="E250" s="5">
        <v>10.99</v>
      </c>
      <c r="F250" s="4" t="s">
        <v>5534</v>
      </c>
      <c r="G250" s="2" t="s">
        <v>103</v>
      </c>
      <c r="H250" s="7" t="s">
        <v>196</v>
      </c>
      <c r="I250" s="2" t="s">
        <v>389</v>
      </c>
      <c r="J250" s="2" t="s">
        <v>354</v>
      </c>
      <c r="K250" s="2" t="s">
        <v>304</v>
      </c>
      <c r="L250" s="2" t="s">
        <v>596</v>
      </c>
      <c r="M250" s="8" t="str">
        <f>HYPERLINK("http://slimages.macys.com/is/image/MCY/11501012 ")</f>
        <v xml:space="preserve">http://slimages.macys.com/is/image/MCY/11501012 </v>
      </c>
    </row>
    <row r="251" spans="1:13" ht="60" x14ac:dyDescent="0.25">
      <c r="A251" s="7" t="s">
        <v>14179</v>
      </c>
      <c r="B251" s="2" t="s">
        <v>14180</v>
      </c>
      <c r="C251" s="4">
        <v>1</v>
      </c>
      <c r="D251" s="5">
        <v>4.55</v>
      </c>
      <c r="E251" s="5">
        <v>9.1</v>
      </c>
      <c r="F251" s="4">
        <v>37898813</v>
      </c>
      <c r="G251" s="2"/>
      <c r="H251" s="7" t="s">
        <v>166</v>
      </c>
      <c r="I251" s="2" t="s">
        <v>487</v>
      </c>
      <c r="J251" s="2" t="s">
        <v>488</v>
      </c>
      <c r="K251" s="2" t="s">
        <v>304</v>
      </c>
      <c r="L251" s="2" t="s">
        <v>75</v>
      </c>
      <c r="M251" s="8" t="str">
        <f>HYPERLINK("http://slimages.macys.com/is/image/MCY/13852899 ")</f>
        <v xml:space="preserve">http://slimages.macys.com/is/image/MCY/13852899 </v>
      </c>
    </row>
    <row r="252" spans="1:13" ht="96" x14ac:dyDescent="0.25">
      <c r="A252" s="7" t="s">
        <v>14181</v>
      </c>
      <c r="B252" s="2" t="s">
        <v>14182</v>
      </c>
      <c r="C252" s="4">
        <v>1</v>
      </c>
      <c r="D252" s="5">
        <v>4.54</v>
      </c>
      <c r="E252" s="5">
        <v>10.99</v>
      </c>
      <c r="F252" s="4" t="s">
        <v>14183</v>
      </c>
      <c r="G252" s="2" t="s">
        <v>171</v>
      </c>
      <c r="H252" s="7" t="s">
        <v>442</v>
      </c>
      <c r="I252" s="2" t="s">
        <v>483</v>
      </c>
      <c r="J252" s="2" t="s">
        <v>536</v>
      </c>
      <c r="K252" s="2" t="s">
        <v>304</v>
      </c>
      <c r="L252" s="2" t="s">
        <v>11161</v>
      </c>
      <c r="M252" s="8" t="str">
        <f>HYPERLINK("http://slimages.macys.com/is/image/MCY/11708172 ")</f>
        <v xml:space="preserve">http://slimages.macys.com/is/image/MCY/11708172 </v>
      </c>
    </row>
    <row r="253" spans="1:13" ht="60" x14ac:dyDescent="0.25">
      <c r="A253" s="7" t="s">
        <v>9659</v>
      </c>
      <c r="B253" s="2" t="s">
        <v>3463</v>
      </c>
      <c r="C253" s="4">
        <v>1</v>
      </c>
      <c r="D253" s="5">
        <v>4.53</v>
      </c>
      <c r="E253" s="5">
        <v>12.99</v>
      </c>
      <c r="F253" s="4" t="s">
        <v>3464</v>
      </c>
      <c r="G253" s="2" t="s">
        <v>62</v>
      </c>
      <c r="H253" s="7" t="s">
        <v>196</v>
      </c>
      <c r="I253" s="2" t="s">
        <v>515</v>
      </c>
      <c r="J253" s="2" t="s">
        <v>1971</v>
      </c>
      <c r="K253" s="2" t="s">
        <v>304</v>
      </c>
      <c r="L253" s="2" t="s">
        <v>119</v>
      </c>
      <c r="M253" s="8" t="str">
        <f>HYPERLINK("http://slimages.macys.com/is/image/MCY/12052323 ")</f>
        <v xml:space="preserve">http://slimages.macys.com/is/image/MCY/12052323 </v>
      </c>
    </row>
    <row r="254" spans="1:13" ht="60" x14ac:dyDescent="0.25">
      <c r="A254" s="7" t="s">
        <v>14184</v>
      </c>
      <c r="B254" s="2" t="s">
        <v>13953</v>
      </c>
      <c r="C254" s="4">
        <v>1</v>
      </c>
      <c r="D254" s="5">
        <v>4.5</v>
      </c>
      <c r="E254" s="5">
        <v>9</v>
      </c>
      <c r="F254" s="4">
        <v>27839010</v>
      </c>
      <c r="G254" s="2" t="s">
        <v>129</v>
      </c>
      <c r="H254" s="7" t="s">
        <v>68</v>
      </c>
      <c r="I254" s="2" t="s">
        <v>487</v>
      </c>
      <c r="J254" s="2" t="s">
        <v>488</v>
      </c>
      <c r="K254" s="2" t="s">
        <v>304</v>
      </c>
      <c r="L254" s="2" t="s">
        <v>206</v>
      </c>
      <c r="M254" s="8" t="str">
        <f>HYPERLINK("http://slimages.macys.com/is/image/MCY/13852820 ")</f>
        <v xml:space="preserve">http://slimages.macys.com/is/image/MCY/13852820 </v>
      </c>
    </row>
    <row r="255" spans="1:13" ht="60" x14ac:dyDescent="0.25">
      <c r="A255" s="7" t="s">
        <v>14185</v>
      </c>
      <c r="B255" s="2" t="s">
        <v>14186</v>
      </c>
      <c r="C255" s="4">
        <v>1</v>
      </c>
      <c r="D255" s="5">
        <v>4.47</v>
      </c>
      <c r="E255" s="5">
        <v>11.98</v>
      </c>
      <c r="F255" s="4">
        <v>100045790</v>
      </c>
      <c r="G255" s="2" t="s">
        <v>297</v>
      </c>
      <c r="H255" s="7" t="s">
        <v>531</v>
      </c>
      <c r="I255" s="2" t="s">
        <v>483</v>
      </c>
      <c r="J255" s="2" t="s">
        <v>536</v>
      </c>
      <c r="K255" s="2" t="s">
        <v>304</v>
      </c>
      <c r="L255" s="2" t="s">
        <v>125</v>
      </c>
      <c r="M255" s="8" t="str">
        <f>HYPERLINK("http://slimages.macys.com/is/image/MCY/11793227 ")</f>
        <v xml:space="preserve">http://slimages.macys.com/is/image/MCY/11793227 </v>
      </c>
    </row>
    <row r="256" spans="1:13" ht="60" x14ac:dyDescent="0.25">
      <c r="A256" s="7" t="s">
        <v>7760</v>
      </c>
      <c r="B256" s="2" t="s">
        <v>7761</v>
      </c>
      <c r="C256" s="4">
        <v>1</v>
      </c>
      <c r="D256" s="5">
        <v>4.38</v>
      </c>
      <c r="E256" s="5">
        <v>11.99</v>
      </c>
      <c r="F256" s="4" t="s">
        <v>7762</v>
      </c>
      <c r="G256" s="2" t="s">
        <v>129</v>
      </c>
      <c r="H256" s="7" t="s">
        <v>228</v>
      </c>
      <c r="I256" s="2" t="s">
        <v>292</v>
      </c>
      <c r="J256" s="2" t="s">
        <v>293</v>
      </c>
      <c r="K256" s="2" t="s">
        <v>304</v>
      </c>
      <c r="L256" s="2" t="s">
        <v>119</v>
      </c>
      <c r="M256" s="8" t="str">
        <f>HYPERLINK("http://slimages.macys.com/is/image/MCY/13938960 ")</f>
        <v xml:space="preserve">http://slimages.macys.com/is/image/MCY/13938960 </v>
      </c>
    </row>
    <row r="257" spans="1:13" ht="60" x14ac:dyDescent="0.25">
      <c r="A257" s="7" t="s">
        <v>11177</v>
      </c>
      <c r="B257" s="2" t="s">
        <v>2071</v>
      </c>
      <c r="C257" s="4">
        <v>1</v>
      </c>
      <c r="D257" s="5">
        <v>4.25</v>
      </c>
      <c r="E257" s="5">
        <v>7.99</v>
      </c>
      <c r="F257" s="4" t="s">
        <v>2072</v>
      </c>
      <c r="G257" s="2" t="s">
        <v>41</v>
      </c>
      <c r="H257" s="7" t="s">
        <v>311</v>
      </c>
      <c r="I257" s="2" t="s">
        <v>73</v>
      </c>
      <c r="J257" s="2" t="s">
        <v>1963</v>
      </c>
      <c r="K257" s="2" t="s">
        <v>304</v>
      </c>
      <c r="L257" s="2" t="s">
        <v>119</v>
      </c>
      <c r="M257" s="8" t="str">
        <f>HYPERLINK("http://slimages.macys.com/is/image/MCY/12684273 ")</f>
        <v xml:space="preserve">http://slimages.macys.com/is/image/MCY/12684273 </v>
      </c>
    </row>
    <row r="258" spans="1:13" ht="60" x14ac:dyDescent="0.25">
      <c r="A258" s="7" t="s">
        <v>2081</v>
      </c>
      <c r="B258" s="2" t="s">
        <v>2075</v>
      </c>
      <c r="C258" s="4">
        <v>1</v>
      </c>
      <c r="D258" s="5">
        <v>4.1500000000000004</v>
      </c>
      <c r="E258" s="5">
        <v>10.99</v>
      </c>
      <c r="F258" s="4" t="s">
        <v>2076</v>
      </c>
      <c r="G258" s="2"/>
      <c r="H258" s="7"/>
      <c r="I258" s="2" t="s">
        <v>312</v>
      </c>
      <c r="J258" s="2" t="s">
        <v>2077</v>
      </c>
      <c r="K258" s="2" t="s">
        <v>304</v>
      </c>
      <c r="L258" s="2" t="s">
        <v>2078</v>
      </c>
      <c r="M258" s="8" t="str">
        <f>HYPERLINK("http://slimages.macys.com/is/image/MCY/12045142 ")</f>
        <v xml:space="preserve">http://slimages.macys.com/is/image/MCY/12045142 </v>
      </c>
    </row>
    <row r="259" spans="1:13" ht="60" x14ac:dyDescent="0.25">
      <c r="A259" s="7" t="s">
        <v>14187</v>
      </c>
      <c r="B259" s="2" t="s">
        <v>14188</v>
      </c>
      <c r="C259" s="4">
        <v>1</v>
      </c>
      <c r="D259" s="5">
        <v>4.05</v>
      </c>
      <c r="E259" s="5">
        <v>8.1</v>
      </c>
      <c r="F259" s="4" t="s">
        <v>14189</v>
      </c>
      <c r="G259" s="2" t="s">
        <v>79</v>
      </c>
      <c r="H259" s="7" t="s">
        <v>68</v>
      </c>
      <c r="I259" s="2" t="s">
        <v>487</v>
      </c>
      <c r="J259" s="2" t="s">
        <v>488</v>
      </c>
      <c r="K259" s="2" t="s">
        <v>304</v>
      </c>
      <c r="L259" s="2" t="s">
        <v>263</v>
      </c>
      <c r="M259" s="8" t="str">
        <f>HYPERLINK("http://slimages.macys.com/is/image/MCY/11229645 ")</f>
        <v xml:space="preserve">http://slimages.macys.com/is/image/MCY/11229645 </v>
      </c>
    </row>
    <row r="260" spans="1:13" ht="60" x14ac:dyDescent="0.25">
      <c r="A260" s="7" t="s">
        <v>14190</v>
      </c>
      <c r="B260" s="2" t="s">
        <v>550</v>
      </c>
      <c r="C260" s="4">
        <v>1</v>
      </c>
      <c r="D260" s="5">
        <v>3.82</v>
      </c>
      <c r="E260" s="5">
        <v>9.99</v>
      </c>
      <c r="F260" s="4" t="s">
        <v>551</v>
      </c>
      <c r="G260" s="2" t="s">
        <v>195</v>
      </c>
      <c r="H260" s="7" t="s">
        <v>91</v>
      </c>
      <c r="I260" s="2" t="s">
        <v>483</v>
      </c>
      <c r="J260" s="2" t="s">
        <v>536</v>
      </c>
      <c r="K260" s="2" t="s">
        <v>304</v>
      </c>
      <c r="L260" s="2" t="s">
        <v>119</v>
      </c>
      <c r="M260" s="8" t="str">
        <f>HYPERLINK("http://slimages.macys.com/is/image/MCY/14384897 ")</f>
        <v xml:space="preserve">http://slimages.macys.com/is/image/MCY/14384897 </v>
      </c>
    </row>
    <row r="261" spans="1:13" ht="60" x14ac:dyDescent="0.25">
      <c r="A261" s="7" t="s">
        <v>2112</v>
      </c>
      <c r="B261" s="2" t="s">
        <v>2113</v>
      </c>
      <c r="C261" s="4">
        <v>1</v>
      </c>
      <c r="D261" s="5">
        <v>3.58</v>
      </c>
      <c r="E261" s="5">
        <v>8.99</v>
      </c>
      <c r="F261" s="4" t="s">
        <v>2114</v>
      </c>
      <c r="G261" s="2" t="s">
        <v>297</v>
      </c>
      <c r="H261" s="7"/>
      <c r="I261" s="2" t="s">
        <v>483</v>
      </c>
      <c r="J261" s="2" t="s">
        <v>536</v>
      </c>
      <c r="K261" s="2" t="s">
        <v>304</v>
      </c>
      <c r="L261" s="2" t="s">
        <v>119</v>
      </c>
      <c r="M261" s="8" t="str">
        <f>HYPERLINK("http://slimages.macys.com/is/image/MCY/13987501 ")</f>
        <v xml:space="preserve">http://slimages.macys.com/is/image/MCY/13987501 </v>
      </c>
    </row>
    <row r="262" spans="1:13" ht="60" x14ac:dyDescent="0.25">
      <c r="A262" s="7" t="s">
        <v>14191</v>
      </c>
      <c r="B262" s="2" t="s">
        <v>14192</v>
      </c>
      <c r="C262" s="4">
        <v>1</v>
      </c>
      <c r="D262" s="5">
        <v>3.57</v>
      </c>
      <c r="E262" s="5">
        <v>7.99</v>
      </c>
      <c r="F262" s="4" t="s">
        <v>14193</v>
      </c>
      <c r="G262" s="2" t="s">
        <v>86</v>
      </c>
      <c r="H262" s="7" t="s">
        <v>514</v>
      </c>
      <c r="I262" s="2" t="s">
        <v>483</v>
      </c>
      <c r="J262" s="2" t="s">
        <v>536</v>
      </c>
      <c r="K262" s="2" t="s">
        <v>304</v>
      </c>
      <c r="L262" s="2" t="s">
        <v>119</v>
      </c>
      <c r="M262" s="8" t="str">
        <f>HYPERLINK("http://slimages.macys.com/is/image/MCY/14448381 ")</f>
        <v xml:space="preserve">http://slimages.macys.com/is/image/MCY/14448381 </v>
      </c>
    </row>
    <row r="263" spans="1:13" ht="60" x14ac:dyDescent="0.25">
      <c r="A263" s="7" t="s">
        <v>552</v>
      </c>
      <c r="B263" s="2" t="s">
        <v>553</v>
      </c>
      <c r="C263" s="4">
        <v>1</v>
      </c>
      <c r="D263" s="5">
        <v>3.54</v>
      </c>
      <c r="E263" s="5">
        <v>7.99</v>
      </c>
      <c r="F263" s="4" t="s">
        <v>554</v>
      </c>
      <c r="G263" s="2" t="s">
        <v>134</v>
      </c>
      <c r="H263" s="7" t="s">
        <v>514</v>
      </c>
      <c r="I263" s="2" t="s">
        <v>483</v>
      </c>
      <c r="J263" s="2" t="s">
        <v>536</v>
      </c>
      <c r="K263" s="2" t="s">
        <v>304</v>
      </c>
      <c r="L263" s="2" t="s">
        <v>119</v>
      </c>
      <c r="M263" s="8" t="str">
        <f>HYPERLINK("http://slimages.macys.com/is/image/MCY/14532191 ")</f>
        <v xml:space="preserve">http://slimages.macys.com/is/image/MCY/14532191 </v>
      </c>
    </row>
    <row r="264" spans="1:13" ht="60" x14ac:dyDescent="0.25">
      <c r="A264" s="7" t="s">
        <v>4278</v>
      </c>
      <c r="B264" s="2" t="s">
        <v>553</v>
      </c>
      <c r="C264" s="4">
        <v>3</v>
      </c>
      <c r="D264" s="5">
        <v>3.54</v>
      </c>
      <c r="E264" s="5">
        <v>7.99</v>
      </c>
      <c r="F264" s="4" t="s">
        <v>554</v>
      </c>
      <c r="G264" s="2" t="s">
        <v>134</v>
      </c>
      <c r="H264" s="7" t="s">
        <v>1151</v>
      </c>
      <c r="I264" s="2" t="s">
        <v>483</v>
      </c>
      <c r="J264" s="2" t="s">
        <v>536</v>
      </c>
      <c r="K264" s="2" t="s">
        <v>304</v>
      </c>
      <c r="L264" s="2" t="s">
        <v>119</v>
      </c>
      <c r="M264" s="8" t="str">
        <f>HYPERLINK("http://slimages.macys.com/is/image/MCY/14532191 ")</f>
        <v xml:space="preserve">http://slimages.macys.com/is/image/MCY/14532191 </v>
      </c>
    </row>
    <row r="265" spans="1:13" ht="60" x14ac:dyDescent="0.25">
      <c r="A265" s="7" t="s">
        <v>14194</v>
      </c>
      <c r="B265" s="2" t="s">
        <v>14195</v>
      </c>
      <c r="C265" s="4">
        <v>1</v>
      </c>
      <c r="D265" s="5">
        <v>3.5</v>
      </c>
      <c r="E265" s="5">
        <v>7.99</v>
      </c>
      <c r="F265" s="4" t="s">
        <v>14196</v>
      </c>
      <c r="G265" s="2" t="s">
        <v>353</v>
      </c>
      <c r="H265" s="7" t="s">
        <v>379</v>
      </c>
      <c r="I265" s="2" t="s">
        <v>292</v>
      </c>
      <c r="J265" s="2" t="s">
        <v>354</v>
      </c>
      <c r="K265" s="2" t="s">
        <v>304</v>
      </c>
      <c r="L265" s="2" t="s">
        <v>119</v>
      </c>
      <c r="M265" s="8" t="str">
        <f>HYPERLINK("http://slimages.macys.com/is/image/MCY/11279600 ")</f>
        <v xml:space="preserve">http://slimages.macys.com/is/image/MCY/11279600 </v>
      </c>
    </row>
    <row r="266" spans="1:13" ht="60" x14ac:dyDescent="0.25">
      <c r="A266" s="7" t="s">
        <v>14197</v>
      </c>
      <c r="B266" s="2" t="s">
        <v>11691</v>
      </c>
      <c r="C266" s="4">
        <v>1</v>
      </c>
      <c r="D266" s="5">
        <v>3.49</v>
      </c>
      <c r="E266" s="5">
        <v>7.99</v>
      </c>
      <c r="F266" s="4" t="s">
        <v>11692</v>
      </c>
      <c r="G266" s="2" t="s">
        <v>657</v>
      </c>
      <c r="H266" s="7" t="s">
        <v>1151</v>
      </c>
      <c r="I266" s="2" t="s">
        <v>292</v>
      </c>
      <c r="J266" s="2" t="s">
        <v>354</v>
      </c>
      <c r="K266" s="2" t="s">
        <v>304</v>
      </c>
      <c r="L266" s="2" t="s">
        <v>119</v>
      </c>
      <c r="M266" s="8" t="str">
        <f>HYPERLINK("http://slimages.macys.com/is/image/MCY/13077345 ")</f>
        <v xml:space="preserve">http://slimages.macys.com/is/image/MCY/13077345 </v>
      </c>
    </row>
    <row r="267" spans="1:13" ht="60" x14ac:dyDescent="0.25">
      <c r="A267" s="7" t="s">
        <v>9706</v>
      </c>
      <c r="B267" s="2" t="s">
        <v>5058</v>
      </c>
      <c r="C267" s="4">
        <v>2</v>
      </c>
      <c r="D267" s="5">
        <v>3.48</v>
      </c>
      <c r="E267" s="5">
        <v>5.99</v>
      </c>
      <c r="F267" s="4" t="s">
        <v>5059</v>
      </c>
      <c r="G267" s="2" t="s">
        <v>595</v>
      </c>
      <c r="H267" s="7" t="s">
        <v>68</v>
      </c>
      <c r="I267" s="2" t="s">
        <v>73</v>
      </c>
      <c r="J267" s="2" t="s">
        <v>1963</v>
      </c>
      <c r="K267" s="2" t="s">
        <v>304</v>
      </c>
      <c r="L267" s="2" t="s">
        <v>119</v>
      </c>
      <c r="M267" s="8" t="str">
        <f>HYPERLINK("http://slimages.macys.com/is/image/MCY/13360517 ")</f>
        <v xml:space="preserve">http://slimages.macys.com/is/image/MCY/13360517 </v>
      </c>
    </row>
    <row r="268" spans="1:13" ht="60" x14ac:dyDescent="0.25">
      <c r="A268" s="7" t="s">
        <v>562</v>
      </c>
      <c r="B268" s="2" t="s">
        <v>563</v>
      </c>
      <c r="C268" s="4">
        <v>11</v>
      </c>
      <c r="D268" s="5">
        <v>3.46</v>
      </c>
      <c r="E268" s="5">
        <v>8.99</v>
      </c>
      <c r="F268" s="4">
        <v>100007426</v>
      </c>
      <c r="G268" s="2" t="s">
        <v>41</v>
      </c>
      <c r="H268" s="7" t="s">
        <v>531</v>
      </c>
      <c r="I268" s="2" t="s">
        <v>483</v>
      </c>
      <c r="J268" s="2" t="s">
        <v>484</v>
      </c>
      <c r="K268" s="2" t="s">
        <v>304</v>
      </c>
      <c r="L268" s="2" t="s">
        <v>119</v>
      </c>
      <c r="M268" s="8" t="str">
        <f>HYPERLINK("http://slimages.macys.com/is/image/MCY/9157888 ")</f>
        <v xml:space="preserve">http://slimages.macys.com/is/image/MCY/9157888 </v>
      </c>
    </row>
    <row r="269" spans="1:13" ht="60" x14ac:dyDescent="0.25">
      <c r="A269" s="7" t="s">
        <v>14198</v>
      </c>
      <c r="B269" s="2" t="s">
        <v>2687</v>
      </c>
      <c r="C269" s="4">
        <v>1</v>
      </c>
      <c r="D269" s="5">
        <v>3.44</v>
      </c>
      <c r="E269" s="5">
        <v>7.99</v>
      </c>
      <c r="F269" s="4" t="s">
        <v>2688</v>
      </c>
      <c r="G269" s="2" t="s">
        <v>86</v>
      </c>
      <c r="H269" s="7" t="s">
        <v>123</v>
      </c>
      <c r="I269" s="2" t="s">
        <v>1689</v>
      </c>
      <c r="J269" s="2" t="s">
        <v>354</v>
      </c>
      <c r="K269" s="2" t="s">
        <v>304</v>
      </c>
      <c r="L269" s="2" t="s">
        <v>596</v>
      </c>
      <c r="M269" s="8" t="str">
        <f>HYPERLINK("http://slimages.macys.com/is/image/MCY/12507432 ")</f>
        <v xml:space="preserve">http://slimages.macys.com/is/image/MCY/12507432 </v>
      </c>
    </row>
    <row r="270" spans="1:13" ht="60" x14ac:dyDescent="0.25">
      <c r="A270" s="7" t="s">
        <v>14199</v>
      </c>
      <c r="B270" s="2" t="s">
        <v>2687</v>
      </c>
      <c r="C270" s="4">
        <v>3</v>
      </c>
      <c r="D270" s="5">
        <v>3.44</v>
      </c>
      <c r="E270" s="5">
        <v>7.99</v>
      </c>
      <c r="F270" s="4" t="s">
        <v>2688</v>
      </c>
      <c r="G270" s="2" t="s">
        <v>86</v>
      </c>
      <c r="H270" s="7" t="s">
        <v>578</v>
      </c>
      <c r="I270" s="2" t="s">
        <v>1689</v>
      </c>
      <c r="J270" s="2" t="s">
        <v>354</v>
      </c>
      <c r="K270" s="2" t="s">
        <v>304</v>
      </c>
      <c r="L270" s="2" t="s">
        <v>596</v>
      </c>
      <c r="M270" s="8" t="str">
        <f>HYPERLINK("http://slimages.macys.com/is/image/MCY/12507432 ")</f>
        <v xml:space="preserve">http://slimages.macys.com/is/image/MCY/12507432 </v>
      </c>
    </row>
    <row r="271" spans="1:13" ht="60" x14ac:dyDescent="0.25">
      <c r="A271" s="7" t="s">
        <v>2693</v>
      </c>
      <c r="B271" s="2" t="s">
        <v>2694</v>
      </c>
      <c r="C271" s="4">
        <v>1</v>
      </c>
      <c r="D271" s="5">
        <v>3.36</v>
      </c>
      <c r="E271" s="5">
        <v>7.99</v>
      </c>
      <c r="F271" s="4" t="s">
        <v>2695</v>
      </c>
      <c r="G271" s="2" t="s">
        <v>103</v>
      </c>
      <c r="H271" s="7" t="s">
        <v>1151</v>
      </c>
      <c r="I271" s="2" t="s">
        <v>1689</v>
      </c>
      <c r="J271" s="2" t="s">
        <v>354</v>
      </c>
      <c r="K271" s="2" t="s">
        <v>304</v>
      </c>
      <c r="L271" s="2" t="s">
        <v>596</v>
      </c>
      <c r="M271" s="8" t="str">
        <f>HYPERLINK("http://slimages.macys.com/is/image/MCY/13636886 ")</f>
        <v xml:space="preserve">http://slimages.macys.com/is/image/MCY/13636886 </v>
      </c>
    </row>
    <row r="272" spans="1:13" ht="60" x14ac:dyDescent="0.25">
      <c r="A272" s="7" t="s">
        <v>2696</v>
      </c>
      <c r="B272" s="2" t="s">
        <v>2697</v>
      </c>
      <c r="C272" s="4">
        <v>1</v>
      </c>
      <c r="D272" s="5">
        <v>3.36</v>
      </c>
      <c r="E272" s="5">
        <v>7.99</v>
      </c>
      <c r="F272" s="4" t="s">
        <v>2698</v>
      </c>
      <c r="G272" s="2" t="s">
        <v>103</v>
      </c>
      <c r="H272" s="7" t="s">
        <v>63</v>
      </c>
      <c r="I272" s="2" t="s">
        <v>1689</v>
      </c>
      <c r="J272" s="2" t="s">
        <v>354</v>
      </c>
      <c r="K272" s="2" t="s">
        <v>304</v>
      </c>
      <c r="L272" s="2" t="s">
        <v>596</v>
      </c>
      <c r="M272" s="8" t="str">
        <f>HYPERLINK("http://slimages.macys.com/is/image/MCY/12938496 ")</f>
        <v xml:space="preserve">http://slimages.macys.com/is/image/MCY/12938496 </v>
      </c>
    </row>
    <row r="273" spans="1:13" ht="60" x14ac:dyDescent="0.25">
      <c r="A273" s="7" t="s">
        <v>14200</v>
      </c>
      <c r="B273" s="2" t="s">
        <v>2697</v>
      </c>
      <c r="C273" s="4">
        <v>1</v>
      </c>
      <c r="D273" s="5">
        <v>3.36</v>
      </c>
      <c r="E273" s="5">
        <v>7.99</v>
      </c>
      <c r="F273" s="4" t="s">
        <v>2698</v>
      </c>
      <c r="G273" s="2" t="s">
        <v>103</v>
      </c>
      <c r="H273" s="7" t="s">
        <v>123</v>
      </c>
      <c r="I273" s="2" t="s">
        <v>1689</v>
      </c>
      <c r="J273" s="2" t="s">
        <v>354</v>
      </c>
      <c r="K273" s="2" t="s">
        <v>304</v>
      </c>
      <c r="L273" s="2" t="s">
        <v>596</v>
      </c>
      <c r="M273" s="8" t="str">
        <f>HYPERLINK("http://slimages.macys.com/is/image/MCY/12938496 ")</f>
        <v xml:space="preserve">http://slimages.macys.com/is/image/MCY/12938496 </v>
      </c>
    </row>
    <row r="274" spans="1:13" ht="60" x14ac:dyDescent="0.25">
      <c r="A274" s="7" t="s">
        <v>7058</v>
      </c>
      <c r="B274" s="2" t="s">
        <v>2150</v>
      </c>
      <c r="C274" s="4">
        <v>1</v>
      </c>
      <c r="D274" s="5">
        <v>3.29</v>
      </c>
      <c r="E274" s="5">
        <v>7.99</v>
      </c>
      <c r="F274" s="4" t="s">
        <v>2151</v>
      </c>
      <c r="G274" s="2" t="s">
        <v>86</v>
      </c>
      <c r="H274" s="7" t="s">
        <v>123</v>
      </c>
      <c r="I274" s="2" t="s">
        <v>1689</v>
      </c>
      <c r="J274" s="2" t="s">
        <v>354</v>
      </c>
      <c r="K274" s="2" t="s">
        <v>304</v>
      </c>
      <c r="L274" s="2" t="s">
        <v>119</v>
      </c>
      <c r="M274" s="8" t="str">
        <f>HYPERLINK("http://slimages.macys.com/is/image/MCY/12938525 ")</f>
        <v xml:space="preserve">http://slimages.macys.com/is/image/MCY/12938525 </v>
      </c>
    </row>
    <row r="275" spans="1:13" ht="60" x14ac:dyDescent="0.25">
      <c r="A275" s="7" t="s">
        <v>14201</v>
      </c>
      <c r="B275" s="2" t="s">
        <v>12173</v>
      </c>
      <c r="C275" s="4">
        <v>1</v>
      </c>
      <c r="D275" s="5">
        <v>3.29</v>
      </c>
      <c r="E275" s="5">
        <v>7.99</v>
      </c>
      <c r="F275" s="4" t="s">
        <v>12174</v>
      </c>
      <c r="G275" s="2" t="s">
        <v>388</v>
      </c>
      <c r="H275" s="7" t="s">
        <v>123</v>
      </c>
      <c r="I275" s="2" t="s">
        <v>1689</v>
      </c>
      <c r="J275" s="2" t="s">
        <v>354</v>
      </c>
      <c r="K275" s="2" t="s">
        <v>304</v>
      </c>
      <c r="L275" s="2" t="s">
        <v>119</v>
      </c>
      <c r="M275" s="8" t="str">
        <f>HYPERLINK("http://slimages.macys.com/is/image/MCY/12938527 ")</f>
        <v xml:space="preserve">http://slimages.macys.com/is/image/MCY/12938527 </v>
      </c>
    </row>
    <row r="276" spans="1:13" ht="60" x14ac:dyDescent="0.25">
      <c r="A276" s="7" t="s">
        <v>8411</v>
      </c>
      <c r="B276" s="2" t="s">
        <v>585</v>
      </c>
      <c r="C276" s="4">
        <v>1</v>
      </c>
      <c r="D276" s="5">
        <v>3.14</v>
      </c>
      <c r="E276" s="5">
        <v>7.99</v>
      </c>
      <c r="F276" s="4">
        <v>10004192500</v>
      </c>
      <c r="G276" s="2" t="s">
        <v>171</v>
      </c>
      <c r="H276" s="7" t="s">
        <v>604</v>
      </c>
      <c r="I276" s="2" t="s">
        <v>483</v>
      </c>
      <c r="J276" s="2" t="s">
        <v>536</v>
      </c>
      <c r="K276" s="2" t="s">
        <v>304</v>
      </c>
      <c r="L276" s="2" t="s">
        <v>75</v>
      </c>
      <c r="M276" s="8" t="str">
        <f>HYPERLINK("http://slimages.macys.com/is/image/MCY/11519409 ")</f>
        <v xml:space="preserve">http://slimages.macys.com/is/image/MCY/11519409 </v>
      </c>
    </row>
    <row r="277" spans="1:13" ht="60" x14ac:dyDescent="0.25">
      <c r="A277" s="7" t="s">
        <v>2162</v>
      </c>
      <c r="B277" s="2" t="s">
        <v>2163</v>
      </c>
      <c r="C277" s="4">
        <v>1</v>
      </c>
      <c r="D277" s="5">
        <v>3.05</v>
      </c>
      <c r="E277" s="5">
        <v>7.99</v>
      </c>
      <c r="F277" s="4" t="s">
        <v>2164</v>
      </c>
      <c r="G277" s="2" t="s">
        <v>28</v>
      </c>
      <c r="H277" s="7" t="s">
        <v>1151</v>
      </c>
      <c r="I277" s="2" t="s">
        <v>483</v>
      </c>
      <c r="J277" s="2" t="s">
        <v>536</v>
      </c>
      <c r="K277" s="2" t="s">
        <v>304</v>
      </c>
      <c r="L277" s="2" t="s">
        <v>119</v>
      </c>
      <c r="M277" s="8" t="str">
        <f>HYPERLINK("http://slimages.macys.com/is/image/MCY/11436914 ")</f>
        <v xml:space="preserve">http://slimages.macys.com/is/image/MCY/11436914 </v>
      </c>
    </row>
    <row r="278" spans="1:13" ht="60" x14ac:dyDescent="0.25">
      <c r="A278" s="7" t="s">
        <v>4393</v>
      </c>
      <c r="B278" s="2" t="s">
        <v>4390</v>
      </c>
      <c r="C278" s="4">
        <v>6</v>
      </c>
      <c r="D278" s="5">
        <v>2.98</v>
      </c>
      <c r="E278" s="5">
        <v>6.99</v>
      </c>
      <c r="F278" s="4" t="s">
        <v>4391</v>
      </c>
      <c r="G278" s="2" t="s">
        <v>86</v>
      </c>
      <c r="H278" s="7" t="s">
        <v>42</v>
      </c>
      <c r="I278" s="2" t="s">
        <v>483</v>
      </c>
      <c r="J278" s="2" t="s">
        <v>536</v>
      </c>
      <c r="K278" s="2" t="s">
        <v>304</v>
      </c>
      <c r="L278" s="2" t="s">
        <v>119</v>
      </c>
      <c r="M278" s="8" t="str">
        <f>HYPERLINK("http://slimages.macys.com/is/image/MCY/14448381 ")</f>
        <v xml:space="preserve">http://slimages.macys.com/is/image/MCY/14448381 </v>
      </c>
    </row>
    <row r="279" spans="1:13" ht="60" x14ac:dyDescent="0.25">
      <c r="A279" s="7" t="s">
        <v>4392</v>
      </c>
      <c r="B279" s="2" t="s">
        <v>4390</v>
      </c>
      <c r="C279" s="4">
        <v>1</v>
      </c>
      <c r="D279" s="5">
        <v>2.98</v>
      </c>
      <c r="E279" s="5">
        <v>6.99</v>
      </c>
      <c r="F279" s="4" t="s">
        <v>4391</v>
      </c>
      <c r="G279" s="2" t="s">
        <v>86</v>
      </c>
      <c r="H279" s="7" t="s">
        <v>590</v>
      </c>
      <c r="I279" s="2" t="s">
        <v>483</v>
      </c>
      <c r="J279" s="2" t="s">
        <v>536</v>
      </c>
      <c r="K279" s="2" t="s">
        <v>304</v>
      </c>
      <c r="L279" s="2" t="s">
        <v>119</v>
      </c>
      <c r="M279" s="8" t="str">
        <f>HYPERLINK("http://slimages.macys.com/is/image/MCY/14448381 ")</f>
        <v xml:space="preserve">http://slimages.macys.com/is/image/MCY/14448381 </v>
      </c>
    </row>
    <row r="280" spans="1:13" ht="84" x14ac:dyDescent="0.25">
      <c r="A280" s="7" t="s">
        <v>14202</v>
      </c>
      <c r="B280" s="2" t="s">
        <v>14203</v>
      </c>
      <c r="C280" s="4">
        <v>1</v>
      </c>
      <c r="D280" s="5">
        <v>2.98</v>
      </c>
      <c r="E280" s="5">
        <v>7.99</v>
      </c>
      <c r="F280" s="4" t="s">
        <v>14204</v>
      </c>
      <c r="G280" s="2" t="s">
        <v>262</v>
      </c>
      <c r="H280" s="7" t="s">
        <v>514</v>
      </c>
      <c r="I280" s="2" t="s">
        <v>483</v>
      </c>
      <c r="J280" s="2" t="s">
        <v>536</v>
      </c>
      <c r="K280" s="2" t="s">
        <v>304</v>
      </c>
      <c r="L280" s="2" t="s">
        <v>14205</v>
      </c>
      <c r="M280" s="8" t="str">
        <f>HYPERLINK("http://slimages.macys.com/is/image/MCY/14385118 ")</f>
        <v xml:space="preserve">http://slimages.macys.com/is/image/MCY/14385118 </v>
      </c>
    </row>
    <row r="281" spans="1:13" ht="60" x14ac:dyDescent="0.25">
      <c r="A281" s="7" t="s">
        <v>13731</v>
      </c>
      <c r="B281" s="2" t="s">
        <v>4390</v>
      </c>
      <c r="C281" s="4">
        <v>2</v>
      </c>
      <c r="D281" s="5">
        <v>2.98</v>
      </c>
      <c r="E281" s="5">
        <v>6.99</v>
      </c>
      <c r="F281" s="4" t="s">
        <v>4391</v>
      </c>
      <c r="G281" s="2" t="s">
        <v>86</v>
      </c>
      <c r="H281" s="7" t="s">
        <v>91</v>
      </c>
      <c r="I281" s="2" t="s">
        <v>483</v>
      </c>
      <c r="J281" s="2" t="s">
        <v>536</v>
      </c>
      <c r="K281" s="2" t="s">
        <v>304</v>
      </c>
      <c r="L281" s="2" t="s">
        <v>119</v>
      </c>
      <c r="M281" s="8" t="str">
        <f>HYPERLINK("http://slimages.macys.com/is/image/MCY/14448381 ")</f>
        <v xml:space="preserve">http://slimages.macys.com/is/image/MCY/14448381 </v>
      </c>
    </row>
    <row r="282" spans="1:13" ht="60" x14ac:dyDescent="0.25">
      <c r="A282" s="7" t="s">
        <v>2170</v>
      </c>
      <c r="B282" s="2" t="s">
        <v>2171</v>
      </c>
      <c r="C282" s="4">
        <v>1</v>
      </c>
      <c r="D282" s="5">
        <v>2.98</v>
      </c>
      <c r="E282" s="5">
        <v>6.99</v>
      </c>
      <c r="F282" s="4" t="s">
        <v>2172</v>
      </c>
      <c r="G282" s="2" t="s">
        <v>657</v>
      </c>
      <c r="H282" s="7" t="s">
        <v>42</v>
      </c>
      <c r="I282" s="2" t="s">
        <v>483</v>
      </c>
      <c r="J282" s="2" t="s">
        <v>536</v>
      </c>
      <c r="K282" s="2" t="s">
        <v>304</v>
      </c>
      <c r="L282" s="2" t="s">
        <v>119</v>
      </c>
      <c r="M282" s="8" t="str">
        <f>HYPERLINK("http://slimages.macys.com/is/image/MCY/13531944 ")</f>
        <v xml:space="preserve">http://slimages.macys.com/is/image/MCY/13531944 </v>
      </c>
    </row>
    <row r="283" spans="1:13" ht="60" x14ac:dyDescent="0.25">
      <c r="A283" s="7" t="s">
        <v>587</v>
      </c>
      <c r="B283" s="2" t="s">
        <v>588</v>
      </c>
      <c r="C283" s="4">
        <v>2</v>
      </c>
      <c r="D283" s="5">
        <v>2.96</v>
      </c>
      <c r="E283" s="5">
        <v>6.99</v>
      </c>
      <c r="F283" s="4" t="s">
        <v>589</v>
      </c>
      <c r="G283" s="2" t="s">
        <v>134</v>
      </c>
      <c r="H283" s="7" t="s">
        <v>590</v>
      </c>
      <c r="I283" s="2" t="s">
        <v>483</v>
      </c>
      <c r="J283" s="2" t="s">
        <v>536</v>
      </c>
      <c r="K283" s="2" t="s">
        <v>304</v>
      </c>
      <c r="L283" s="2" t="s">
        <v>119</v>
      </c>
      <c r="M283" s="8" t="str">
        <f>HYPERLINK("http://slimages.macys.com/is/image/MCY/14532191 ")</f>
        <v xml:space="preserve">http://slimages.macys.com/is/image/MCY/14532191 </v>
      </c>
    </row>
    <row r="284" spans="1:13" ht="60" x14ac:dyDescent="0.25">
      <c r="A284" s="7" t="s">
        <v>3509</v>
      </c>
      <c r="B284" s="2" t="s">
        <v>588</v>
      </c>
      <c r="C284" s="4">
        <v>2</v>
      </c>
      <c r="D284" s="5">
        <v>2.96</v>
      </c>
      <c r="E284" s="5">
        <v>6.99</v>
      </c>
      <c r="F284" s="4" t="s">
        <v>589</v>
      </c>
      <c r="G284" s="2" t="s">
        <v>134</v>
      </c>
      <c r="H284" s="7" t="s">
        <v>91</v>
      </c>
      <c r="I284" s="2" t="s">
        <v>483</v>
      </c>
      <c r="J284" s="2" t="s">
        <v>536</v>
      </c>
      <c r="K284" s="2" t="s">
        <v>304</v>
      </c>
      <c r="L284" s="2" t="s">
        <v>119</v>
      </c>
      <c r="M284" s="8" t="str">
        <f>HYPERLINK("http://slimages.macys.com/is/image/MCY/14532191 ")</f>
        <v xml:space="preserve">http://slimages.macys.com/is/image/MCY/14532191 </v>
      </c>
    </row>
    <row r="285" spans="1:13" ht="60" x14ac:dyDescent="0.25">
      <c r="A285" s="7" t="s">
        <v>591</v>
      </c>
      <c r="B285" s="2" t="s">
        <v>588</v>
      </c>
      <c r="C285" s="4">
        <v>3</v>
      </c>
      <c r="D285" s="5">
        <v>2.96</v>
      </c>
      <c r="E285" s="5">
        <v>6.99</v>
      </c>
      <c r="F285" s="4" t="s">
        <v>589</v>
      </c>
      <c r="G285" s="2" t="s">
        <v>134</v>
      </c>
      <c r="H285" s="7" t="s">
        <v>42</v>
      </c>
      <c r="I285" s="2" t="s">
        <v>483</v>
      </c>
      <c r="J285" s="2" t="s">
        <v>536</v>
      </c>
      <c r="K285" s="2" t="s">
        <v>304</v>
      </c>
      <c r="L285" s="2" t="s">
        <v>119</v>
      </c>
      <c r="M285" s="8" t="str">
        <f>HYPERLINK("http://slimages.macys.com/is/image/MCY/14532191 ")</f>
        <v xml:space="preserve">http://slimages.macys.com/is/image/MCY/14532191 </v>
      </c>
    </row>
    <row r="286" spans="1:13" ht="60" x14ac:dyDescent="0.25">
      <c r="A286" s="7" t="s">
        <v>4403</v>
      </c>
      <c r="B286" s="2" t="s">
        <v>588</v>
      </c>
      <c r="C286" s="4">
        <v>3</v>
      </c>
      <c r="D286" s="5">
        <v>2.96</v>
      </c>
      <c r="E286" s="5">
        <v>6.99</v>
      </c>
      <c r="F286" s="4" t="s">
        <v>589</v>
      </c>
      <c r="G286" s="2" t="s">
        <v>134</v>
      </c>
      <c r="H286" s="7" t="s">
        <v>149</v>
      </c>
      <c r="I286" s="2" t="s">
        <v>483</v>
      </c>
      <c r="J286" s="2" t="s">
        <v>536</v>
      </c>
      <c r="K286" s="2" t="s">
        <v>304</v>
      </c>
      <c r="L286" s="2" t="s">
        <v>119</v>
      </c>
      <c r="M286" s="8" t="str">
        <f>HYPERLINK("http://slimages.macys.com/is/image/MCY/14532191 ")</f>
        <v xml:space="preserve">http://slimages.macys.com/is/image/MCY/14532191 </v>
      </c>
    </row>
    <row r="287" spans="1:13" ht="60" x14ac:dyDescent="0.25">
      <c r="A287" s="7" t="s">
        <v>4402</v>
      </c>
      <c r="B287" s="2" t="s">
        <v>588</v>
      </c>
      <c r="C287" s="4">
        <v>1</v>
      </c>
      <c r="D287" s="5">
        <v>2.96</v>
      </c>
      <c r="E287" s="5">
        <v>6.99</v>
      </c>
      <c r="F287" s="4" t="s">
        <v>589</v>
      </c>
      <c r="G287" s="2" t="s">
        <v>134</v>
      </c>
      <c r="H287" s="7" t="s">
        <v>442</v>
      </c>
      <c r="I287" s="2" t="s">
        <v>483</v>
      </c>
      <c r="J287" s="2" t="s">
        <v>536</v>
      </c>
      <c r="K287" s="2" t="s">
        <v>304</v>
      </c>
      <c r="L287" s="2" t="s">
        <v>119</v>
      </c>
      <c r="M287" s="8" t="str">
        <f>HYPERLINK("http://slimages.macys.com/is/image/MCY/14532191 ")</f>
        <v xml:space="preserve">http://slimages.macys.com/is/image/MCY/14532191 </v>
      </c>
    </row>
    <row r="288" spans="1:13" ht="60" x14ac:dyDescent="0.25">
      <c r="A288" s="7" t="s">
        <v>4408</v>
      </c>
      <c r="B288" s="2" t="s">
        <v>4405</v>
      </c>
      <c r="C288" s="4">
        <v>1</v>
      </c>
      <c r="D288" s="5">
        <v>2.94</v>
      </c>
      <c r="E288" s="5">
        <v>7.99</v>
      </c>
      <c r="F288" s="4" t="s">
        <v>4406</v>
      </c>
      <c r="G288" s="2" t="s">
        <v>28</v>
      </c>
      <c r="H288" s="7" t="s">
        <v>514</v>
      </c>
      <c r="I288" s="2" t="s">
        <v>483</v>
      </c>
      <c r="J288" s="2" t="s">
        <v>536</v>
      </c>
      <c r="K288" s="2" t="s">
        <v>304</v>
      </c>
      <c r="L288" s="2" t="s">
        <v>38</v>
      </c>
      <c r="M288" s="8" t="str">
        <f>HYPERLINK("http://slimages.macys.com/is/image/MCY/14384849 ")</f>
        <v xml:space="preserve">http://slimages.macys.com/is/image/MCY/14384849 </v>
      </c>
    </row>
    <row r="289" spans="1:13" ht="60" x14ac:dyDescent="0.25">
      <c r="A289" s="7" t="s">
        <v>4407</v>
      </c>
      <c r="B289" s="2" t="s">
        <v>4405</v>
      </c>
      <c r="C289" s="4">
        <v>1</v>
      </c>
      <c r="D289" s="5">
        <v>2.94</v>
      </c>
      <c r="E289" s="5">
        <v>7.99</v>
      </c>
      <c r="F289" s="4" t="s">
        <v>4406</v>
      </c>
      <c r="G289" s="2" t="s">
        <v>28</v>
      </c>
      <c r="H289" s="7" t="s">
        <v>1151</v>
      </c>
      <c r="I289" s="2" t="s">
        <v>483</v>
      </c>
      <c r="J289" s="2" t="s">
        <v>536</v>
      </c>
      <c r="K289" s="2" t="s">
        <v>304</v>
      </c>
      <c r="L289" s="2" t="s">
        <v>38</v>
      </c>
      <c r="M289" s="8" t="str">
        <f>HYPERLINK("http://slimages.macys.com/is/image/MCY/14384849 ")</f>
        <v xml:space="preserve">http://slimages.macys.com/is/image/MCY/14384849 </v>
      </c>
    </row>
    <row r="290" spans="1:13" ht="60" x14ac:dyDescent="0.25">
      <c r="A290" s="7" t="s">
        <v>2198</v>
      </c>
      <c r="B290" s="2" t="s">
        <v>2196</v>
      </c>
      <c r="C290" s="4">
        <v>1</v>
      </c>
      <c r="D290" s="5">
        <v>2.92</v>
      </c>
      <c r="E290" s="5">
        <v>7.99</v>
      </c>
      <c r="F290" s="4" t="s">
        <v>2197</v>
      </c>
      <c r="G290" s="2" t="s">
        <v>86</v>
      </c>
      <c r="H290" s="7" t="s">
        <v>514</v>
      </c>
      <c r="I290" s="2" t="s">
        <v>483</v>
      </c>
      <c r="J290" s="2" t="s">
        <v>536</v>
      </c>
      <c r="K290" s="2" t="s">
        <v>304</v>
      </c>
      <c r="L290" s="2" t="s">
        <v>38</v>
      </c>
      <c r="M290" s="8" t="str">
        <f>HYPERLINK("http://slimages.macys.com/is/image/MCY/11855486 ")</f>
        <v xml:space="preserve">http://slimages.macys.com/is/image/MCY/11855486 </v>
      </c>
    </row>
    <row r="291" spans="1:13" ht="60" x14ac:dyDescent="0.25">
      <c r="A291" s="7" t="s">
        <v>4443</v>
      </c>
      <c r="B291" s="2" t="s">
        <v>593</v>
      </c>
      <c r="C291" s="4">
        <v>1</v>
      </c>
      <c r="D291" s="5">
        <v>2.9</v>
      </c>
      <c r="E291" s="5">
        <v>7.99</v>
      </c>
      <c r="F291" s="4" t="s">
        <v>594</v>
      </c>
      <c r="G291" s="2" t="s">
        <v>595</v>
      </c>
      <c r="H291" s="7" t="s">
        <v>514</v>
      </c>
      <c r="I291" s="2" t="s">
        <v>483</v>
      </c>
      <c r="J291" s="2" t="s">
        <v>536</v>
      </c>
      <c r="K291" s="2" t="s">
        <v>304</v>
      </c>
      <c r="L291" s="2" t="s">
        <v>596</v>
      </c>
      <c r="M291" s="8" t="str">
        <f>HYPERLINK("http://slimages.macys.com/is/image/MCY/14885497 ")</f>
        <v xml:space="preserve">http://slimages.macys.com/is/image/MCY/14885497 </v>
      </c>
    </row>
    <row r="292" spans="1:13" ht="60" x14ac:dyDescent="0.25">
      <c r="A292" s="7" t="s">
        <v>592</v>
      </c>
      <c r="B292" s="2" t="s">
        <v>593</v>
      </c>
      <c r="C292" s="4">
        <v>1</v>
      </c>
      <c r="D292" s="5">
        <v>2.9</v>
      </c>
      <c r="E292" s="5">
        <v>7.99</v>
      </c>
      <c r="F292" s="4" t="s">
        <v>594</v>
      </c>
      <c r="G292" s="2" t="s">
        <v>595</v>
      </c>
      <c r="H292" s="7" t="s">
        <v>578</v>
      </c>
      <c r="I292" s="2" t="s">
        <v>483</v>
      </c>
      <c r="J292" s="2" t="s">
        <v>536</v>
      </c>
      <c r="K292" s="2" t="s">
        <v>304</v>
      </c>
      <c r="L292" s="2" t="s">
        <v>596</v>
      </c>
      <c r="M292" s="8" t="str">
        <f>HYPERLINK("http://slimages.macys.com/is/image/MCY/14885497 ")</f>
        <v xml:space="preserve">http://slimages.macys.com/is/image/MCY/14885497 </v>
      </c>
    </row>
    <row r="293" spans="1:13" ht="60" x14ac:dyDescent="0.25">
      <c r="A293" s="7" t="s">
        <v>3510</v>
      </c>
      <c r="B293" s="2" t="s">
        <v>593</v>
      </c>
      <c r="C293" s="4">
        <v>3</v>
      </c>
      <c r="D293" s="5">
        <v>2.9</v>
      </c>
      <c r="E293" s="5">
        <v>7.99</v>
      </c>
      <c r="F293" s="4" t="s">
        <v>594</v>
      </c>
      <c r="G293" s="2" t="s">
        <v>595</v>
      </c>
      <c r="H293" s="7" t="s">
        <v>1151</v>
      </c>
      <c r="I293" s="2" t="s">
        <v>483</v>
      </c>
      <c r="J293" s="2" t="s">
        <v>536</v>
      </c>
      <c r="K293" s="2" t="s">
        <v>304</v>
      </c>
      <c r="L293" s="2" t="s">
        <v>596</v>
      </c>
      <c r="M293" s="8" t="str">
        <f>HYPERLINK("http://slimages.macys.com/is/image/MCY/14885497 ")</f>
        <v xml:space="preserve">http://slimages.macys.com/is/image/MCY/14885497 </v>
      </c>
    </row>
    <row r="294" spans="1:13" ht="60" x14ac:dyDescent="0.25">
      <c r="A294" s="7" t="s">
        <v>13013</v>
      </c>
      <c r="B294" s="2" t="s">
        <v>2706</v>
      </c>
      <c r="C294" s="4">
        <v>1</v>
      </c>
      <c r="D294" s="5">
        <v>2.88</v>
      </c>
      <c r="E294" s="5">
        <v>6.99</v>
      </c>
      <c r="F294" s="4" t="s">
        <v>2707</v>
      </c>
      <c r="G294" s="2" t="s">
        <v>62</v>
      </c>
      <c r="H294" s="7" t="s">
        <v>91</v>
      </c>
      <c r="I294" s="2" t="s">
        <v>483</v>
      </c>
      <c r="J294" s="2" t="s">
        <v>536</v>
      </c>
      <c r="K294" s="2" t="s">
        <v>304</v>
      </c>
      <c r="L294" s="2" t="s">
        <v>119</v>
      </c>
      <c r="M294" s="8" t="str">
        <f>HYPERLINK("http://slimages.macys.com/is/image/MCY/8882367 ")</f>
        <v xml:space="preserve">http://slimages.macys.com/is/image/MCY/8882367 </v>
      </c>
    </row>
    <row r="295" spans="1:13" ht="96" x14ac:dyDescent="0.25">
      <c r="A295" s="7" t="s">
        <v>14206</v>
      </c>
      <c r="B295" s="2" t="s">
        <v>2701</v>
      </c>
      <c r="C295" s="4">
        <v>3</v>
      </c>
      <c r="D295" s="5">
        <v>2.88</v>
      </c>
      <c r="E295" s="5">
        <v>6.99</v>
      </c>
      <c r="F295" s="4" t="s">
        <v>2702</v>
      </c>
      <c r="G295" s="2" t="s">
        <v>28</v>
      </c>
      <c r="H295" s="7" t="s">
        <v>42</v>
      </c>
      <c r="I295" s="2" t="s">
        <v>483</v>
      </c>
      <c r="J295" s="2" t="s">
        <v>536</v>
      </c>
      <c r="K295" s="2" t="s">
        <v>304</v>
      </c>
      <c r="L295" s="2" t="s">
        <v>2703</v>
      </c>
      <c r="M295" s="8" t="str">
        <f>HYPERLINK("http://slimages.macys.com/is/image/MCY/10334743 ")</f>
        <v xml:space="preserve">http://slimages.macys.com/is/image/MCY/10334743 </v>
      </c>
    </row>
    <row r="296" spans="1:13" ht="96" x14ac:dyDescent="0.25">
      <c r="A296" s="7" t="s">
        <v>14207</v>
      </c>
      <c r="B296" s="2" t="s">
        <v>2701</v>
      </c>
      <c r="C296" s="4">
        <v>1</v>
      </c>
      <c r="D296" s="5">
        <v>2.88</v>
      </c>
      <c r="E296" s="5">
        <v>6.99</v>
      </c>
      <c r="F296" s="4" t="s">
        <v>2702</v>
      </c>
      <c r="G296" s="2" t="s">
        <v>28</v>
      </c>
      <c r="H296" s="7" t="s">
        <v>590</v>
      </c>
      <c r="I296" s="2" t="s">
        <v>483</v>
      </c>
      <c r="J296" s="2" t="s">
        <v>536</v>
      </c>
      <c r="K296" s="2" t="s">
        <v>304</v>
      </c>
      <c r="L296" s="2" t="s">
        <v>2703</v>
      </c>
      <c r="M296" s="8" t="str">
        <f>HYPERLINK("http://slimages.macys.com/is/image/MCY/10334743 ")</f>
        <v xml:space="preserve">http://slimages.macys.com/is/image/MCY/10334743 </v>
      </c>
    </row>
    <row r="297" spans="1:13" ht="96" x14ac:dyDescent="0.25">
      <c r="A297" s="7" t="s">
        <v>2704</v>
      </c>
      <c r="B297" s="2" t="s">
        <v>2701</v>
      </c>
      <c r="C297" s="4">
        <v>7</v>
      </c>
      <c r="D297" s="5">
        <v>2.88</v>
      </c>
      <c r="E297" s="5">
        <v>6.99</v>
      </c>
      <c r="F297" s="4" t="s">
        <v>2702</v>
      </c>
      <c r="G297" s="2" t="s">
        <v>28</v>
      </c>
      <c r="H297" s="7" t="s">
        <v>91</v>
      </c>
      <c r="I297" s="2" t="s">
        <v>483</v>
      </c>
      <c r="J297" s="2" t="s">
        <v>536</v>
      </c>
      <c r="K297" s="2" t="s">
        <v>304</v>
      </c>
      <c r="L297" s="2" t="s">
        <v>2703</v>
      </c>
      <c r="M297" s="8" t="str">
        <f>HYPERLINK("http://slimages.macys.com/is/image/MCY/10334743 ")</f>
        <v xml:space="preserve">http://slimages.macys.com/is/image/MCY/10334743 </v>
      </c>
    </row>
    <row r="298" spans="1:13" ht="60" x14ac:dyDescent="0.25">
      <c r="A298" s="7" t="s">
        <v>2705</v>
      </c>
      <c r="B298" s="2" t="s">
        <v>2706</v>
      </c>
      <c r="C298" s="4">
        <v>1</v>
      </c>
      <c r="D298" s="5">
        <v>2.88</v>
      </c>
      <c r="E298" s="5">
        <v>6.99</v>
      </c>
      <c r="F298" s="4" t="s">
        <v>2707</v>
      </c>
      <c r="G298" s="2" t="s">
        <v>62</v>
      </c>
      <c r="H298" s="7" t="s">
        <v>442</v>
      </c>
      <c r="I298" s="2" t="s">
        <v>483</v>
      </c>
      <c r="J298" s="2" t="s">
        <v>536</v>
      </c>
      <c r="K298" s="2" t="s">
        <v>304</v>
      </c>
      <c r="L298" s="2" t="s">
        <v>119</v>
      </c>
      <c r="M298" s="8" t="str">
        <f>HYPERLINK("http://slimages.macys.com/is/image/MCY/8882367 ")</f>
        <v xml:space="preserve">http://slimages.macys.com/is/image/MCY/8882367 </v>
      </c>
    </row>
    <row r="299" spans="1:13" ht="96" x14ac:dyDescent="0.25">
      <c r="A299" s="7" t="s">
        <v>2700</v>
      </c>
      <c r="B299" s="2" t="s">
        <v>2701</v>
      </c>
      <c r="C299" s="4">
        <v>3</v>
      </c>
      <c r="D299" s="5">
        <v>2.88</v>
      </c>
      <c r="E299" s="5">
        <v>6.99</v>
      </c>
      <c r="F299" s="4" t="s">
        <v>2702</v>
      </c>
      <c r="G299" s="2" t="s">
        <v>28</v>
      </c>
      <c r="H299" s="7" t="s">
        <v>442</v>
      </c>
      <c r="I299" s="2" t="s">
        <v>483</v>
      </c>
      <c r="J299" s="2" t="s">
        <v>536</v>
      </c>
      <c r="K299" s="2" t="s">
        <v>304</v>
      </c>
      <c r="L299" s="2" t="s">
        <v>2703</v>
      </c>
      <c r="M299" s="8" t="str">
        <f>HYPERLINK("http://slimages.macys.com/is/image/MCY/10334743 ")</f>
        <v xml:space="preserve">http://slimages.macys.com/is/image/MCY/10334743 </v>
      </c>
    </row>
    <row r="300" spans="1:13" ht="60" x14ac:dyDescent="0.25">
      <c r="A300" s="7" t="s">
        <v>8416</v>
      </c>
      <c r="B300" s="2" t="s">
        <v>2706</v>
      </c>
      <c r="C300" s="4">
        <v>1</v>
      </c>
      <c r="D300" s="5">
        <v>2.88</v>
      </c>
      <c r="E300" s="5">
        <v>6.99</v>
      </c>
      <c r="F300" s="4" t="s">
        <v>2707</v>
      </c>
      <c r="G300" s="2" t="s">
        <v>62</v>
      </c>
      <c r="H300" s="7" t="s">
        <v>590</v>
      </c>
      <c r="I300" s="2" t="s">
        <v>483</v>
      </c>
      <c r="J300" s="2" t="s">
        <v>536</v>
      </c>
      <c r="K300" s="2" t="s">
        <v>304</v>
      </c>
      <c r="L300" s="2" t="s">
        <v>119</v>
      </c>
      <c r="M300" s="8" t="str">
        <f>HYPERLINK("http://slimages.macys.com/is/image/MCY/8882367 ")</f>
        <v xml:space="preserve">http://slimages.macys.com/is/image/MCY/8882367 </v>
      </c>
    </row>
    <row r="301" spans="1:13" ht="60" x14ac:dyDescent="0.25">
      <c r="A301" s="7" t="s">
        <v>14208</v>
      </c>
      <c r="B301" s="2" t="s">
        <v>4446</v>
      </c>
      <c r="C301" s="4">
        <v>1</v>
      </c>
      <c r="D301" s="5">
        <v>2.78</v>
      </c>
      <c r="E301" s="5">
        <v>6.99</v>
      </c>
      <c r="F301" s="4" t="s">
        <v>4447</v>
      </c>
      <c r="G301" s="2" t="s">
        <v>86</v>
      </c>
      <c r="H301" s="7" t="s">
        <v>42</v>
      </c>
      <c r="I301" s="2" t="s">
        <v>483</v>
      </c>
      <c r="J301" s="2" t="s">
        <v>536</v>
      </c>
      <c r="K301" s="2" t="s">
        <v>304</v>
      </c>
      <c r="L301" s="2" t="s">
        <v>38</v>
      </c>
      <c r="M301" s="8" t="str">
        <f>HYPERLINK("http://slimages.macys.com/is/image/MCY/14630310 ")</f>
        <v xml:space="preserve">http://slimages.macys.com/is/image/MCY/14630310 </v>
      </c>
    </row>
    <row r="302" spans="1:13" ht="60" x14ac:dyDescent="0.25">
      <c r="A302" s="7" t="s">
        <v>14209</v>
      </c>
      <c r="B302" s="2" t="s">
        <v>14210</v>
      </c>
      <c r="C302" s="4">
        <v>1</v>
      </c>
      <c r="D302" s="5">
        <v>2.76</v>
      </c>
      <c r="E302" s="5">
        <v>7.99</v>
      </c>
      <c r="F302" s="4" t="s">
        <v>14211</v>
      </c>
      <c r="G302" s="2" t="s">
        <v>195</v>
      </c>
      <c r="H302" s="7" t="s">
        <v>514</v>
      </c>
      <c r="I302" s="2" t="s">
        <v>483</v>
      </c>
      <c r="J302" s="2" t="s">
        <v>536</v>
      </c>
      <c r="K302" s="2" t="s">
        <v>304</v>
      </c>
      <c r="L302" s="2" t="s">
        <v>38</v>
      </c>
      <c r="M302" s="8" t="str">
        <f>HYPERLINK("http://slimages.macys.com/is/image/MCY/14631316 ")</f>
        <v xml:space="preserve">http://slimages.macys.com/is/image/MCY/14631316 </v>
      </c>
    </row>
    <row r="303" spans="1:13" ht="60" x14ac:dyDescent="0.25">
      <c r="A303" s="7" t="s">
        <v>14212</v>
      </c>
      <c r="B303" s="2" t="s">
        <v>14213</v>
      </c>
      <c r="C303" s="4">
        <v>1</v>
      </c>
      <c r="D303" s="5">
        <v>2.71</v>
      </c>
      <c r="E303" s="5">
        <v>7.99</v>
      </c>
      <c r="F303" s="4" t="s">
        <v>14214</v>
      </c>
      <c r="G303" s="2" t="s">
        <v>657</v>
      </c>
      <c r="H303" s="7" t="s">
        <v>1151</v>
      </c>
      <c r="I303" s="2" t="s">
        <v>483</v>
      </c>
      <c r="J303" s="2" t="s">
        <v>536</v>
      </c>
      <c r="K303" s="2" t="s">
        <v>304</v>
      </c>
      <c r="L303" s="2" t="s">
        <v>119</v>
      </c>
      <c r="M303" s="8" t="str">
        <f>HYPERLINK("http://slimages.macys.com/is/image/MCY/10276692 ")</f>
        <v xml:space="preserve">http://slimages.macys.com/is/image/MCY/10276692 </v>
      </c>
    </row>
    <row r="304" spans="1:13" ht="60" x14ac:dyDescent="0.25">
      <c r="A304" s="7" t="s">
        <v>14215</v>
      </c>
      <c r="B304" s="2" t="s">
        <v>2223</v>
      </c>
      <c r="C304" s="4">
        <v>1</v>
      </c>
      <c r="D304" s="5">
        <v>2.63</v>
      </c>
      <c r="E304" s="5">
        <v>5.99</v>
      </c>
      <c r="F304" s="4">
        <v>100005403</v>
      </c>
      <c r="G304" s="2" t="s">
        <v>79</v>
      </c>
      <c r="H304" s="7" t="s">
        <v>149</v>
      </c>
      <c r="I304" s="2" t="s">
        <v>483</v>
      </c>
      <c r="J304" s="2" t="s">
        <v>536</v>
      </c>
      <c r="K304" s="2"/>
      <c r="L304" s="2"/>
      <c r="M304" s="8" t="str">
        <f>HYPERLINK("http://slimages.macys.com/is/image/MCY/9157867 ")</f>
        <v xml:space="preserve">http://slimages.macys.com/is/image/MCY/9157867 </v>
      </c>
    </row>
    <row r="305" spans="1:13" ht="60" x14ac:dyDescent="0.25">
      <c r="A305" s="7" t="s">
        <v>2266</v>
      </c>
      <c r="B305" s="2" t="s">
        <v>2254</v>
      </c>
      <c r="C305" s="4">
        <v>1</v>
      </c>
      <c r="D305" s="5">
        <v>2.62</v>
      </c>
      <c r="E305" s="5">
        <v>5.99</v>
      </c>
      <c r="F305" s="4" t="s">
        <v>2255</v>
      </c>
      <c r="G305" s="2" t="s">
        <v>657</v>
      </c>
      <c r="H305" s="7" t="s">
        <v>442</v>
      </c>
      <c r="I305" s="2" t="s">
        <v>483</v>
      </c>
      <c r="J305" s="2" t="s">
        <v>536</v>
      </c>
      <c r="K305" s="2" t="s">
        <v>304</v>
      </c>
      <c r="L305" s="2" t="s">
        <v>119</v>
      </c>
      <c r="M305" s="8" t="str">
        <f>HYPERLINK("http://slimages.macys.com/is/image/MCY/12644604 ")</f>
        <v xml:space="preserve">http://slimages.macys.com/is/image/MCY/12644604 </v>
      </c>
    </row>
    <row r="306" spans="1:13" ht="60" x14ac:dyDescent="0.25">
      <c r="A306" s="7" t="s">
        <v>4503</v>
      </c>
      <c r="B306" s="2" t="s">
        <v>607</v>
      </c>
      <c r="C306" s="4">
        <v>3</v>
      </c>
      <c r="D306" s="5">
        <v>2.62</v>
      </c>
      <c r="E306" s="5">
        <v>6.99</v>
      </c>
      <c r="F306" s="4" t="s">
        <v>608</v>
      </c>
      <c r="G306" s="2" t="s">
        <v>41</v>
      </c>
      <c r="H306" s="7" t="s">
        <v>590</v>
      </c>
      <c r="I306" s="2" t="s">
        <v>483</v>
      </c>
      <c r="J306" s="2" t="s">
        <v>536</v>
      </c>
      <c r="K306" s="2" t="s">
        <v>304</v>
      </c>
      <c r="L306" s="2" t="s">
        <v>100</v>
      </c>
      <c r="M306" s="8" t="str">
        <f>HYPERLINK("http://slimages.macys.com/is/image/MCY/13336572 ")</f>
        <v xml:space="preserve">http://slimages.macys.com/is/image/MCY/13336572 </v>
      </c>
    </row>
    <row r="307" spans="1:13" ht="60" x14ac:dyDescent="0.25">
      <c r="A307" s="7" t="s">
        <v>606</v>
      </c>
      <c r="B307" s="2" t="s">
        <v>607</v>
      </c>
      <c r="C307" s="4">
        <v>3</v>
      </c>
      <c r="D307" s="5">
        <v>2.62</v>
      </c>
      <c r="E307" s="5">
        <v>6.99</v>
      </c>
      <c r="F307" s="4" t="s">
        <v>608</v>
      </c>
      <c r="G307" s="2" t="s">
        <v>41</v>
      </c>
      <c r="H307" s="7" t="s">
        <v>42</v>
      </c>
      <c r="I307" s="2" t="s">
        <v>483</v>
      </c>
      <c r="J307" s="2" t="s">
        <v>536</v>
      </c>
      <c r="K307" s="2" t="s">
        <v>304</v>
      </c>
      <c r="L307" s="2" t="s">
        <v>100</v>
      </c>
      <c r="M307" s="8" t="str">
        <f>HYPERLINK("http://slimages.macys.com/is/image/MCY/13336572 ")</f>
        <v xml:space="preserve">http://slimages.macys.com/is/image/MCY/13336572 </v>
      </c>
    </row>
    <row r="308" spans="1:13" ht="60" x14ac:dyDescent="0.25">
      <c r="A308" s="7" t="s">
        <v>1238</v>
      </c>
      <c r="B308" s="2" t="s">
        <v>607</v>
      </c>
      <c r="C308" s="4">
        <v>7</v>
      </c>
      <c r="D308" s="5">
        <v>2.62</v>
      </c>
      <c r="E308" s="5">
        <v>6.99</v>
      </c>
      <c r="F308" s="4" t="s">
        <v>608</v>
      </c>
      <c r="G308" s="2" t="s">
        <v>41</v>
      </c>
      <c r="H308" s="7" t="s">
        <v>91</v>
      </c>
      <c r="I308" s="2" t="s">
        <v>483</v>
      </c>
      <c r="J308" s="2" t="s">
        <v>536</v>
      </c>
      <c r="K308" s="2" t="s">
        <v>304</v>
      </c>
      <c r="L308" s="2" t="s">
        <v>100</v>
      </c>
      <c r="M308" s="8" t="str">
        <f>HYPERLINK("http://slimages.macys.com/is/image/MCY/13336572 ")</f>
        <v xml:space="preserve">http://slimages.macys.com/is/image/MCY/13336572 </v>
      </c>
    </row>
    <row r="309" spans="1:13" ht="60" x14ac:dyDescent="0.25">
      <c r="A309" s="7" t="s">
        <v>4505</v>
      </c>
      <c r="B309" s="2" t="s">
        <v>607</v>
      </c>
      <c r="C309" s="4">
        <v>4</v>
      </c>
      <c r="D309" s="5">
        <v>2.62</v>
      </c>
      <c r="E309" s="5">
        <v>6.99</v>
      </c>
      <c r="F309" s="4" t="s">
        <v>608</v>
      </c>
      <c r="G309" s="2" t="s">
        <v>41</v>
      </c>
      <c r="H309" s="7" t="s">
        <v>442</v>
      </c>
      <c r="I309" s="2" t="s">
        <v>483</v>
      </c>
      <c r="J309" s="2" t="s">
        <v>536</v>
      </c>
      <c r="K309" s="2" t="s">
        <v>304</v>
      </c>
      <c r="L309" s="2" t="s">
        <v>100</v>
      </c>
      <c r="M309" s="8" t="str">
        <f>HYPERLINK("http://slimages.macys.com/is/image/MCY/13336572 ")</f>
        <v xml:space="preserve">http://slimages.macys.com/is/image/MCY/13336572 </v>
      </c>
    </row>
    <row r="310" spans="1:13" ht="60" x14ac:dyDescent="0.25">
      <c r="A310" s="7" t="s">
        <v>14216</v>
      </c>
      <c r="B310" s="2" t="s">
        <v>14217</v>
      </c>
      <c r="C310" s="4">
        <v>1</v>
      </c>
      <c r="D310" s="5">
        <v>2.62</v>
      </c>
      <c r="E310" s="5">
        <v>7.99</v>
      </c>
      <c r="F310" s="4" t="s">
        <v>14218</v>
      </c>
      <c r="G310" s="2" t="s">
        <v>28</v>
      </c>
      <c r="H310" s="7" t="s">
        <v>514</v>
      </c>
      <c r="I310" s="2" t="s">
        <v>2717</v>
      </c>
      <c r="J310" s="2" t="s">
        <v>536</v>
      </c>
      <c r="K310" s="2" t="s">
        <v>304</v>
      </c>
      <c r="L310" s="2" t="s">
        <v>38</v>
      </c>
      <c r="M310" s="8" t="str">
        <f>HYPERLINK("http://slimages.macys.com/is/image/MCY/10172369 ")</f>
        <v xml:space="preserve">http://slimages.macys.com/is/image/MCY/10172369 </v>
      </c>
    </row>
    <row r="311" spans="1:13" ht="60" x14ac:dyDescent="0.25">
      <c r="A311" s="7" t="s">
        <v>14219</v>
      </c>
      <c r="B311" s="2" t="s">
        <v>3515</v>
      </c>
      <c r="C311" s="4">
        <v>1</v>
      </c>
      <c r="D311" s="5">
        <v>2.61</v>
      </c>
      <c r="E311" s="5">
        <v>7.99</v>
      </c>
      <c r="F311" s="4" t="s">
        <v>3516</v>
      </c>
      <c r="G311" s="2" t="s">
        <v>41</v>
      </c>
      <c r="H311" s="7" t="s">
        <v>514</v>
      </c>
      <c r="I311" s="2" t="s">
        <v>483</v>
      </c>
      <c r="J311" s="2" t="s">
        <v>536</v>
      </c>
      <c r="K311" s="2" t="s">
        <v>304</v>
      </c>
      <c r="L311" s="2" t="s">
        <v>38</v>
      </c>
      <c r="M311" s="8" t="str">
        <f>HYPERLINK("http://slimages.macys.com/is/image/MCY/14384854 ")</f>
        <v xml:space="preserve">http://slimages.macys.com/is/image/MCY/14384854 </v>
      </c>
    </row>
    <row r="312" spans="1:13" ht="60" x14ac:dyDescent="0.25">
      <c r="A312" s="7" t="s">
        <v>7185</v>
      </c>
      <c r="B312" s="2" t="s">
        <v>7183</v>
      </c>
      <c r="C312" s="4">
        <v>1</v>
      </c>
      <c r="D312" s="5">
        <v>2.58</v>
      </c>
      <c r="E312" s="5">
        <v>7.99</v>
      </c>
      <c r="F312" s="4" t="s">
        <v>7184</v>
      </c>
      <c r="G312" s="2" t="s">
        <v>129</v>
      </c>
      <c r="H312" s="7" t="s">
        <v>1151</v>
      </c>
      <c r="I312" s="2" t="s">
        <v>483</v>
      </c>
      <c r="J312" s="2" t="s">
        <v>536</v>
      </c>
      <c r="K312" s="2" t="s">
        <v>304</v>
      </c>
      <c r="L312" s="2" t="s">
        <v>38</v>
      </c>
      <c r="M312" s="8" t="str">
        <f>HYPERLINK("http://slimages.macys.com/is/image/MCY/13987618 ")</f>
        <v xml:space="preserve">http://slimages.macys.com/is/image/MCY/13987618 </v>
      </c>
    </row>
    <row r="313" spans="1:13" ht="60" x14ac:dyDescent="0.25">
      <c r="A313" s="7" t="s">
        <v>13449</v>
      </c>
      <c r="B313" s="2" t="s">
        <v>4548</v>
      </c>
      <c r="C313" s="4">
        <v>3</v>
      </c>
      <c r="D313" s="5">
        <v>2.5299999999999998</v>
      </c>
      <c r="E313" s="5">
        <v>5.99</v>
      </c>
      <c r="F313" s="4" t="s">
        <v>4549</v>
      </c>
      <c r="G313" s="2" t="s">
        <v>28</v>
      </c>
      <c r="H313" s="7" t="s">
        <v>442</v>
      </c>
      <c r="I313" s="2" t="s">
        <v>483</v>
      </c>
      <c r="J313" s="2" t="s">
        <v>536</v>
      </c>
      <c r="K313" s="2" t="s">
        <v>304</v>
      </c>
      <c r="L313" s="2" t="s">
        <v>38</v>
      </c>
      <c r="M313" s="8" t="str">
        <f>HYPERLINK("http://slimages.macys.com/is/image/MCY/14384849 ")</f>
        <v xml:space="preserve">http://slimages.macys.com/is/image/MCY/14384849 </v>
      </c>
    </row>
    <row r="314" spans="1:13" ht="60" x14ac:dyDescent="0.25">
      <c r="A314" s="7" t="s">
        <v>7199</v>
      </c>
      <c r="B314" s="2" t="s">
        <v>1260</v>
      </c>
      <c r="C314" s="4">
        <v>1</v>
      </c>
      <c r="D314" s="5">
        <v>2.5299999999999998</v>
      </c>
      <c r="E314" s="5">
        <v>6.99</v>
      </c>
      <c r="F314" s="4" t="s">
        <v>1261</v>
      </c>
      <c r="G314" s="2" t="s">
        <v>1265</v>
      </c>
      <c r="H314" s="7" t="s">
        <v>590</v>
      </c>
      <c r="I314" s="2" t="s">
        <v>483</v>
      </c>
      <c r="J314" s="2" t="s">
        <v>536</v>
      </c>
      <c r="K314" s="2" t="s">
        <v>304</v>
      </c>
      <c r="L314" s="2" t="s">
        <v>100</v>
      </c>
      <c r="M314" s="8" t="str">
        <f>HYPERLINK("http://slimages.macys.com/is/image/MCY/11779082 ")</f>
        <v xml:space="preserve">http://slimages.macys.com/is/image/MCY/11779082 </v>
      </c>
    </row>
    <row r="315" spans="1:13" ht="60" x14ac:dyDescent="0.25">
      <c r="A315" s="7" t="s">
        <v>8468</v>
      </c>
      <c r="B315" s="2" t="s">
        <v>1293</v>
      </c>
      <c r="C315" s="4">
        <v>1</v>
      </c>
      <c r="D315" s="5">
        <v>2.52</v>
      </c>
      <c r="E315" s="5">
        <v>6.99</v>
      </c>
      <c r="F315" s="4" t="s">
        <v>1294</v>
      </c>
      <c r="G315" s="2" t="s">
        <v>297</v>
      </c>
      <c r="H315" s="7" t="s">
        <v>590</v>
      </c>
      <c r="I315" s="2" t="s">
        <v>483</v>
      </c>
      <c r="J315" s="2" t="s">
        <v>536</v>
      </c>
      <c r="K315" s="2" t="s">
        <v>304</v>
      </c>
      <c r="L315" s="2" t="s">
        <v>100</v>
      </c>
      <c r="M315" s="8" t="str">
        <f>HYPERLINK("http://slimages.macys.com/is/image/MCY/13987466 ")</f>
        <v xml:space="preserve">http://slimages.macys.com/is/image/MCY/13987466 </v>
      </c>
    </row>
    <row r="316" spans="1:13" ht="60" x14ac:dyDescent="0.25">
      <c r="A316" s="7" t="s">
        <v>6075</v>
      </c>
      <c r="B316" s="2" t="s">
        <v>2295</v>
      </c>
      <c r="C316" s="4">
        <v>3</v>
      </c>
      <c r="D316" s="5">
        <v>2.5099999999999998</v>
      </c>
      <c r="E316" s="5">
        <v>5.99</v>
      </c>
      <c r="F316" s="4" t="s">
        <v>2296</v>
      </c>
      <c r="G316" s="2" t="s">
        <v>28</v>
      </c>
      <c r="H316" s="7" t="s">
        <v>442</v>
      </c>
      <c r="I316" s="2" t="s">
        <v>483</v>
      </c>
      <c r="J316" s="2" t="s">
        <v>536</v>
      </c>
      <c r="K316" s="2" t="s">
        <v>304</v>
      </c>
      <c r="L316" s="2" t="s">
        <v>119</v>
      </c>
      <c r="M316" s="8" t="str">
        <f>HYPERLINK("http://slimages.macys.com/is/image/MCY/11436914 ")</f>
        <v xml:space="preserve">http://slimages.macys.com/is/image/MCY/11436914 </v>
      </c>
    </row>
    <row r="317" spans="1:13" ht="60" x14ac:dyDescent="0.25">
      <c r="A317" s="7" t="s">
        <v>14220</v>
      </c>
      <c r="B317" s="2" t="s">
        <v>2725</v>
      </c>
      <c r="C317" s="4">
        <v>1</v>
      </c>
      <c r="D317" s="5">
        <v>2.5</v>
      </c>
      <c r="E317" s="5">
        <v>5.99</v>
      </c>
      <c r="F317" s="4" t="s">
        <v>2726</v>
      </c>
      <c r="G317" s="2" t="s">
        <v>41</v>
      </c>
      <c r="H317" s="7" t="s">
        <v>590</v>
      </c>
      <c r="I317" s="2" t="s">
        <v>483</v>
      </c>
      <c r="J317" s="2" t="s">
        <v>536</v>
      </c>
      <c r="K317" s="2" t="s">
        <v>304</v>
      </c>
      <c r="L317" s="2" t="s">
        <v>87</v>
      </c>
      <c r="M317" s="8" t="str">
        <f>HYPERLINK("http://slimages.macys.com/is/image/MCY/11524101 ")</f>
        <v xml:space="preserve">http://slimages.macys.com/is/image/MCY/11524101 </v>
      </c>
    </row>
    <row r="318" spans="1:13" ht="60" x14ac:dyDescent="0.25">
      <c r="A318" s="7" t="s">
        <v>13997</v>
      </c>
      <c r="B318" s="2" t="s">
        <v>2725</v>
      </c>
      <c r="C318" s="4">
        <v>1</v>
      </c>
      <c r="D318" s="5">
        <v>2.5</v>
      </c>
      <c r="E318" s="5">
        <v>5.99</v>
      </c>
      <c r="F318" s="4" t="s">
        <v>2726</v>
      </c>
      <c r="G318" s="2" t="s">
        <v>41</v>
      </c>
      <c r="H318" s="7" t="s">
        <v>149</v>
      </c>
      <c r="I318" s="2" t="s">
        <v>483</v>
      </c>
      <c r="J318" s="2" t="s">
        <v>536</v>
      </c>
      <c r="K318" s="2" t="s">
        <v>304</v>
      </c>
      <c r="L318" s="2" t="s">
        <v>87</v>
      </c>
      <c r="M318" s="8" t="str">
        <f>HYPERLINK("http://slimages.macys.com/is/image/MCY/11524101 ")</f>
        <v xml:space="preserve">http://slimages.macys.com/is/image/MCY/11524101 </v>
      </c>
    </row>
    <row r="319" spans="1:13" ht="60" x14ac:dyDescent="0.25">
      <c r="A319" s="7" t="s">
        <v>2310</v>
      </c>
      <c r="B319" s="2" t="s">
        <v>622</v>
      </c>
      <c r="C319" s="4">
        <v>1</v>
      </c>
      <c r="D319" s="5">
        <v>2.48</v>
      </c>
      <c r="E319" s="5">
        <v>7.99</v>
      </c>
      <c r="F319" s="4">
        <v>10005379300</v>
      </c>
      <c r="G319" s="2" t="s">
        <v>62</v>
      </c>
      <c r="H319" s="7"/>
      <c r="I319" s="2" t="s">
        <v>483</v>
      </c>
      <c r="J319" s="2" t="s">
        <v>536</v>
      </c>
      <c r="K319" s="2" t="s">
        <v>304</v>
      </c>
      <c r="L319" s="2" t="s">
        <v>623</v>
      </c>
      <c r="M319" s="8" t="str">
        <f>HYPERLINK("http://slimages.macys.com/is/image/MCY/12465415 ")</f>
        <v xml:space="preserve">http://slimages.macys.com/is/image/MCY/12465415 </v>
      </c>
    </row>
    <row r="320" spans="1:13" ht="60" x14ac:dyDescent="0.25">
      <c r="A320" s="7" t="s">
        <v>4562</v>
      </c>
      <c r="B320" s="2" t="s">
        <v>3527</v>
      </c>
      <c r="C320" s="4">
        <v>1</v>
      </c>
      <c r="D320" s="5">
        <v>2.48</v>
      </c>
      <c r="E320" s="5">
        <v>6.99</v>
      </c>
      <c r="F320" s="4" t="s">
        <v>3528</v>
      </c>
      <c r="G320" s="2" t="s">
        <v>595</v>
      </c>
      <c r="H320" s="7" t="s">
        <v>590</v>
      </c>
      <c r="I320" s="2" t="s">
        <v>483</v>
      </c>
      <c r="J320" s="2" t="s">
        <v>536</v>
      </c>
      <c r="K320" s="2" t="s">
        <v>304</v>
      </c>
      <c r="L320" s="2" t="s">
        <v>596</v>
      </c>
      <c r="M320" s="8" t="str">
        <f>HYPERLINK("http://slimages.macys.com/is/image/MCY/14799396 ")</f>
        <v xml:space="preserve">http://slimages.macys.com/is/image/MCY/14799396 </v>
      </c>
    </row>
    <row r="321" spans="1:13" ht="60" x14ac:dyDescent="0.25">
      <c r="A321" s="7" t="s">
        <v>3526</v>
      </c>
      <c r="B321" s="2" t="s">
        <v>3527</v>
      </c>
      <c r="C321" s="4">
        <v>1</v>
      </c>
      <c r="D321" s="5">
        <v>2.48</v>
      </c>
      <c r="E321" s="5">
        <v>6.99</v>
      </c>
      <c r="F321" s="4" t="s">
        <v>3528</v>
      </c>
      <c r="G321" s="2" t="s">
        <v>595</v>
      </c>
      <c r="H321" s="7" t="s">
        <v>149</v>
      </c>
      <c r="I321" s="2" t="s">
        <v>483</v>
      </c>
      <c r="J321" s="2" t="s">
        <v>536</v>
      </c>
      <c r="K321" s="2" t="s">
        <v>304</v>
      </c>
      <c r="L321" s="2" t="s">
        <v>596</v>
      </c>
      <c r="M321" s="8" t="str">
        <f>HYPERLINK("http://slimages.macys.com/is/image/MCY/14799396 ")</f>
        <v xml:space="preserve">http://slimages.macys.com/is/image/MCY/14799396 </v>
      </c>
    </row>
    <row r="322" spans="1:13" ht="60" x14ac:dyDescent="0.25">
      <c r="A322" s="7" t="s">
        <v>3529</v>
      </c>
      <c r="B322" s="2" t="s">
        <v>3527</v>
      </c>
      <c r="C322" s="4">
        <v>1</v>
      </c>
      <c r="D322" s="5">
        <v>2.48</v>
      </c>
      <c r="E322" s="5">
        <v>6.99</v>
      </c>
      <c r="F322" s="4" t="s">
        <v>3528</v>
      </c>
      <c r="G322" s="2" t="s">
        <v>595</v>
      </c>
      <c r="H322" s="7" t="s">
        <v>442</v>
      </c>
      <c r="I322" s="2" t="s">
        <v>483</v>
      </c>
      <c r="J322" s="2" t="s">
        <v>536</v>
      </c>
      <c r="K322" s="2" t="s">
        <v>304</v>
      </c>
      <c r="L322" s="2" t="s">
        <v>596</v>
      </c>
      <c r="M322" s="8" t="str">
        <f>HYPERLINK("http://slimages.macys.com/is/image/MCY/14799396 ")</f>
        <v xml:space="preserve">http://slimages.macys.com/is/image/MCY/14799396 </v>
      </c>
    </row>
    <row r="323" spans="1:13" ht="60" x14ac:dyDescent="0.25">
      <c r="A323" s="7" t="s">
        <v>4569</v>
      </c>
      <c r="B323" s="2" t="s">
        <v>3533</v>
      </c>
      <c r="C323" s="4">
        <v>1</v>
      </c>
      <c r="D323" s="5">
        <v>2.42</v>
      </c>
      <c r="E323" s="5">
        <v>7.99</v>
      </c>
      <c r="F323" s="4" t="s">
        <v>3534</v>
      </c>
      <c r="G323" s="2" t="s">
        <v>48</v>
      </c>
      <c r="H323" s="7" t="s">
        <v>1151</v>
      </c>
      <c r="I323" s="2" t="s">
        <v>483</v>
      </c>
      <c r="J323" s="2" t="s">
        <v>536</v>
      </c>
      <c r="K323" s="2" t="s">
        <v>304</v>
      </c>
      <c r="L323" s="2" t="s">
        <v>119</v>
      </c>
      <c r="M323" s="8" t="str">
        <f>HYPERLINK("http://slimages.macys.com/is/image/MCY/14380988 ")</f>
        <v xml:space="preserve">http://slimages.macys.com/is/image/MCY/14380988 </v>
      </c>
    </row>
    <row r="324" spans="1:13" ht="60" x14ac:dyDescent="0.25">
      <c r="A324" s="7" t="s">
        <v>3532</v>
      </c>
      <c r="B324" s="2" t="s">
        <v>3533</v>
      </c>
      <c r="C324" s="4">
        <v>1</v>
      </c>
      <c r="D324" s="5">
        <v>2.42</v>
      </c>
      <c r="E324" s="5">
        <v>7.99</v>
      </c>
      <c r="F324" s="4" t="s">
        <v>3534</v>
      </c>
      <c r="G324" s="2" t="s">
        <v>48</v>
      </c>
      <c r="H324" s="7" t="s">
        <v>578</v>
      </c>
      <c r="I324" s="2" t="s">
        <v>483</v>
      </c>
      <c r="J324" s="2" t="s">
        <v>536</v>
      </c>
      <c r="K324" s="2" t="s">
        <v>304</v>
      </c>
      <c r="L324" s="2" t="s">
        <v>119</v>
      </c>
      <c r="M324" s="8" t="str">
        <f>HYPERLINK("http://slimages.macys.com/is/image/MCY/14380988 ")</f>
        <v xml:space="preserve">http://slimages.macys.com/is/image/MCY/14380988 </v>
      </c>
    </row>
    <row r="325" spans="1:13" ht="60" x14ac:dyDescent="0.25">
      <c r="A325" s="7" t="s">
        <v>14221</v>
      </c>
      <c r="B325" s="2" t="s">
        <v>14222</v>
      </c>
      <c r="C325" s="4">
        <v>1</v>
      </c>
      <c r="D325" s="5">
        <v>2.41</v>
      </c>
      <c r="E325" s="5">
        <v>5.99</v>
      </c>
      <c r="F325" s="4" t="s">
        <v>14223</v>
      </c>
      <c r="G325" s="2" t="s">
        <v>41</v>
      </c>
      <c r="H325" s="7" t="s">
        <v>590</v>
      </c>
      <c r="I325" s="2" t="s">
        <v>483</v>
      </c>
      <c r="J325" s="2" t="s">
        <v>536</v>
      </c>
      <c r="K325" s="2" t="s">
        <v>304</v>
      </c>
      <c r="L325" s="2" t="s">
        <v>38</v>
      </c>
      <c r="M325" s="8" t="str">
        <f>HYPERLINK("http://slimages.macys.com/is/image/MCY/14385112 ")</f>
        <v xml:space="preserve">http://slimages.macys.com/is/image/MCY/14385112 </v>
      </c>
    </row>
    <row r="326" spans="1:13" ht="60" x14ac:dyDescent="0.25">
      <c r="A326" s="7" t="s">
        <v>5752</v>
      </c>
      <c r="B326" s="2" t="s">
        <v>628</v>
      </c>
      <c r="C326" s="4">
        <v>1</v>
      </c>
      <c r="D326" s="5">
        <v>2.36</v>
      </c>
      <c r="E326" s="5">
        <v>6.99</v>
      </c>
      <c r="F326" s="4" t="s">
        <v>629</v>
      </c>
      <c r="G326" s="2" t="s">
        <v>388</v>
      </c>
      <c r="H326" s="7" t="s">
        <v>590</v>
      </c>
      <c r="I326" s="2" t="s">
        <v>483</v>
      </c>
      <c r="J326" s="2" t="s">
        <v>536</v>
      </c>
      <c r="K326" s="2" t="s">
        <v>304</v>
      </c>
      <c r="L326" s="2" t="s">
        <v>87</v>
      </c>
      <c r="M326" s="8" t="str">
        <f>HYPERLINK("http://slimages.macys.com/is/image/MCY/14532052 ")</f>
        <v xml:space="preserve">http://slimages.macys.com/is/image/MCY/14532052 </v>
      </c>
    </row>
    <row r="327" spans="1:13" ht="60" x14ac:dyDescent="0.25">
      <c r="A327" s="7" t="s">
        <v>14224</v>
      </c>
      <c r="B327" s="2" t="s">
        <v>8002</v>
      </c>
      <c r="C327" s="4">
        <v>1</v>
      </c>
      <c r="D327" s="5">
        <v>2.34</v>
      </c>
      <c r="E327" s="5">
        <v>5.99</v>
      </c>
      <c r="F327" s="4" t="s">
        <v>8003</v>
      </c>
      <c r="G327" s="2" t="s">
        <v>388</v>
      </c>
      <c r="H327" s="7" t="s">
        <v>149</v>
      </c>
      <c r="I327" s="2" t="s">
        <v>483</v>
      </c>
      <c r="J327" s="2" t="s">
        <v>536</v>
      </c>
      <c r="K327" s="2" t="s">
        <v>304</v>
      </c>
      <c r="L327" s="2" t="s">
        <v>206</v>
      </c>
      <c r="M327" s="8" t="str">
        <f>HYPERLINK("http://slimages.macys.com/is/image/MCY/13386727 ")</f>
        <v xml:space="preserve">http://slimages.macys.com/is/image/MCY/13386727 </v>
      </c>
    </row>
    <row r="328" spans="1:13" ht="60" x14ac:dyDescent="0.25">
      <c r="A328" s="7" t="s">
        <v>2337</v>
      </c>
      <c r="B328" s="2" t="s">
        <v>2338</v>
      </c>
      <c r="C328" s="4">
        <v>1</v>
      </c>
      <c r="D328" s="5">
        <v>2.34</v>
      </c>
      <c r="E328" s="5">
        <v>5.99</v>
      </c>
      <c r="F328" s="4" t="s">
        <v>2339</v>
      </c>
      <c r="G328" s="2" t="s">
        <v>41</v>
      </c>
      <c r="H328" s="7" t="s">
        <v>442</v>
      </c>
      <c r="I328" s="2" t="s">
        <v>483</v>
      </c>
      <c r="J328" s="2" t="s">
        <v>536</v>
      </c>
      <c r="K328" s="2" t="s">
        <v>304</v>
      </c>
      <c r="L328" s="2" t="s">
        <v>38</v>
      </c>
      <c r="M328" s="8" t="str">
        <f>HYPERLINK("http://slimages.macys.com/is/image/MCY/13386590 ")</f>
        <v xml:space="preserve">http://slimages.macys.com/is/image/MCY/13386590 </v>
      </c>
    </row>
    <row r="329" spans="1:13" ht="96" x14ac:dyDescent="0.25">
      <c r="A329" s="7" t="s">
        <v>14001</v>
      </c>
      <c r="B329" s="2" t="s">
        <v>13739</v>
      </c>
      <c r="C329" s="4">
        <v>1</v>
      </c>
      <c r="D329" s="5">
        <v>2.33</v>
      </c>
      <c r="E329" s="5">
        <v>5.99</v>
      </c>
      <c r="F329" s="4" t="s">
        <v>13740</v>
      </c>
      <c r="G329" s="2" t="s">
        <v>134</v>
      </c>
      <c r="H329" s="7" t="s">
        <v>590</v>
      </c>
      <c r="I329" s="2" t="s">
        <v>483</v>
      </c>
      <c r="J329" s="2" t="s">
        <v>536</v>
      </c>
      <c r="K329" s="2" t="s">
        <v>304</v>
      </c>
      <c r="L329" s="2" t="s">
        <v>9839</v>
      </c>
      <c r="M329" s="8" t="str">
        <f>HYPERLINK("http://slimages.macys.com/is/image/MCY/12644533 ")</f>
        <v xml:space="preserve">http://slimages.macys.com/is/image/MCY/12644533 </v>
      </c>
    </row>
    <row r="330" spans="1:13" ht="60" x14ac:dyDescent="0.25">
      <c r="A330" s="7" t="s">
        <v>3542</v>
      </c>
      <c r="B330" s="2" t="s">
        <v>3543</v>
      </c>
      <c r="C330" s="4">
        <v>2</v>
      </c>
      <c r="D330" s="5">
        <v>2.3199999999999998</v>
      </c>
      <c r="E330" s="5">
        <v>6.99</v>
      </c>
      <c r="F330" s="4" t="s">
        <v>3544</v>
      </c>
      <c r="G330" s="2" t="s">
        <v>171</v>
      </c>
      <c r="H330" s="7" t="s">
        <v>442</v>
      </c>
      <c r="I330" s="2" t="s">
        <v>483</v>
      </c>
      <c r="J330" s="2" t="s">
        <v>536</v>
      </c>
      <c r="K330" s="2" t="s">
        <v>304</v>
      </c>
      <c r="L330" s="2" t="s">
        <v>38</v>
      </c>
      <c r="M330" s="8" t="str">
        <f>HYPERLINK("http://slimages.macys.com/is/image/MCY/14447992 ")</f>
        <v xml:space="preserve">http://slimages.macys.com/is/image/MCY/14447992 </v>
      </c>
    </row>
    <row r="331" spans="1:13" ht="60" x14ac:dyDescent="0.25">
      <c r="A331" s="7" t="s">
        <v>14225</v>
      </c>
      <c r="B331" s="2" t="s">
        <v>3543</v>
      </c>
      <c r="C331" s="4">
        <v>2</v>
      </c>
      <c r="D331" s="5">
        <v>2.3199999999999998</v>
      </c>
      <c r="E331" s="5">
        <v>6.99</v>
      </c>
      <c r="F331" s="4" t="s">
        <v>3544</v>
      </c>
      <c r="G331" s="2" t="s">
        <v>171</v>
      </c>
      <c r="H331" s="7" t="s">
        <v>42</v>
      </c>
      <c r="I331" s="2" t="s">
        <v>483</v>
      </c>
      <c r="J331" s="2" t="s">
        <v>536</v>
      </c>
      <c r="K331" s="2" t="s">
        <v>304</v>
      </c>
      <c r="L331" s="2" t="s">
        <v>38</v>
      </c>
      <c r="M331" s="8" t="str">
        <f>HYPERLINK("http://slimages.macys.com/is/image/MCY/14447992 ")</f>
        <v xml:space="preserve">http://slimages.macys.com/is/image/MCY/14447992 </v>
      </c>
    </row>
    <row r="332" spans="1:13" ht="60" x14ac:dyDescent="0.25">
      <c r="A332" s="7" t="s">
        <v>13741</v>
      </c>
      <c r="B332" s="2" t="s">
        <v>3543</v>
      </c>
      <c r="C332" s="4">
        <v>2</v>
      </c>
      <c r="D332" s="5">
        <v>2.3199999999999998</v>
      </c>
      <c r="E332" s="5">
        <v>6.99</v>
      </c>
      <c r="F332" s="4" t="s">
        <v>3544</v>
      </c>
      <c r="G332" s="2" t="s">
        <v>171</v>
      </c>
      <c r="H332" s="7" t="s">
        <v>91</v>
      </c>
      <c r="I332" s="2" t="s">
        <v>483</v>
      </c>
      <c r="J332" s="2" t="s">
        <v>536</v>
      </c>
      <c r="K332" s="2" t="s">
        <v>304</v>
      </c>
      <c r="L332" s="2" t="s">
        <v>38</v>
      </c>
      <c r="M332" s="8" t="str">
        <f>HYPERLINK("http://slimages.macys.com/is/image/MCY/14447992 ")</f>
        <v xml:space="preserve">http://slimages.macys.com/is/image/MCY/14447992 </v>
      </c>
    </row>
    <row r="333" spans="1:13" ht="60" x14ac:dyDescent="0.25">
      <c r="A333" s="7" t="s">
        <v>14226</v>
      </c>
      <c r="B333" s="2" t="s">
        <v>14227</v>
      </c>
      <c r="C333" s="4">
        <v>1</v>
      </c>
      <c r="D333" s="5">
        <v>2.31</v>
      </c>
      <c r="E333" s="5">
        <v>7.99</v>
      </c>
      <c r="F333" s="4" t="s">
        <v>14228</v>
      </c>
      <c r="G333" s="2" t="s">
        <v>41</v>
      </c>
      <c r="H333" s="7" t="s">
        <v>1151</v>
      </c>
      <c r="I333" s="2" t="s">
        <v>483</v>
      </c>
      <c r="J333" s="2" t="s">
        <v>536</v>
      </c>
      <c r="K333" s="2" t="s">
        <v>304</v>
      </c>
      <c r="L333" s="2" t="s">
        <v>38</v>
      </c>
      <c r="M333" s="8" t="str">
        <f>HYPERLINK("http://slimages.macys.com/is/image/MCY/14384909 ")</f>
        <v xml:space="preserve">http://slimages.macys.com/is/image/MCY/14384909 </v>
      </c>
    </row>
    <row r="334" spans="1:13" ht="60" x14ac:dyDescent="0.25">
      <c r="A334" s="7" t="s">
        <v>3551</v>
      </c>
      <c r="B334" s="2" t="s">
        <v>2377</v>
      </c>
      <c r="C334" s="4">
        <v>1</v>
      </c>
      <c r="D334" s="5">
        <v>2.2400000000000002</v>
      </c>
      <c r="E334" s="5">
        <v>5.99</v>
      </c>
      <c r="F334" s="4" t="s">
        <v>2378</v>
      </c>
      <c r="G334" s="2" t="s">
        <v>643</v>
      </c>
      <c r="H334" s="7" t="s">
        <v>149</v>
      </c>
      <c r="I334" s="2" t="s">
        <v>483</v>
      </c>
      <c r="J334" s="2" t="s">
        <v>536</v>
      </c>
      <c r="K334" s="2" t="s">
        <v>304</v>
      </c>
      <c r="L334" s="2" t="s">
        <v>206</v>
      </c>
      <c r="M334" s="8" t="str">
        <f>HYPERLINK("http://slimages.macys.com/is/image/MCY/13386674 ")</f>
        <v xml:space="preserve">http://slimages.macys.com/is/image/MCY/13386674 </v>
      </c>
    </row>
    <row r="335" spans="1:13" ht="60" x14ac:dyDescent="0.25">
      <c r="A335" s="7" t="s">
        <v>14004</v>
      </c>
      <c r="B335" s="2" t="s">
        <v>4598</v>
      </c>
      <c r="C335" s="4">
        <v>1</v>
      </c>
      <c r="D335" s="5">
        <v>2.2200000000000002</v>
      </c>
      <c r="E335" s="5">
        <v>5.99</v>
      </c>
      <c r="F335" s="4" t="s">
        <v>4599</v>
      </c>
      <c r="G335" s="2" t="s">
        <v>171</v>
      </c>
      <c r="H335" s="7" t="s">
        <v>442</v>
      </c>
      <c r="I335" s="2" t="s">
        <v>483</v>
      </c>
      <c r="J335" s="2" t="s">
        <v>536</v>
      </c>
      <c r="K335" s="2" t="s">
        <v>304</v>
      </c>
      <c r="L335" s="2" t="s">
        <v>119</v>
      </c>
      <c r="M335" s="8" t="str">
        <f>HYPERLINK("http://slimages.macys.com/is/image/MCY/14380996 ")</f>
        <v xml:space="preserve">http://slimages.macys.com/is/image/MCY/14380996 </v>
      </c>
    </row>
    <row r="336" spans="1:13" ht="60" x14ac:dyDescent="0.25">
      <c r="A336" s="7" t="s">
        <v>4600</v>
      </c>
      <c r="B336" s="2" t="s">
        <v>4598</v>
      </c>
      <c r="C336" s="4">
        <v>1</v>
      </c>
      <c r="D336" s="5">
        <v>2.2200000000000002</v>
      </c>
      <c r="E336" s="5">
        <v>5.99</v>
      </c>
      <c r="F336" s="4" t="s">
        <v>4599</v>
      </c>
      <c r="G336" s="2" t="s">
        <v>171</v>
      </c>
      <c r="H336" s="7" t="s">
        <v>590</v>
      </c>
      <c r="I336" s="2" t="s">
        <v>483</v>
      </c>
      <c r="J336" s="2" t="s">
        <v>536</v>
      </c>
      <c r="K336" s="2" t="s">
        <v>304</v>
      </c>
      <c r="L336" s="2" t="s">
        <v>119</v>
      </c>
      <c r="M336" s="8" t="str">
        <f>HYPERLINK("http://slimages.macys.com/is/image/MCY/14380996 ")</f>
        <v xml:space="preserve">http://slimages.macys.com/is/image/MCY/14380996 </v>
      </c>
    </row>
    <row r="337" spans="1:13" ht="60" x14ac:dyDescent="0.25">
      <c r="A337" s="7" t="s">
        <v>4601</v>
      </c>
      <c r="B337" s="2" t="s">
        <v>4598</v>
      </c>
      <c r="C337" s="4">
        <v>2</v>
      </c>
      <c r="D337" s="5">
        <v>2.2200000000000002</v>
      </c>
      <c r="E337" s="5">
        <v>5.99</v>
      </c>
      <c r="F337" s="4" t="s">
        <v>4599</v>
      </c>
      <c r="G337" s="2" t="s">
        <v>171</v>
      </c>
      <c r="H337" s="7" t="s">
        <v>91</v>
      </c>
      <c r="I337" s="2" t="s">
        <v>483</v>
      </c>
      <c r="J337" s="2" t="s">
        <v>536</v>
      </c>
      <c r="K337" s="2" t="s">
        <v>304</v>
      </c>
      <c r="L337" s="2" t="s">
        <v>119</v>
      </c>
      <c r="M337" s="8" t="str">
        <f>HYPERLINK("http://slimages.macys.com/is/image/MCY/14380996 ")</f>
        <v xml:space="preserve">http://slimages.macys.com/is/image/MCY/14380996 </v>
      </c>
    </row>
    <row r="338" spans="1:13" ht="60" x14ac:dyDescent="0.25">
      <c r="A338" s="7" t="s">
        <v>13456</v>
      </c>
      <c r="B338" s="2" t="s">
        <v>4598</v>
      </c>
      <c r="C338" s="4">
        <v>1</v>
      </c>
      <c r="D338" s="5">
        <v>2.2200000000000002</v>
      </c>
      <c r="E338" s="5">
        <v>5.99</v>
      </c>
      <c r="F338" s="4" t="s">
        <v>4599</v>
      </c>
      <c r="G338" s="2" t="s">
        <v>171</v>
      </c>
      <c r="H338" s="7" t="s">
        <v>149</v>
      </c>
      <c r="I338" s="2" t="s">
        <v>483</v>
      </c>
      <c r="J338" s="2" t="s">
        <v>536</v>
      </c>
      <c r="K338" s="2" t="s">
        <v>304</v>
      </c>
      <c r="L338" s="2" t="s">
        <v>119</v>
      </c>
      <c r="M338" s="8" t="str">
        <f>HYPERLINK("http://slimages.macys.com/is/image/MCY/14380996 ")</f>
        <v xml:space="preserve">http://slimages.macys.com/is/image/MCY/14380996 </v>
      </c>
    </row>
    <row r="339" spans="1:13" ht="60" x14ac:dyDescent="0.25">
      <c r="A339" s="7" t="s">
        <v>4597</v>
      </c>
      <c r="B339" s="2" t="s">
        <v>4598</v>
      </c>
      <c r="C339" s="4">
        <v>2</v>
      </c>
      <c r="D339" s="5">
        <v>2.2200000000000002</v>
      </c>
      <c r="E339" s="5">
        <v>5.99</v>
      </c>
      <c r="F339" s="4" t="s">
        <v>4599</v>
      </c>
      <c r="G339" s="2" t="s">
        <v>171</v>
      </c>
      <c r="H339" s="7" t="s">
        <v>42</v>
      </c>
      <c r="I339" s="2" t="s">
        <v>483</v>
      </c>
      <c r="J339" s="2" t="s">
        <v>536</v>
      </c>
      <c r="K339" s="2" t="s">
        <v>304</v>
      </c>
      <c r="L339" s="2" t="s">
        <v>119</v>
      </c>
      <c r="M339" s="8" t="str">
        <f>HYPERLINK("http://slimages.macys.com/is/image/MCY/14380996 ")</f>
        <v xml:space="preserve">http://slimages.macys.com/is/image/MCY/14380996 </v>
      </c>
    </row>
    <row r="340" spans="1:13" ht="84" x14ac:dyDescent="0.25">
      <c r="A340" s="7" t="s">
        <v>2733</v>
      </c>
      <c r="B340" s="2" t="s">
        <v>637</v>
      </c>
      <c r="C340" s="4">
        <v>1</v>
      </c>
      <c r="D340" s="5">
        <v>2.21</v>
      </c>
      <c r="E340" s="5">
        <v>6.99</v>
      </c>
      <c r="F340" s="4" t="s">
        <v>638</v>
      </c>
      <c r="G340" s="2" t="s">
        <v>171</v>
      </c>
      <c r="H340" s="7" t="s">
        <v>586</v>
      </c>
      <c r="I340" s="2" t="s">
        <v>483</v>
      </c>
      <c r="J340" s="2" t="s">
        <v>536</v>
      </c>
      <c r="K340" s="2" t="s">
        <v>304</v>
      </c>
      <c r="L340" s="2" t="s">
        <v>639</v>
      </c>
      <c r="M340" s="8" t="str">
        <f>HYPERLINK("http://slimages.macys.com/is/image/MCY/13987507 ")</f>
        <v xml:space="preserve">http://slimages.macys.com/is/image/MCY/13987507 </v>
      </c>
    </row>
    <row r="341" spans="1:13" ht="60" x14ac:dyDescent="0.25">
      <c r="A341" s="7" t="s">
        <v>13742</v>
      </c>
      <c r="B341" s="2" t="s">
        <v>4604</v>
      </c>
      <c r="C341" s="4">
        <v>1</v>
      </c>
      <c r="D341" s="5">
        <v>2.21</v>
      </c>
      <c r="E341" s="5">
        <v>5.99</v>
      </c>
      <c r="F341" s="4" t="s">
        <v>4605</v>
      </c>
      <c r="G341" s="2" t="s">
        <v>86</v>
      </c>
      <c r="H341" s="7" t="s">
        <v>590</v>
      </c>
      <c r="I341" s="2" t="s">
        <v>483</v>
      </c>
      <c r="J341" s="2" t="s">
        <v>536</v>
      </c>
      <c r="K341" s="2" t="s">
        <v>304</v>
      </c>
      <c r="L341" s="2" t="s">
        <v>119</v>
      </c>
      <c r="M341" s="8" t="str">
        <f>HYPERLINK("http://slimages.macys.com/is/image/MCY/14385251 ")</f>
        <v xml:space="preserve">http://slimages.macys.com/is/image/MCY/14385251 </v>
      </c>
    </row>
    <row r="342" spans="1:13" ht="60" x14ac:dyDescent="0.25">
      <c r="A342" s="7" t="s">
        <v>6656</v>
      </c>
      <c r="B342" s="2" t="s">
        <v>1399</v>
      </c>
      <c r="C342" s="4">
        <v>1</v>
      </c>
      <c r="D342" s="5">
        <v>1.97</v>
      </c>
      <c r="E342" s="5">
        <v>5.99</v>
      </c>
      <c r="F342" s="4" t="s">
        <v>1400</v>
      </c>
      <c r="G342" s="2" t="s">
        <v>657</v>
      </c>
      <c r="H342" s="7" t="s">
        <v>149</v>
      </c>
      <c r="I342" s="2" t="s">
        <v>483</v>
      </c>
      <c r="J342" s="2" t="s">
        <v>536</v>
      </c>
      <c r="K342" s="2" t="s">
        <v>304</v>
      </c>
      <c r="L342" s="2" t="s">
        <v>119</v>
      </c>
      <c r="M342" s="8" t="str">
        <f>HYPERLINK("http://slimages.macys.com/is/image/MCY/13987628 ")</f>
        <v xml:space="preserve">http://slimages.macys.com/is/image/MCY/13987628 </v>
      </c>
    </row>
    <row r="343" spans="1:13" ht="132" x14ac:dyDescent="0.25">
      <c r="A343" s="7" t="s">
        <v>14229</v>
      </c>
      <c r="B343" s="2" t="s">
        <v>14230</v>
      </c>
      <c r="C343" s="4">
        <v>1</v>
      </c>
      <c r="D343" s="5">
        <v>1.42</v>
      </c>
      <c r="E343" s="5">
        <v>3.99</v>
      </c>
      <c r="F343" s="4">
        <v>10005487200</v>
      </c>
      <c r="G343" s="2" t="s">
        <v>1360</v>
      </c>
      <c r="H343" s="7" t="s">
        <v>531</v>
      </c>
      <c r="I343" s="2" t="s">
        <v>483</v>
      </c>
      <c r="J343" s="2" t="s">
        <v>536</v>
      </c>
      <c r="K343" s="2" t="s">
        <v>304</v>
      </c>
      <c r="L343" s="2" t="s">
        <v>14231</v>
      </c>
      <c r="M343" s="8" t="str">
        <f>HYPERLINK("http://slimages.macys.com/is/image/MCY/12646557 ")</f>
        <v xml:space="preserve">http://slimages.macys.com/is/image/MCY/12646557 </v>
      </c>
    </row>
    <row r="344" spans="1:13" ht="60" x14ac:dyDescent="0.25">
      <c r="A344" s="7" t="s">
        <v>2734</v>
      </c>
      <c r="B344" s="2" t="s">
        <v>198</v>
      </c>
      <c r="C344" s="4">
        <v>1</v>
      </c>
      <c r="D344" s="5">
        <v>12.39</v>
      </c>
      <c r="E344" s="5">
        <v>29.5</v>
      </c>
      <c r="F344" s="4" t="s">
        <v>199</v>
      </c>
      <c r="G344" s="2" t="s">
        <v>200</v>
      </c>
      <c r="H344" s="7" t="s">
        <v>442</v>
      </c>
      <c r="I344" s="2" t="s">
        <v>135</v>
      </c>
      <c r="J344" s="2" t="s">
        <v>201</v>
      </c>
      <c r="K344" s="2"/>
      <c r="L344" s="2"/>
      <c r="M344" s="8"/>
    </row>
    <row r="345" spans="1:13" ht="60" x14ac:dyDescent="0.25">
      <c r="A345" s="7" t="s">
        <v>14232</v>
      </c>
      <c r="B345" s="2" t="s">
        <v>2423</v>
      </c>
      <c r="C345" s="4">
        <v>1</v>
      </c>
      <c r="D345" s="5">
        <v>10.3</v>
      </c>
      <c r="E345" s="5">
        <v>20.6</v>
      </c>
      <c r="F345" s="4">
        <v>28346410</v>
      </c>
      <c r="G345" s="2"/>
      <c r="H345" s="7" t="s">
        <v>68</v>
      </c>
      <c r="I345" s="2" t="s">
        <v>487</v>
      </c>
      <c r="J345" s="2" t="s">
        <v>2424</v>
      </c>
      <c r="K345" s="2"/>
      <c r="L345" s="2"/>
      <c r="M345" s="8"/>
    </row>
    <row r="346" spans="1:13" ht="60" x14ac:dyDescent="0.25">
      <c r="A346" s="7" t="s">
        <v>14233</v>
      </c>
      <c r="B346" s="2" t="s">
        <v>4617</v>
      </c>
      <c r="C346" s="4">
        <v>1</v>
      </c>
      <c r="D346" s="5">
        <v>10.3</v>
      </c>
      <c r="E346" s="5">
        <v>20.6</v>
      </c>
      <c r="F346" s="4">
        <v>27872211</v>
      </c>
      <c r="G346" s="2"/>
      <c r="H346" s="7" t="s">
        <v>209</v>
      </c>
      <c r="I346" s="2" t="s">
        <v>487</v>
      </c>
      <c r="J346" s="2" t="s">
        <v>2424</v>
      </c>
      <c r="K346" s="2"/>
      <c r="L346" s="2"/>
      <c r="M346" s="8"/>
    </row>
    <row r="347" spans="1:13" ht="60" x14ac:dyDescent="0.25">
      <c r="A347" s="7" t="s">
        <v>2422</v>
      </c>
      <c r="B347" s="2" t="s">
        <v>2423</v>
      </c>
      <c r="C347" s="4">
        <v>1</v>
      </c>
      <c r="D347" s="5">
        <v>10.3</v>
      </c>
      <c r="E347" s="5">
        <v>20.6</v>
      </c>
      <c r="F347" s="4">
        <v>28346410</v>
      </c>
      <c r="G347" s="2"/>
      <c r="H347" s="7" t="s">
        <v>209</v>
      </c>
      <c r="I347" s="2" t="s">
        <v>487</v>
      </c>
      <c r="J347" s="2" t="s">
        <v>2424</v>
      </c>
      <c r="K347" s="2"/>
      <c r="L347" s="2"/>
      <c r="M347" s="8"/>
    </row>
    <row r="348" spans="1:13" ht="60" x14ac:dyDescent="0.25">
      <c r="A348" s="7" t="s">
        <v>3577</v>
      </c>
      <c r="B348" s="2" t="s">
        <v>2423</v>
      </c>
      <c r="C348" s="4">
        <v>1</v>
      </c>
      <c r="D348" s="5">
        <v>10.3</v>
      </c>
      <c r="E348" s="5">
        <v>20.6</v>
      </c>
      <c r="F348" s="4">
        <v>28346410</v>
      </c>
      <c r="G348" s="2"/>
      <c r="H348" s="7" t="s">
        <v>144</v>
      </c>
      <c r="I348" s="2" t="s">
        <v>487</v>
      </c>
      <c r="J348" s="2" t="s">
        <v>2424</v>
      </c>
      <c r="K348" s="2"/>
      <c r="L348" s="2"/>
      <c r="M348" s="8"/>
    </row>
    <row r="349" spans="1:13" ht="60" x14ac:dyDescent="0.25">
      <c r="A349" s="7" t="s">
        <v>14234</v>
      </c>
      <c r="B349" s="2" t="s">
        <v>4617</v>
      </c>
      <c r="C349" s="4">
        <v>2</v>
      </c>
      <c r="D349" s="5">
        <v>10.3</v>
      </c>
      <c r="E349" s="5">
        <v>20.6</v>
      </c>
      <c r="F349" s="4">
        <v>27872211</v>
      </c>
      <c r="G349" s="2"/>
      <c r="H349" s="7" t="s">
        <v>68</v>
      </c>
      <c r="I349" s="2" t="s">
        <v>487</v>
      </c>
      <c r="J349" s="2" t="s">
        <v>2424</v>
      </c>
      <c r="K349" s="2"/>
      <c r="L349" s="2"/>
      <c r="M349" s="8"/>
    </row>
    <row r="350" spans="1:13" ht="36" x14ac:dyDescent="0.25">
      <c r="A350" s="7" t="s">
        <v>14235</v>
      </c>
      <c r="B350" s="2" t="s">
        <v>5115</v>
      </c>
      <c r="C350" s="4">
        <v>2</v>
      </c>
      <c r="D350" s="5">
        <v>9.25</v>
      </c>
      <c r="E350" s="5">
        <v>34</v>
      </c>
      <c r="F350" s="4" t="s">
        <v>5116</v>
      </c>
      <c r="G350" s="2" t="s">
        <v>437</v>
      </c>
      <c r="H350" s="7" t="s">
        <v>166</v>
      </c>
      <c r="I350" s="2" t="s">
        <v>50</v>
      </c>
      <c r="J350" s="2" t="s">
        <v>650</v>
      </c>
      <c r="K350" s="2"/>
      <c r="L350" s="2"/>
      <c r="M350" s="8"/>
    </row>
    <row r="351" spans="1:13" ht="36" x14ac:dyDescent="0.25">
      <c r="A351" s="7" t="s">
        <v>5114</v>
      </c>
      <c r="B351" s="2" t="s">
        <v>5115</v>
      </c>
      <c r="C351" s="4">
        <v>1</v>
      </c>
      <c r="D351" s="5">
        <v>9.25</v>
      </c>
      <c r="E351" s="5">
        <v>34</v>
      </c>
      <c r="F351" s="4" t="s">
        <v>5116</v>
      </c>
      <c r="G351" s="2" t="s">
        <v>437</v>
      </c>
      <c r="H351" s="7" t="s">
        <v>2740</v>
      </c>
      <c r="I351" s="2" t="s">
        <v>50</v>
      </c>
      <c r="J351" s="2" t="s">
        <v>650</v>
      </c>
      <c r="K351" s="2"/>
      <c r="L351" s="2"/>
      <c r="M351" s="8"/>
    </row>
    <row r="352" spans="1:13" ht="36" x14ac:dyDescent="0.25">
      <c r="A352" s="7" t="s">
        <v>14236</v>
      </c>
      <c r="B352" s="2" t="s">
        <v>5115</v>
      </c>
      <c r="C352" s="4">
        <v>2</v>
      </c>
      <c r="D352" s="5">
        <v>9.25</v>
      </c>
      <c r="E352" s="5">
        <v>34</v>
      </c>
      <c r="F352" s="4" t="s">
        <v>5116</v>
      </c>
      <c r="G352" s="2" t="s">
        <v>437</v>
      </c>
      <c r="H352" s="7" t="s">
        <v>177</v>
      </c>
      <c r="I352" s="2" t="s">
        <v>50</v>
      </c>
      <c r="J352" s="2" t="s">
        <v>650</v>
      </c>
      <c r="K352" s="2"/>
      <c r="L352" s="2"/>
      <c r="M352" s="8"/>
    </row>
    <row r="353" spans="1:13" ht="36" x14ac:dyDescent="0.25">
      <c r="A353" s="7" t="s">
        <v>14237</v>
      </c>
      <c r="B353" s="2" t="s">
        <v>5115</v>
      </c>
      <c r="C353" s="4">
        <v>3</v>
      </c>
      <c r="D353" s="5">
        <v>9.25</v>
      </c>
      <c r="E353" s="5">
        <v>34</v>
      </c>
      <c r="F353" s="4" t="s">
        <v>5116</v>
      </c>
      <c r="G353" s="2" t="s">
        <v>437</v>
      </c>
      <c r="H353" s="7" t="s">
        <v>2872</v>
      </c>
      <c r="I353" s="2" t="s">
        <v>50</v>
      </c>
      <c r="J353" s="2" t="s">
        <v>650</v>
      </c>
      <c r="K353" s="2"/>
      <c r="L353" s="2"/>
      <c r="M353" s="8"/>
    </row>
    <row r="354" spans="1:13" ht="36" x14ac:dyDescent="0.25">
      <c r="A354" s="7" t="s">
        <v>14238</v>
      </c>
      <c r="B354" s="2" t="s">
        <v>5115</v>
      </c>
      <c r="C354" s="4">
        <v>1</v>
      </c>
      <c r="D354" s="5">
        <v>9.25</v>
      </c>
      <c r="E354" s="5">
        <v>34</v>
      </c>
      <c r="F354" s="4" t="s">
        <v>5116</v>
      </c>
      <c r="G354" s="2" t="s">
        <v>437</v>
      </c>
      <c r="H354" s="7" t="s">
        <v>961</v>
      </c>
      <c r="I354" s="2" t="s">
        <v>50</v>
      </c>
      <c r="J354" s="2" t="s">
        <v>650</v>
      </c>
      <c r="K354" s="2"/>
      <c r="L354" s="2"/>
      <c r="M354" s="8"/>
    </row>
    <row r="355" spans="1:13" ht="36" x14ac:dyDescent="0.25">
      <c r="A355" s="7" t="s">
        <v>10763</v>
      </c>
      <c r="B355" s="2" t="s">
        <v>5808</v>
      </c>
      <c r="C355" s="4">
        <v>1</v>
      </c>
      <c r="D355" s="5">
        <v>6.4</v>
      </c>
      <c r="E355" s="5">
        <v>14.55</v>
      </c>
      <c r="F355" s="4">
        <v>17889410</v>
      </c>
      <c r="G355" s="2" t="s">
        <v>28</v>
      </c>
      <c r="H355" s="7" t="s">
        <v>233</v>
      </c>
      <c r="I355" s="2" t="s">
        <v>153</v>
      </c>
      <c r="J355" s="2" t="s">
        <v>154</v>
      </c>
      <c r="K355" s="2"/>
      <c r="L355" s="2"/>
      <c r="M355" s="8"/>
    </row>
  </sheetData>
  <pageMargins left="0.5" right="0.5" top="0.25" bottom="0.25" header="0.3" footer="0.3"/>
  <pageSetup scale="65" orientation="landscape" horizontalDpi="0" verticalDpi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05"/>
  <sheetViews>
    <sheetView workbookViewId="0">
      <selection activeCell="N7" sqref="N7"/>
    </sheetView>
  </sheetViews>
  <sheetFormatPr defaultRowHeight="15" x14ac:dyDescent="0.25"/>
  <cols>
    <col min="1" max="1" width="14.28515625" customWidth="1"/>
    <col min="2" max="2" width="38.140625" customWidth="1"/>
    <col min="3" max="3" width="15" customWidth="1"/>
    <col min="4" max="4" width="10.85546875" customWidth="1"/>
    <col min="5" max="6" width="15" customWidth="1"/>
    <col min="7" max="7" width="10.28515625" customWidth="1"/>
    <col min="8" max="8" width="13.7109375" customWidth="1"/>
    <col min="9" max="11" width="11.42578125" customWidth="1"/>
    <col min="12" max="12" width="7.42578125" customWidth="1"/>
    <col min="13" max="13" width="10.85546875" customWidth="1"/>
    <col min="14" max="14" width="12.140625" customWidth="1"/>
    <col min="15" max="15" width="36.5703125" bestFit="1" customWidth="1"/>
    <col min="16" max="17" width="20.7109375" customWidth="1"/>
    <col min="18" max="18" width="64.28515625" customWidth="1"/>
  </cols>
  <sheetData>
    <row r="1" spans="1:13" ht="36" x14ac:dyDescent="0.25">
      <c r="A1" s="32" t="s">
        <v>0</v>
      </c>
      <c r="B1" s="32" t="s">
        <v>1</v>
      </c>
      <c r="C1" s="32" t="s">
        <v>2</v>
      </c>
      <c r="D1" s="32" t="s">
        <v>3</v>
      </c>
      <c r="E1" s="32" t="s">
        <v>4</v>
      </c>
      <c r="F1" s="32" t="s">
        <v>5</v>
      </c>
      <c r="G1" s="32" t="s">
        <v>6</v>
      </c>
      <c r="H1" s="32" t="s">
        <v>7</v>
      </c>
      <c r="I1" s="32" t="s">
        <v>8</v>
      </c>
      <c r="J1" s="32" t="s">
        <v>9</v>
      </c>
    </row>
    <row r="2" spans="1:13" ht="36" x14ac:dyDescent="0.25">
      <c r="A2" s="2" t="s">
        <v>654</v>
      </c>
      <c r="B2" s="3">
        <v>12486869</v>
      </c>
      <c r="C2" s="2" t="s">
        <v>11</v>
      </c>
      <c r="D2" s="2" t="s">
        <v>12</v>
      </c>
      <c r="E2" s="4">
        <v>1</v>
      </c>
      <c r="F2" s="4">
        <v>19</v>
      </c>
      <c r="G2" s="2">
        <v>189</v>
      </c>
      <c r="H2" s="5">
        <v>4824.17</v>
      </c>
      <c r="I2" s="5">
        <v>12082.08</v>
      </c>
      <c r="J2" s="2">
        <v>578</v>
      </c>
    </row>
    <row r="4" spans="1:13" s="6" customFormat="1" x14ac:dyDescent="0.25"/>
    <row r="7" spans="1:13" s="6" customFormat="1" x14ac:dyDescent="0.25"/>
    <row r="8" spans="1:13" ht="36" x14ac:dyDescent="0.25">
      <c r="A8" s="32" t="s">
        <v>13</v>
      </c>
      <c r="B8" s="32" t="s">
        <v>14</v>
      </c>
      <c r="C8" s="32" t="s">
        <v>15</v>
      </c>
      <c r="D8" s="32" t="s">
        <v>16</v>
      </c>
      <c r="E8" s="32" t="s">
        <v>17</v>
      </c>
      <c r="F8" s="32" t="s">
        <v>18</v>
      </c>
      <c r="G8" s="32" t="s">
        <v>19</v>
      </c>
      <c r="H8" s="32" t="s">
        <v>20</v>
      </c>
      <c r="I8" s="32" t="s">
        <v>21</v>
      </c>
      <c r="J8" s="32" t="s">
        <v>22</v>
      </c>
      <c r="K8" s="32" t="s">
        <v>2737</v>
      </c>
      <c r="L8" s="32" t="s">
        <v>23</v>
      </c>
      <c r="M8" s="32" t="s">
        <v>24</v>
      </c>
    </row>
    <row r="9" spans="1:13" ht="60" x14ac:dyDescent="0.25">
      <c r="A9" s="7" t="s">
        <v>13744</v>
      </c>
      <c r="B9" s="2" t="s">
        <v>13745</v>
      </c>
      <c r="C9" s="4">
        <v>1</v>
      </c>
      <c r="D9" s="5">
        <v>29.93</v>
      </c>
      <c r="E9" s="5">
        <v>79.900000000000006</v>
      </c>
      <c r="F9" s="4" t="s">
        <v>13746</v>
      </c>
      <c r="G9" s="2" t="s">
        <v>657</v>
      </c>
      <c r="H9" s="7" t="s">
        <v>2791</v>
      </c>
      <c r="I9" s="2" t="s">
        <v>30</v>
      </c>
      <c r="J9" s="2" t="s">
        <v>31</v>
      </c>
      <c r="K9" s="2" t="s">
        <v>304</v>
      </c>
      <c r="L9" s="2" t="s">
        <v>335</v>
      </c>
      <c r="M9" s="8" t="str">
        <f>HYPERLINK("http://slimages.macys.com/is/image/MCY/3695445 ")</f>
        <v xml:space="preserve">http://slimages.macys.com/is/image/MCY/3695445 </v>
      </c>
    </row>
    <row r="10" spans="1:13" ht="60" x14ac:dyDescent="0.25">
      <c r="A10" s="7" t="s">
        <v>13747</v>
      </c>
      <c r="B10" s="2" t="s">
        <v>13748</v>
      </c>
      <c r="C10" s="4">
        <v>1</v>
      </c>
      <c r="D10" s="5">
        <v>29.25</v>
      </c>
      <c r="E10" s="5">
        <v>65</v>
      </c>
      <c r="F10" s="4">
        <v>320750306001</v>
      </c>
      <c r="G10" s="2" t="s">
        <v>28</v>
      </c>
      <c r="H10" s="7" t="s">
        <v>42</v>
      </c>
      <c r="I10" s="2" t="s">
        <v>676</v>
      </c>
      <c r="J10" s="2" t="s">
        <v>677</v>
      </c>
      <c r="K10" s="2" t="s">
        <v>304</v>
      </c>
      <c r="L10" s="2" t="s">
        <v>87</v>
      </c>
      <c r="M10" s="8" t="str">
        <f>HYPERLINK("http://slimages.macys.com/is/image/MCY/14361822 ")</f>
        <v xml:space="preserve">http://slimages.macys.com/is/image/MCY/14361822 </v>
      </c>
    </row>
    <row r="11" spans="1:13" ht="60" x14ac:dyDescent="0.25">
      <c r="A11" s="7" t="s">
        <v>10337</v>
      </c>
      <c r="B11" s="2" t="s">
        <v>10338</v>
      </c>
      <c r="C11" s="4">
        <v>1</v>
      </c>
      <c r="D11" s="5">
        <v>27.75</v>
      </c>
      <c r="E11" s="5">
        <v>75</v>
      </c>
      <c r="F11" s="4">
        <v>1358</v>
      </c>
      <c r="G11" s="2" t="s">
        <v>41</v>
      </c>
      <c r="H11" s="7" t="s">
        <v>590</v>
      </c>
      <c r="I11" s="2" t="s">
        <v>43</v>
      </c>
      <c r="J11" s="2" t="s">
        <v>44</v>
      </c>
      <c r="K11" s="2" t="s">
        <v>8659</v>
      </c>
      <c r="L11" s="2" t="s">
        <v>125</v>
      </c>
      <c r="M11" s="8" t="str">
        <f>HYPERLINK("http://slimages.macys.com/is/image/MCY/2180894 ")</f>
        <v xml:space="preserve">http://slimages.macys.com/is/image/MCY/2180894 </v>
      </c>
    </row>
    <row r="12" spans="1:13" ht="60" x14ac:dyDescent="0.25">
      <c r="A12" s="7" t="s">
        <v>13749</v>
      </c>
      <c r="B12" s="2" t="s">
        <v>2820</v>
      </c>
      <c r="C12" s="4">
        <v>1</v>
      </c>
      <c r="D12" s="5">
        <v>24.75</v>
      </c>
      <c r="E12" s="5">
        <v>49.5</v>
      </c>
      <c r="F12" s="4" t="s">
        <v>2821</v>
      </c>
      <c r="G12" s="2" t="s">
        <v>28</v>
      </c>
      <c r="H12" s="7" t="s">
        <v>1405</v>
      </c>
      <c r="I12" s="2" t="s">
        <v>30</v>
      </c>
      <c r="J12" s="2" t="s">
        <v>658</v>
      </c>
      <c r="K12" s="2" t="s">
        <v>304</v>
      </c>
      <c r="L12" s="2" t="s">
        <v>2822</v>
      </c>
      <c r="M12" s="8" t="str">
        <f>HYPERLINK("http://slimages.macys.com/is/image/MCY/10031452 ")</f>
        <v xml:space="preserve">http://slimages.macys.com/is/image/MCY/10031452 </v>
      </c>
    </row>
    <row r="13" spans="1:13" ht="60" x14ac:dyDescent="0.25">
      <c r="A13" s="7" t="s">
        <v>13750</v>
      </c>
      <c r="B13" s="2" t="s">
        <v>1413</v>
      </c>
      <c r="C13" s="4">
        <v>1</v>
      </c>
      <c r="D13" s="5">
        <v>24.75</v>
      </c>
      <c r="E13" s="5">
        <v>55</v>
      </c>
      <c r="F13" s="4">
        <v>310752315001</v>
      </c>
      <c r="G13" s="2" t="s">
        <v>41</v>
      </c>
      <c r="H13" s="7" t="s">
        <v>675</v>
      </c>
      <c r="I13" s="2" t="s">
        <v>676</v>
      </c>
      <c r="J13" s="2" t="s">
        <v>677</v>
      </c>
      <c r="K13" s="2" t="s">
        <v>304</v>
      </c>
      <c r="L13" s="2" t="s">
        <v>38</v>
      </c>
      <c r="M13" s="8" t="str">
        <f>HYPERLINK("http://slimages.macys.com/is/image/MCY/14361795 ")</f>
        <v xml:space="preserve">http://slimages.macys.com/is/image/MCY/14361795 </v>
      </c>
    </row>
    <row r="14" spans="1:13" ht="60" x14ac:dyDescent="0.25">
      <c r="A14" s="7" t="s">
        <v>13751</v>
      </c>
      <c r="B14" s="2" t="s">
        <v>13752</v>
      </c>
      <c r="C14" s="4">
        <v>1</v>
      </c>
      <c r="D14" s="5">
        <v>24.75</v>
      </c>
      <c r="E14" s="5">
        <v>55</v>
      </c>
      <c r="F14" s="4">
        <v>310767929001</v>
      </c>
      <c r="G14" s="2" t="s">
        <v>28</v>
      </c>
      <c r="H14" s="7" t="s">
        <v>438</v>
      </c>
      <c r="I14" s="2" t="s">
        <v>676</v>
      </c>
      <c r="J14" s="2" t="s">
        <v>677</v>
      </c>
      <c r="K14" s="2" t="s">
        <v>304</v>
      </c>
      <c r="L14" s="2" t="s">
        <v>38</v>
      </c>
      <c r="M14" s="8" t="str">
        <f>HYPERLINK("http://slimages.macys.com/is/image/MCY/14361796 ")</f>
        <v xml:space="preserve">http://slimages.macys.com/is/image/MCY/14361796 </v>
      </c>
    </row>
    <row r="15" spans="1:13" ht="60" x14ac:dyDescent="0.25">
      <c r="A15" s="7" t="s">
        <v>1419</v>
      </c>
      <c r="B15" s="2" t="s">
        <v>1420</v>
      </c>
      <c r="C15" s="4">
        <v>1</v>
      </c>
      <c r="D15" s="5">
        <v>23</v>
      </c>
      <c r="E15" s="5">
        <v>54.99</v>
      </c>
      <c r="F15" s="4" t="s">
        <v>1421</v>
      </c>
      <c r="G15" s="2" t="s">
        <v>103</v>
      </c>
      <c r="H15" s="7" t="s">
        <v>1422</v>
      </c>
      <c r="I15" s="2" t="s">
        <v>668</v>
      </c>
      <c r="J15" s="2" t="s">
        <v>239</v>
      </c>
      <c r="K15" s="2" t="s">
        <v>304</v>
      </c>
      <c r="L15" s="2" t="s">
        <v>1418</v>
      </c>
      <c r="M15" s="8" t="str">
        <f>HYPERLINK("http://slimages.macys.com/is/image/MCY/14459201 ")</f>
        <v xml:space="preserve">http://slimages.macys.com/is/image/MCY/14459201 </v>
      </c>
    </row>
    <row r="16" spans="1:13" ht="60" x14ac:dyDescent="0.25">
      <c r="A16" s="7" t="s">
        <v>10770</v>
      </c>
      <c r="B16" s="2" t="s">
        <v>40</v>
      </c>
      <c r="C16" s="4">
        <v>1</v>
      </c>
      <c r="D16" s="5">
        <v>21</v>
      </c>
      <c r="E16" s="5">
        <v>55</v>
      </c>
      <c r="F16" s="4">
        <v>1201</v>
      </c>
      <c r="G16" s="2" t="s">
        <v>41</v>
      </c>
      <c r="H16" s="7"/>
      <c r="I16" s="2" t="s">
        <v>43</v>
      </c>
      <c r="J16" s="2" t="s">
        <v>44</v>
      </c>
      <c r="K16" s="2" t="s">
        <v>2746</v>
      </c>
      <c r="L16" s="2" t="s">
        <v>125</v>
      </c>
      <c r="M16" s="8" t="str">
        <f>HYPERLINK("http://slimages.macys.com/is/image/MCY/1087909 ")</f>
        <v xml:space="preserve">http://slimages.macys.com/is/image/MCY/1087909 </v>
      </c>
    </row>
    <row r="17" spans="1:13" ht="60" x14ac:dyDescent="0.25">
      <c r="A17" s="7" t="s">
        <v>1428</v>
      </c>
      <c r="B17" s="2" t="s">
        <v>40</v>
      </c>
      <c r="C17" s="4">
        <v>1</v>
      </c>
      <c r="D17" s="5">
        <v>21</v>
      </c>
      <c r="E17" s="5">
        <v>55</v>
      </c>
      <c r="F17" s="4">
        <v>1201</v>
      </c>
      <c r="G17" s="2" t="s">
        <v>41</v>
      </c>
      <c r="H17" s="7" t="s">
        <v>590</v>
      </c>
      <c r="I17" s="2" t="s">
        <v>43</v>
      </c>
      <c r="J17" s="2" t="s">
        <v>44</v>
      </c>
      <c r="K17" s="2" t="s">
        <v>2746</v>
      </c>
      <c r="L17" s="2" t="s">
        <v>125</v>
      </c>
      <c r="M17" s="8" t="str">
        <f>HYPERLINK("http://slimages.macys.com/is/image/MCY/1087909 ")</f>
        <v xml:space="preserve">http://slimages.macys.com/is/image/MCY/1087909 </v>
      </c>
    </row>
    <row r="18" spans="1:13" ht="60" x14ac:dyDescent="0.25">
      <c r="A18" s="7" t="s">
        <v>13753</v>
      </c>
      <c r="B18" s="2" t="s">
        <v>13754</v>
      </c>
      <c r="C18" s="4">
        <v>1</v>
      </c>
      <c r="D18" s="5">
        <v>20.25</v>
      </c>
      <c r="E18" s="5">
        <v>45</v>
      </c>
      <c r="F18" s="4">
        <v>320750279001</v>
      </c>
      <c r="G18" s="2" t="s">
        <v>129</v>
      </c>
      <c r="H18" s="7" t="s">
        <v>675</v>
      </c>
      <c r="I18" s="2" t="s">
        <v>676</v>
      </c>
      <c r="J18" s="2" t="s">
        <v>677</v>
      </c>
      <c r="K18" s="2" t="s">
        <v>304</v>
      </c>
      <c r="L18" s="2" t="s">
        <v>38</v>
      </c>
      <c r="M18" s="8" t="str">
        <f>HYPERLINK("http://slimages.macys.com/is/image/MCY/14361829 ")</f>
        <v xml:space="preserve">http://slimages.macys.com/is/image/MCY/14361829 </v>
      </c>
    </row>
    <row r="19" spans="1:13" ht="60" x14ac:dyDescent="0.25">
      <c r="A19" s="7" t="s">
        <v>13755</v>
      </c>
      <c r="B19" s="2" t="s">
        <v>4693</v>
      </c>
      <c r="C19" s="4">
        <v>1</v>
      </c>
      <c r="D19" s="5">
        <v>20.25</v>
      </c>
      <c r="E19" s="5">
        <v>45</v>
      </c>
      <c r="F19" s="4">
        <v>320750290004</v>
      </c>
      <c r="G19" s="2" t="s">
        <v>657</v>
      </c>
      <c r="H19" s="7" t="s">
        <v>438</v>
      </c>
      <c r="I19" s="2" t="s">
        <v>676</v>
      </c>
      <c r="J19" s="2" t="s">
        <v>677</v>
      </c>
      <c r="K19" s="2" t="s">
        <v>304</v>
      </c>
      <c r="L19" s="2" t="s">
        <v>38</v>
      </c>
      <c r="M19" s="8" t="str">
        <f>HYPERLINK("http://slimages.macys.com/is/image/MCY/14361830 ")</f>
        <v xml:space="preserve">http://slimages.macys.com/is/image/MCY/14361830 </v>
      </c>
    </row>
    <row r="20" spans="1:13" ht="60" x14ac:dyDescent="0.25">
      <c r="A20" s="7" t="s">
        <v>13756</v>
      </c>
      <c r="B20" s="2" t="s">
        <v>13757</v>
      </c>
      <c r="C20" s="4">
        <v>1</v>
      </c>
      <c r="D20" s="5">
        <v>20.25</v>
      </c>
      <c r="E20" s="5">
        <v>45</v>
      </c>
      <c r="F20" s="4">
        <v>323750011001</v>
      </c>
      <c r="G20" s="2" t="s">
        <v>353</v>
      </c>
      <c r="H20" s="7" t="s">
        <v>217</v>
      </c>
      <c r="I20" s="2" t="s">
        <v>204</v>
      </c>
      <c r="J20" s="2" t="s">
        <v>205</v>
      </c>
      <c r="K20" s="2" t="s">
        <v>304</v>
      </c>
      <c r="L20" s="2" t="s">
        <v>38</v>
      </c>
      <c r="M20" s="8" t="str">
        <f>HYPERLINK("http://slimages.macys.com/is/image/MCY/14413130 ")</f>
        <v xml:space="preserve">http://slimages.macys.com/is/image/MCY/14413130 </v>
      </c>
    </row>
    <row r="21" spans="1:13" ht="60" x14ac:dyDescent="0.25">
      <c r="A21" s="7" t="s">
        <v>13758</v>
      </c>
      <c r="B21" s="2" t="s">
        <v>13759</v>
      </c>
      <c r="C21" s="4">
        <v>1</v>
      </c>
      <c r="D21" s="5">
        <v>20</v>
      </c>
      <c r="E21" s="5">
        <v>59.99</v>
      </c>
      <c r="F21" s="4" t="s">
        <v>13760</v>
      </c>
      <c r="G21" s="2" t="s">
        <v>752</v>
      </c>
      <c r="H21" s="7"/>
      <c r="I21" s="2" t="s">
        <v>668</v>
      </c>
      <c r="J21" s="2" t="s">
        <v>239</v>
      </c>
      <c r="K21" s="2" t="s">
        <v>304</v>
      </c>
      <c r="L21" s="2" t="s">
        <v>125</v>
      </c>
      <c r="M21" s="8" t="str">
        <f>HYPERLINK("http://slimages.macys.com/is/image/MCY/14382826 ")</f>
        <v xml:space="preserve">http://slimages.macys.com/is/image/MCY/14382826 </v>
      </c>
    </row>
    <row r="22" spans="1:13" ht="60" x14ac:dyDescent="0.25">
      <c r="A22" s="7" t="s">
        <v>13761</v>
      </c>
      <c r="B22" s="2" t="s">
        <v>95</v>
      </c>
      <c r="C22" s="4">
        <v>1</v>
      </c>
      <c r="D22" s="5">
        <v>17</v>
      </c>
      <c r="E22" s="5">
        <v>42.5</v>
      </c>
      <c r="F22" s="4" t="s">
        <v>96</v>
      </c>
      <c r="G22" s="2" t="s">
        <v>62</v>
      </c>
      <c r="H22" s="7" t="s">
        <v>177</v>
      </c>
      <c r="I22" s="2" t="s">
        <v>98</v>
      </c>
      <c r="J22" s="2" t="s">
        <v>99</v>
      </c>
      <c r="K22" s="2" t="s">
        <v>304</v>
      </c>
      <c r="L22" s="2" t="s">
        <v>100</v>
      </c>
      <c r="M22" s="8" t="str">
        <f>HYPERLINK("http://slimages.macys.com/is/image/MCY/15177441 ")</f>
        <v xml:space="preserve">http://slimages.macys.com/is/image/MCY/15177441 </v>
      </c>
    </row>
    <row r="23" spans="1:13" ht="60" x14ac:dyDescent="0.25">
      <c r="A23" s="7" t="s">
        <v>94</v>
      </c>
      <c r="B23" s="2" t="s">
        <v>95</v>
      </c>
      <c r="C23" s="4">
        <v>1</v>
      </c>
      <c r="D23" s="5">
        <v>17</v>
      </c>
      <c r="E23" s="5">
        <v>42.5</v>
      </c>
      <c r="F23" s="4" t="s">
        <v>96</v>
      </c>
      <c r="G23" s="2" t="s">
        <v>62</v>
      </c>
      <c r="H23" s="7" t="s">
        <v>97</v>
      </c>
      <c r="I23" s="2" t="s">
        <v>98</v>
      </c>
      <c r="J23" s="2" t="s">
        <v>99</v>
      </c>
      <c r="K23" s="2" t="s">
        <v>304</v>
      </c>
      <c r="L23" s="2" t="s">
        <v>100</v>
      </c>
      <c r="M23" s="8" t="str">
        <f>HYPERLINK("http://slimages.macys.com/is/image/MCY/15177441 ")</f>
        <v xml:space="preserve">http://slimages.macys.com/is/image/MCY/15177441 </v>
      </c>
    </row>
    <row r="24" spans="1:13" ht="264" x14ac:dyDescent="0.25">
      <c r="A24" s="7" t="s">
        <v>13527</v>
      </c>
      <c r="B24" s="2" t="s">
        <v>13208</v>
      </c>
      <c r="C24" s="4">
        <v>1</v>
      </c>
      <c r="D24" s="5">
        <v>16.75</v>
      </c>
      <c r="E24" s="5">
        <v>39.99</v>
      </c>
      <c r="F24" s="4" t="s">
        <v>13209</v>
      </c>
      <c r="G24" s="2" t="s">
        <v>129</v>
      </c>
      <c r="H24" s="7" t="s">
        <v>91</v>
      </c>
      <c r="I24" s="2" t="s">
        <v>92</v>
      </c>
      <c r="J24" s="2" t="s">
        <v>187</v>
      </c>
      <c r="K24" s="2" t="s">
        <v>304</v>
      </c>
      <c r="L24" s="2" t="s">
        <v>13210</v>
      </c>
      <c r="M24" s="8" t="str">
        <f>HYPERLINK("http://slimages.macys.com/is/image/MCY/14802453 ")</f>
        <v xml:space="preserve">http://slimages.macys.com/is/image/MCY/14802453 </v>
      </c>
    </row>
    <row r="25" spans="1:13" ht="180" x14ac:dyDescent="0.25">
      <c r="A25" s="7" t="s">
        <v>2950</v>
      </c>
      <c r="B25" s="2" t="s">
        <v>1450</v>
      </c>
      <c r="C25" s="4">
        <v>1</v>
      </c>
      <c r="D25" s="5">
        <v>16.5</v>
      </c>
      <c r="E25" s="5">
        <v>39.99</v>
      </c>
      <c r="F25" s="4" t="s">
        <v>1451</v>
      </c>
      <c r="G25" s="2" t="s">
        <v>103</v>
      </c>
      <c r="H25" s="7" t="s">
        <v>42</v>
      </c>
      <c r="I25" s="2" t="s">
        <v>92</v>
      </c>
      <c r="J25" s="2" t="s">
        <v>239</v>
      </c>
      <c r="K25" s="2" t="s">
        <v>304</v>
      </c>
      <c r="L25" s="2" t="s">
        <v>1452</v>
      </c>
      <c r="M25" s="8" t="str">
        <f>HYPERLINK("http://slimages.macys.com/is/image/MCY/14989365 ")</f>
        <v xml:space="preserve">http://slimages.macys.com/is/image/MCY/14989365 </v>
      </c>
    </row>
    <row r="26" spans="1:13" ht="180" x14ac:dyDescent="0.25">
      <c r="A26" s="7" t="s">
        <v>3652</v>
      </c>
      <c r="B26" s="2" t="s">
        <v>1450</v>
      </c>
      <c r="C26" s="4">
        <v>1</v>
      </c>
      <c r="D26" s="5">
        <v>16.5</v>
      </c>
      <c r="E26" s="5">
        <v>39.99</v>
      </c>
      <c r="F26" s="4" t="s">
        <v>1451</v>
      </c>
      <c r="G26" s="2" t="s">
        <v>103</v>
      </c>
      <c r="H26" s="7" t="s">
        <v>590</v>
      </c>
      <c r="I26" s="2" t="s">
        <v>92</v>
      </c>
      <c r="J26" s="2" t="s">
        <v>239</v>
      </c>
      <c r="K26" s="2" t="s">
        <v>304</v>
      </c>
      <c r="L26" s="2" t="s">
        <v>1452</v>
      </c>
      <c r="M26" s="8" t="str">
        <f>HYPERLINK("http://slimages.macys.com/is/image/MCY/14989365 ")</f>
        <v xml:space="preserve">http://slimages.macys.com/is/image/MCY/14989365 </v>
      </c>
    </row>
    <row r="27" spans="1:13" ht="120" x14ac:dyDescent="0.25">
      <c r="A27" s="7" t="s">
        <v>3660</v>
      </c>
      <c r="B27" s="2" t="s">
        <v>1454</v>
      </c>
      <c r="C27" s="4">
        <v>1</v>
      </c>
      <c r="D27" s="5">
        <v>16.5</v>
      </c>
      <c r="E27" s="5">
        <v>39.99</v>
      </c>
      <c r="F27" s="4" t="s">
        <v>1455</v>
      </c>
      <c r="G27" s="2" t="s">
        <v>103</v>
      </c>
      <c r="H27" s="7" t="s">
        <v>590</v>
      </c>
      <c r="I27" s="2" t="s">
        <v>92</v>
      </c>
      <c r="J27" s="2" t="s">
        <v>65</v>
      </c>
      <c r="K27" s="2" t="s">
        <v>304</v>
      </c>
      <c r="L27" s="2" t="s">
        <v>1456</v>
      </c>
      <c r="M27" s="8" t="str">
        <f>HYPERLINK("http://slimages.macys.com/is/image/MCY/13965178 ")</f>
        <v xml:space="preserve">http://slimages.macys.com/is/image/MCY/13965178 </v>
      </c>
    </row>
    <row r="28" spans="1:13" ht="120" x14ac:dyDescent="0.25">
      <c r="A28" s="7" t="s">
        <v>1453</v>
      </c>
      <c r="B28" s="2" t="s">
        <v>1454</v>
      </c>
      <c r="C28" s="4">
        <v>1</v>
      </c>
      <c r="D28" s="5">
        <v>16.5</v>
      </c>
      <c r="E28" s="5">
        <v>39.99</v>
      </c>
      <c r="F28" s="4" t="s">
        <v>1455</v>
      </c>
      <c r="G28" s="2" t="s">
        <v>103</v>
      </c>
      <c r="H28" s="7" t="s">
        <v>442</v>
      </c>
      <c r="I28" s="2" t="s">
        <v>92</v>
      </c>
      <c r="J28" s="2" t="s">
        <v>65</v>
      </c>
      <c r="K28" s="2" t="s">
        <v>304</v>
      </c>
      <c r="L28" s="2" t="s">
        <v>1456</v>
      </c>
      <c r="M28" s="8" t="str">
        <f>HYPERLINK("http://slimages.macys.com/is/image/MCY/13965178 ")</f>
        <v xml:space="preserve">http://slimages.macys.com/is/image/MCY/13965178 </v>
      </c>
    </row>
    <row r="29" spans="1:13" ht="84" x14ac:dyDescent="0.25">
      <c r="A29" s="7" t="s">
        <v>3664</v>
      </c>
      <c r="B29" s="2" t="s">
        <v>1458</v>
      </c>
      <c r="C29" s="4">
        <v>3</v>
      </c>
      <c r="D29" s="5">
        <v>16</v>
      </c>
      <c r="E29" s="5">
        <v>39.99</v>
      </c>
      <c r="F29" s="4" t="s">
        <v>1459</v>
      </c>
      <c r="G29" s="2" t="s">
        <v>129</v>
      </c>
      <c r="H29" s="7" t="s">
        <v>42</v>
      </c>
      <c r="I29" s="2" t="s">
        <v>92</v>
      </c>
      <c r="J29" s="2" t="s">
        <v>239</v>
      </c>
      <c r="K29" s="2" t="s">
        <v>304</v>
      </c>
      <c r="L29" s="2" t="s">
        <v>1460</v>
      </c>
      <c r="M29" s="8" t="str">
        <f>HYPERLINK("http://slimages.macys.com/is/image/MCY/14989246 ")</f>
        <v xml:space="preserve">http://slimages.macys.com/is/image/MCY/14989246 </v>
      </c>
    </row>
    <row r="30" spans="1:13" ht="84" x14ac:dyDescent="0.25">
      <c r="A30" s="7" t="s">
        <v>2959</v>
      </c>
      <c r="B30" s="2" t="s">
        <v>1458</v>
      </c>
      <c r="C30" s="4">
        <v>1</v>
      </c>
      <c r="D30" s="5">
        <v>16</v>
      </c>
      <c r="E30" s="5">
        <v>39.99</v>
      </c>
      <c r="F30" s="4" t="s">
        <v>1459</v>
      </c>
      <c r="G30" s="2" t="s">
        <v>129</v>
      </c>
      <c r="H30" s="7" t="s">
        <v>149</v>
      </c>
      <c r="I30" s="2" t="s">
        <v>92</v>
      </c>
      <c r="J30" s="2" t="s">
        <v>239</v>
      </c>
      <c r="K30" s="2" t="s">
        <v>304</v>
      </c>
      <c r="L30" s="2" t="s">
        <v>1460</v>
      </c>
      <c r="M30" s="8" t="str">
        <f>HYPERLINK("http://slimages.macys.com/is/image/MCY/14989246 ")</f>
        <v xml:space="preserve">http://slimages.macys.com/is/image/MCY/14989246 </v>
      </c>
    </row>
    <row r="31" spans="1:13" ht="60" x14ac:dyDescent="0.25">
      <c r="A31" s="7" t="s">
        <v>10808</v>
      </c>
      <c r="B31" s="2" t="s">
        <v>1467</v>
      </c>
      <c r="C31" s="4">
        <v>1</v>
      </c>
      <c r="D31" s="5">
        <v>15.8</v>
      </c>
      <c r="E31" s="5">
        <v>39.5</v>
      </c>
      <c r="F31" s="4" t="s">
        <v>1468</v>
      </c>
      <c r="G31" s="2" t="s">
        <v>437</v>
      </c>
      <c r="H31" s="7"/>
      <c r="I31" s="2" t="s">
        <v>57</v>
      </c>
      <c r="J31" s="2" t="s">
        <v>58</v>
      </c>
      <c r="K31" s="2" t="s">
        <v>304</v>
      </c>
      <c r="L31" s="2" t="s">
        <v>100</v>
      </c>
      <c r="M31" s="8" t="str">
        <f>HYPERLINK("http://slimages.macys.com/is/image/MCY/13043447 ")</f>
        <v xml:space="preserve">http://slimages.macys.com/is/image/MCY/13043447 </v>
      </c>
    </row>
    <row r="32" spans="1:13" ht="60" x14ac:dyDescent="0.25">
      <c r="A32" s="7" t="s">
        <v>13762</v>
      </c>
      <c r="B32" s="2" t="s">
        <v>13763</v>
      </c>
      <c r="C32" s="4">
        <v>1</v>
      </c>
      <c r="D32" s="5">
        <v>15.2</v>
      </c>
      <c r="E32" s="5">
        <v>40</v>
      </c>
      <c r="F32" s="4" t="s">
        <v>13764</v>
      </c>
      <c r="G32" s="2" t="s">
        <v>13765</v>
      </c>
      <c r="H32" s="7" t="s">
        <v>13766</v>
      </c>
      <c r="I32" s="2" t="s">
        <v>700</v>
      </c>
      <c r="J32" s="2" t="s">
        <v>1475</v>
      </c>
      <c r="K32" s="2" t="s">
        <v>304</v>
      </c>
      <c r="L32" s="2" t="s">
        <v>13767</v>
      </c>
      <c r="M32" s="8" t="str">
        <f>HYPERLINK("http://slimages.macys.com/is/image/MCY/13042639 ")</f>
        <v xml:space="preserve">http://slimages.macys.com/is/image/MCY/13042639 </v>
      </c>
    </row>
    <row r="33" spans="1:13" ht="72" x14ac:dyDescent="0.25">
      <c r="A33" s="7" t="s">
        <v>13768</v>
      </c>
      <c r="B33" s="2" t="s">
        <v>735</v>
      </c>
      <c r="C33" s="4">
        <v>1</v>
      </c>
      <c r="D33" s="5">
        <v>15</v>
      </c>
      <c r="E33" s="5">
        <v>39.99</v>
      </c>
      <c r="F33" s="4" t="s">
        <v>736</v>
      </c>
      <c r="G33" s="2" t="s">
        <v>595</v>
      </c>
      <c r="H33" s="7" t="s">
        <v>149</v>
      </c>
      <c r="I33" s="2" t="s">
        <v>92</v>
      </c>
      <c r="J33" s="2" t="s">
        <v>239</v>
      </c>
      <c r="K33" s="2" t="s">
        <v>304</v>
      </c>
      <c r="L33" s="2" t="s">
        <v>737</v>
      </c>
      <c r="M33" s="8" t="str">
        <f>HYPERLINK("http://slimages.macys.com/is/image/MCY/14989275 ")</f>
        <v xml:space="preserve">http://slimages.macys.com/is/image/MCY/14989275 </v>
      </c>
    </row>
    <row r="34" spans="1:13" ht="60" x14ac:dyDescent="0.25">
      <c r="A34" s="7" t="s">
        <v>3676</v>
      </c>
      <c r="B34" s="2" t="s">
        <v>1484</v>
      </c>
      <c r="C34" s="4">
        <v>1</v>
      </c>
      <c r="D34" s="5">
        <v>15</v>
      </c>
      <c r="E34" s="5">
        <v>39.99</v>
      </c>
      <c r="F34" s="4" t="s">
        <v>1485</v>
      </c>
      <c r="G34" s="2" t="s">
        <v>752</v>
      </c>
      <c r="H34" s="7" t="s">
        <v>42</v>
      </c>
      <c r="I34" s="2" t="s">
        <v>92</v>
      </c>
      <c r="J34" s="2" t="s">
        <v>239</v>
      </c>
      <c r="K34" s="2" t="s">
        <v>304</v>
      </c>
      <c r="L34" s="2" t="s">
        <v>125</v>
      </c>
      <c r="M34" s="8" t="str">
        <f>HYPERLINK("http://slimages.macys.com/is/image/MCY/14886756 ")</f>
        <v xml:space="preserve">http://slimages.macys.com/is/image/MCY/14886756 </v>
      </c>
    </row>
    <row r="35" spans="1:13" ht="72" x14ac:dyDescent="0.25">
      <c r="A35" s="7" t="s">
        <v>13769</v>
      </c>
      <c r="B35" s="2" t="s">
        <v>735</v>
      </c>
      <c r="C35" s="4">
        <v>1</v>
      </c>
      <c r="D35" s="5">
        <v>15</v>
      </c>
      <c r="E35" s="5">
        <v>39.99</v>
      </c>
      <c r="F35" s="4" t="s">
        <v>736</v>
      </c>
      <c r="G35" s="2" t="s">
        <v>595</v>
      </c>
      <c r="H35" s="7" t="s">
        <v>442</v>
      </c>
      <c r="I35" s="2" t="s">
        <v>92</v>
      </c>
      <c r="J35" s="2" t="s">
        <v>239</v>
      </c>
      <c r="K35" s="2" t="s">
        <v>304</v>
      </c>
      <c r="L35" s="2" t="s">
        <v>737</v>
      </c>
      <c r="M35" s="8" t="str">
        <f>HYPERLINK("http://slimages.macys.com/is/image/MCY/14989275 ")</f>
        <v xml:space="preserve">http://slimages.macys.com/is/image/MCY/14989275 </v>
      </c>
    </row>
    <row r="36" spans="1:13" ht="276" x14ac:dyDescent="0.25">
      <c r="A36" s="7" t="s">
        <v>13770</v>
      </c>
      <c r="B36" s="2" t="s">
        <v>1494</v>
      </c>
      <c r="C36" s="4">
        <v>1</v>
      </c>
      <c r="D36" s="5">
        <v>14.5</v>
      </c>
      <c r="E36" s="5">
        <v>39.99</v>
      </c>
      <c r="F36" s="4" t="s">
        <v>1495</v>
      </c>
      <c r="G36" s="2" t="s">
        <v>353</v>
      </c>
      <c r="H36" s="7" t="s">
        <v>42</v>
      </c>
      <c r="I36" s="2" t="s">
        <v>92</v>
      </c>
      <c r="J36" s="2" t="s">
        <v>65</v>
      </c>
      <c r="K36" s="2" t="s">
        <v>304</v>
      </c>
      <c r="L36" s="2" t="s">
        <v>1496</v>
      </c>
      <c r="M36" s="8" t="str">
        <f>HYPERLINK("http://slimages.macys.com/is/image/MCY/15240516 ")</f>
        <v xml:space="preserve">http://slimages.macys.com/is/image/MCY/15240516 </v>
      </c>
    </row>
    <row r="37" spans="1:13" ht="108" x14ac:dyDescent="0.25">
      <c r="A37" s="7" t="s">
        <v>13771</v>
      </c>
      <c r="B37" s="2" t="s">
        <v>8630</v>
      </c>
      <c r="C37" s="4">
        <v>1</v>
      </c>
      <c r="D37" s="5">
        <v>14.5</v>
      </c>
      <c r="E37" s="5">
        <v>39.99</v>
      </c>
      <c r="F37" s="4" t="s">
        <v>8631</v>
      </c>
      <c r="G37" s="2" t="s">
        <v>103</v>
      </c>
      <c r="H37" s="7" t="s">
        <v>442</v>
      </c>
      <c r="I37" s="2" t="s">
        <v>92</v>
      </c>
      <c r="J37" s="2" t="s">
        <v>65</v>
      </c>
      <c r="K37" s="2" t="s">
        <v>304</v>
      </c>
      <c r="L37" s="2" t="s">
        <v>8632</v>
      </c>
      <c r="M37" s="8" t="str">
        <f>HYPERLINK("http://slimages.macys.com/is/image/MCY/13965166 ")</f>
        <v xml:space="preserve">http://slimages.macys.com/is/image/MCY/13965166 </v>
      </c>
    </row>
    <row r="38" spans="1:13" ht="180" x14ac:dyDescent="0.25">
      <c r="A38" s="7" t="s">
        <v>3697</v>
      </c>
      <c r="B38" s="2" t="s">
        <v>3698</v>
      </c>
      <c r="C38" s="4">
        <v>1</v>
      </c>
      <c r="D38" s="5">
        <v>14.5</v>
      </c>
      <c r="E38" s="5">
        <v>39.99</v>
      </c>
      <c r="F38" s="4" t="s">
        <v>3699</v>
      </c>
      <c r="G38" s="2" t="s">
        <v>62</v>
      </c>
      <c r="H38" s="7" t="s">
        <v>442</v>
      </c>
      <c r="I38" s="2" t="s">
        <v>92</v>
      </c>
      <c r="J38" s="2" t="s">
        <v>239</v>
      </c>
      <c r="K38" s="2" t="s">
        <v>304</v>
      </c>
      <c r="L38" s="2" t="s">
        <v>1452</v>
      </c>
      <c r="M38" s="8" t="str">
        <f>HYPERLINK("http://slimages.macys.com/is/image/MCY/14989303 ")</f>
        <v xml:space="preserve">http://slimages.macys.com/is/image/MCY/14989303 </v>
      </c>
    </row>
    <row r="39" spans="1:13" ht="60" x14ac:dyDescent="0.25">
      <c r="A39" s="7" t="s">
        <v>3704</v>
      </c>
      <c r="B39" s="2" t="s">
        <v>747</v>
      </c>
      <c r="C39" s="4">
        <v>1</v>
      </c>
      <c r="D39" s="5">
        <v>14.18</v>
      </c>
      <c r="E39" s="5">
        <v>34.99</v>
      </c>
      <c r="F39" s="4" t="s">
        <v>748</v>
      </c>
      <c r="G39" s="2" t="s">
        <v>353</v>
      </c>
      <c r="H39" s="7" t="s">
        <v>159</v>
      </c>
      <c r="I39" s="2" t="s">
        <v>292</v>
      </c>
      <c r="J39" s="2" t="s">
        <v>293</v>
      </c>
      <c r="K39" s="2" t="s">
        <v>304</v>
      </c>
      <c r="L39" s="2" t="s">
        <v>125</v>
      </c>
      <c r="M39" s="8" t="str">
        <f>HYPERLINK("http://slimages.macys.com/is/image/MCY/11527670 ")</f>
        <v xml:space="preserve">http://slimages.macys.com/is/image/MCY/11527670 </v>
      </c>
    </row>
    <row r="40" spans="1:13" ht="60" x14ac:dyDescent="0.25">
      <c r="A40" s="7" t="s">
        <v>13772</v>
      </c>
      <c r="B40" s="2" t="s">
        <v>1504</v>
      </c>
      <c r="C40" s="4">
        <v>1</v>
      </c>
      <c r="D40" s="5">
        <v>14</v>
      </c>
      <c r="E40" s="5">
        <v>39.99</v>
      </c>
      <c r="F40" s="4" t="s">
        <v>1505</v>
      </c>
      <c r="G40" s="2" t="s">
        <v>129</v>
      </c>
      <c r="H40" s="7" t="s">
        <v>177</v>
      </c>
      <c r="I40" s="2" t="s">
        <v>668</v>
      </c>
      <c r="J40" s="2" t="s">
        <v>1506</v>
      </c>
      <c r="K40" s="2" t="s">
        <v>304</v>
      </c>
      <c r="L40" s="2" t="s">
        <v>125</v>
      </c>
      <c r="M40" s="8" t="str">
        <f>HYPERLINK("http://slimages.macys.com/is/image/MCY/12830956 ")</f>
        <v xml:space="preserve">http://slimages.macys.com/is/image/MCY/12830956 </v>
      </c>
    </row>
    <row r="41" spans="1:13" ht="60" x14ac:dyDescent="0.25">
      <c r="A41" s="7" t="s">
        <v>138</v>
      </c>
      <c r="B41" s="2" t="s">
        <v>139</v>
      </c>
      <c r="C41" s="4">
        <v>1</v>
      </c>
      <c r="D41" s="5">
        <v>13.98</v>
      </c>
      <c r="E41" s="5">
        <v>39.5</v>
      </c>
      <c r="F41" s="4" t="s">
        <v>140</v>
      </c>
      <c r="G41" s="2" t="s">
        <v>79</v>
      </c>
      <c r="H41" s="7" t="s">
        <v>123</v>
      </c>
      <c r="I41" s="2" t="s">
        <v>98</v>
      </c>
      <c r="J41" s="2" t="s">
        <v>99</v>
      </c>
      <c r="K41" s="2" t="s">
        <v>304</v>
      </c>
      <c r="L41" s="2" t="s">
        <v>119</v>
      </c>
      <c r="M41" s="8" t="str">
        <f>HYPERLINK("http://slimages.macys.com/is/image/MCY/14475244 ")</f>
        <v xml:space="preserve">http://slimages.macys.com/is/image/MCY/14475244 </v>
      </c>
    </row>
    <row r="42" spans="1:13" ht="168" x14ac:dyDescent="0.25">
      <c r="A42" s="7" t="s">
        <v>3014</v>
      </c>
      <c r="B42" s="2" t="s">
        <v>1522</v>
      </c>
      <c r="C42" s="4">
        <v>1</v>
      </c>
      <c r="D42" s="5">
        <v>13.75</v>
      </c>
      <c r="E42" s="5">
        <v>39.99</v>
      </c>
      <c r="F42" s="4" t="s">
        <v>1523</v>
      </c>
      <c r="G42" s="2" t="s">
        <v>62</v>
      </c>
      <c r="H42" s="7" t="s">
        <v>149</v>
      </c>
      <c r="I42" s="2" t="s">
        <v>92</v>
      </c>
      <c r="J42" s="2" t="s">
        <v>239</v>
      </c>
      <c r="K42" s="2" t="s">
        <v>304</v>
      </c>
      <c r="L42" s="2" t="s">
        <v>1524</v>
      </c>
      <c r="M42" s="8" t="str">
        <f>HYPERLINK("http://slimages.macys.com/is/image/MCY/14886823 ")</f>
        <v xml:space="preserve">http://slimages.macys.com/is/image/MCY/14886823 </v>
      </c>
    </row>
    <row r="43" spans="1:13" ht="144" x14ac:dyDescent="0.25">
      <c r="A43" s="7" t="s">
        <v>3013</v>
      </c>
      <c r="B43" s="2" t="s">
        <v>2493</v>
      </c>
      <c r="C43" s="4">
        <v>2</v>
      </c>
      <c r="D43" s="5">
        <v>13.75</v>
      </c>
      <c r="E43" s="5">
        <v>39.99</v>
      </c>
      <c r="F43" s="4" t="s">
        <v>2494</v>
      </c>
      <c r="G43" s="2" t="s">
        <v>752</v>
      </c>
      <c r="H43" s="7" t="s">
        <v>149</v>
      </c>
      <c r="I43" s="2" t="s">
        <v>92</v>
      </c>
      <c r="J43" s="2" t="s">
        <v>239</v>
      </c>
      <c r="K43" s="2" t="s">
        <v>304</v>
      </c>
      <c r="L43" s="2" t="s">
        <v>2495</v>
      </c>
      <c r="M43" s="8" t="str">
        <f>HYPERLINK("http://slimages.macys.com/is/image/MCY/14886820 ")</f>
        <v xml:space="preserve">http://slimages.macys.com/is/image/MCY/14886820 </v>
      </c>
    </row>
    <row r="44" spans="1:13" ht="168" x14ac:dyDescent="0.25">
      <c r="A44" s="7" t="s">
        <v>3015</v>
      </c>
      <c r="B44" s="2" t="s">
        <v>1522</v>
      </c>
      <c r="C44" s="4">
        <v>1</v>
      </c>
      <c r="D44" s="5">
        <v>13.75</v>
      </c>
      <c r="E44" s="5">
        <v>39.99</v>
      </c>
      <c r="F44" s="4" t="s">
        <v>1523</v>
      </c>
      <c r="G44" s="2" t="s">
        <v>62</v>
      </c>
      <c r="H44" s="7" t="s">
        <v>590</v>
      </c>
      <c r="I44" s="2" t="s">
        <v>92</v>
      </c>
      <c r="J44" s="2" t="s">
        <v>239</v>
      </c>
      <c r="K44" s="2" t="s">
        <v>304</v>
      </c>
      <c r="L44" s="2" t="s">
        <v>1524</v>
      </c>
      <c r="M44" s="8" t="str">
        <f>HYPERLINK("http://slimages.macys.com/is/image/MCY/14886823 ")</f>
        <v xml:space="preserve">http://slimages.macys.com/is/image/MCY/14886823 </v>
      </c>
    </row>
    <row r="45" spans="1:13" ht="180" x14ac:dyDescent="0.25">
      <c r="A45" s="7" t="s">
        <v>13255</v>
      </c>
      <c r="B45" s="2" t="s">
        <v>2497</v>
      </c>
      <c r="C45" s="4">
        <v>1</v>
      </c>
      <c r="D45" s="5">
        <v>13.75</v>
      </c>
      <c r="E45" s="5">
        <v>39.99</v>
      </c>
      <c r="F45" s="4" t="s">
        <v>2498</v>
      </c>
      <c r="G45" s="2" t="s">
        <v>28</v>
      </c>
      <c r="H45" s="7" t="s">
        <v>442</v>
      </c>
      <c r="I45" s="2" t="s">
        <v>92</v>
      </c>
      <c r="J45" s="2" t="s">
        <v>239</v>
      </c>
      <c r="K45" s="2" t="s">
        <v>304</v>
      </c>
      <c r="L45" s="2" t="s">
        <v>1452</v>
      </c>
      <c r="M45" s="8" t="str">
        <f>HYPERLINK("http://slimages.macys.com/is/image/MCY/14886762 ")</f>
        <v xml:space="preserve">http://slimages.macys.com/is/image/MCY/14886762 </v>
      </c>
    </row>
    <row r="46" spans="1:13" ht="168" x14ac:dyDescent="0.25">
      <c r="A46" s="7" t="s">
        <v>4789</v>
      </c>
      <c r="B46" s="2" t="s">
        <v>1522</v>
      </c>
      <c r="C46" s="4">
        <v>3</v>
      </c>
      <c r="D46" s="5">
        <v>13.75</v>
      </c>
      <c r="E46" s="5">
        <v>39.99</v>
      </c>
      <c r="F46" s="4" t="s">
        <v>1523</v>
      </c>
      <c r="G46" s="2" t="s">
        <v>62</v>
      </c>
      <c r="H46" s="7" t="s">
        <v>42</v>
      </c>
      <c r="I46" s="2" t="s">
        <v>92</v>
      </c>
      <c r="J46" s="2" t="s">
        <v>239</v>
      </c>
      <c r="K46" s="2" t="s">
        <v>304</v>
      </c>
      <c r="L46" s="2" t="s">
        <v>1524</v>
      </c>
      <c r="M46" s="8" t="str">
        <f>HYPERLINK("http://slimages.macys.com/is/image/MCY/14886823 ")</f>
        <v xml:space="preserve">http://slimages.macys.com/is/image/MCY/14886823 </v>
      </c>
    </row>
    <row r="47" spans="1:13" ht="144" x14ac:dyDescent="0.25">
      <c r="A47" s="7" t="s">
        <v>3016</v>
      </c>
      <c r="B47" s="2" t="s">
        <v>2493</v>
      </c>
      <c r="C47" s="4">
        <v>1</v>
      </c>
      <c r="D47" s="5">
        <v>13.75</v>
      </c>
      <c r="E47" s="5">
        <v>39.99</v>
      </c>
      <c r="F47" s="4" t="s">
        <v>2494</v>
      </c>
      <c r="G47" s="2" t="s">
        <v>752</v>
      </c>
      <c r="H47" s="7" t="s">
        <v>442</v>
      </c>
      <c r="I47" s="2" t="s">
        <v>92</v>
      </c>
      <c r="J47" s="2" t="s">
        <v>239</v>
      </c>
      <c r="K47" s="2" t="s">
        <v>304</v>
      </c>
      <c r="L47" s="2" t="s">
        <v>2495</v>
      </c>
      <c r="M47" s="8" t="str">
        <f>HYPERLINK("http://slimages.macys.com/is/image/MCY/14886820 ")</f>
        <v xml:space="preserve">http://slimages.macys.com/is/image/MCY/14886820 </v>
      </c>
    </row>
    <row r="48" spans="1:13" ht="144" x14ac:dyDescent="0.25">
      <c r="A48" s="7" t="s">
        <v>2492</v>
      </c>
      <c r="B48" s="2" t="s">
        <v>2493</v>
      </c>
      <c r="C48" s="4">
        <v>3</v>
      </c>
      <c r="D48" s="5">
        <v>13.75</v>
      </c>
      <c r="E48" s="5">
        <v>39.99</v>
      </c>
      <c r="F48" s="4" t="s">
        <v>2494</v>
      </c>
      <c r="G48" s="2" t="s">
        <v>752</v>
      </c>
      <c r="H48" s="7" t="s">
        <v>42</v>
      </c>
      <c r="I48" s="2" t="s">
        <v>92</v>
      </c>
      <c r="J48" s="2" t="s">
        <v>239</v>
      </c>
      <c r="K48" s="2" t="s">
        <v>304</v>
      </c>
      <c r="L48" s="2" t="s">
        <v>2495</v>
      </c>
      <c r="M48" s="8" t="str">
        <f>HYPERLINK("http://slimages.macys.com/is/image/MCY/14886820 ")</f>
        <v xml:space="preserve">http://slimages.macys.com/is/image/MCY/14886820 </v>
      </c>
    </row>
    <row r="49" spans="1:13" ht="144" x14ac:dyDescent="0.25">
      <c r="A49" s="7" t="s">
        <v>4788</v>
      </c>
      <c r="B49" s="2" t="s">
        <v>2493</v>
      </c>
      <c r="C49" s="4">
        <v>1</v>
      </c>
      <c r="D49" s="5">
        <v>13.75</v>
      </c>
      <c r="E49" s="5">
        <v>39.99</v>
      </c>
      <c r="F49" s="4" t="s">
        <v>2494</v>
      </c>
      <c r="G49" s="2" t="s">
        <v>752</v>
      </c>
      <c r="H49" s="7" t="s">
        <v>590</v>
      </c>
      <c r="I49" s="2" t="s">
        <v>92</v>
      </c>
      <c r="J49" s="2" t="s">
        <v>239</v>
      </c>
      <c r="K49" s="2" t="s">
        <v>304</v>
      </c>
      <c r="L49" s="2" t="s">
        <v>2495</v>
      </c>
      <c r="M49" s="8" t="str">
        <f>HYPERLINK("http://slimages.macys.com/is/image/MCY/14886820 ")</f>
        <v xml:space="preserve">http://slimages.macys.com/is/image/MCY/14886820 </v>
      </c>
    </row>
    <row r="50" spans="1:13" ht="168" x14ac:dyDescent="0.25">
      <c r="A50" s="7" t="s">
        <v>5211</v>
      </c>
      <c r="B50" s="2" t="s">
        <v>1522</v>
      </c>
      <c r="C50" s="4">
        <v>2</v>
      </c>
      <c r="D50" s="5">
        <v>13.75</v>
      </c>
      <c r="E50" s="5">
        <v>39.99</v>
      </c>
      <c r="F50" s="4" t="s">
        <v>1523</v>
      </c>
      <c r="G50" s="2" t="s">
        <v>62</v>
      </c>
      <c r="H50" s="7" t="s">
        <v>91</v>
      </c>
      <c r="I50" s="2" t="s">
        <v>92</v>
      </c>
      <c r="J50" s="2" t="s">
        <v>239</v>
      </c>
      <c r="K50" s="2" t="s">
        <v>304</v>
      </c>
      <c r="L50" s="2" t="s">
        <v>1524</v>
      </c>
      <c r="M50" s="8" t="str">
        <f>HYPERLINK("http://slimages.macys.com/is/image/MCY/14886823 ")</f>
        <v xml:space="preserve">http://slimages.macys.com/is/image/MCY/14886823 </v>
      </c>
    </row>
    <row r="51" spans="1:13" ht="180" x14ac:dyDescent="0.25">
      <c r="A51" s="7" t="s">
        <v>3741</v>
      </c>
      <c r="B51" s="2" t="s">
        <v>2497</v>
      </c>
      <c r="C51" s="4">
        <v>1</v>
      </c>
      <c r="D51" s="5">
        <v>13.75</v>
      </c>
      <c r="E51" s="5">
        <v>39.99</v>
      </c>
      <c r="F51" s="4" t="s">
        <v>2498</v>
      </c>
      <c r="G51" s="2" t="s">
        <v>28</v>
      </c>
      <c r="H51" s="7" t="s">
        <v>590</v>
      </c>
      <c r="I51" s="2" t="s">
        <v>92</v>
      </c>
      <c r="J51" s="2" t="s">
        <v>239</v>
      </c>
      <c r="K51" s="2" t="s">
        <v>304</v>
      </c>
      <c r="L51" s="2" t="s">
        <v>1452</v>
      </c>
      <c r="M51" s="8" t="str">
        <f>HYPERLINK("http://slimages.macys.com/is/image/MCY/14886762 ")</f>
        <v xml:space="preserve">http://slimages.macys.com/is/image/MCY/14886762 </v>
      </c>
    </row>
    <row r="52" spans="1:13" ht="144" x14ac:dyDescent="0.25">
      <c r="A52" s="7" t="s">
        <v>13550</v>
      </c>
      <c r="B52" s="2" t="s">
        <v>2493</v>
      </c>
      <c r="C52" s="4">
        <v>1</v>
      </c>
      <c r="D52" s="5">
        <v>13.75</v>
      </c>
      <c r="E52" s="5">
        <v>39.99</v>
      </c>
      <c r="F52" s="4" t="s">
        <v>2494</v>
      </c>
      <c r="G52" s="2" t="s">
        <v>752</v>
      </c>
      <c r="H52" s="7" t="s">
        <v>91</v>
      </c>
      <c r="I52" s="2" t="s">
        <v>92</v>
      </c>
      <c r="J52" s="2" t="s">
        <v>239</v>
      </c>
      <c r="K52" s="2" t="s">
        <v>304</v>
      </c>
      <c r="L52" s="2" t="s">
        <v>2495</v>
      </c>
      <c r="M52" s="8" t="str">
        <f>HYPERLINK("http://slimages.macys.com/is/image/MCY/14886820 ")</f>
        <v xml:space="preserve">http://slimages.macys.com/is/image/MCY/14886820 </v>
      </c>
    </row>
    <row r="53" spans="1:13" ht="204" x14ac:dyDescent="0.25">
      <c r="A53" s="7" t="s">
        <v>13267</v>
      </c>
      <c r="B53" s="2" t="s">
        <v>152</v>
      </c>
      <c r="C53" s="4">
        <v>1</v>
      </c>
      <c r="D53" s="5">
        <v>13.5</v>
      </c>
      <c r="E53" s="5">
        <v>30.7</v>
      </c>
      <c r="F53" s="4">
        <v>19320310</v>
      </c>
      <c r="G53" s="2"/>
      <c r="H53" s="7" t="s">
        <v>91</v>
      </c>
      <c r="I53" s="2" t="s">
        <v>153</v>
      </c>
      <c r="J53" s="2" t="s">
        <v>154</v>
      </c>
      <c r="K53" s="2" t="s">
        <v>304</v>
      </c>
      <c r="L53" s="2" t="s">
        <v>155</v>
      </c>
      <c r="M53" s="8" t="str">
        <f>HYPERLINK("http://slimages.macys.com/is/image/MCY/14608313 ")</f>
        <v xml:space="preserve">http://slimages.macys.com/is/image/MCY/14608313 </v>
      </c>
    </row>
    <row r="54" spans="1:13" ht="264" x14ac:dyDescent="0.25">
      <c r="A54" s="7" t="s">
        <v>13773</v>
      </c>
      <c r="B54" s="2" t="s">
        <v>13774</v>
      </c>
      <c r="C54" s="4">
        <v>1</v>
      </c>
      <c r="D54" s="5">
        <v>13.5</v>
      </c>
      <c r="E54" s="5">
        <v>39.99</v>
      </c>
      <c r="F54" s="4" t="s">
        <v>13775</v>
      </c>
      <c r="G54" s="2" t="s">
        <v>129</v>
      </c>
      <c r="H54" s="7" t="s">
        <v>42</v>
      </c>
      <c r="I54" s="2" t="s">
        <v>92</v>
      </c>
      <c r="J54" s="2" t="s">
        <v>65</v>
      </c>
      <c r="K54" s="2" t="s">
        <v>304</v>
      </c>
      <c r="L54" s="2" t="s">
        <v>13776</v>
      </c>
      <c r="M54" s="8" t="str">
        <f>HYPERLINK("http://slimages.macys.com/is/image/MCY/15240539 ")</f>
        <v xml:space="preserve">http://slimages.macys.com/is/image/MCY/15240539 </v>
      </c>
    </row>
    <row r="55" spans="1:13" ht="216" x14ac:dyDescent="0.25">
      <c r="A55" s="7" t="s">
        <v>146</v>
      </c>
      <c r="B55" s="2" t="s">
        <v>147</v>
      </c>
      <c r="C55" s="4">
        <v>1</v>
      </c>
      <c r="D55" s="5">
        <v>13.5</v>
      </c>
      <c r="E55" s="5">
        <v>34.99</v>
      </c>
      <c r="F55" s="4" t="s">
        <v>148</v>
      </c>
      <c r="G55" s="2" t="s">
        <v>107</v>
      </c>
      <c r="H55" s="7" t="s">
        <v>149</v>
      </c>
      <c r="I55" s="2" t="s">
        <v>92</v>
      </c>
      <c r="J55" s="2" t="s">
        <v>65</v>
      </c>
      <c r="K55" s="2" t="s">
        <v>304</v>
      </c>
      <c r="L55" s="2" t="s">
        <v>150</v>
      </c>
      <c r="M55" s="8" t="str">
        <f>HYPERLINK("http://slimages.macys.com/is/image/MCY/14815597 ")</f>
        <v xml:space="preserve">http://slimages.macys.com/is/image/MCY/14815597 </v>
      </c>
    </row>
    <row r="56" spans="1:13" ht="204" x14ac:dyDescent="0.25">
      <c r="A56" s="7" t="s">
        <v>3017</v>
      </c>
      <c r="B56" s="2" t="s">
        <v>152</v>
      </c>
      <c r="C56" s="4">
        <v>1</v>
      </c>
      <c r="D56" s="5">
        <v>13.5</v>
      </c>
      <c r="E56" s="5">
        <v>30.7</v>
      </c>
      <c r="F56" s="4">
        <v>19320310</v>
      </c>
      <c r="G56" s="2"/>
      <c r="H56" s="7" t="s">
        <v>482</v>
      </c>
      <c r="I56" s="2" t="s">
        <v>153</v>
      </c>
      <c r="J56" s="2" t="s">
        <v>154</v>
      </c>
      <c r="K56" s="2" t="s">
        <v>304</v>
      </c>
      <c r="L56" s="2" t="s">
        <v>155</v>
      </c>
      <c r="M56" s="8" t="str">
        <f>HYPERLINK("http://slimages.macys.com/is/image/MCY/14608313 ")</f>
        <v xml:space="preserve">http://slimages.macys.com/is/image/MCY/14608313 </v>
      </c>
    </row>
    <row r="57" spans="1:13" ht="168" x14ac:dyDescent="0.25">
      <c r="A57" s="7" t="s">
        <v>13777</v>
      </c>
      <c r="B57" s="2" t="s">
        <v>2500</v>
      </c>
      <c r="C57" s="4">
        <v>1</v>
      </c>
      <c r="D57" s="5">
        <v>13.35</v>
      </c>
      <c r="E57" s="5">
        <v>31.05</v>
      </c>
      <c r="F57" s="4">
        <v>18867810</v>
      </c>
      <c r="G57" s="2" t="s">
        <v>476</v>
      </c>
      <c r="H57" s="7" t="s">
        <v>42</v>
      </c>
      <c r="I57" s="2" t="s">
        <v>153</v>
      </c>
      <c r="J57" s="2" t="s">
        <v>154</v>
      </c>
      <c r="K57" s="2" t="s">
        <v>304</v>
      </c>
      <c r="L57" s="2" t="s">
        <v>2501</v>
      </c>
      <c r="M57" s="8" t="str">
        <f>HYPERLINK("http://slimages.macys.com/is/image/MCY/14661999 ")</f>
        <v xml:space="preserve">http://slimages.macys.com/is/image/MCY/14661999 </v>
      </c>
    </row>
    <row r="58" spans="1:13" ht="60" x14ac:dyDescent="0.25">
      <c r="A58" s="7" t="s">
        <v>1532</v>
      </c>
      <c r="B58" s="2" t="s">
        <v>1533</v>
      </c>
      <c r="C58" s="4">
        <v>1</v>
      </c>
      <c r="D58" s="5">
        <v>13.35</v>
      </c>
      <c r="E58" s="5">
        <v>26.99</v>
      </c>
      <c r="F58" s="4" t="s">
        <v>1534</v>
      </c>
      <c r="G58" s="2" t="s">
        <v>165</v>
      </c>
      <c r="H58" s="7" t="s">
        <v>159</v>
      </c>
      <c r="I58" s="2" t="s">
        <v>80</v>
      </c>
      <c r="J58" s="2" t="s">
        <v>160</v>
      </c>
      <c r="K58" s="2" t="s">
        <v>304</v>
      </c>
      <c r="L58" s="2" t="s">
        <v>125</v>
      </c>
      <c r="M58" s="8" t="str">
        <f>HYPERLINK("http://slimages.macys.com/is/image/MCY/15177038 ")</f>
        <v xml:space="preserve">http://slimages.macys.com/is/image/MCY/15177038 </v>
      </c>
    </row>
    <row r="59" spans="1:13" ht="60" x14ac:dyDescent="0.25">
      <c r="A59" s="7" t="s">
        <v>13778</v>
      </c>
      <c r="B59" s="2" t="s">
        <v>10842</v>
      </c>
      <c r="C59" s="4">
        <v>1</v>
      </c>
      <c r="D59" s="5">
        <v>13.28</v>
      </c>
      <c r="E59" s="5">
        <v>29.5</v>
      </c>
      <c r="F59" s="4">
        <v>323761644002</v>
      </c>
      <c r="G59" s="2" t="s">
        <v>657</v>
      </c>
      <c r="H59" s="7" t="s">
        <v>217</v>
      </c>
      <c r="I59" s="2" t="s">
        <v>204</v>
      </c>
      <c r="J59" s="2" t="s">
        <v>205</v>
      </c>
      <c r="K59" s="2" t="s">
        <v>304</v>
      </c>
      <c r="L59" s="2" t="s">
        <v>87</v>
      </c>
      <c r="M59" s="8" t="str">
        <f>HYPERLINK("http://slimages.macys.com/is/image/MCY/13967095 ")</f>
        <v xml:space="preserve">http://slimages.macys.com/is/image/MCY/13967095 </v>
      </c>
    </row>
    <row r="60" spans="1:13" ht="60" x14ac:dyDescent="0.25">
      <c r="A60" s="7" t="s">
        <v>13779</v>
      </c>
      <c r="B60" s="2" t="s">
        <v>772</v>
      </c>
      <c r="C60" s="4">
        <v>1</v>
      </c>
      <c r="D60" s="5">
        <v>13</v>
      </c>
      <c r="E60" s="5">
        <v>26.99</v>
      </c>
      <c r="F60" s="4" t="s">
        <v>773</v>
      </c>
      <c r="G60" s="2" t="s">
        <v>86</v>
      </c>
      <c r="H60" s="7" t="s">
        <v>4129</v>
      </c>
      <c r="I60" s="2" t="s">
        <v>173</v>
      </c>
      <c r="J60" s="2" t="s">
        <v>174</v>
      </c>
      <c r="K60" s="2" t="s">
        <v>304</v>
      </c>
      <c r="L60" s="2" t="s">
        <v>263</v>
      </c>
      <c r="M60" s="8" t="str">
        <f>HYPERLINK("http://slimages.macys.com/is/image/MCY/10180526 ")</f>
        <v xml:space="preserve">http://slimages.macys.com/is/image/MCY/10180526 </v>
      </c>
    </row>
    <row r="61" spans="1:13" ht="60" x14ac:dyDescent="0.25">
      <c r="A61" s="7" t="s">
        <v>13780</v>
      </c>
      <c r="B61" s="2" t="s">
        <v>13781</v>
      </c>
      <c r="C61" s="4">
        <v>1</v>
      </c>
      <c r="D61" s="5">
        <v>12.77</v>
      </c>
      <c r="E61" s="5">
        <v>34.5</v>
      </c>
      <c r="F61" s="4" t="s">
        <v>13782</v>
      </c>
      <c r="G61" s="2" t="s">
        <v>62</v>
      </c>
      <c r="H61" s="7"/>
      <c r="I61" s="2" t="s">
        <v>98</v>
      </c>
      <c r="J61" s="2" t="s">
        <v>99</v>
      </c>
      <c r="K61" s="2" t="s">
        <v>304</v>
      </c>
      <c r="L61" s="2" t="s">
        <v>596</v>
      </c>
      <c r="M61" s="8" t="str">
        <f>HYPERLINK("http://slimages.macys.com/is/image/MCY/11389262 ")</f>
        <v xml:space="preserve">http://slimages.macys.com/is/image/MCY/11389262 </v>
      </c>
    </row>
    <row r="62" spans="1:13" ht="60" x14ac:dyDescent="0.25">
      <c r="A62" s="7" t="s">
        <v>13783</v>
      </c>
      <c r="B62" s="2" t="s">
        <v>3046</v>
      </c>
      <c r="C62" s="4">
        <v>1</v>
      </c>
      <c r="D62" s="5">
        <v>12.75</v>
      </c>
      <c r="E62" s="5">
        <v>34.5</v>
      </c>
      <c r="F62" s="4" t="s">
        <v>3047</v>
      </c>
      <c r="G62" s="2" t="s">
        <v>62</v>
      </c>
      <c r="H62" s="7"/>
      <c r="I62" s="2" t="s">
        <v>98</v>
      </c>
      <c r="J62" s="2" t="s">
        <v>99</v>
      </c>
      <c r="K62" s="2" t="s">
        <v>304</v>
      </c>
      <c r="L62" s="2" t="s">
        <v>119</v>
      </c>
      <c r="M62" s="8" t="str">
        <f>HYPERLINK("http://slimages.macys.com/is/image/MCY/14883513 ")</f>
        <v xml:space="preserve">http://slimages.macys.com/is/image/MCY/14883513 </v>
      </c>
    </row>
    <row r="63" spans="1:13" ht="204" x14ac:dyDescent="0.25">
      <c r="A63" s="7" t="s">
        <v>5230</v>
      </c>
      <c r="B63" s="2" t="s">
        <v>1558</v>
      </c>
      <c r="C63" s="4">
        <v>2</v>
      </c>
      <c r="D63" s="5">
        <v>12.5</v>
      </c>
      <c r="E63" s="5">
        <v>34.99</v>
      </c>
      <c r="F63" s="4" t="s">
        <v>1559</v>
      </c>
      <c r="G63" s="2" t="s">
        <v>129</v>
      </c>
      <c r="H63" s="7" t="s">
        <v>590</v>
      </c>
      <c r="I63" s="2" t="s">
        <v>92</v>
      </c>
      <c r="J63" s="2" t="s">
        <v>65</v>
      </c>
      <c r="K63" s="2" t="s">
        <v>304</v>
      </c>
      <c r="L63" s="2" t="s">
        <v>1560</v>
      </c>
      <c r="M63" s="8" t="str">
        <f>HYPERLINK("http://slimages.macys.com/is/image/MCY/14815688 ")</f>
        <v xml:space="preserve">http://slimages.macys.com/is/image/MCY/14815688 </v>
      </c>
    </row>
    <row r="64" spans="1:13" ht="180" x14ac:dyDescent="0.25">
      <c r="A64" s="7" t="s">
        <v>5236</v>
      </c>
      <c r="B64" s="2" t="s">
        <v>3057</v>
      </c>
      <c r="C64" s="4">
        <v>2</v>
      </c>
      <c r="D64" s="5">
        <v>12.5</v>
      </c>
      <c r="E64" s="5">
        <v>34.99</v>
      </c>
      <c r="F64" s="4" t="s">
        <v>3058</v>
      </c>
      <c r="G64" s="2" t="s">
        <v>41</v>
      </c>
      <c r="H64" s="7" t="s">
        <v>91</v>
      </c>
      <c r="I64" s="2" t="s">
        <v>92</v>
      </c>
      <c r="J64" s="2" t="s">
        <v>65</v>
      </c>
      <c r="K64" s="2" t="s">
        <v>304</v>
      </c>
      <c r="L64" s="2" t="s">
        <v>3059</v>
      </c>
      <c r="M64" s="8" t="str">
        <f>HYPERLINK("http://slimages.macys.com/is/image/MCY/14815481 ")</f>
        <v xml:space="preserve">http://slimages.macys.com/is/image/MCY/14815481 </v>
      </c>
    </row>
    <row r="65" spans="1:13" ht="180" x14ac:dyDescent="0.25">
      <c r="A65" s="7" t="s">
        <v>3056</v>
      </c>
      <c r="B65" s="2" t="s">
        <v>3057</v>
      </c>
      <c r="C65" s="4">
        <v>1</v>
      </c>
      <c r="D65" s="5">
        <v>12.5</v>
      </c>
      <c r="E65" s="5">
        <v>34.99</v>
      </c>
      <c r="F65" s="4" t="s">
        <v>3058</v>
      </c>
      <c r="G65" s="2" t="s">
        <v>41</v>
      </c>
      <c r="H65" s="7" t="s">
        <v>590</v>
      </c>
      <c r="I65" s="2" t="s">
        <v>92</v>
      </c>
      <c r="J65" s="2" t="s">
        <v>65</v>
      </c>
      <c r="K65" s="2" t="s">
        <v>304</v>
      </c>
      <c r="L65" s="2" t="s">
        <v>3059</v>
      </c>
      <c r="M65" s="8" t="str">
        <f>HYPERLINK("http://slimages.macys.com/is/image/MCY/14815481 ")</f>
        <v xml:space="preserve">http://slimages.macys.com/is/image/MCY/14815481 </v>
      </c>
    </row>
    <row r="66" spans="1:13" ht="204" x14ac:dyDescent="0.25">
      <c r="A66" s="7" t="s">
        <v>1557</v>
      </c>
      <c r="B66" s="2" t="s">
        <v>1558</v>
      </c>
      <c r="C66" s="4">
        <v>1</v>
      </c>
      <c r="D66" s="5">
        <v>12.5</v>
      </c>
      <c r="E66" s="5">
        <v>34.99</v>
      </c>
      <c r="F66" s="4" t="s">
        <v>1559</v>
      </c>
      <c r="G66" s="2" t="s">
        <v>129</v>
      </c>
      <c r="H66" s="7" t="s">
        <v>91</v>
      </c>
      <c r="I66" s="2" t="s">
        <v>92</v>
      </c>
      <c r="J66" s="2" t="s">
        <v>65</v>
      </c>
      <c r="K66" s="2" t="s">
        <v>304</v>
      </c>
      <c r="L66" s="2" t="s">
        <v>1560</v>
      </c>
      <c r="M66" s="8" t="str">
        <f>HYPERLINK("http://slimages.macys.com/is/image/MCY/14815688 ")</f>
        <v xml:space="preserve">http://slimages.macys.com/is/image/MCY/14815688 </v>
      </c>
    </row>
    <row r="67" spans="1:13" ht="120" x14ac:dyDescent="0.25">
      <c r="A67" s="7" t="s">
        <v>13574</v>
      </c>
      <c r="B67" s="2" t="s">
        <v>3053</v>
      </c>
      <c r="C67" s="4">
        <v>3</v>
      </c>
      <c r="D67" s="5">
        <v>12.5</v>
      </c>
      <c r="E67" s="5">
        <v>34.99</v>
      </c>
      <c r="F67" s="4" t="s">
        <v>3054</v>
      </c>
      <c r="G67" s="2" t="s">
        <v>62</v>
      </c>
      <c r="H67" s="7" t="s">
        <v>590</v>
      </c>
      <c r="I67" s="2" t="s">
        <v>92</v>
      </c>
      <c r="J67" s="2" t="s">
        <v>65</v>
      </c>
      <c r="K67" s="2" t="s">
        <v>304</v>
      </c>
      <c r="L67" s="2" t="s">
        <v>3055</v>
      </c>
      <c r="M67" s="8" t="str">
        <f>HYPERLINK("http://slimages.macys.com/is/image/MCY/14815658 ")</f>
        <v xml:space="preserve">http://slimages.macys.com/is/image/MCY/14815658 </v>
      </c>
    </row>
    <row r="68" spans="1:13" ht="180" x14ac:dyDescent="0.25">
      <c r="A68" s="7" t="s">
        <v>3781</v>
      </c>
      <c r="B68" s="2" t="s">
        <v>3057</v>
      </c>
      <c r="C68" s="4">
        <v>1</v>
      </c>
      <c r="D68" s="5">
        <v>12.5</v>
      </c>
      <c r="E68" s="5">
        <v>34.99</v>
      </c>
      <c r="F68" s="4" t="s">
        <v>3058</v>
      </c>
      <c r="G68" s="2" t="s">
        <v>41</v>
      </c>
      <c r="H68" s="7" t="s">
        <v>442</v>
      </c>
      <c r="I68" s="2" t="s">
        <v>92</v>
      </c>
      <c r="J68" s="2" t="s">
        <v>65</v>
      </c>
      <c r="K68" s="2" t="s">
        <v>304</v>
      </c>
      <c r="L68" s="2" t="s">
        <v>3059</v>
      </c>
      <c r="M68" s="8" t="str">
        <f>HYPERLINK("http://slimages.macys.com/is/image/MCY/14815481 ")</f>
        <v xml:space="preserve">http://slimages.macys.com/is/image/MCY/14815481 </v>
      </c>
    </row>
    <row r="69" spans="1:13" ht="72" x14ac:dyDescent="0.25">
      <c r="A69" s="7" t="s">
        <v>13784</v>
      </c>
      <c r="B69" s="2" t="s">
        <v>5233</v>
      </c>
      <c r="C69" s="4">
        <v>1</v>
      </c>
      <c r="D69" s="5">
        <v>12.5</v>
      </c>
      <c r="E69" s="5">
        <v>32.99</v>
      </c>
      <c r="F69" s="4" t="s">
        <v>5234</v>
      </c>
      <c r="G69" s="2" t="s">
        <v>582</v>
      </c>
      <c r="H69" s="7" t="s">
        <v>590</v>
      </c>
      <c r="I69" s="2" t="s">
        <v>92</v>
      </c>
      <c r="J69" s="2" t="s">
        <v>65</v>
      </c>
      <c r="K69" s="2" t="s">
        <v>304</v>
      </c>
      <c r="L69" s="2" t="s">
        <v>5235</v>
      </c>
      <c r="M69" s="8" t="str">
        <f>HYPERLINK("http://slimages.macys.com/is/image/MCY/13782964 ")</f>
        <v xml:space="preserve">http://slimages.macys.com/is/image/MCY/13782964 </v>
      </c>
    </row>
    <row r="70" spans="1:13" ht="168" x14ac:dyDescent="0.25">
      <c r="A70" s="7" t="s">
        <v>188</v>
      </c>
      <c r="B70" s="2" t="s">
        <v>189</v>
      </c>
      <c r="C70" s="4">
        <v>1</v>
      </c>
      <c r="D70" s="5">
        <v>12.5</v>
      </c>
      <c r="E70" s="5">
        <v>34.99</v>
      </c>
      <c r="F70" s="4" t="s">
        <v>190</v>
      </c>
      <c r="G70" s="2" t="s">
        <v>129</v>
      </c>
      <c r="H70" s="7" t="s">
        <v>149</v>
      </c>
      <c r="I70" s="2" t="s">
        <v>92</v>
      </c>
      <c r="J70" s="2" t="s">
        <v>65</v>
      </c>
      <c r="K70" s="2" t="s">
        <v>304</v>
      </c>
      <c r="L70" s="2" t="s">
        <v>191</v>
      </c>
      <c r="M70" s="8" t="str">
        <f>HYPERLINK("http://slimages.macys.com/is/image/MCY/14815686 ")</f>
        <v xml:space="preserve">http://slimages.macys.com/is/image/MCY/14815686 </v>
      </c>
    </row>
    <row r="71" spans="1:13" ht="120" x14ac:dyDescent="0.25">
      <c r="A71" s="7" t="s">
        <v>3062</v>
      </c>
      <c r="B71" s="2" t="s">
        <v>3053</v>
      </c>
      <c r="C71" s="4">
        <v>1</v>
      </c>
      <c r="D71" s="5">
        <v>12.5</v>
      </c>
      <c r="E71" s="5">
        <v>34.99</v>
      </c>
      <c r="F71" s="4" t="s">
        <v>3054</v>
      </c>
      <c r="G71" s="2" t="s">
        <v>62</v>
      </c>
      <c r="H71" s="7" t="s">
        <v>91</v>
      </c>
      <c r="I71" s="2" t="s">
        <v>92</v>
      </c>
      <c r="J71" s="2" t="s">
        <v>65</v>
      </c>
      <c r="K71" s="2" t="s">
        <v>304</v>
      </c>
      <c r="L71" s="2" t="s">
        <v>3055</v>
      </c>
      <c r="M71" s="8" t="str">
        <f>HYPERLINK("http://slimages.macys.com/is/image/MCY/14815658 ")</f>
        <v xml:space="preserve">http://slimages.macys.com/is/image/MCY/14815658 </v>
      </c>
    </row>
    <row r="72" spans="1:13" ht="120" x14ac:dyDescent="0.25">
      <c r="A72" s="7" t="s">
        <v>3052</v>
      </c>
      <c r="B72" s="2" t="s">
        <v>3053</v>
      </c>
      <c r="C72" s="4">
        <v>1</v>
      </c>
      <c r="D72" s="5">
        <v>12.5</v>
      </c>
      <c r="E72" s="5">
        <v>34.99</v>
      </c>
      <c r="F72" s="4" t="s">
        <v>3054</v>
      </c>
      <c r="G72" s="2" t="s">
        <v>62</v>
      </c>
      <c r="H72" s="7" t="s">
        <v>149</v>
      </c>
      <c r="I72" s="2" t="s">
        <v>92</v>
      </c>
      <c r="J72" s="2" t="s">
        <v>65</v>
      </c>
      <c r="K72" s="2" t="s">
        <v>304</v>
      </c>
      <c r="L72" s="2" t="s">
        <v>3055</v>
      </c>
      <c r="M72" s="8" t="str">
        <f>HYPERLINK("http://slimages.macys.com/is/image/MCY/14815658 ")</f>
        <v xml:space="preserve">http://slimages.macys.com/is/image/MCY/14815658 </v>
      </c>
    </row>
    <row r="73" spans="1:13" ht="156" x14ac:dyDescent="0.25">
      <c r="A73" s="7" t="s">
        <v>13286</v>
      </c>
      <c r="B73" s="2" t="s">
        <v>3771</v>
      </c>
      <c r="C73" s="4">
        <v>1</v>
      </c>
      <c r="D73" s="5">
        <v>12.5</v>
      </c>
      <c r="E73" s="5">
        <v>34.99</v>
      </c>
      <c r="F73" s="4" t="s">
        <v>3772</v>
      </c>
      <c r="G73" s="2" t="s">
        <v>129</v>
      </c>
      <c r="H73" s="7" t="s">
        <v>91</v>
      </c>
      <c r="I73" s="2" t="s">
        <v>92</v>
      </c>
      <c r="J73" s="2" t="s">
        <v>65</v>
      </c>
      <c r="K73" s="2" t="s">
        <v>304</v>
      </c>
      <c r="L73" s="2" t="s">
        <v>3773</v>
      </c>
      <c r="M73" s="8" t="str">
        <f>HYPERLINK("http://slimages.macys.com/is/image/MCY/14815615 ")</f>
        <v xml:space="preserve">http://slimages.macys.com/is/image/MCY/14815615 </v>
      </c>
    </row>
    <row r="74" spans="1:13" ht="120" x14ac:dyDescent="0.25">
      <c r="A74" s="7" t="s">
        <v>3063</v>
      </c>
      <c r="B74" s="2" t="s">
        <v>3053</v>
      </c>
      <c r="C74" s="4">
        <v>3</v>
      </c>
      <c r="D74" s="5">
        <v>12.5</v>
      </c>
      <c r="E74" s="5">
        <v>34.99</v>
      </c>
      <c r="F74" s="4" t="s">
        <v>3054</v>
      </c>
      <c r="G74" s="2" t="s">
        <v>62</v>
      </c>
      <c r="H74" s="7" t="s">
        <v>42</v>
      </c>
      <c r="I74" s="2" t="s">
        <v>92</v>
      </c>
      <c r="J74" s="2" t="s">
        <v>65</v>
      </c>
      <c r="K74" s="2" t="s">
        <v>304</v>
      </c>
      <c r="L74" s="2" t="s">
        <v>3055</v>
      </c>
      <c r="M74" s="8" t="str">
        <f>HYPERLINK("http://slimages.macys.com/is/image/MCY/14815658 ")</f>
        <v xml:space="preserve">http://slimages.macys.com/is/image/MCY/14815658 </v>
      </c>
    </row>
    <row r="75" spans="1:13" ht="168" x14ac:dyDescent="0.25">
      <c r="A75" s="7" t="s">
        <v>13283</v>
      </c>
      <c r="B75" s="2" t="s">
        <v>189</v>
      </c>
      <c r="C75" s="4">
        <v>1</v>
      </c>
      <c r="D75" s="5">
        <v>12.5</v>
      </c>
      <c r="E75" s="5">
        <v>34.99</v>
      </c>
      <c r="F75" s="4" t="s">
        <v>190</v>
      </c>
      <c r="G75" s="2" t="s">
        <v>129</v>
      </c>
      <c r="H75" s="7" t="s">
        <v>442</v>
      </c>
      <c r="I75" s="2" t="s">
        <v>92</v>
      </c>
      <c r="J75" s="2" t="s">
        <v>65</v>
      </c>
      <c r="K75" s="2" t="s">
        <v>304</v>
      </c>
      <c r="L75" s="2" t="s">
        <v>191</v>
      </c>
      <c r="M75" s="8" t="str">
        <f>HYPERLINK("http://slimages.macys.com/is/image/MCY/14815686 ")</f>
        <v xml:space="preserve">http://slimages.macys.com/is/image/MCY/14815686 </v>
      </c>
    </row>
    <row r="76" spans="1:13" ht="168" x14ac:dyDescent="0.25">
      <c r="A76" s="7" t="s">
        <v>3061</v>
      </c>
      <c r="B76" s="2" t="s">
        <v>189</v>
      </c>
      <c r="C76" s="4">
        <v>1</v>
      </c>
      <c r="D76" s="5">
        <v>12.5</v>
      </c>
      <c r="E76" s="5">
        <v>34.99</v>
      </c>
      <c r="F76" s="4" t="s">
        <v>190</v>
      </c>
      <c r="G76" s="2" t="s">
        <v>129</v>
      </c>
      <c r="H76" s="7" t="s">
        <v>590</v>
      </c>
      <c r="I76" s="2" t="s">
        <v>92</v>
      </c>
      <c r="J76" s="2" t="s">
        <v>65</v>
      </c>
      <c r="K76" s="2" t="s">
        <v>304</v>
      </c>
      <c r="L76" s="2" t="s">
        <v>191</v>
      </c>
      <c r="M76" s="8" t="str">
        <f>HYPERLINK("http://slimages.macys.com/is/image/MCY/14815686 ")</f>
        <v xml:space="preserve">http://slimages.macys.com/is/image/MCY/14815686 </v>
      </c>
    </row>
    <row r="77" spans="1:13" ht="204" x14ac:dyDescent="0.25">
      <c r="A77" s="7" t="s">
        <v>3060</v>
      </c>
      <c r="B77" s="2" t="s">
        <v>1558</v>
      </c>
      <c r="C77" s="4">
        <v>1</v>
      </c>
      <c r="D77" s="5">
        <v>12.5</v>
      </c>
      <c r="E77" s="5">
        <v>34.99</v>
      </c>
      <c r="F77" s="4" t="s">
        <v>1559</v>
      </c>
      <c r="G77" s="2" t="s">
        <v>129</v>
      </c>
      <c r="H77" s="7" t="s">
        <v>149</v>
      </c>
      <c r="I77" s="2" t="s">
        <v>92</v>
      </c>
      <c r="J77" s="2" t="s">
        <v>65</v>
      </c>
      <c r="K77" s="2" t="s">
        <v>304</v>
      </c>
      <c r="L77" s="2" t="s">
        <v>1560</v>
      </c>
      <c r="M77" s="8" t="str">
        <f>HYPERLINK("http://slimages.macys.com/is/image/MCY/14815688 ")</f>
        <v xml:space="preserve">http://slimages.macys.com/is/image/MCY/14815688 </v>
      </c>
    </row>
    <row r="78" spans="1:13" ht="60" x14ac:dyDescent="0.25">
      <c r="A78" s="7" t="s">
        <v>779</v>
      </c>
      <c r="B78" s="2" t="s">
        <v>198</v>
      </c>
      <c r="C78" s="4">
        <v>21</v>
      </c>
      <c r="D78" s="5">
        <v>12.39</v>
      </c>
      <c r="E78" s="5">
        <v>29.5</v>
      </c>
      <c r="F78" s="4" t="s">
        <v>199</v>
      </c>
      <c r="G78" s="2" t="s">
        <v>200</v>
      </c>
      <c r="H78" s="7" t="s">
        <v>442</v>
      </c>
      <c r="I78" s="2" t="s">
        <v>135</v>
      </c>
      <c r="J78" s="2" t="s">
        <v>201</v>
      </c>
      <c r="K78" s="2" t="s">
        <v>304</v>
      </c>
      <c r="L78" s="2" t="s">
        <v>87</v>
      </c>
      <c r="M78" s="8" t="str">
        <f>HYPERLINK("http://slimages.macys.com/is/image/MCY/1477012 ")</f>
        <v xml:space="preserve">http://slimages.macys.com/is/image/MCY/1477012 </v>
      </c>
    </row>
    <row r="79" spans="1:13" ht="60" x14ac:dyDescent="0.25">
      <c r="A79" s="7" t="s">
        <v>2511</v>
      </c>
      <c r="B79" s="2" t="s">
        <v>198</v>
      </c>
      <c r="C79" s="4">
        <v>13</v>
      </c>
      <c r="D79" s="5">
        <v>12.39</v>
      </c>
      <c r="E79" s="5">
        <v>29.5</v>
      </c>
      <c r="F79" s="4" t="s">
        <v>199</v>
      </c>
      <c r="G79" s="2" t="s">
        <v>200</v>
      </c>
      <c r="H79" s="7" t="s">
        <v>42</v>
      </c>
      <c r="I79" s="2" t="s">
        <v>135</v>
      </c>
      <c r="J79" s="2" t="s">
        <v>201</v>
      </c>
      <c r="K79" s="2" t="s">
        <v>304</v>
      </c>
      <c r="L79" s="2" t="s">
        <v>87</v>
      </c>
      <c r="M79" s="8" t="str">
        <f>HYPERLINK("http://slimages.macys.com/is/image/MCY/1477012 ")</f>
        <v xml:space="preserve">http://slimages.macys.com/is/image/MCY/1477012 </v>
      </c>
    </row>
    <row r="80" spans="1:13" ht="60" x14ac:dyDescent="0.25">
      <c r="A80" s="7" t="s">
        <v>197</v>
      </c>
      <c r="B80" s="2" t="s">
        <v>198</v>
      </c>
      <c r="C80" s="4">
        <v>47</v>
      </c>
      <c r="D80" s="5">
        <v>12.39</v>
      </c>
      <c r="E80" s="5">
        <v>29.5</v>
      </c>
      <c r="F80" s="4" t="s">
        <v>199</v>
      </c>
      <c r="G80" s="2" t="s">
        <v>200</v>
      </c>
      <c r="H80" s="7" t="s">
        <v>91</v>
      </c>
      <c r="I80" s="2" t="s">
        <v>135</v>
      </c>
      <c r="J80" s="2" t="s">
        <v>201</v>
      </c>
      <c r="K80" s="2" t="s">
        <v>304</v>
      </c>
      <c r="L80" s="2" t="s">
        <v>87</v>
      </c>
      <c r="M80" s="8" t="str">
        <f>HYPERLINK("http://slimages.macys.com/is/image/MCY/1477012 ")</f>
        <v xml:space="preserve">http://slimages.macys.com/is/image/MCY/1477012 </v>
      </c>
    </row>
    <row r="81" spans="1:13" ht="228" x14ac:dyDescent="0.25">
      <c r="A81" s="7" t="s">
        <v>13785</v>
      </c>
      <c r="B81" s="2" t="s">
        <v>1571</v>
      </c>
      <c r="C81" s="4">
        <v>2</v>
      </c>
      <c r="D81" s="5">
        <v>12.32</v>
      </c>
      <c r="E81" s="5">
        <v>35.99</v>
      </c>
      <c r="F81" s="4" t="s">
        <v>1572</v>
      </c>
      <c r="G81" s="2" t="s">
        <v>297</v>
      </c>
      <c r="H81" s="7" t="s">
        <v>91</v>
      </c>
      <c r="I81" s="2" t="s">
        <v>483</v>
      </c>
      <c r="J81" s="2" t="s">
        <v>536</v>
      </c>
      <c r="K81" s="2" t="s">
        <v>304</v>
      </c>
      <c r="L81" s="2" t="s">
        <v>1573</v>
      </c>
      <c r="M81" s="8" t="str">
        <f>HYPERLINK("http://slimages.macys.com/is/image/MCY/14384815 ")</f>
        <v xml:space="preserve">http://slimages.macys.com/is/image/MCY/14384815 </v>
      </c>
    </row>
    <row r="82" spans="1:13" ht="228" x14ac:dyDescent="0.25">
      <c r="A82" s="7" t="s">
        <v>3078</v>
      </c>
      <c r="B82" s="2" t="s">
        <v>1571</v>
      </c>
      <c r="C82" s="4">
        <v>1</v>
      </c>
      <c r="D82" s="5">
        <v>12.32</v>
      </c>
      <c r="E82" s="5">
        <v>35.99</v>
      </c>
      <c r="F82" s="4" t="s">
        <v>1572</v>
      </c>
      <c r="G82" s="2" t="s">
        <v>297</v>
      </c>
      <c r="H82" s="7" t="s">
        <v>149</v>
      </c>
      <c r="I82" s="2" t="s">
        <v>483</v>
      </c>
      <c r="J82" s="2" t="s">
        <v>536</v>
      </c>
      <c r="K82" s="2" t="s">
        <v>304</v>
      </c>
      <c r="L82" s="2" t="s">
        <v>1573</v>
      </c>
      <c r="M82" s="8" t="str">
        <f>HYPERLINK("http://slimages.macys.com/is/image/MCY/14384815 ")</f>
        <v xml:space="preserve">http://slimages.macys.com/is/image/MCY/14384815 </v>
      </c>
    </row>
    <row r="83" spans="1:13" ht="228" x14ac:dyDescent="0.25">
      <c r="A83" s="7" t="s">
        <v>3077</v>
      </c>
      <c r="B83" s="2" t="s">
        <v>1571</v>
      </c>
      <c r="C83" s="4">
        <v>1</v>
      </c>
      <c r="D83" s="5">
        <v>12.32</v>
      </c>
      <c r="E83" s="5">
        <v>35.99</v>
      </c>
      <c r="F83" s="4" t="s">
        <v>1572</v>
      </c>
      <c r="G83" s="2" t="s">
        <v>297</v>
      </c>
      <c r="H83" s="7" t="s">
        <v>442</v>
      </c>
      <c r="I83" s="2" t="s">
        <v>483</v>
      </c>
      <c r="J83" s="2" t="s">
        <v>536</v>
      </c>
      <c r="K83" s="2" t="s">
        <v>304</v>
      </c>
      <c r="L83" s="2" t="s">
        <v>1573</v>
      </c>
      <c r="M83" s="8" t="str">
        <f>HYPERLINK("http://slimages.macys.com/is/image/MCY/14384815 ")</f>
        <v xml:space="preserve">http://slimages.macys.com/is/image/MCY/14384815 </v>
      </c>
    </row>
    <row r="84" spans="1:13" ht="228" x14ac:dyDescent="0.25">
      <c r="A84" s="7" t="s">
        <v>13786</v>
      </c>
      <c r="B84" s="2" t="s">
        <v>1571</v>
      </c>
      <c r="C84" s="4">
        <v>1</v>
      </c>
      <c r="D84" s="5">
        <v>12.32</v>
      </c>
      <c r="E84" s="5">
        <v>35.99</v>
      </c>
      <c r="F84" s="4" t="s">
        <v>1572</v>
      </c>
      <c r="G84" s="2" t="s">
        <v>297</v>
      </c>
      <c r="H84" s="7" t="s">
        <v>590</v>
      </c>
      <c r="I84" s="2" t="s">
        <v>483</v>
      </c>
      <c r="J84" s="2" t="s">
        <v>536</v>
      </c>
      <c r="K84" s="2" t="s">
        <v>304</v>
      </c>
      <c r="L84" s="2" t="s">
        <v>1573</v>
      </c>
      <c r="M84" s="8" t="str">
        <f>HYPERLINK("http://slimages.macys.com/is/image/MCY/14384815 ")</f>
        <v xml:space="preserve">http://slimages.macys.com/is/image/MCY/14384815 </v>
      </c>
    </row>
    <row r="85" spans="1:13" ht="60" x14ac:dyDescent="0.25">
      <c r="A85" s="7" t="s">
        <v>13787</v>
      </c>
      <c r="B85" s="2" t="s">
        <v>3792</v>
      </c>
      <c r="C85" s="4">
        <v>1</v>
      </c>
      <c r="D85" s="5">
        <v>12</v>
      </c>
      <c r="E85" s="5">
        <v>30</v>
      </c>
      <c r="F85" s="4">
        <v>1342064</v>
      </c>
      <c r="G85" s="2" t="s">
        <v>13765</v>
      </c>
      <c r="H85" s="7" t="s">
        <v>159</v>
      </c>
      <c r="I85" s="2" t="s">
        <v>80</v>
      </c>
      <c r="J85" s="2" t="s">
        <v>280</v>
      </c>
      <c r="K85" s="2" t="s">
        <v>304</v>
      </c>
      <c r="L85" s="2" t="s">
        <v>125</v>
      </c>
      <c r="M85" s="8" t="str">
        <f>HYPERLINK("http://slimages.macys.com/is/image/MCY/13385828 ")</f>
        <v xml:space="preserve">http://slimages.macys.com/is/image/MCY/13385828 </v>
      </c>
    </row>
    <row r="86" spans="1:13" ht="108" x14ac:dyDescent="0.25">
      <c r="A86" s="7" t="s">
        <v>3107</v>
      </c>
      <c r="B86" s="2" t="s">
        <v>3108</v>
      </c>
      <c r="C86" s="4">
        <v>1</v>
      </c>
      <c r="D86" s="5">
        <v>11.5</v>
      </c>
      <c r="E86" s="5">
        <v>26.15</v>
      </c>
      <c r="F86" s="4">
        <v>19321110</v>
      </c>
      <c r="G86" s="2" t="s">
        <v>262</v>
      </c>
      <c r="H86" s="7" t="s">
        <v>482</v>
      </c>
      <c r="I86" s="2" t="s">
        <v>153</v>
      </c>
      <c r="J86" s="2" t="s">
        <v>154</v>
      </c>
      <c r="K86" s="2" t="s">
        <v>304</v>
      </c>
      <c r="L86" s="2" t="s">
        <v>3109</v>
      </c>
      <c r="M86" s="8" t="str">
        <f>HYPERLINK("http://slimages.macys.com/is/image/MCY/14608316 ")</f>
        <v xml:space="preserve">http://slimages.macys.com/is/image/MCY/14608316 </v>
      </c>
    </row>
    <row r="87" spans="1:13" ht="60" x14ac:dyDescent="0.25">
      <c r="A87" s="7" t="s">
        <v>220</v>
      </c>
      <c r="B87" s="2" t="s">
        <v>221</v>
      </c>
      <c r="C87" s="4">
        <v>1</v>
      </c>
      <c r="D87" s="5">
        <v>11.5</v>
      </c>
      <c r="E87" s="5">
        <v>25.99</v>
      </c>
      <c r="F87" s="4" t="s">
        <v>222</v>
      </c>
      <c r="G87" s="2" t="s">
        <v>165</v>
      </c>
      <c r="H87" s="7" t="s">
        <v>196</v>
      </c>
      <c r="I87" s="2" t="s">
        <v>73</v>
      </c>
      <c r="J87" s="2" t="s">
        <v>223</v>
      </c>
      <c r="K87" s="2" t="s">
        <v>304</v>
      </c>
      <c r="L87" s="2" t="s">
        <v>224</v>
      </c>
      <c r="M87" s="8" t="str">
        <f>HYPERLINK("http://slimages.macys.com/is/image/MCY/15736005 ")</f>
        <v xml:space="preserve">http://slimages.macys.com/is/image/MCY/15736005 </v>
      </c>
    </row>
    <row r="88" spans="1:13" ht="60" x14ac:dyDescent="0.25">
      <c r="A88" s="7" t="s">
        <v>1578</v>
      </c>
      <c r="B88" s="2" t="s">
        <v>221</v>
      </c>
      <c r="C88" s="4">
        <v>1</v>
      </c>
      <c r="D88" s="5">
        <v>11.5</v>
      </c>
      <c r="E88" s="5">
        <v>25.99</v>
      </c>
      <c r="F88" s="4" t="s">
        <v>222</v>
      </c>
      <c r="G88" s="2" t="s">
        <v>165</v>
      </c>
      <c r="H88" s="7" t="s">
        <v>159</v>
      </c>
      <c r="I88" s="2" t="s">
        <v>73</v>
      </c>
      <c r="J88" s="2" t="s">
        <v>223</v>
      </c>
      <c r="K88" s="2" t="s">
        <v>304</v>
      </c>
      <c r="L88" s="2" t="s">
        <v>224</v>
      </c>
      <c r="M88" s="8" t="str">
        <f>HYPERLINK("http://slimages.macys.com/is/image/MCY/15736005 ")</f>
        <v xml:space="preserve">http://slimages.macys.com/is/image/MCY/15736005 </v>
      </c>
    </row>
    <row r="89" spans="1:13" ht="60" x14ac:dyDescent="0.25">
      <c r="A89" s="7" t="s">
        <v>1577</v>
      </c>
      <c r="B89" s="2" t="s">
        <v>221</v>
      </c>
      <c r="C89" s="4">
        <v>1</v>
      </c>
      <c r="D89" s="5">
        <v>11.5</v>
      </c>
      <c r="E89" s="5">
        <v>25.99</v>
      </c>
      <c r="F89" s="4" t="s">
        <v>222</v>
      </c>
      <c r="G89" s="2" t="s">
        <v>165</v>
      </c>
      <c r="H89" s="7" t="s">
        <v>284</v>
      </c>
      <c r="I89" s="2" t="s">
        <v>73</v>
      </c>
      <c r="J89" s="2" t="s">
        <v>223</v>
      </c>
      <c r="K89" s="2" t="s">
        <v>304</v>
      </c>
      <c r="L89" s="2" t="s">
        <v>224</v>
      </c>
      <c r="M89" s="8" t="str">
        <f>HYPERLINK("http://slimages.macys.com/is/image/MCY/15736005 ")</f>
        <v xml:space="preserve">http://slimages.macys.com/is/image/MCY/15736005 </v>
      </c>
    </row>
    <row r="90" spans="1:13" ht="60" x14ac:dyDescent="0.25">
      <c r="A90" s="7" t="s">
        <v>13788</v>
      </c>
      <c r="B90" s="2" t="s">
        <v>13789</v>
      </c>
      <c r="C90" s="4">
        <v>1</v>
      </c>
      <c r="D90" s="5">
        <v>11.4</v>
      </c>
      <c r="E90" s="5">
        <v>30</v>
      </c>
      <c r="F90" s="4" t="s">
        <v>13790</v>
      </c>
      <c r="G90" s="2" t="s">
        <v>86</v>
      </c>
      <c r="H90" s="7" t="s">
        <v>179</v>
      </c>
      <c r="I90" s="2" t="s">
        <v>700</v>
      </c>
      <c r="J90" s="2" t="s">
        <v>1721</v>
      </c>
      <c r="K90" s="2" t="s">
        <v>304</v>
      </c>
      <c r="L90" s="2" t="s">
        <v>206</v>
      </c>
      <c r="M90" s="8" t="str">
        <f>HYPERLINK("http://slimages.macys.com/is/image/MCY/12879092 ")</f>
        <v xml:space="preserve">http://slimages.macys.com/is/image/MCY/12879092 </v>
      </c>
    </row>
    <row r="91" spans="1:13" ht="144" x14ac:dyDescent="0.25">
      <c r="A91" s="7" t="s">
        <v>5253</v>
      </c>
      <c r="B91" s="2" t="s">
        <v>152</v>
      </c>
      <c r="C91" s="4">
        <v>2</v>
      </c>
      <c r="D91" s="5">
        <v>11.1</v>
      </c>
      <c r="E91" s="5">
        <v>25.24</v>
      </c>
      <c r="F91" s="4">
        <v>19318310</v>
      </c>
      <c r="G91" s="2"/>
      <c r="H91" s="7" t="s">
        <v>482</v>
      </c>
      <c r="I91" s="2" t="s">
        <v>153</v>
      </c>
      <c r="J91" s="2" t="s">
        <v>154</v>
      </c>
      <c r="K91" s="2" t="s">
        <v>304</v>
      </c>
      <c r="L91" s="2" t="s">
        <v>234</v>
      </c>
      <c r="M91" s="8" t="str">
        <f>HYPERLINK("http://slimages.macys.com/is/image/MCY/14608343 ")</f>
        <v xml:space="preserve">http://slimages.macys.com/is/image/MCY/14608343 </v>
      </c>
    </row>
    <row r="92" spans="1:13" ht="216" x14ac:dyDescent="0.25">
      <c r="A92" s="7" t="s">
        <v>241</v>
      </c>
      <c r="B92" s="2" t="s">
        <v>242</v>
      </c>
      <c r="C92" s="4">
        <v>1</v>
      </c>
      <c r="D92" s="5">
        <v>11</v>
      </c>
      <c r="E92" s="5">
        <v>32.99</v>
      </c>
      <c r="F92" s="4" t="s">
        <v>243</v>
      </c>
      <c r="G92" s="2" t="s">
        <v>195</v>
      </c>
      <c r="H92" s="7" t="s">
        <v>149</v>
      </c>
      <c r="I92" s="2" t="s">
        <v>92</v>
      </c>
      <c r="J92" s="2" t="s">
        <v>239</v>
      </c>
      <c r="K92" s="2" t="s">
        <v>304</v>
      </c>
      <c r="L92" s="2" t="s">
        <v>244</v>
      </c>
      <c r="M92" s="8" t="str">
        <f>HYPERLINK("http://slimages.macys.com/is/image/MCY/14542923 ")</f>
        <v xml:space="preserve">http://slimages.macys.com/is/image/MCY/14542923 </v>
      </c>
    </row>
    <row r="93" spans="1:13" ht="216" x14ac:dyDescent="0.25">
      <c r="A93" s="7" t="s">
        <v>13791</v>
      </c>
      <c r="B93" s="2" t="s">
        <v>242</v>
      </c>
      <c r="C93" s="4">
        <v>1</v>
      </c>
      <c r="D93" s="5">
        <v>11</v>
      </c>
      <c r="E93" s="5">
        <v>32.99</v>
      </c>
      <c r="F93" s="4" t="s">
        <v>243</v>
      </c>
      <c r="G93" s="2" t="s">
        <v>195</v>
      </c>
      <c r="H93" s="7" t="s">
        <v>442</v>
      </c>
      <c r="I93" s="2" t="s">
        <v>92</v>
      </c>
      <c r="J93" s="2" t="s">
        <v>239</v>
      </c>
      <c r="K93" s="2" t="s">
        <v>304</v>
      </c>
      <c r="L93" s="2" t="s">
        <v>244</v>
      </c>
      <c r="M93" s="8" t="str">
        <f>HYPERLINK("http://slimages.macys.com/is/image/MCY/14542923 ")</f>
        <v xml:space="preserve">http://slimages.macys.com/is/image/MCY/14542923 </v>
      </c>
    </row>
    <row r="94" spans="1:13" ht="108" x14ac:dyDescent="0.25">
      <c r="A94" s="7" t="s">
        <v>13792</v>
      </c>
      <c r="B94" s="2" t="s">
        <v>2515</v>
      </c>
      <c r="C94" s="4">
        <v>1</v>
      </c>
      <c r="D94" s="5">
        <v>10.75</v>
      </c>
      <c r="E94" s="5">
        <v>27.99</v>
      </c>
      <c r="F94" s="4" t="s">
        <v>2516</v>
      </c>
      <c r="G94" s="2" t="s">
        <v>874</v>
      </c>
      <c r="H94" s="7" t="s">
        <v>317</v>
      </c>
      <c r="I94" s="2" t="s">
        <v>73</v>
      </c>
      <c r="J94" s="2" t="s">
        <v>778</v>
      </c>
      <c r="K94" s="2" t="s">
        <v>304</v>
      </c>
      <c r="L94" s="2" t="s">
        <v>2517</v>
      </c>
      <c r="M94" s="8" t="str">
        <f>HYPERLINK("http://slimages.macys.com/is/image/MCY/12793385 ")</f>
        <v xml:space="preserve">http://slimages.macys.com/is/image/MCY/12793385 </v>
      </c>
    </row>
    <row r="95" spans="1:13" ht="60" x14ac:dyDescent="0.25">
      <c r="A95" s="7" t="s">
        <v>4842</v>
      </c>
      <c r="B95" s="2" t="s">
        <v>1594</v>
      </c>
      <c r="C95" s="4">
        <v>1</v>
      </c>
      <c r="D95" s="5">
        <v>10.75</v>
      </c>
      <c r="E95" s="5">
        <v>24.99</v>
      </c>
      <c r="F95" s="4" t="s">
        <v>1595</v>
      </c>
      <c r="G95" s="2" t="s">
        <v>28</v>
      </c>
      <c r="H95" s="7" t="s">
        <v>228</v>
      </c>
      <c r="I95" s="2" t="s">
        <v>73</v>
      </c>
      <c r="J95" s="2" t="s">
        <v>223</v>
      </c>
      <c r="K95" s="2" t="s">
        <v>304</v>
      </c>
      <c r="L95" s="2" t="s">
        <v>87</v>
      </c>
      <c r="M95" s="8" t="str">
        <f>HYPERLINK("http://slimages.macys.com/is/image/MCY/14433360 ")</f>
        <v xml:space="preserve">http://slimages.macys.com/is/image/MCY/14433360 </v>
      </c>
    </row>
    <row r="96" spans="1:13" ht="108" x14ac:dyDescent="0.25">
      <c r="A96" s="7" t="s">
        <v>13793</v>
      </c>
      <c r="B96" s="2" t="s">
        <v>2515</v>
      </c>
      <c r="C96" s="4">
        <v>1</v>
      </c>
      <c r="D96" s="5">
        <v>10.75</v>
      </c>
      <c r="E96" s="5">
        <v>27.99</v>
      </c>
      <c r="F96" s="4" t="s">
        <v>2516</v>
      </c>
      <c r="G96" s="2" t="s">
        <v>874</v>
      </c>
      <c r="H96" s="7" t="s">
        <v>63</v>
      </c>
      <c r="I96" s="2" t="s">
        <v>73</v>
      </c>
      <c r="J96" s="2" t="s">
        <v>778</v>
      </c>
      <c r="K96" s="2" t="s">
        <v>304</v>
      </c>
      <c r="L96" s="2" t="s">
        <v>2517</v>
      </c>
      <c r="M96" s="8" t="str">
        <f>HYPERLINK("http://slimages.macys.com/is/image/MCY/12793385 ")</f>
        <v xml:space="preserve">http://slimages.macys.com/is/image/MCY/12793385 </v>
      </c>
    </row>
    <row r="97" spans="1:13" ht="108" x14ac:dyDescent="0.25">
      <c r="A97" s="7" t="s">
        <v>13600</v>
      </c>
      <c r="B97" s="2" t="s">
        <v>2515</v>
      </c>
      <c r="C97" s="4">
        <v>1</v>
      </c>
      <c r="D97" s="5">
        <v>10.75</v>
      </c>
      <c r="E97" s="5">
        <v>27.99</v>
      </c>
      <c r="F97" s="4" t="s">
        <v>2516</v>
      </c>
      <c r="G97" s="2" t="s">
        <v>874</v>
      </c>
      <c r="H97" s="7" t="s">
        <v>144</v>
      </c>
      <c r="I97" s="2" t="s">
        <v>73</v>
      </c>
      <c r="J97" s="2" t="s">
        <v>778</v>
      </c>
      <c r="K97" s="2" t="s">
        <v>304</v>
      </c>
      <c r="L97" s="2" t="s">
        <v>2517</v>
      </c>
      <c r="M97" s="8" t="str">
        <f>HYPERLINK("http://slimages.macys.com/is/image/MCY/12793385 ")</f>
        <v xml:space="preserve">http://slimages.macys.com/is/image/MCY/12793385 </v>
      </c>
    </row>
    <row r="98" spans="1:13" ht="84" x14ac:dyDescent="0.25">
      <c r="A98" s="7" t="s">
        <v>5269</v>
      </c>
      <c r="B98" s="2" t="s">
        <v>809</v>
      </c>
      <c r="C98" s="4">
        <v>8</v>
      </c>
      <c r="D98" s="5">
        <v>10.5</v>
      </c>
      <c r="E98" s="5">
        <v>25.25</v>
      </c>
      <c r="F98" s="4">
        <v>19318710</v>
      </c>
      <c r="G98" s="2"/>
      <c r="H98" s="7" t="s">
        <v>482</v>
      </c>
      <c r="I98" s="2" t="s">
        <v>153</v>
      </c>
      <c r="J98" s="2" t="s">
        <v>154</v>
      </c>
      <c r="K98" s="2" t="s">
        <v>304</v>
      </c>
      <c r="L98" s="2" t="s">
        <v>810</v>
      </c>
      <c r="M98" s="8" t="str">
        <f>HYPERLINK("http://slimages.macys.com/is/image/MCY/14662007 ")</f>
        <v xml:space="preserve">http://slimages.macys.com/is/image/MCY/14662007 </v>
      </c>
    </row>
    <row r="99" spans="1:13" ht="84" x14ac:dyDescent="0.25">
      <c r="A99" s="7" t="s">
        <v>2521</v>
      </c>
      <c r="B99" s="2" t="s">
        <v>809</v>
      </c>
      <c r="C99" s="4">
        <v>2</v>
      </c>
      <c r="D99" s="5">
        <v>10.5</v>
      </c>
      <c r="E99" s="5">
        <v>25.25</v>
      </c>
      <c r="F99" s="4">
        <v>19318710</v>
      </c>
      <c r="G99" s="2"/>
      <c r="H99" s="7" t="s">
        <v>438</v>
      </c>
      <c r="I99" s="2" t="s">
        <v>153</v>
      </c>
      <c r="J99" s="2" t="s">
        <v>154</v>
      </c>
      <c r="K99" s="2" t="s">
        <v>304</v>
      </c>
      <c r="L99" s="2" t="s">
        <v>810</v>
      </c>
      <c r="M99" s="8" t="str">
        <f>HYPERLINK("http://slimages.macys.com/is/image/MCY/14662007 ")</f>
        <v xml:space="preserve">http://slimages.macys.com/is/image/MCY/14662007 </v>
      </c>
    </row>
    <row r="100" spans="1:13" ht="60" x14ac:dyDescent="0.25">
      <c r="A100" s="7" t="s">
        <v>272</v>
      </c>
      <c r="B100" s="2" t="s">
        <v>246</v>
      </c>
      <c r="C100" s="4">
        <v>1</v>
      </c>
      <c r="D100" s="5">
        <v>10.5</v>
      </c>
      <c r="E100" s="5">
        <v>21.99</v>
      </c>
      <c r="F100" s="4" t="s">
        <v>247</v>
      </c>
      <c r="G100" s="2" t="s">
        <v>165</v>
      </c>
      <c r="H100" s="7" t="s">
        <v>172</v>
      </c>
      <c r="I100" s="2" t="s">
        <v>73</v>
      </c>
      <c r="J100" s="2" t="s">
        <v>249</v>
      </c>
      <c r="K100" s="2" t="s">
        <v>304</v>
      </c>
      <c r="L100" s="2" t="s">
        <v>125</v>
      </c>
      <c r="M100" s="8" t="str">
        <f>HYPERLINK("http://slimages.macys.com/is/image/MCY/14661916 ")</f>
        <v xml:space="preserve">http://slimages.macys.com/is/image/MCY/14661916 </v>
      </c>
    </row>
    <row r="101" spans="1:13" ht="60" x14ac:dyDescent="0.25">
      <c r="A101" s="7" t="s">
        <v>13794</v>
      </c>
      <c r="B101" s="2" t="s">
        <v>13795</v>
      </c>
      <c r="C101" s="4">
        <v>1</v>
      </c>
      <c r="D101" s="5">
        <v>10.5</v>
      </c>
      <c r="E101" s="5">
        <v>23.99</v>
      </c>
      <c r="F101" s="4" t="s">
        <v>13796</v>
      </c>
      <c r="G101" s="2" t="s">
        <v>283</v>
      </c>
      <c r="H101" s="7" t="s">
        <v>63</v>
      </c>
      <c r="I101" s="2" t="s">
        <v>73</v>
      </c>
      <c r="J101" s="2" t="s">
        <v>778</v>
      </c>
      <c r="K101" s="2" t="s">
        <v>304</v>
      </c>
      <c r="L101" s="2" t="s">
        <v>224</v>
      </c>
      <c r="M101" s="8" t="str">
        <f>HYPERLINK("http://slimages.macys.com/is/image/MCY/12800860 ")</f>
        <v xml:space="preserve">http://slimages.macys.com/is/image/MCY/12800860 </v>
      </c>
    </row>
    <row r="102" spans="1:13" ht="60" x14ac:dyDescent="0.25">
      <c r="A102" s="7" t="s">
        <v>254</v>
      </c>
      <c r="B102" s="2" t="s">
        <v>255</v>
      </c>
      <c r="C102" s="4">
        <v>1</v>
      </c>
      <c r="D102" s="5">
        <v>10.5</v>
      </c>
      <c r="E102" s="5">
        <v>24.99</v>
      </c>
      <c r="F102" s="4" t="s">
        <v>256</v>
      </c>
      <c r="G102" s="2" t="s">
        <v>86</v>
      </c>
      <c r="H102" s="7" t="s">
        <v>56</v>
      </c>
      <c r="I102" s="2" t="s">
        <v>257</v>
      </c>
      <c r="J102" s="2" t="s">
        <v>258</v>
      </c>
      <c r="K102" s="2" t="s">
        <v>304</v>
      </c>
      <c r="L102" s="2" t="s">
        <v>206</v>
      </c>
      <c r="M102" s="8" t="str">
        <f>HYPERLINK("http://slimages.macys.com/is/image/MCY/11722980 ")</f>
        <v xml:space="preserve">http://slimages.macys.com/is/image/MCY/11722980 </v>
      </c>
    </row>
    <row r="103" spans="1:13" ht="84" x14ac:dyDescent="0.25">
      <c r="A103" s="7" t="s">
        <v>2523</v>
      </c>
      <c r="B103" s="2" t="s">
        <v>809</v>
      </c>
      <c r="C103" s="4">
        <v>1</v>
      </c>
      <c r="D103" s="5">
        <v>10.5</v>
      </c>
      <c r="E103" s="5">
        <v>25.25</v>
      </c>
      <c r="F103" s="4">
        <v>19318710</v>
      </c>
      <c r="G103" s="2"/>
      <c r="H103" s="7" t="s">
        <v>233</v>
      </c>
      <c r="I103" s="2" t="s">
        <v>153</v>
      </c>
      <c r="J103" s="2" t="s">
        <v>154</v>
      </c>
      <c r="K103" s="2" t="s">
        <v>304</v>
      </c>
      <c r="L103" s="2" t="s">
        <v>810</v>
      </c>
      <c r="M103" s="8" t="str">
        <f>HYPERLINK("http://slimages.macys.com/is/image/MCY/14662007 ")</f>
        <v xml:space="preserve">http://slimages.macys.com/is/image/MCY/14662007 </v>
      </c>
    </row>
    <row r="104" spans="1:13" ht="120" x14ac:dyDescent="0.25">
      <c r="A104" s="7" t="s">
        <v>3138</v>
      </c>
      <c r="B104" s="2" t="s">
        <v>268</v>
      </c>
      <c r="C104" s="4">
        <v>1</v>
      </c>
      <c r="D104" s="5">
        <v>10.5</v>
      </c>
      <c r="E104" s="5">
        <v>25.25</v>
      </c>
      <c r="F104" s="4">
        <v>19319310</v>
      </c>
      <c r="G104" s="2" t="s">
        <v>129</v>
      </c>
      <c r="H104" s="7" t="s">
        <v>482</v>
      </c>
      <c r="I104" s="2" t="s">
        <v>153</v>
      </c>
      <c r="J104" s="2" t="s">
        <v>154</v>
      </c>
      <c r="K104" s="2" t="s">
        <v>304</v>
      </c>
      <c r="L104" s="2" t="s">
        <v>269</v>
      </c>
      <c r="M104" s="8" t="str">
        <f>HYPERLINK("http://slimages.macys.com/is/image/MCY/14662011 ")</f>
        <v xml:space="preserve">http://slimages.macys.com/is/image/MCY/14662011 </v>
      </c>
    </row>
    <row r="105" spans="1:13" ht="96" x14ac:dyDescent="0.25">
      <c r="A105" s="7" t="s">
        <v>5268</v>
      </c>
      <c r="B105" s="2" t="s">
        <v>3838</v>
      </c>
      <c r="C105" s="4">
        <v>1</v>
      </c>
      <c r="D105" s="5">
        <v>10.5</v>
      </c>
      <c r="E105" s="5">
        <v>25.25</v>
      </c>
      <c r="F105" s="4">
        <v>19317910</v>
      </c>
      <c r="G105" s="2"/>
      <c r="H105" s="7" t="s">
        <v>482</v>
      </c>
      <c r="I105" s="2" t="s">
        <v>153</v>
      </c>
      <c r="J105" s="2" t="s">
        <v>154</v>
      </c>
      <c r="K105" s="2" t="s">
        <v>304</v>
      </c>
      <c r="L105" s="2" t="s">
        <v>3839</v>
      </c>
      <c r="M105" s="8" t="str">
        <f>HYPERLINK("http://slimages.macys.com/is/image/MCY/14608345 ")</f>
        <v xml:space="preserve">http://slimages.macys.com/is/image/MCY/14608345 </v>
      </c>
    </row>
    <row r="106" spans="1:13" ht="60" x14ac:dyDescent="0.25">
      <c r="A106" s="7" t="s">
        <v>820</v>
      </c>
      <c r="B106" s="2" t="s">
        <v>255</v>
      </c>
      <c r="C106" s="4">
        <v>1</v>
      </c>
      <c r="D106" s="5">
        <v>10.5</v>
      </c>
      <c r="E106" s="5">
        <v>24.99</v>
      </c>
      <c r="F106" s="4" t="s">
        <v>256</v>
      </c>
      <c r="G106" s="2" t="s">
        <v>262</v>
      </c>
      <c r="H106" s="7" t="s">
        <v>97</v>
      </c>
      <c r="I106" s="2" t="s">
        <v>257</v>
      </c>
      <c r="J106" s="2" t="s">
        <v>258</v>
      </c>
      <c r="K106" s="2" t="s">
        <v>304</v>
      </c>
      <c r="L106" s="2" t="s">
        <v>206</v>
      </c>
      <c r="M106" s="8" t="str">
        <f>HYPERLINK("http://slimages.macys.com/is/image/MCY/11722982 ")</f>
        <v xml:space="preserve">http://slimages.macys.com/is/image/MCY/11722982 </v>
      </c>
    </row>
    <row r="107" spans="1:13" ht="60" x14ac:dyDescent="0.25">
      <c r="A107" s="7" t="s">
        <v>6776</v>
      </c>
      <c r="B107" s="2" t="s">
        <v>255</v>
      </c>
      <c r="C107" s="4">
        <v>1</v>
      </c>
      <c r="D107" s="5">
        <v>10.5</v>
      </c>
      <c r="E107" s="5">
        <v>24.99</v>
      </c>
      <c r="F107" s="4" t="s">
        <v>256</v>
      </c>
      <c r="G107" s="2" t="s">
        <v>262</v>
      </c>
      <c r="H107" s="7" t="s">
        <v>97</v>
      </c>
      <c r="I107" s="2" t="s">
        <v>257</v>
      </c>
      <c r="J107" s="2" t="s">
        <v>258</v>
      </c>
      <c r="K107" s="2" t="s">
        <v>304</v>
      </c>
      <c r="L107" s="2" t="s">
        <v>206</v>
      </c>
      <c r="M107" s="8" t="str">
        <f>HYPERLINK("http://slimages.macys.com/is/image/MCY/11722983 ")</f>
        <v xml:space="preserve">http://slimages.macys.com/is/image/MCY/11722983 </v>
      </c>
    </row>
    <row r="108" spans="1:13" ht="60" x14ac:dyDescent="0.25">
      <c r="A108" s="7" t="s">
        <v>819</v>
      </c>
      <c r="B108" s="2" t="s">
        <v>255</v>
      </c>
      <c r="C108" s="4">
        <v>1</v>
      </c>
      <c r="D108" s="5">
        <v>10.5</v>
      </c>
      <c r="E108" s="5">
        <v>24.99</v>
      </c>
      <c r="F108" s="4" t="s">
        <v>256</v>
      </c>
      <c r="G108" s="2" t="s">
        <v>262</v>
      </c>
      <c r="H108" s="7" t="s">
        <v>172</v>
      </c>
      <c r="I108" s="2" t="s">
        <v>257</v>
      </c>
      <c r="J108" s="2" t="s">
        <v>258</v>
      </c>
      <c r="K108" s="2" t="s">
        <v>304</v>
      </c>
      <c r="L108" s="2" t="s">
        <v>206</v>
      </c>
      <c r="M108" s="8" t="str">
        <f>HYPERLINK("http://slimages.macys.com/is/image/MCY/11722982 ")</f>
        <v xml:space="preserve">http://slimages.macys.com/is/image/MCY/11722982 </v>
      </c>
    </row>
    <row r="109" spans="1:13" ht="120" x14ac:dyDescent="0.25">
      <c r="A109" s="7" t="s">
        <v>267</v>
      </c>
      <c r="B109" s="2" t="s">
        <v>268</v>
      </c>
      <c r="C109" s="4">
        <v>1</v>
      </c>
      <c r="D109" s="5">
        <v>10.5</v>
      </c>
      <c r="E109" s="5">
        <v>25.25</v>
      </c>
      <c r="F109" s="4">
        <v>19319310</v>
      </c>
      <c r="G109" s="2" t="s">
        <v>129</v>
      </c>
      <c r="H109" s="7" t="s">
        <v>233</v>
      </c>
      <c r="I109" s="2" t="s">
        <v>153</v>
      </c>
      <c r="J109" s="2" t="s">
        <v>154</v>
      </c>
      <c r="K109" s="2" t="s">
        <v>304</v>
      </c>
      <c r="L109" s="2" t="s">
        <v>269</v>
      </c>
      <c r="M109" s="8" t="str">
        <f>HYPERLINK("http://slimages.macys.com/is/image/MCY/14662011 ")</f>
        <v xml:space="preserve">http://slimages.macys.com/is/image/MCY/14662011 </v>
      </c>
    </row>
    <row r="110" spans="1:13" ht="60" x14ac:dyDescent="0.25">
      <c r="A110" s="7" t="s">
        <v>1603</v>
      </c>
      <c r="B110" s="2" t="s">
        <v>255</v>
      </c>
      <c r="C110" s="4">
        <v>2</v>
      </c>
      <c r="D110" s="5">
        <v>10.5</v>
      </c>
      <c r="E110" s="5">
        <v>24.99</v>
      </c>
      <c r="F110" s="4" t="s">
        <v>256</v>
      </c>
      <c r="G110" s="2" t="s">
        <v>86</v>
      </c>
      <c r="H110" s="7" t="s">
        <v>1411</v>
      </c>
      <c r="I110" s="2" t="s">
        <v>257</v>
      </c>
      <c r="J110" s="2" t="s">
        <v>258</v>
      </c>
      <c r="K110" s="2" t="s">
        <v>304</v>
      </c>
      <c r="L110" s="2" t="s">
        <v>206</v>
      </c>
      <c r="M110" s="8" t="str">
        <f>HYPERLINK("http://slimages.macys.com/is/image/MCY/11722980 ")</f>
        <v xml:space="preserve">http://slimages.macys.com/is/image/MCY/11722980 </v>
      </c>
    </row>
    <row r="111" spans="1:13" ht="60" x14ac:dyDescent="0.25">
      <c r="A111" s="7" t="s">
        <v>13797</v>
      </c>
      <c r="B111" s="2" t="s">
        <v>6779</v>
      </c>
      <c r="C111" s="4">
        <v>1</v>
      </c>
      <c r="D111" s="5">
        <v>10.45</v>
      </c>
      <c r="E111" s="5">
        <v>28.99</v>
      </c>
      <c r="F111" s="4" t="s">
        <v>6780</v>
      </c>
      <c r="G111" s="2" t="s">
        <v>310</v>
      </c>
      <c r="H111" s="7" t="s">
        <v>2740</v>
      </c>
      <c r="I111" s="2" t="s">
        <v>312</v>
      </c>
      <c r="J111" s="2" t="s">
        <v>1618</v>
      </c>
      <c r="K111" s="2" t="s">
        <v>304</v>
      </c>
      <c r="L111" s="2" t="s">
        <v>38</v>
      </c>
      <c r="M111" s="8" t="str">
        <f>HYPERLINK("http://slimages.macys.com/is/image/MCY/12291161 ")</f>
        <v xml:space="preserve">http://slimages.macys.com/is/image/MCY/12291161 </v>
      </c>
    </row>
    <row r="112" spans="1:13" ht="60" x14ac:dyDescent="0.25">
      <c r="A112" s="7" t="s">
        <v>13798</v>
      </c>
      <c r="B112" s="2" t="s">
        <v>3144</v>
      </c>
      <c r="C112" s="4">
        <v>1</v>
      </c>
      <c r="D112" s="5">
        <v>10.44</v>
      </c>
      <c r="E112" s="5">
        <v>24.99</v>
      </c>
      <c r="F112" s="4" t="s">
        <v>3145</v>
      </c>
      <c r="G112" s="2" t="s">
        <v>62</v>
      </c>
      <c r="H112" s="7" t="s">
        <v>284</v>
      </c>
      <c r="I112" s="2" t="s">
        <v>515</v>
      </c>
      <c r="J112" s="2" t="s">
        <v>827</v>
      </c>
      <c r="K112" s="2" t="s">
        <v>304</v>
      </c>
      <c r="L112" s="2" t="s">
        <v>358</v>
      </c>
      <c r="M112" s="8" t="str">
        <f>HYPERLINK("http://slimages.macys.com/is/image/MCY/10131101 ")</f>
        <v xml:space="preserve">http://slimages.macys.com/is/image/MCY/10131101 </v>
      </c>
    </row>
    <row r="113" spans="1:13" ht="60" x14ac:dyDescent="0.25">
      <c r="A113" s="7" t="s">
        <v>13799</v>
      </c>
      <c r="B113" s="2" t="s">
        <v>276</v>
      </c>
      <c r="C113" s="4">
        <v>1</v>
      </c>
      <c r="D113" s="5">
        <v>10.01</v>
      </c>
      <c r="E113" s="5">
        <v>22.99</v>
      </c>
      <c r="F113" s="4" t="s">
        <v>277</v>
      </c>
      <c r="G113" s="2" t="s">
        <v>103</v>
      </c>
      <c r="H113" s="7" t="s">
        <v>217</v>
      </c>
      <c r="I113" s="2" t="s">
        <v>80</v>
      </c>
      <c r="J113" s="2" t="s">
        <v>160</v>
      </c>
      <c r="K113" s="2" t="s">
        <v>304</v>
      </c>
      <c r="L113" s="2" t="s">
        <v>87</v>
      </c>
      <c r="M113" s="8" t="str">
        <f>HYPERLINK("http://slimages.macys.com/is/image/MCY/13758282 ")</f>
        <v xml:space="preserve">http://slimages.macys.com/is/image/MCY/13758282 </v>
      </c>
    </row>
    <row r="114" spans="1:13" ht="60" x14ac:dyDescent="0.25">
      <c r="A114" s="7" t="s">
        <v>275</v>
      </c>
      <c r="B114" s="2" t="s">
        <v>276</v>
      </c>
      <c r="C114" s="4">
        <v>3</v>
      </c>
      <c r="D114" s="5">
        <v>10.01</v>
      </c>
      <c r="E114" s="5">
        <v>22.99</v>
      </c>
      <c r="F114" s="4" t="s">
        <v>277</v>
      </c>
      <c r="G114" s="2" t="s">
        <v>103</v>
      </c>
      <c r="H114" s="7" t="s">
        <v>228</v>
      </c>
      <c r="I114" s="2" t="s">
        <v>80</v>
      </c>
      <c r="J114" s="2" t="s">
        <v>160</v>
      </c>
      <c r="K114" s="2" t="s">
        <v>304</v>
      </c>
      <c r="L114" s="2" t="s">
        <v>87</v>
      </c>
      <c r="M114" s="8" t="str">
        <f>HYPERLINK("http://slimages.macys.com/is/image/MCY/13758282 ")</f>
        <v xml:space="preserve">http://slimages.macys.com/is/image/MCY/13758282 </v>
      </c>
    </row>
    <row r="115" spans="1:13" ht="60" x14ac:dyDescent="0.25">
      <c r="A115" s="7" t="s">
        <v>281</v>
      </c>
      <c r="B115" s="2" t="s">
        <v>282</v>
      </c>
      <c r="C115" s="4">
        <v>1</v>
      </c>
      <c r="D115" s="5">
        <v>10</v>
      </c>
      <c r="E115" s="5">
        <v>25</v>
      </c>
      <c r="F115" s="4">
        <v>1329007</v>
      </c>
      <c r="G115" s="2" t="s">
        <v>283</v>
      </c>
      <c r="H115" s="7" t="s">
        <v>284</v>
      </c>
      <c r="I115" s="2" t="s">
        <v>80</v>
      </c>
      <c r="J115" s="2" t="s">
        <v>280</v>
      </c>
      <c r="K115" s="2" t="s">
        <v>304</v>
      </c>
      <c r="L115" s="2" t="s">
        <v>125</v>
      </c>
      <c r="M115" s="8" t="str">
        <f>HYPERLINK("http://slimages.macys.com/is/image/MCY/14888348 ")</f>
        <v xml:space="preserve">http://slimages.macys.com/is/image/MCY/14888348 </v>
      </c>
    </row>
    <row r="116" spans="1:13" ht="60" x14ac:dyDescent="0.25">
      <c r="A116" s="7" t="s">
        <v>3158</v>
      </c>
      <c r="B116" s="2" t="s">
        <v>279</v>
      </c>
      <c r="C116" s="4">
        <v>1</v>
      </c>
      <c r="D116" s="5">
        <v>10</v>
      </c>
      <c r="E116" s="5">
        <v>25</v>
      </c>
      <c r="F116" s="4">
        <v>1341126</v>
      </c>
      <c r="G116" s="2" t="s">
        <v>62</v>
      </c>
      <c r="H116" s="7" t="s">
        <v>228</v>
      </c>
      <c r="I116" s="2" t="s">
        <v>73</v>
      </c>
      <c r="J116" s="2" t="s">
        <v>280</v>
      </c>
      <c r="K116" s="2" t="s">
        <v>304</v>
      </c>
      <c r="L116" s="2" t="s">
        <v>125</v>
      </c>
      <c r="M116" s="8" t="str">
        <f>HYPERLINK("http://slimages.macys.com/is/image/MCY/15867619 ")</f>
        <v xml:space="preserve">http://slimages.macys.com/is/image/MCY/15867619 </v>
      </c>
    </row>
    <row r="117" spans="1:13" ht="60" x14ac:dyDescent="0.25">
      <c r="A117" s="7" t="s">
        <v>286</v>
      </c>
      <c r="B117" s="2" t="s">
        <v>282</v>
      </c>
      <c r="C117" s="4">
        <v>2</v>
      </c>
      <c r="D117" s="5">
        <v>10</v>
      </c>
      <c r="E117" s="5">
        <v>25</v>
      </c>
      <c r="F117" s="4">
        <v>1329007</v>
      </c>
      <c r="G117" s="2" t="s">
        <v>283</v>
      </c>
      <c r="H117" s="7" t="s">
        <v>159</v>
      </c>
      <c r="I117" s="2" t="s">
        <v>80</v>
      </c>
      <c r="J117" s="2" t="s">
        <v>280</v>
      </c>
      <c r="K117" s="2" t="s">
        <v>304</v>
      </c>
      <c r="L117" s="2" t="s">
        <v>125</v>
      </c>
      <c r="M117" s="8" t="str">
        <f>HYPERLINK("http://slimages.macys.com/is/image/MCY/14888348 ")</f>
        <v xml:space="preserve">http://slimages.macys.com/is/image/MCY/14888348 </v>
      </c>
    </row>
    <row r="118" spans="1:13" ht="60" x14ac:dyDescent="0.25">
      <c r="A118" s="7" t="s">
        <v>285</v>
      </c>
      <c r="B118" s="2" t="s">
        <v>282</v>
      </c>
      <c r="C118" s="4">
        <v>1</v>
      </c>
      <c r="D118" s="5">
        <v>10</v>
      </c>
      <c r="E118" s="5">
        <v>25</v>
      </c>
      <c r="F118" s="4">
        <v>1329007</v>
      </c>
      <c r="G118" s="2" t="s">
        <v>283</v>
      </c>
      <c r="H118" s="7" t="s">
        <v>228</v>
      </c>
      <c r="I118" s="2" t="s">
        <v>80</v>
      </c>
      <c r="J118" s="2" t="s">
        <v>280</v>
      </c>
      <c r="K118" s="2" t="s">
        <v>304</v>
      </c>
      <c r="L118" s="2" t="s">
        <v>125</v>
      </c>
      <c r="M118" s="8" t="str">
        <f>HYPERLINK("http://slimages.macys.com/is/image/MCY/14888348 ")</f>
        <v xml:space="preserve">http://slimages.macys.com/is/image/MCY/14888348 </v>
      </c>
    </row>
    <row r="119" spans="1:13" ht="60" x14ac:dyDescent="0.25">
      <c r="A119" s="7" t="s">
        <v>13800</v>
      </c>
      <c r="B119" s="2" t="s">
        <v>3174</v>
      </c>
      <c r="C119" s="4">
        <v>1</v>
      </c>
      <c r="D119" s="5">
        <v>9.8000000000000007</v>
      </c>
      <c r="E119" s="5">
        <v>24.5</v>
      </c>
      <c r="F119" s="4" t="s">
        <v>3175</v>
      </c>
      <c r="G119" s="2" t="s">
        <v>353</v>
      </c>
      <c r="H119" s="7" t="s">
        <v>179</v>
      </c>
      <c r="I119" s="2" t="s">
        <v>98</v>
      </c>
      <c r="J119" s="2" t="s">
        <v>99</v>
      </c>
      <c r="K119" s="2" t="s">
        <v>304</v>
      </c>
      <c r="L119" s="2" t="s">
        <v>119</v>
      </c>
      <c r="M119" s="8" t="str">
        <f>HYPERLINK("http://slimages.macys.com/is/image/MCY/11682594 ")</f>
        <v xml:space="preserve">http://slimages.macys.com/is/image/MCY/11682594 </v>
      </c>
    </row>
    <row r="120" spans="1:13" ht="60" x14ac:dyDescent="0.25">
      <c r="A120" s="7" t="s">
        <v>13801</v>
      </c>
      <c r="B120" s="2" t="s">
        <v>301</v>
      </c>
      <c r="C120" s="4">
        <v>1</v>
      </c>
      <c r="D120" s="5">
        <v>9.8000000000000007</v>
      </c>
      <c r="E120" s="5">
        <v>21.99</v>
      </c>
      <c r="F120" s="4" t="s">
        <v>302</v>
      </c>
      <c r="G120" s="2" t="s">
        <v>303</v>
      </c>
      <c r="H120" s="7" t="s">
        <v>172</v>
      </c>
      <c r="I120" s="2" t="s">
        <v>73</v>
      </c>
      <c r="J120" s="2" t="s">
        <v>249</v>
      </c>
      <c r="K120" s="2" t="s">
        <v>304</v>
      </c>
      <c r="L120" s="2" t="s">
        <v>125</v>
      </c>
      <c r="M120" s="8" t="str">
        <f>HYPERLINK("http://slimages.macys.com/is/image/MCY/14661401 ")</f>
        <v xml:space="preserve">http://slimages.macys.com/is/image/MCY/14661401 </v>
      </c>
    </row>
    <row r="121" spans="1:13" ht="60" x14ac:dyDescent="0.25">
      <c r="A121" s="7" t="s">
        <v>13802</v>
      </c>
      <c r="B121" s="2" t="s">
        <v>301</v>
      </c>
      <c r="C121" s="4">
        <v>1</v>
      </c>
      <c r="D121" s="5">
        <v>9.8000000000000007</v>
      </c>
      <c r="E121" s="5">
        <v>21.99</v>
      </c>
      <c r="F121" s="4" t="s">
        <v>3177</v>
      </c>
      <c r="G121" s="2" t="s">
        <v>41</v>
      </c>
      <c r="H121" s="7" t="s">
        <v>266</v>
      </c>
      <c r="I121" s="2" t="s">
        <v>73</v>
      </c>
      <c r="J121" s="2" t="s">
        <v>249</v>
      </c>
      <c r="K121" s="2" t="s">
        <v>304</v>
      </c>
      <c r="L121" s="2" t="s">
        <v>125</v>
      </c>
      <c r="M121" s="8" t="str">
        <f>HYPERLINK("http://slimages.macys.com/is/image/MCY/14661401 ")</f>
        <v xml:space="preserve">http://slimages.macys.com/is/image/MCY/14661401 </v>
      </c>
    </row>
    <row r="122" spans="1:13" ht="60" x14ac:dyDescent="0.25">
      <c r="A122" s="7" t="s">
        <v>13803</v>
      </c>
      <c r="B122" s="2" t="s">
        <v>4866</v>
      </c>
      <c r="C122" s="4">
        <v>1</v>
      </c>
      <c r="D122" s="5">
        <v>9.6</v>
      </c>
      <c r="E122" s="5">
        <v>23.99</v>
      </c>
      <c r="F122" s="4" t="s">
        <v>4867</v>
      </c>
      <c r="G122" s="2" t="s">
        <v>171</v>
      </c>
      <c r="H122" s="7"/>
      <c r="I122" s="2" t="s">
        <v>173</v>
      </c>
      <c r="J122" s="2" t="s">
        <v>174</v>
      </c>
      <c r="K122" s="2" t="s">
        <v>304</v>
      </c>
      <c r="L122" s="2" t="s">
        <v>75</v>
      </c>
      <c r="M122" s="8" t="str">
        <f>HYPERLINK("http://slimages.macys.com/is/image/MCY/13314630 ")</f>
        <v xml:space="preserve">http://slimages.macys.com/is/image/MCY/13314630 </v>
      </c>
    </row>
    <row r="123" spans="1:13" ht="60" x14ac:dyDescent="0.25">
      <c r="A123" s="7" t="s">
        <v>13804</v>
      </c>
      <c r="B123" s="2" t="s">
        <v>3189</v>
      </c>
      <c r="C123" s="4">
        <v>1</v>
      </c>
      <c r="D123" s="5">
        <v>9.5</v>
      </c>
      <c r="E123" s="5">
        <v>22.99</v>
      </c>
      <c r="F123" s="4" t="s">
        <v>3190</v>
      </c>
      <c r="G123" s="2" t="s">
        <v>793</v>
      </c>
      <c r="H123" s="7" t="s">
        <v>317</v>
      </c>
      <c r="I123" s="2" t="s">
        <v>80</v>
      </c>
      <c r="J123" s="2" t="s">
        <v>124</v>
      </c>
      <c r="K123" s="2" t="s">
        <v>304</v>
      </c>
      <c r="L123" s="2" t="s">
        <v>125</v>
      </c>
      <c r="M123" s="8" t="str">
        <f>HYPERLINK("http://slimages.macys.com/is/image/MCY/8271019 ")</f>
        <v xml:space="preserve">http://slimages.macys.com/is/image/MCY/8271019 </v>
      </c>
    </row>
    <row r="124" spans="1:13" ht="60" x14ac:dyDescent="0.25">
      <c r="A124" s="7" t="s">
        <v>13805</v>
      </c>
      <c r="B124" s="2" t="s">
        <v>13806</v>
      </c>
      <c r="C124" s="4">
        <v>1</v>
      </c>
      <c r="D124" s="5">
        <v>9.5</v>
      </c>
      <c r="E124" s="5">
        <v>34</v>
      </c>
      <c r="F124" s="4" t="s">
        <v>13807</v>
      </c>
      <c r="G124" s="2" t="s">
        <v>437</v>
      </c>
      <c r="H124" s="7" t="s">
        <v>2740</v>
      </c>
      <c r="I124" s="2" t="s">
        <v>50</v>
      </c>
      <c r="J124" s="2" t="s">
        <v>650</v>
      </c>
      <c r="K124" s="2" t="s">
        <v>304</v>
      </c>
      <c r="L124" s="2" t="s">
        <v>13808</v>
      </c>
      <c r="M124" s="8" t="str">
        <f>HYPERLINK("http://slimages.macys.com/is/image/MCY/9254809 ")</f>
        <v xml:space="preserve">http://slimages.macys.com/is/image/MCY/9254809 </v>
      </c>
    </row>
    <row r="125" spans="1:13" ht="216" x14ac:dyDescent="0.25">
      <c r="A125" s="7" t="s">
        <v>13630</v>
      </c>
      <c r="B125" s="2" t="s">
        <v>13631</v>
      </c>
      <c r="C125" s="4">
        <v>1</v>
      </c>
      <c r="D125" s="5">
        <v>9.42</v>
      </c>
      <c r="E125" s="5">
        <v>33.99</v>
      </c>
      <c r="F125" s="4" t="s">
        <v>13632</v>
      </c>
      <c r="G125" s="2" t="s">
        <v>297</v>
      </c>
      <c r="H125" s="7" t="s">
        <v>149</v>
      </c>
      <c r="I125" s="2" t="s">
        <v>483</v>
      </c>
      <c r="J125" s="2" t="s">
        <v>536</v>
      </c>
      <c r="K125" s="2" t="s">
        <v>304</v>
      </c>
      <c r="L125" s="2" t="s">
        <v>13633</v>
      </c>
      <c r="M125" s="8" t="str">
        <f>HYPERLINK("http://slimages.macys.com/is/image/MCY/14385202 ")</f>
        <v xml:space="preserve">http://slimages.macys.com/is/image/MCY/14385202 </v>
      </c>
    </row>
    <row r="126" spans="1:13" ht="60" x14ac:dyDescent="0.25">
      <c r="A126" s="7" t="s">
        <v>5309</v>
      </c>
      <c r="B126" s="2" t="s">
        <v>5310</v>
      </c>
      <c r="C126" s="4">
        <v>1</v>
      </c>
      <c r="D126" s="5">
        <v>9.25</v>
      </c>
      <c r="E126" s="5">
        <v>19.989999999999998</v>
      </c>
      <c r="F126" s="4" t="s">
        <v>5311</v>
      </c>
      <c r="G126" s="2" t="s">
        <v>62</v>
      </c>
      <c r="H126" s="7" t="s">
        <v>531</v>
      </c>
      <c r="I126" s="2" t="s">
        <v>815</v>
      </c>
      <c r="J126" s="2" t="s">
        <v>3211</v>
      </c>
      <c r="K126" s="2" t="s">
        <v>304</v>
      </c>
      <c r="L126" s="2" t="s">
        <v>3212</v>
      </c>
      <c r="M126" s="8" t="str">
        <f>HYPERLINK("http://slimages.macys.com/is/image/MCY/13054651 ")</f>
        <v xml:space="preserve">http://slimages.macys.com/is/image/MCY/13054651 </v>
      </c>
    </row>
    <row r="127" spans="1:13" ht="60" x14ac:dyDescent="0.25">
      <c r="A127" s="7" t="s">
        <v>13809</v>
      </c>
      <c r="B127" s="2" t="s">
        <v>13810</v>
      </c>
      <c r="C127" s="4">
        <v>1</v>
      </c>
      <c r="D127" s="5">
        <v>9.1999999999999993</v>
      </c>
      <c r="E127" s="5">
        <v>21.99</v>
      </c>
      <c r="F127" s="4">
        <v>16520610</v>
      </c>
      <c r="G127" s="2" t="s">
        <v>36</v>
      </c>
      <c r="H127" s="7" t="s">
        <v>233</v>
      </c>
      <c r="I127" s="2" t="s">
        <v>153</v>
      </c>
      <c r="J127" s="2" t="s">
        <v>154</v>
      </c>
      <c r="K127" s="2" t="s">
        <v>304</v>
      </c>
      <c r="L127" s="2" t="s">
        <v>38</v>
      </c>
      <c r="M127" s="8" t="str">
        <f>HYPERLINK("http://slimages.macys.com/is/image/MCY/11186651 ")</f>
        <v xml:space="preserve">http://slimages.macys.com/is/image/MCY/11186651 </v>
      </c>
    </row>
    <row r="128" spans="1:13" ht="60" x14ac:dyDescent="0.25">
      <c r="A128" s="7" t="s">
        <v>7445</v>
      </c>
      <c r="B128" s="2" t="s">
        <v>6205</v>
      </c>
      <c r="C128" s="4">
        <v>1</v>
      </c>
      <c r="D128" s="5">
        <v>9.09</v>
      </c>
      <c r="E128" s="5">
        <v>26.99</v>
      </c>
      <c r="F128" s="4" t="s">
        <v>6206</v>
      </c>
      <c r="G128" s="2" t="s">
        <v>86</v>
      </c>
      <c r="H128" s="7" t="s">
        <v>228</v>
      </c>
      <c r="I128" s="2" t="s">
        <v>389</v>
      </c>
      <c r="J128" s="2" t="s">
        <v>354</v>
      </c>
      <c r="K128" s="2" t="s">
        <v>304</v>
      </c>
      <c r="L128" s="2" t="s">
        <v>6207</v>
      </c>
      <c r="M128" s="8" t="str">
        <f>HYPERLINK("http://slimages.macys.com/is/image/MCY/13079495 ")</f>
        <v xml:space="preserve">http://slimages.macys.com/is/image/MCY/13079495 </v>
      </c>
    </row>
    <row r="129" spans="1:13" ht="72" x14ac:dyDescent="0.25">
      <c r="A129" s="7" t="s">
        <v>13811</v>
      </c>
      <c r="B129" s="2" t="s">
        <v>13812</v>
      </c>
      <c r="C129" s="4">
        <v>1</v>
      </c>
      <c r="D129" s="5">
        <v>9.0500000000000007</v>
      </c>
      <c r="E129" s="5">
        <v>18.100000000000001</v>
      </c>
      <c r="F129" s="4">
        <v>37881811</v>
      </c>
      <c r="G129" s="2"/>
      <c r="H129" s="7" t="s">
        <v>166</v>
      </c>
      <c r="I129" s="2" t="s">
        <v>487</v>
      </c>
      <c r="J129" s="2" t="s">
        <v>2424</v>
      </c>
      <c r="K129" s="2" t="s">
        <v>304</v>
      </c>
      <c r="L129" s="2" t="s">
        <v>13813</v>
      </c>
      <c r="M129" s="8" t="str">
        <f>HYPERLINK("http://slimages.macys.com/is/image/MCY/13728952 ")</f>
        <v xml:space="preserve">http://slimages.macys.com/is/image/MCY/13728952 </v>
      </c>
    </row>
    <row r="130" spans="1:13" ht="60" x14ac:dyDescent="0.25">
      <c r="A130" s="7" t="s">
        <v>13814</v>
      </c>
      <c r="B130" s="2" t="s">
        <v>3225</v>
      </c>
      <c r="C130" s="4">
        <v>1</v>
      </c>
      <c r="D130" s="5">
        <v>9</v>
      </c>
      <c r="E130" s="5">
        <v>21.99</v>
      </c>
      <c r="F130" s="4" t="s">
        <v>3226</v>
      </c>
      <c r="G130" s="2" t="s">
        <v>262</v>
      </c>
      <c r="H130" s="7" t="s">
        <v>63</v>
      </c>
      <c r="I130" s="2" t="s">
        <v>342</v>
      </c>
      <c r="J130" s="2" t="s">
        <v>1613</v>
      </c>
      <c r="K130" s="2" t="s">
        <v>304</v>
      </c>
      <c r="L130" s="2" t="s">
        <v>119</v>
      </c>
      <c r="M130" s="8" t="str">
        <f>HYPERLINK("http://slimages.macys.com/is/image/MCY/12237612 ")</f>
        <v xml:space="preserve">http://slimages.macys.com/is/image/MCY/12237612 </v>
      </c>
    </row>
    <row r="131" spans="1:13" ht="60" x14ac:dyDescent="0.25">
      <c r="A131" s="7" t="s">
        <v>9974</v>
      </c>
      <c r="B131" s="2" t="s">
        <v>9975</v>
      </c>
      <c r="C131" s="4">
        <v>1</v>
      </c>
      <c r="D131" s="5">
        <v>8.92</v>
      </c>
      <c r="E131" s="5">
        <v>22.99</v>
      </c>
      <c r="F131" s="4" t="s">
        <v>9976</v>
      </c>
      <c r="G131" s="2" t="s">
        <v>353</v>
      </c>
      <c r="H131" s="7" t="s">
        <v>228</v>
      </c>
      <c r="I131" s="2" t="s">
        <v>292</v>
      </c>
      <c r="J131" s="2" t="s">
        <v>293</v>
      </c>
      <c r="K131" s="2" t="s">
        <v>304</v>
      </c>
      <c r="L131" s="2" t="s">
        <v>100</v>
      </c>
      <c r="M131" s="8" t="str">
        <f>HYPERLINK("http://slimages.macys.com/is/image/MCY/12000806 ")</f>
        <v xml:space="preserve">http://slimages.macys.com/is/image/MCY/12000806 </v>
      </c>
    </row>
    <row r="132" spans="1:13" ht="60" x14ac:dyDescent="0.25">
      <c r="A132" s="7" t="s">
        <v>3228</v>
      </c>
      <c r="B132" s="2" t="s">
        <v>2549</v>
      </c>
      <c r="C132" s="4">
        <v>1</v>
      </c>
      <c r="D132" s="5">
        <v>8.9</v>
      </c>
      <c r="E132" s="5">
        <v>17.989999999999998</v>
      </c>
      <c r="F132" s="4">
        <v>939655</v>
      </c>
      <c r="G132" s="2" t="s">
        <v>28</v>
      </c>
      <c r="H132" s="7" t="s">
        <v>228</v>
      </c>
      <c r="I132" s="2" t="s">
        <v>80</v>
      </c>
      <c r="J132" s="2" t="s">
        <v>160</v>
      </c>
      <c r="K132" s="2" t="s">
        <v>304</v>
      </c>
      <c r="L132" s="2" t="s">
        <v>125</v>
      </c>
      <c r="M132" s="8" t="str">
        <f>HYPERLINK("http://slimages.macys.com/is/image/MCY/13726416 ")</f>
        <v xml:space="preserve">http://slimages.macys.com/is/image/MCY/13726416 </v>
      </c>
    </row>
    <row r="133" spans="1:13" ht="60" x14ac:dyDescent="0.25">
      <c r="A133" s="7" t="s">
        <v>13815</v>
      </c>
      <c r="B133" s="2" t="s">
        <v>13816</v>
      </c>
      <c r="C133" s="4">
        <v>2</v>
      </c>
      <c r="D133" s="5">
        <v>8.8000000000000007</v>
      </c>
      <c r="E133" s="5">
        <v>16.989999999999998</v>
      </c>
      <c r="F133" s="4" t="s">
        <v>13817</v>
      </c>
      <c r="G133" s="2" t="s">
        <v>134</v>
      </c>
      <c r="H133" s="7" t="s">
        <v>311</v>
      </c>
      <c r="I133" s="2" t="s">
        <v>173</v>
      </c>
      <c r="J133" s="2" t="s">
        <v>1967</v>
      </c>
      <c r="K133" s="2" t="s">
        <v>304</v>
      </c>
      <c r="L133" s="2" t="s">
        <v>75</v>
      </c>
      <c r="M133" s="8" t="str">
        <f>HYPERLINK("http://slimages.macys.com/is/image/MCY/8688721 ")</f>
        <v xml:space="preserve">http://slimages.macys.com/is/image/MCY/8688721 </v>
      </c>
    </row>
    <row r="134" spans="1:13" ht="60" x14ac:dyDescent="0.25">
      <c r="A134" s="7" t="s">
        <v>13818</v>
      </c>
      <c r="B134" s="2" t="s">
        <v>13819</v>
      </c>
      <c r="C134" s="4">
        <v>1</v>
      </c>
      <c r="D134" s="5">
        <v>8.8000000000000007</v>
      </c>
      <c r="E134" s="5">
        <v>24.99</v>
      </c>
      <c r="F134" s="4" t="s">
        <v>13820</v>
      </c>
      <c r="G134" s="2"/>
      <c r="H134" s="7" t="s">
        <v>144</v>
      </c>
      <c r="I134" s="2" t="s">
        <v>64</v>
      </c>
      <c r="J134" s="2" t="s">
        <v>65</v>
      </c>
      <c r="K134" s="2" t="s">
        <v>304</v>
      </c>
      <c r="L134" s="2" t="s">
        <v>13821</v>
      </c>
      <c r="M134" s="8" t="str">
        <f>HYPERLINK("http://slimages.macys.com/is/image/MCY/13531726 ")</f>
        <v xml:space="preserve">http://slimages.macys.com/is/image/MCY/13531726 </v>
      </c>
    </row>
    <row r="135" spans="1:13" ht="60" x14ac:dyDescent="0.25">
      <c r="A135" s="7" t="s">
        <v>13822</v>
      </c>
      <c r="B135" s="2" t="s">
        <v>13816</v>
      </c>
      <c r="C135" s="4">
        <v>1</v>
      </c>
      <c r="D135" s="5">
        <v>8.8000000000000007</v>
      </c>
      <c r="E135" s="5">
        <v>16.989999999999998</v>
      </c>
      <c r="F135" s="4" t="s">
        <v>13817</v>
      </c>
      <c r="G135" s="2" t="s">
        <v>134</v>
      </c>
      <c r="H135" s="7" t="s">
        <v>317</v>
      </c>
      <c r="I135" s="2" t="s">
        <v>173</v>
      </c>
      <c r="J135" s="2" t="s">
        <v>1967</v>
      </c>
      <c r="K135" s="2" t="s">
        <v>304</v>
      </c>
      <c r="L135" s="2" t="s">
        <v>75</v>
      </c>
      <c r="M135" s="8" t="str">
        <f>HYPERLINK("http://slimages.macys.com/is/image/MCY/8688721 ")</f>
        <v xml:space="preserve">http://slimages.macys.com/is/image/MCY/8688721 </v>
      </c>
    </row>
    <row r="136" spans="1:13" ht="60" x14ac:dyDescent="0.25">
      <c r="A136" s="7" t="s">
        <v>13823</v>
      </c>
      <c r="B136" s="2" t="s">
        <v>370</v>
      </c>
      <c r="C136" s="4">
        <v>1</v>
      </c>
      <c r="D136" s="5">
        <v>8.75</v>
      </c>
      <c r="E136" s="5">
        <v>18.989999999999998</v>
      </c>
      <c r="F136" s="4" t="s">
        <v>371</v>
      </c>
      <c r="G136" s="2" t="s">
        <v>62</v>
      </c>
      <c r="H136" s="7" t="s">
        <v>266</v>
      </c>
      <c r="I136" s="2" t="s">
        <v>73</v>
      </c>
      <c r="J136" s="2" t="s">
        <v>249</v>
      </c>
      <c r="K136" s="2" t="s">
        <v>304</v>
      </c>
      <c r="L136" s="2" t="s">
        <v>367</v>
      </c>
      <c r="M136" s="8" t="str">
        <f>HYPERLINK("http://slimages.macys.com/is/image/MCY/14661613 ")</f>
        <v xml:space="preserve">http://slimages.macys.com/is/image/MCY/14661613 </v>
      </c>
    </row>
    <row r="137" spans="1:13" ht="132" x14ac:dyDescent="0.25">
      <c r="A137" s="7" t="s">
        <v>13824</v>
      </c>
      <c r="B137" s="2" t="s">
        <v>13825</v>
      </c>
      <c r="C137" s="4">
        <v>1</v>
      </c>
      <c r="D137" s="5">
        <v>8.75</v>
      </c>
      <c r="E137" s="5">
        <v>24.99</v>
      </c>
      <c r="F137" s="4" t="s">
        <v>13826</v>
      </c>
      <c r="G137" s="2" t="s">
        <v>310</v>
      </c>
      <c r="H137" s="7" t="s">
        <v>209</v>
      </c>
      <c r="I137" s="2" t="s">
        <v>342</v>
      </c>
      <c r="J137" s="2" t="s">
        <v>362</v>
      </c>
      <c r="K137" s="2" t="s">
        <v>304</v>
      </c>
      <c r="L137" s="2" t="s">
        <v>363</v>
      </c>
      <c r="M137" s="8" t="str">
        <f>HYPERLINK("http://slimages.macys.com/is/image/MCY/14399836 ")</f>
        <v xml:space="preserve">http://slimages.macys.com/is/image/MCY/14399836 </v>
      </c>
    </row>
    <row r="138" spans="1:13" ht="132" x14ac:dyDescent="0.25">
      <c r="A138" s="7" t="s">
        <v>359</v>
      </c>
      <c r="B138" s="2" t="s">
        <v>360</v>
      </c>
      <c r="C138" s="4">
        <v>1</v>
      </c>
      <c r="D138" s="5">
        <v>8.75</v>
      </c>
      <c r="E138" s="5">
        <v>24.99</v>
      </c>
      <c r="F138" s="4" t="s">
        <v>361</v>
      </c>
      <c r="G138" s="2" t="s">
        <v>310</v>
      </c>
      <c r="H138" s="7" t="s">
        <v>209</v>
      </c>
      <c r="I138" s="2" t="s">
        <v>342</v>
      </c>
      <c r="J138" s="2" t="s">
        <v>362</v>
      </c>
      <c r="K138" s="2" t="s">
        <v>304</v>
      </c>
      <c r="L138" s="2" t="s">
        <v>363</v>
      </c>
      <c r="M138" s="8" t="str">
        <f>HYPERLINK("http://slimages.macys.com/is/image/MCY/14399757 ")</f>
        <v xml:space="preserve">http://slimages.macys.com/is/image/MCY/14399757 </v>
      </c>
    </row>
    <row r="139" spans="1:13" ht="60" x14ac:dyDescent="0.25">
      <c r="A139" s="7" t="s">
        <v>13827</v>
      </c>
      <c r="B139" s="2" t="s">
        <v>13828</v>
      </c>
      <c r="C139" s="4">
        <v>1</v>
      </c>
      <c r="D139" s="5">
        <v>8.65</v>
      </c>
      <c r="E139" s="5">
        <v>17.3</v>
      </c>
      <c r="F139" s="4">
        <v>27878610</v>
      </c>
      <c r="G139" s="2"/>
      <c r="H139" s="7" t="s">
        <v>68</v>
      </c>
      <c r="I139" s="2" t="s">
        <v>487</v>
      </c>
      <c r="J139" s="2" t="s">
        <v>488</v>
      </c>
      <c r="K139" s="2" t="s">
        <v>304</v>
      </c>
      <c r="L139" s="2" t="s">
        <v>38</v>
      </c>
      <c r="M139" s="8" t="str">
        <f>HYPERLINK("http://slimages.macys.com/is/image/MCY/13852819 ")</f>
        <v xml:space="preserve">http://slimages.macys.com/is/image/MCY/13852819 </v>
      </c>
    </row>
    <row r="140" spans="1:13" ht="60" x14ac:dyDescent="0.25">
      <c r="A140" s="7" t="s">
        <v>13829</v>
      </c>
      <c r="B140" s="2" t="s">
        <v>5352</v>
      </c>
      <c r="C140" s="4">
        <v>1</v>
      </c>
      <c r="D140" s="5">
        <v>8.65</v>
      </c>
      <c r="E140" s="5">
        <v>22.99</v>
      </c>
      <c r="F140" s="4">
        <v>103389</v>
      </c>
      <c r="G140" s="2"/>
      <c r="H140" s="7" t="s">
        <v>172</v>
      </c>
      <c r="I140" s="2" t="s">
        <v>321</v>
      </c>
      <c r="J140" s="2" t="s">
        <v>322</v>
      </c>
      <c r="K140" s="2" t="s">
        <v>304</v>
      </c>
      <c r="L140" s="2" t="s">
        <v>323</v>
      </c>
      <c r="M140" s="8" t="str">
        <f>HYPERLINK("http://slimages.macys.com/is/image/MCY/10628314 ")</f>
        <v xml:space="preserve">http://slimages.macys.com/is/image/MCY/10628314 </v>
      </c>
    </row>
    <row r="141" spans="1:13" ht="120" x14ac:dyDescent="0.25">
      <c r="A141" s="7" t="s">
        <v>13830</v>
      </c>
      <c r="B141" s="2" t="s">
        <v>13831</v>
      </c>
      <c r="C141" s="4">
        <v>1</v>
      </c>
      <c r="D141" s="5">
        <v>8.65</v>
      </c>
      <c r="E141" s="5">
        <v>17.3</v>
      </c>
      <c r="F141" s="4">
        <v>28374610</v>
      </c>
      <c r="G141" s="2" t="s">
        <v>643</v>
      </c>
      <c r="H141" s="7" t="s">
        <v>68</v>
      </c>
      <c r="I141" s="2" t="s">
        <v>487</v>
      </c>
      <c r="J141" s="2" t="s">
        <v>488</v>
      </c>
      <c r="K141" s="2" t="s">
        <v>304</v>
      </c>
      <c r="L141" s="2" t="s">
        <v>13832</v>
      </c>
      <c r="M141" s="8" t="str">
        <f>HYPERLINK("http://slimages.macys.com/is/image/MCY/13743163 ")</f>
        <v xml:space="preserve">http://slimages.macys.com/is/image/MCY/13743163 </v>
      </c>
    </row>
    <row r="142" spans="1:13" ht="60" x14ac:dyDescent="0.25">
      <c r="A142" s="7" t="s">
        <v>3250</v>
      </c>
      <c r="B142" s="2" t="s">
        <v>3249</v>
      </c>
      <c r="C142" s="4">
        <v>1</v>
      </c>
      <c r="D142" s="5">
        <v>8.65</v>
      </c>
      <c r="E142" s="5">
        <v>17.3</v>
      </c>
      <c r="F142" s="4">
        <v>27878810</v>
      </c>
      <c r="G142" s="2"/>
      <c r="H142" s="7" t="s">
        <v>144</v>
      </c>
      <c r="I142" s="2" t="s">
        <v>487</v>
      </c>
      <c r="J142" s="2" t="s">
        <v>488</v>
      </c>
      <c r="K142" s="2" t="s">
        <v>304</v>
      </c>
      <c r="L142" s="2" t="s">
        <v>38</v>
      </c>
      <c r="M142" s="8" t="str">
        <f>HYPERLINK("http://slimages.macys.com/is/image/MCY/13852827 ")</f>
        <v xml:space="preserve">http://slimages.macys.com/is/image/MCY/13852827 </v>
      </c>
    </row>
    <row r="143" spans="1:13" ht="60" x14ac:dyDescent="0.25">
      <c r="A143" s="7" t="s">
        <v>13833</v>
      </c>
      <c r="B143" s="2" t="s">
        <v>2519</v>
      </c>
      <c r="C143" s="4">
        <v>1</v>
      </c>
      <c r="D143" s="5">
        <v>8.6</v>
      </c>
      <c r="E143" s="5">
        <v>22.99</v>
      </c>
      <c r="F143" s="4" t="s">
        <v>13834</v>
      </c>
      <c r="G143" s="2" t="s">
        <v>262</v>
      </c>
      <c r="H143" s="7" t="s">
        <v>123</v>
      </c>
      <c r="I143" s="2" t="s">
        <v>380</v>
      </c>
      <c r="J143" s="2" t="s">
        <v>258</v>
      </c>
      <c r="K143" s="2" t="s">
        <v>304</v>
      </c>
      <c r="L143" s="2" t="s">
        <v>75</v>
      </c>
      <c r="M143" s="8" t="str">
        <f>HYPERLINK("http://slimages.macys.com/is/image/MCY/11722525 ")</f>
        <v xml:space="preserve">http://slimages.macys.com/is/image/MCY/11722525 </v>
      </c>
    </row>
    <row r="144" spans="1:13" ht="84" x14ac:dyDescent="0.25">
      <c r="A144" s="7" t="s">
        <v>13498</v>
      </c>
      <c r="B144" s="2" t="s">
        <v>377</v>
      </c>
      <c r="C144" s="4">
        <v>2</v>
      </c>
      <c r="D144" s="5">
        <v>8.5</v>
      </c>
      <c r="E144" s="5">
        <v>20</v>
      </c>
      <c r="F144" s="4" t="s">
        <v>378</v>
      </c>
      <c r="G144" s="2" t="s">
        <v>62</v>
      </c>
      <c r="H144" s="7" t="s">
        <v>618</v>
      </c>
      <c r="I144" s="2" t="s">
        <v>380</v>
      </c>
      <c r="J144" s="2" t="s">
        <v>381</v>
      </c>
      <c r="K144" s="2" t="s">
        <v>304</v>
      </c>
      <c r="L144" s="2" t="s">
        <v>382</v>
      </c>
      <c r="M144" s="8" t="str">
        <f>HYPERLINK("http://slimages.macys.com/is/image/MCY/12550109 ")</f>
        <v xml:space="preserve">http://slimages.macys.com/is/image/MCY/12550109 </v>
      </c>
    </row>
    <row r="145" spans="1:13" ht="84" x14ac:dyDescent="0.25">
      <c r="A145" s="7" t="s">
        <v>13835</v>
      </c>
      <c r="B145" s="2" t="s">
        <v>377</v>
      </c>
      <c r="C145" s="4">
        <v>1</v>
      </c>
      <c r="D145" s="5">
        <v>8.5</v>
      </c>
      <c r="E145" s="5">
        <v>20</v>
      </c>
      <c r="F145" s="4" t="s">
        <v>378</v>
      </c>
      <c r="G145" s="2" t="s">
        <v>62</v>
      </c>
      <c r="H145" s="7" t="s">
        <v>123</v>
      </c>
      <c r="I145" s="2" t="s">
        <v>380</v>
      </c>
      <c r="J145" s="2" t="s">
        <v>381</v>
      </c>
      <c r="K145" s="2" t="s">
        <v>304</v>
      </c>
      <c r="L145" s="2" t="s">
        <v>382</v>
      </c>
      <c r="M145" s="8" t="str">
        <f>HYPERLINK("http://slimages.macys.com/is/image/MCY/12550109 ")</f>
        <v xml:space="preserve">http://slimages.macys.com/is/image/MCY/12550109 </v>
      </c>
    </row>
    <row r="146" spans="1:13" ht="60" x14ac:dyDescent="0.25">
      <c r="A146" s="7" t="s">
        <v>13323</v>
      </c>
      <c r="B146" s="2" t="s">
        <v>13324</v>
      </c>
      <c r="C146" s="4">
        <v>1</v>
      </c>
      <c r="D146" s="5">
        <v>8.4</v>
      </c>
      <c r="E146" s="5">
        <v>18.989999999999998</v>
      </c>
      <c r="F146" s="4" t="s">
        <v>13325</v>
      </c>
      <c r="G146" s="2" t="s">
        <v>874</v>
      </c>
      <c r="H146" s="7" t="s">
        <v>63</v>
      </c>
      <c r="I146" s="2" t="s">
        <v>73</v>
      </c>
      <c r="J146" s="2" t="s">
        <v>778</v>
      </c>
      <c r="K146" s="2" t="s">
        <v>304</v>
      </c>
      <c r="L146" s="2" t="s">
        <v>3900</v>
      </c>
      <c r="M146" s="8" t="str">
        <f>HYPERLINK("http://slimages.macys.com/is/image/MCY/12793373 ")</f>
        <v xml:space="preserve">http://slimages.macys.com/is/image/MCY/12793373 </v>
      </c>
    </row>
    <row r="147" spans="1:13" ht="60" x14ac:dyDescent="0.25">
      <c r="A147" s="7" t="s">
        <v>13836</v>
      </c>
      <c r="B147" s="2" t="s">
        <v>13837</v>
      </c>
      <c r="C147" s="4">
        <v>1</v>
      </c>
      <c r="D147" s="5">
        <v>8.4</v>
      </c>
      <c r="E147" s="5">
        <v>14.99</v>
      </c>
      <c r="F147" s="4" t="s">
        <v>13838</v>
      </c>
      <c r="G147" s="2" t="s">
        <v>48</v>
      </c>
      <c r="H147" s="7" t="s">
        <v>217</v>
      </c>
      <c r="I147" s="2" t="s">
        <v>80</v>
      </c>
      <c r="J147" s="2" t="s">
        <v>1917</v>
      </c>
      <c r="K147" s="2" t="s">
        <v>304</v>
      </c>
      <c r="L147" s="2" t="s">
        <v>119</v>
      </c>
      <c r="M147" s="8" t="str">
        <f>HYPERLINK("http://slimages.macys.com/is/image/MCY/9936005 ")</f>
        <v xml:space="preserve">http://slimages.macys.com/is/image/MCY/9936005 </v>
      </c>
    </row>
    <row r="148" spans="1:13" ht="60" x14ac:dyDescent="0.25">
      <c r="A148" s="7" t="s">
        <v>13839</v>
      </c>
      <c r="B148" s="2" t="s">
        <v>13324</v>
      </c>
      <c r="C148" s="4">
        <v>1</v>
      </c>
      <c r="D148" s="5">
        <v>8.4</v>
      </c>
      <c r="E148" s="5">
        <v>18.989999999999998</v>
      </c>
      <c r="F148" s="4" t="s">
        <v>13325</v>
      </c>
      <c r="G148" s="2" t="s">
        <v>874</v>
      </c>
      <c r="H148" s="7" t="s">
        <v>311</v>
      </c>
      <c r="I148" s="2" t="s">
        <v>73</v>
      </c>
      <c r="J148" s="2" t="s">
        <v>778</v>
      </c>
      <c r="K148" s="2" t="s">
        <v>304</v>
      </c>
      <c r="L148" s="2" t="s">
        <v>3900</v>
      </c>
      <c r="M148" s="8" t="str">
        <f>HYPERLINK("http://slimages.macys.com/is/image/MCY/12793373 ")</f>
        <v xml:space="preserve">http://slimages.macys.com/is/image/MCY/12793373 </v>
      </c>
    </row>
    <row r="149" spans="1:13" ht="60" x14ac:dyDescent="0.25">
      <c r="A149" s="7" t="s">
        <v>13647</v>
      </c>
      <c r="B149" s="2" t="s">
        <v>2564</v>
      </c>
      <c r="C149" s="4">
        <v>1</v>
      </c>
      <c r="D149" s="5">
        <v>8.25</v>
      </c>
      <c r="E149" s="5">
        <v>22.99</v>
      </c>
      <c r="F149" s="4" t="s">
        <v>2565</v>
      </c>
      <c r="G149" s="2" t="s">
        <v>62</v>
      </c>
      <c r="H149" s="7" t="s">
        <v>284</v>
      </c>
      <c r="I149" s="2" t="s">
        <v>468</v>
      </c>
      <c r="J149" s="2" t="s">
        <v>544</v>
      </c>
      <c r="K149" s="2" t="s">
        <v>304</v>
      </c>
      <c r="L149" s="2" t="s">
        <v>119</v>
      </c>
      <c r="M149" s="8" t="str">
        <f>HYPERLINK("http://slimages.macys.com/is/image/MCY/15447987 ")</f>
        <v xml:space="preserve">http://slimages.macys.com/is/image/MCY/15447987 </v>
      </c>
    </row>
    <row r="150" spans="1:13" ht="60" x14ac:dyDescent="0.25">
      <c r="A150" s="7" t="s">
        <v>2563</v>
      </c>
      <c r="B150" s="2" t="s">
        <v>2564</v>
      </c>
      <c r="C150" s="4">
        <v>2</v>
      </c>
      <c r="D150" s="5">
        <v>8.25</v>
      </c>
      <c r="E150" s="5">
        <v>22.99</v>
      </c>
      <c r="F150" s="4" t="s">
        <v>2565</v>
      </c>
      <c r="G150" s="2" t="s">
        <v>62</v>
      </c>
      <c r="H150" s="7" t="s">
        <v>159</v>
      </c>
      <c r="I150" s="2" t="s">
        <v>468</v>
      </c>
      <c r="J150" s="2" t="s">
        <v>544</v>
      </c>
      <c r="K150" s="2" t="s">
        <v>304</v>
      </c>
      <c r="L150" s="2" t="s">
        <v>119</v>
      </c>
      <c r="M150" s="8" t="str">
        <f>HYPERLINK("http://slimages.macys.com/is/image/MCY/15447987 ")</f>
        <v xml:space="preserve">http://slimages.macys.com/is/image/MCY/15447987 </v>
      </c>
    </row>
    <row r="151" spans="1:13" ht="132" x14ac:dyDescent="0.25">
      <c r="A151" s="7" t="s">
        <v>13840</v>
      </c>
      <c r="B151" s="2" t="s">
        <v>13841</v>
      </c>
      <c r="C151" s="4">
        <v>1</v>
      </c>
      <c r="D151" s="5">
        <v>8.1</v>
      </c>
      <c r="E151" s="5">
        <v>16.2</v>
      </c>
      <c r="F151" s="4">
        <v>27863810</v>
      </c>
      <c r="G151" s="2"/>
      <c r="H151" s="7" t="s">
        <v>68</v>
      </c>
      <c r="I151" s="2" t="s">
        <v>487</v>
      </c>
      <c r="J151" s="2" t="s">
        <v>488</v>
      </c>
      <c r="K151" s="2" t="s">
        <v>304</v>
      </c>
      <c r="L151" s="2" t="s">
        <v>13842</v>
      </c>
      <c r="M151" s="8" t="str">
        <f>HYPERLINK("http://slimages.macys.com/is/image/MCY/13852896 ")</f>
        <v xml:space="preserve">http://slimages.macys.com/is/image/MCY/13852896 </v>
      </c>
    </row>
    <row r="152" spans="1:13" ht="60" x14ac:dyDescent="0.25">
      <c r="A152" s="7" t="s">
        <v>2566</v>
      </c>
      <c r="B152" s="2" t="s">
        <v>2567</v>
      </c>
      <c r="C152" s="4">
        <v>1</v>
      </c>
      <c r="D152" s="5">
        <v>8.1</v>
      </c>
      <c r="E152" s="5">
        <v>16.2</v>
      </c>
      <c r="F152" s="4">
        <v>27879610</v>
      </c>
      <c r="G152" s="2"/>
      <c r="H152" s="7" t="s">
        <v>68</v>
      </c>
      <c r="I152" s="2" t="s">
        <v>487</v>
      </c>
      <c r="J152" s="2" t="s">
        <v>488</v>
      </c>
      <c r="K152" s="2" t="s">
        <v>304</v>
      </c>
      <c r="L152" s="2" t="s">
        <v>38</v>
      </c>
      <c r="M152" s="8" t="str">
        <f>HYPERLINK("http://slimages.macys.com/is/image/MCY/13791570 ")</f>
        <v xml:space="preserve">http://slimages.macys.com/is/image/MCY/13791570 </v>
      </c>
    </row>
    <row r="153" spans="1:13" ht="108" x14ac:dyDescent="0.25">
      <c r="A153" s="7" t="s">
        <v>13843</v>
      </c>
      <c r="B153" s="2" t="s">
        <v>13844</v>
      </c>
      <c r="C153" s="4">
        <v>1</v>
      </c>
      <c r="D153" s="5">
        <v>8.1</v>
      </c>
      <c r="E153" s="5">
        <v>16.2</v>
      </c>
      <c r="F153" s="4" t="s">
        <v>13845</v>
      </c>
      <c r="G153" s="2" t="s">
        <v>752</v>
      </c>
      <c r="H153" s="7" t="s">
        <v>144</v>
      </c>
      <c r="I153" s="2" t="s">
        <v>487</v>
      </c>
      <c r="J153" s="2" t="s">
        <v>488</v>
      </c>
      <c r="K153" s="2" t="s">
        <v>304</v>
      </c>
      <c r="L153" s="2" t="s">
        <v>2532</v>
      </c>
      <c r="M153" s="8" t="str">
        <f>HYPERLINK("http://slimages.macys.com/is/image/MCY/10078444 ")</f>
        <v xml:space="preserve">http://slimages.macys.com/is/image/MCY/10078444 </v>
      </c>
    </row>
    <row r="154" spans="1:13" ht="60" x14ac:dyDescent="0.25">
      <c r="A154" s="7" t="s">
        <v>13846</v>
      </c>
      <c r="B154" s="2" t="s">
        <v>1704</v>
      </c>
      <c r="C154" s="4">
        <v>1</v>
      </c>
      <c r="D154" s="5">
        <v>8.01</v>
      </c>
      <c r="E154" s="5">
        <v>19</v>
      </c>
      <c r="F154" s="4" t="s">
        <v>1705</v>
      </c>
      <c r="G154" s="2" t="s">
        <v>41</v>
      </c>
      <c r="H154" s="7" t="s">
        <v>159</v>
      </c>
      <c r="I154" s="2" t="s">
        <v>73</v>
      </c>
      <c r="J154" s="2" t="s">
        <v>160</v>
      </c>
      <c r="K154" s="2" t="s">
        <v>304</v>
      </c>
      <c r="L154" s="2" t="s">
        <v>38</v>
      </c>
      <c r="M154" s="8" t="str">
        <f>HYPERLINK("http://slimages.macys.com/is/image/MCY/14630831 ")</f>
        <v xml:space="preserve">http://slimages.macys.com/is/image/MCY/14630831 </v>
      </c>
    </row>
    <row r="155" spans="1:13" ht="60" x14ac:dyDescent="0.25">
      <c r="A155" s="7" t="s">
        <v>3276</v>
      </c>
      <c r="B155" s="2" t="s">
        <v>402</v>
      </c>
      <c r="C155" s="4">
        <v>1</v>
      </c>
      <c r="D155" s="5">
        <v>8.01</v>
      </c>
      <c r="E155" s="5">
        <v>17.989999999999998</v>
      </c>
      <c r="F155" s="4" t="s">
        <v>403</v>
      </c>
      <c r="G155" s="2" t="s">
        <v>41</v>
      </c>
      <c r="H155" s="7" t="s">
        <v>217</v>
      </c>
      <c r="I155" s="2" t="s">
        <v>80</v>
      </c>
      <c r="J155" s="2" t="s">
        <v>160</v>
      </c>
      <c r="K155" s="2" t="s">
        <v>304</v>
      </c>
      <c r="L155" s="2" t="s">
        <v>206</v>
      </c>
      <c r="M155" s="8" t="str">
        <f>HYPERLINK("http://slimages.macys.com/is/image/MCY/14716448 ")</f>
        <v xml:space="preserve">http://slimages.macys.com/is/image/MCY/14716448 </v>
      </c>
    </row>
    <row r="156" spans="1:13" ht="60" x14ac:dyDescent="0.25">
      <c r="A156" s="7" t="s">
        <v>13847</v>
      </c>
      <c r="B156" s="2" t="s">
        <v>887</v>
      </c>
      <c r="C156" s="4">
        <v>1</v>
      </c>
      <c r="D156" s="5">
        <v>8.01</v>
      </c>
      <c r="E156" s="5">
        <v>17.989999999999998</v>
      </c>
      <c r="F156" s="4" t="s">
        <v>888</v>
      </c>
      <c r="G156" s="2" t="s">
        <v>103</v>
      </c>
      <c r="H156" s="7" t="s">
        <v>284</v>
      </c>
      <c r="I156" s="2" t="s">
        <v>80</v>
      </c>
      <c r="J156" s="2" t="s">
        <v>160</v>
      </c>
      <c r="K156" s="2" t="s">
        <v>304</v>
      </c>
      <c r="L156" s="2" t="s">
        <v>206</v>
      </c>
      <c r="M156" s="8" t="str">
        <f>HYPERLINK("http://slimages.macys.com/is/image/MCY/13758779 ")</f>
        <v xml:space="preserve">http://slimages.macys.com/is/image/MCY/13758779 </v>
      </c>
    </row>
    <row r="157" spans="1:13" ht="60" x14ac:dyDescent="0.25">
      <c r="A157" s="7" t="s">
        <v>1700</v>
      </c>
      <c r="B157" s="2" t="s">
        <v>1701</v>
      </c>
      <c r="C157" s="4">
        <v>1</v>
      </c>
      <c r="D157" s="5">
        <v>8.01</v>
      </c>
      <c r="E157" s="5">
        <v>17.989999999999998</v>
      </c>
      <c r="F157" s="4" t="s">
        <v>1702</v>
      </c>
      <c r="G157" s="2" t="s">
        <v>785</v>
      </c>
      <c r="H157" s="7" t="s">
        <v>228</v>
      </c>
      <c r="I157" s="2" t="s">
        <v>80</v>
      </c>
      <c r="J157" s="2" t="s">
        <v>160</v>
      </c>
      <c r="K157" s="2" t="s">
        <v>304</v>
      </c>
      <c r="L157" s="2" t="s">
        <v>125</v>
      </c>
      <c r="M157" s="8" t="str">
        <f>HYPERLINK("http://slimages.macys.com/is/image/MCY/16345692 ")</f>
        <v xml:space="preserve">http://slimages.macys.com/is/image/MCY/16345692 </v>
      </c>
    </row>
    <row r="158" spans="1:13" ht="60" x14ac:dyDescent="0.25">
      <c r="A158" s="7" t="s">
        <v>1707</v>
      </c>
      <c r="B158" s="2" t="s">
        <v>887</v>
      </c>
      <c r="C158" s="4">
        <v>1</v>
      </c>
      <c r="D158" s="5">
        <v>8.01</v>
      </c>
      <c r="E158" s="5">
        <v>17.989999999999998</v>
      </c>
      <c r="F158" s="4" t="s">
        <v>888</v>
      </c>
      <c r="G158" s="2" t="s">
        <v>103</v>
      </c>
      <c r="H158" s="7" t="s">
        <v>228</v>
      </c>
      <c r="I158" s="2" t="s">
        <v>80</v>
      </c>
      <c r="J158" s="2" t="s">
        <v>160</v>
      </c>
      <c r="K158" s="2" t="s">
        <v>304</v>
      </c>
      <c r="L158" s="2" t="s">
        <v>206</v>
      </c>
      <c r="M158" s="8" t="str">
        <f>HYPERLINK("http://slimages.macys.com/is/image/MCY/13758779 ")</f>
        <v xml:space="preserve">http://slimages.macys.com/is/image/MCY/13758779 </v>
      </c>
    </row>
    <row r="159" spans="1:13" ht="60" x14ac:dyDescent="0.25">
      <c r="A159" s="7" t="s">
        <v>1703</v>
      </c>
      <c r="B159" s="2" t="s">
        <v>1704</v>
      </c>
      <c r="C159" s="4">
        <v>1</v>
      </c>
      <c r="D159" s="5">
        <v>8.01</v>
      </c>
      <c r="E159" s="5">
        <v>19</v>
      </c>
      <c r="F159" s="4" t="s">
        <v>1705</v>
      </c>
      <c r="G159" s="2" t="s">
        <v>41</v>
      </c>
      <c r="H159" s="7" t="s">
        <v>228</v>
      </c>
      <c r="I159" s="2" t="s">
        <v>73</v>
      </c>
      <c r="J159" s="2" t="s">
        <v>160</v>
      </c>
      <c r="K159" s="2" t="s">
        <v>304</v>
      </c>
      <c r="L159" s="2" t="s">
        <v>38</v>
      </c>
      <c r="M159" s="8" t="str">
        <f>HYPERLINK("http://slimages.macys.com/is/image/MCY/14630831 ")</f>
        <v xml:space="preserve">http://slimages.macys.com/is/image/MCY/14630831 </v>
      </c>
    </row>
    <row r="160" spans="1:13" ht="60" x14ac:dyDescent="0.25">
      <c r="A160" s="7" t="s">
        <v>3271</v>
      </c>
      <c r="B160" s="2" t="s">
        <v>402</v>
      </c>
      <c r="C160" s="4">
        <v>1</v>
      </c>
      <c r="D160" s="5">
        <v>8.01</v>
      </c>
      <c r="E160" s="5">
        <v>17.989999999999998</v>
      </c>
      <c r="F160" s="4" t="s">
        <v>403</v>
      </c>
      <c r="G160" s="2" t="s">
        <v>41</v>
      </c>
      <c r="H160" s="7" t="s">
        <v>159</v>
      </c>
      <c r="I160" s="2" t="s">
        <v>80</v>
      </c>
      <c r="J160" s="2" t="s">
        <v>160</v>
      </c>
      <c r="K160" s="2" t="s">
        <v>304</v>
      </c>
      <c r="L160" s="2" t="s">
        <v>206</v>
      </c>
      <c r="M160" s="8" t="str">
        <f>HYPERLINK("http://slimages.macys.com/is/image/MCY/14716448 ")</f>
        <v xml:space="preserve">http://slimages.macys.com/is/image/MCY/14716448 </v>
      </c>
    </row>
    <row r="161" spans="1:13" ht="60" x14ac:dyDescent="0.25">
      <c r="A161" s="7" t="s">
        <v>407</v>
      </c>
      <c r="B161" s="2" t="s">
        <v>397</v>
      </c>
      <c r="C161" s="4">
        <v>1</v>
      </c>
      <c r="D161" s="5">
        <v>8.01</v>
      </c>
      <c r="E161" s="5">
        <v>19</v>
      </c>
      <c r="F161" s="4" t="s">
        <v>398</v>
      </c>
      <c r="G161" s="2" t="s">
        <v>41</v>
      </c>
      <c r="H161" s="7" t="s">
        <v>196</v>
      </c>
      <c r="I161" s="2" t="s">
        <v>73</v>
      </c>
      <c r="J161" s="2" t="s">
        <v>160</v>
      </c>
      <c r="K161" s="2" t="s">
        <v>304</v>
      </c>
      <c r="L161" s="2" t="s">
        <v>206</v>
      </c>
      <c r="M161" s="8" t="str">
        <f>HYPERLINK("http://slimages.macys.com/is/image/MCY/14724089 ")</f>
        <v xml:space="preserve">http://slimages.macys.com/is/image/MCY/14724089 </v>
      </c>
    </row>
    <row r="162" spans="1:13" ht="60" x14ac:dyDescent="0.25">
      <c r="A162" s="7" t="s">
        <v>1710</v>
      </c>
      <c r="B162" s="2" t="s">
        <v>418</v>
      </c>
      <c r="C162" s="4">
        <v>1</v>
      </c>
      <c r="D162" s="5">
        <v>8</v>
      </c>
      <c r="E162" s="5">
        <v>17.989999999999998</v>
      </c>
      <c r="F162" s="4" t="s">
        <v>419</v>
      </c>
      <c r="G162" s="2" t="s">
        <v>62</v>
      </c>
      <c r="H162" s="7" t="s">
        <v>228</v>
      </c>
      <c r="I162" s="2" t="s">
        <v>73</v>
      </c>
      <c r="J162" s="2" t="s">
        <v>223</v>
      </c>
      <c r="K162" s="2" t="s">
        <v>304</v>
      </c>
      <c r="L162" s="2" t="s">
        <v>119</v>
      </c>
      <c r="M162" s="8" t="str">
        <f>HYPERLINK("http://slimages.macys.com/is/image/MCY/13581644 ")</f>
        <v xml:space="preserve">http://slimages.macys.com/is/image/MCY/13581644 </v>
      </c>
    </row>
    <row r="163" spans="1:13" ht="60" x14ac:dyDescent="0.25">
      <c r="A163" s="7" t="s">
        <v>13848</v>
      </c>
      <c r="B163" s="2" t="s">
        <v>418</v>
      </c>
      <c r="C163" s="4">
        <v>1</v>
      </c>
      <c r="D163" s="5">
        <v>8</v>
      </c>
      <c r="E163" s="5">
        <v>17.989999999999998</v>
      </c>
      <c r="F163" s="4" t="s">
        <v>419</v>
      </c>
      <c r="G163" s="2" t="s">
        <v>62</v>
      </c>
      <c r="H163" s="7" t="s">
        <v>284</v>
      </c>
      <c r="I163" s="2" t="s">
        <v>73</v>
      </c>
      <c r="J163" s="2" t="s">
        <v>223</v>
      </c>
      <c r="K163" s="2" t="s">
        <v>304</v>
      </c>
      <c r="L163" s="2" t="s">
        <v>119</v>
      </c>
      <c r="M163" s="8" t="str">
        <f>HYPERLINK("http://slimages.macys.com/is/image/MCY/13581644 ")</f>
        <v xml:space="preserve">http://slimages.macys.com/is/image/MCY/13581644 </v>
      </c>
    </row>
    <row r="164" spans="1:13" ht="60" x14ac:dyDescent="0.25">
      <c r="A164" s="7" t="s">
        <v>13849</v>
      </c>
      <c r="B164" s="2" t="s">
        <v>425</v>
      </c>
      <c r="C164" s="4">
        <v>1</v>
      </c>
      <c r="D164" s="5">
        <v>8</v>
      </c>
      <c r="E164" s="5">
        <v>20</v>
      </c>
      <c r="F164" s="4">
        <v>1331684</v>
      </c>
      <c r="G164" s="2" t="s">
        <v>165</v>
      </c>
      <c r="H164" s="7" t="s">
        <v>217</v>
      </c>
      <c r="I164" s="2" t="s">
        <v>80</v>
      </c>
      <c r="J164" s="2" t="s">
        <v>280</v>
      </c>
      <c r="K164" s="2" t="s">
        <v>304</v>
      </c>
      <c r="L164" s="2" t="s">
        <v>125</v>
      </c>
      <c r="M164" s="8" t="str">
        <f>HYPERLINK("http://slimages.macys.com/is/image/MCY/15868210 ")</f>
        <v xml:space="preserve">http://slimages.macys.com/is/image/MCY/15868210 </v>
      </c>
    </row>
    <row r="165" spans="1:13" ht="84" x14ac:dyDescent="0.25">
      <c r="A165" s="7" t="s">
        <v>13850</v>
      </c>
      <c r="B165" s="2" t="s">
        <v>4895</v>
      </c>
      <c r="C165" s="4">
        <v>1</v>
      </c>
      <c r="D165" s="5">
        <v>8</v>
      </c>
      <c r="E165" s="5">
        <v>20</v>
      </c>
      <c r="F165" s="4" t="s">
        <v>4896</v>
      </c>
      <c r="G165" s="2" t="s">
        <v>310</v>
      </c>
      <c r="H165" s="7" t="s">
        <v>209</v>
      </c>
      <c r="I165" s="2" t="s">
        <v>380</v>
      </c>
      <c r="J165" s="2" t="s">
        <v>896</v>
      </c>
      <c r="K165" s="2" t="s">
        <v>304</v>
      </c>
      <c r="L165" s="2" t="s">
        <v>6829</v>
      </c>
      <c r="M165" s="8" t="str">
        <f>HYPERLINK("http://slimages.macys.com/is/image/MCY/11860767 ")</f>
        <v xml:space="preserve">http://slimages.macys.com/is/image/MCY/11860767 </v>
      </c>
    </row>
    <row r="166" spans="1:13" ht="60" x14ac:dyDescent="0.25">
      <c r="A166" s="7" t="s">
        <v>13851</v>
      </c>
      <c r="B166" s="2" t="s">
        <v>8840</v>
      </c>
      <c r="C166" s="4">
        <v>1</v>
      </c>
      <c r="D166" s="5">
        <v>8</v>
      </c>
      <c r="E166" s="5">
        <v>17.989999999999998</v>
      </c>
      <c r="F166" s="4" t="s">
        <v>8841</v>
      </c>
      <c r="G166" s="2" t="s">
        <v>262</v>
      </c>
      <c r="H166" s="7" t="s">
        <v>196</v>
      </c>
      <c r="I166" s="2" t="s">
        <v>73</v>
      </c>
      <c r="J166" s="2" t="s">
        <v>223</v>
      </c>
      <c r="K166" s="2" t="s">
        <v>304</v>
      </c>
      <c r="L166" s="2" t="s">
        <v>119</v>
      </c>
      <c r="M166" s="8" t="str">
        <f>HYPERLINK("http://slimages.macys.com/is/image/MCY/15396620 ")</f>
        <v xml:space="preserve">http://slimages.macys.com/is/image/MCY/15396620 </v>
      </c>
    </row>
    <row r="167" spans="1:13" ht="132" x14ac:dyDescent="0.25">
      <c r="A167" s="7" t="s">
        <v>13852</v>
      </c>
      <c r="B167" s="2" t="s">
        <v>3292</v>
      </c>
      <c r="C167" s="4">
        <v>1</v>
      </c>
      <c r="D167" s="5">
        <v>7.75</v>
      </c>
      <c r="E167" s="5">
        <v>19.989999999999998</v>
      </c>
      <c r="F167" s="4" t="s">
        <v>3293</v>
      </c>
      <c r="G167" s="2" t="s">
        <v>310</v>
      </c>
      <c r="H167" s="7" t="s">
        <v>91</v>
      </c>
      <c r="I167" s="2" t="s">
        <v>92</v>
      </c>
      <c r="J167" s="2" t="s">
        <v>430</v>
      </c>
      <c r="K167" s="2" t="s">
        <v>304</v>
      </c>
      <c r="L167" s="2" t="s">
        <v>957</v>
      </c>
      <c r="M167" s="8" t="str">
        <f>HYPERLINK("http://slimages.macys.com/is/image/MCY/14379356 ")</f>
        <v xml:space="preserve">http://slimages.macys.com/is/image/MCY/14379356 </v>
      </c>
    </row>
    <row r="168" spans="1:13" ht="72" x14ac:dyDescent="0.25">
      <c r="A168" s="7" t="s">
        <v>13853</v>
      </c>
      <c r="B168" s="2" t="s">
        <v>4025</v>
      </c>
      <c r="C168" s="4">
        <v>1</v>
      </c>
      <c r="D168" s="5">
        <v>7.75</v>
      </c>
      <c r="E168" s="5">
        <v>25</v>
      </c>
      <c r="F168" s="4" t="s">
        <v>6249</v>
      </c>
      <c r="G168" s="2" t="s">
        <v>62</v>
      </c>
      <c r="H168" s="7" t="s">
        <v>850</v>
      </c>
      <c r="I168" s="2" t="s">
        <v>50</v>
      </c>
      <c r="J168" s="2" t="s">
        <v>901</v>
      </c>
      <c r="K168" s="2" t="s">
        <v>304</v>
      </c>
      <c r="L168" s="2" t="s">
        <v>5455</v>
      </c>
      <c r="M168" s="8" t="str">
        <f>HYPERLINK("http://slimages.macys.com/is/image/MCY/13438907 ")</f>
        <v xml:space="preserve">http://slimages.macys.com/is/image/MCY/13438907 </v>
      </c>
    </row>
    <row r="169" spans="1:13" ht="72" x14ac:dyDescent="0.25">
      <c r="A169" s="7" t="s">
        <v>13854</v>
      </c>
      <c r="B169" s="2" t="s">
        <v>4025</v>
      </c>
      <c r="C169" s="4">
        <v>1</v>
      </c>
      <c r="D169" s="5">
        <v>7.75</v>
      </c>
      <c r="E169" s="5">
        <v>25</v>
      </c>
      <c r="F169" s="4" t="s">
        <v>6249</v>
      </c>
      <c r="G169" s="2" t="s">
        <v>62</v>
      </c>
      <c r="H169" s="7" t="s">
        <v>917</v>
      </c>
      <c r="I169" s="2" t="s">
        <v>50</v>
      </c>
      <c r="J169" s="2" t="s">
        <v>901</v>
      </c>
      <c r="K169" s="2" t="s">
        <v>304</v>
      </c>
      <c r="L169" s="2" t="s">
        <v>5455</v>
      </c>
      <c r="M169" s="8" t="str">
        <f>HYPERLINK("http://slimages.macys.com/is/image/MCY/13438907 ")</f>
        <v xml:space="preserve">http://slimages.macys.com/is/image/MCY/13438907 </v>
      </c>
    </row>
    <row r="170" spans="1:13" ht="72" x14ac:dyDescent="0.25">
      <c r="A170" s="7" t="s">
        <v>6248</v>
      </c>
      <c r="B170" s="2" t="s">
        <v>4025</v>
      </c>
      <c r="C170" s="4">
        <v>1</v>
      </c>
      <c r="D170" s="5">
        <v>7.75</v>
      </c>
      <c r="E170" s="5">
        <v>25</v>
      </c>
      <c r="F170" s="4" t="s">
        <v>6249</v>
      </c>
      <c r="G170" s="2" t="s">
        <v>62</v>
      </c>
      <c r="H170" s="7" t="s">
        <v>786</v>
      </c>
      <c r="I170" s="2" t="s">
        <v>50</v>
      </c>
      <c r="J170" s="2" t="s">
        <v>901</v>
      </c>
      <c r="K170" s="2" t="s">
        <v>304</v>
      </c>
      <c r="L170" s="2" t="s">
        <v>5455</v>
      </c>
      <c r="M170" s="8" t="str">
        <f>HYPERLINK("http://slimages.macys.com/is/image/MCY/13438907 ")</f>
        <v xml:space="preserve">http://slimages.macys.com/is/image/MCY/13438907 </v>
      </c>
    </row>
    <row r="171" spans="1:13" ht="168" x14ac:dyDescent="0.25">
      <c r="A171" s="7" t="s">
        <v>13855</v>
      </c>
      <c r="B171" s="2" t="s">
        <v>3284</v>
      </c>
      <c r="C171" s="4">
        <v>1</v>
      </c>
      <c r="D171" s="5">
        <v>7.75</v>
      </c>
      <c r="E171" s="5">
        <v>19.989999999999998</v>
      </c>
      <c r="F171" s="4" t="s">
        <v>3285</v>
      </c>
      <c r="G171" s="2" t="s">
        <v>310</v>
      </c>
      <c r="H171" s="7" t="s">
        <v>149</v>
      </c>
      <c r="I171" s="2" t="s">
        <v>92</v>
      </c>
      <c r="J171" s="2" t="s">
        <v>430</v>
      </c>
      <c r="K171" s="2" t="s">
        <v>304</v>
      </c>
      <c r="L171" s="2" t="s">
        <v>3286</v>
      </c>
      <c r="M171" s="8" t="str">
        <f>HYPERLINK("http://slimages.macys.com/is/image/MCY/14379326 ")</f>
        <v xml:space="preserve">http://slimages.macys.com/is/image/MCY/14379326 </v>
      </c>
    </row>
    <row r="172" spans="1:13" ht="60" x14ac:dyDescent="0.25">
      <c r="A172" s="7" t="s">
        <v>13856</v>
      </c>
      <c r="B172" s="2" t="s">
        <v>911</v>
      </c>
      <c r="C172" s="4">
        <v>1</v>
      </c>
      <c r="D172" s="5">
        <v>7.75</v>
      </c>
      <c r="E172" s="5">
        <v>19.989999999999998</v>
      </c>
      <c r="F172" s="4" t="s">
        <v>912</v>
      </c>
      <c r="G172" s="2" t="s">
        <v>582</v>
      </c>
      <c r="H172" s="7" t="s">
        <v>442</v>
      </c>
      <c r="I172" s="2" t="s">
        <v>92</v>
      </c>
      <c r="J172" s="2" t="s">
        <v>65</v>
      </c>
      <c r="K172" s="2" t="s">
        <v>304</v>
      </c>
      <c r="L172" s="2" t="s">
        <v>913</v>
      </c>
      <c r="M172" s="8" t="str">
        <f>HYPERLINK("http://slimages.macys.com/is/image/MCY/14803585 ")</f>
        <v xml:space="preserve">http://slimages.macys.com/is/image/MCY/14803585 </v>
      </c>
    </row>
    <row r="173" spans="1:13" ht="60" x14ac:dyDescent="0.25">
      <c r="A173" s="7" t="s">
        <v>13857</v>
      </c>
      <c r="B173" s="2" t="s">
        <v>3981</v>
      </c>
      <c r="C173" s="4">
        <v>1</v>
      </c>
      <c r="D173" s="5">
        <v>7.75</v>
      </c>
      <c r="E173" s="5">
        <v>19.989999999999998</v>
      </c>
      <c r="F173" s="4" t="s">
        <v>3982</v>
      </c>
      <c r="G173" s="2" t="s">
        <v>310</v>
      </c>
      <c r="H173" s="7" t="s">
        <v>442</v>
      </c>
      <c r="I173" s="2" t="s">
        <v>92</v>
      </c>
      <c r="J173" s="2" t="s">
        <v>430</v>
      </c>
      <c r="K173" s="2" t="s">
        <v>304</v>
      </c>
      <c r="L173" s="2" t="s">
        <v>100</v>
      </c>
      <c r="M173" s="8" t="str">
        <f>HYPERLINK("http://slimages.macys.com/is/image/MCY/14379310 ")</f>
        <v xml:space="preserve">http://slimages.macys.com/is/image/MCY/14379310 </v>
      </c>
    </row>
    <row r="174" spans="1:13" ht="168" x14ac:dyDescent="0.25">
      <c r="A174" s="7" t="s">
        <v>13858</v>
      </c>
      <c r="B174" s="2" t="s">
        <v>3284</v>
      </c>
      <c r="C174" s="4">
        <v>1</v>
      </c>
      <c r="D174" s="5">
        <v>7.75</v>
      </c>
      <c r="E174" s="5">
        <v>19.989999999999998</v>
      </c>
      <c r="F174" s="4" t="s">
        <v>3285</v>
      </c>
      <c r="G174" s="2" t="s">
        <v>310</v>
      </c>
      <c r="H174" s="7" t="s">
        <v>91</v>
      </c>
      <c r="I174" s="2" t="s">
        <v>92</v>
      </c>
      <c r="J174" s="2" t="s">
        <v>430</v>
      </c>
      <c r="K174" s="2" t="s">
        <v>304</v>
      </c>
      <c r="L174" s="2" t="s">
        <v>3286</v>
      </c>
      <c r="M174" s="8" t="str">
        <f>HYPERLINK("http://slimages.macys.com/is/image/MCY/14379326 ")</f>
        <v xml:space="preserve">http://slimages.macys.com/is/image/MCY/14379326 </v>
      </c>
    </row>
    <row r="175" spans="1:13" ht="132" x14ac:dyDescent="0.25">
      <c r="A175" s="7" t="s">
        <v>13859</v>
      </c>
      <c r="B175" s="2" t="s">
        <v>3292</v>
      </c>
      <c r="C175" s="4">
        <v>2</v>
      </c>
      <c r="D175" s="5">
        <v>7.75</v>
      </c>
      <c r="E175" s="5">
        <v>19.989999999999998</v>
      </c>
      <c r="F175" s="4" t="s">
        <v>3293</v>
      </c>
      <c r="G175" s="2" t="s">
        <v>310</v>
      </c>
      <c r="H175" s="7" t="s">
        <v>42</v>
      </c>
      <c r="I175" s="2" t="s">
        <v>92</v>
      </c>
      <c r="J175" s="2" t="s">
        <v>430</v>
      </c>
      <c r="K175" s="2" t="s">
        <v>304</v>
      </c>
      <c r="L175" s="2" t="s">
        <v>957</v>
      </c>
      <c r="M175" s="8" t="str">
        <f>HYPERLINK("http://slimages.macys.com/is/image/MCY/14379356 ")</f>
        <v xml:space="preserve">http://slimages.macys.com/is/image/MCY/14379356 </v>
      </c>
    </row>
    <row r="176" spans="1:13" ht="60" x14ac:dyDescent="0.25">
      <c r="A176" s="7" t="s">
        <v>910</v>
      </c>
      <c r="B176" s="2" t="s">
        <v>911</v>
      </c>
      <c r="C176" s="4">
        <v>1</v>
      </c>
      <c r="D176" s="5">
        <v>7.75</v>
      </c>
      <c r="E176" s="5">
        <v>19.989999999999998</v>
      </c>
      <c r="F176" s="4" t="s">
        <v>912</v>
      </c>
      <c r="G176" s="2" t="s">
        <v>582</v>
      </c>
      <c r="H176" s="7" t="s">
        <v>42</v>
      </c>
      <c r="I176" s="2" t="s">
        <v>92</v>
      </c>
      <c r="J176" s="2" t="s">
        <v>65</v>
      </c>
      <c r="K176" s="2" t="s">
        <v>304</v>
      </c>
      <c r="L176" s="2" t="s">
        <v>913</v>
      </c>
      <c r="M176" s="8" t="str">
        <f>HYPERLINK("http://slimages.macys.com/is/image/MCY/14803585 ")</f>
        <v xml:space="preserve">http://slimages.macys.com/is/image/MCY/14803585 </v>
      </c>
    </row>
    <row r="177" spans="1:13" ht="60" x14ac:dyDescent="0.25">
      <c r="A177" s="7" t="s">
        <v>13860</v>
      </c>
      <c r="B177" s="2" t="s">
        <v>13861</v>
      </c>
      <c r="C177" s="4">
        <v>1</v>
      </c>
      <c r="D177" s="5">
        <v>7.75</v>
      </c>
      <c r="E177" s="5">
        <v>19.989999999999998</v>
      </c>
      <c r="F177" s="4" t="s">
        <v>13862</v>
      </c>
      <c r="G177" s="2" t="s">
        <v>310</v>
      </c>
      <c r="H177" s="7" t="s">
        <v>442</v>
      </c>
      <c r="I177" s="2" t="s">
        <v>135</v>
      </c>
      <c r="J177" s="2" t="s">
        <v>430</v>
      </c>
      <c r="K177" s="2" t="s">
        <v>304</v>
      </c>
      <c r="L177" s="2" t="s">
        <v>119</v>
      </c>
      <c r="M177" s="8" t="str">
        <f>HYPERLINK("http://slimages.macys.com/is/image/MCY/10334726 ")</f>
        <v xml:space="preserve">http://slimages.macys.com/is/image/MCY/10334726 </v>
      </c>
    </row>
    <row r="178" spans="1:13" ht="132" x14ac:dyDescent="0.25">
      <c r="A178" s="7" t="s">
        <v>13863</v>
      </c>
      <c r="B178" s="2" t="s">
        <v>3292</v>
      </c>
      <c r="C178" s="4">
        <v>1</v>
      </c>
      <c r="D178" s="5">
        <v>7.75</v>
      </c>
      <c r="E178" s="5">
        <v>19.989999999999998</v>
      </c>
      <c r="F178" s="4" t="s">
        <v>3293</v>
      </c>
      <c r="G178" s="2" t="s">
        <v>310</v>
      </c>
      <c r="H178" s="7" t="s">
        <v>590</v>
      </c>
      <c r="I178" s="2" t="s">
        <v>92</v>
      </c>
      <c r="J178" s="2" t="s">
        <v>430</v>
      </c>
      <c r="K178" s="2" t="s">
        <v>304</v>
      </c>
      <c r="L178" s="2" t="s">
        <v>957</v>
      </c>
      <c r="M178" s="8" t="str">
        <f>HYPERLINK("http://slimages.macys.com/is/image/MCY/14379356 ")</f>
        <v xml:space="preserve">http://slimages.macys.com/is/image/MCY/14379356 </v>
      </c>
    </row>
    <row r="179" spans="1:13" ht="84" x14ac:dyDescent="0.25">
      <c r="A179" s="7" t="s">
        <v>8236</v>
      </c>
      <c r="B179" s="2" t="s">
        <v>8237</v>
      </c>
      <c r="C179" s="4">
        <v>1</v>
      </c>
      <c r="D179" s="5">
        <v>7.7</v>
      </c>
      <c r="E179" s="5">
        <v>19.989999999999998</v>
      </c>
      <c r="F179" s="4">
        <v>26564110</v>
      </c>
      <c r="G179" s="2"/>
      <c r="H179" s="7" t="s">
        <v>144</v>
      </c>
      <c r="I179" s="2" t="s">
        <v>321</v>
      </c>
      <c r="J179" s="2" t="s">
        <v>2552</v>
      </c>
      <c r="K179" s="2" t="s">
        <v>304</v>
      </c>
      <c r="L179" s="2" t="s">
        <v>2553</v>
      </c>
      <c r="M179" s="8" t="str">
        <f>HYPERLINK("http://slimages.macys.com/is/image/MCY/10943971 ")</f>
        <v xml:space="preserve">http://slimages.macys.com/is/image/MCY/10943971 </v>
      </c>
    </row>
    <row r="180" spans="1:13" ht="96" x14ac:dyDescent="0.25">
      <c r="A180" s="7" t="s">
        <v>13864</v>
      </c>
      <c r="B180" s="2" t="s">
        <v>8867</v>
      </c>
      <c r="C180" s="4">
        <v>1</v>
      </c>
      <c r="D180" s="5">
        <v>7.6</v>
      </c>
      <c r="E180" s="5">
        <v>17.28</v>
      </c>
      <c r="F180" s="4">
        <v>18376410</v>
      </c>
      <c r="G180" s="2"/>
      <c r="H180" s="7" t="s">
        <v>442</v>
      </c>
      <c r="I180" s="2" t="s">
        <v>153</v>
      </c>
      <c r="J180" s="2" t="s">
        <v>154</v>
      </c>
      <c r="K180" s="2" t="s">
        <v>304</v>
      </c>
      <c r="L180" s="2" t="s">
        <v>439</v>
      </c>
      <c r="M180" s="8" t="str">
        <f>HYPERLINK("http://slimages.macys.com/is/image/MCY/14608340 ")</f>
        <v xml:space="preserve">http://slimages.macys.com/is/image/MCY/14608340 </v>
      </c>
    </row>
    <row r="181" spans="1:13" ht="96" x14ac:dyDescent="0.25">
      <c r="A181" s="7" t="s">
        <v>13865</v>
      </c>
      <c r="B181" s="2" t="s">
        <v>13866</v>
      </c>
      <c r="C181" s="4">
        <v>1</v>
      </c>
      <c r="D181" s="5">
        <v>7.6</v>
      </c>
      <c r="E181" s="5">
        <v>15.99</v>
      </c>
      <c r="F181" s="4" t="s">
        <v>13867</v>
      </c>
      <c r="G181" s="2"/>
      <c r="H181" s="7" t="s">
        <v>233</v>
      </c>
      <c r="I181" s="2" t="s">
        <v>153</v>
      </c>
      <c r="J181" s="2" t="s">
        <v>154</v>
      </c>
      <c r="K181" s="2" t="s">
        <v>304</v>
      </c>
      <c r="L181" s="2" t="s">
        <v>439</v>
      </c>
      <c r="M181" s="8" t="str">
        <f>HYPERLINK("http://slimages.macys.com/is/image/MCY/11671928 ")</f>
        <v xml:space="preserve">http://slimages.macys.com/is/image/MCY/11671928 </v>
      </c>
    </row>
    <row r="182" spans="1:13" ht="60" x14ac:dyDescent="0.25">
      <c r="A182" s="7" t="s">
        <v>8862</v>
      </c>
      <c r="B182" s="2" t="s">
        <v>8863</v>
      </c>
      <c r="C182" s="4">
        <v>2</v>
      </c>
      <c r="D182" s="5">
        <v>7.6</v>
      </c>
      <c r="E182" s="5">
        <v>19</v>
      </c>
      <c r="F182" s="4" t="s">
        <v>8864</v>
      </c>
      <c r="G182" s="2"/>
      <c r="H182" s="7" t="s">
        <v>8865</v>
      </c>
      <c r="I182" s="2" t="s">
        <v>523</v>
      </c>
      <c r="J182" s="2" t="s">
        <v>3991</v>
      </c>
      <c r="K182" s="2" t="s">
        <v>304</v>
      </c>
      <c r="L182" s="2" t="s">
        <v>596</v>
      </c>
      <c r="M182" s="8" t="str">
        <f>HYPERLINK("http://slimages.macys.com/is/image/MCY/10944093 ")</f>
        <v xml:space="preserve">http://slimages.macys.com/is/image/MCY/10944093 </v>
      </c>
    </row>
    <row r="183" spans="1:13" ht="60" x14ac:dyDescent="0.25">
      <c r="A183" s="7" t="s">
        <v>13868</v>
      </c>
      <c r="B183" s="2" t="s">
        <v>449</v>
      </c>
      <c r="C183" s="4">
        <v>1</v>
      </c>
      <c r="D183" s="5">
        <v>7.5</v>
      </c>
      <c r="E183" s="5">
        <v>21.99</v>
      </c>
      <c r="F183" s="4" t="s">
        <v>13869</v>
      </c>
      <c r="G183" s="2" t="s">
        <v>62</v>
      </c>
      <c r="H183" s="7" t="s">
        <v>209</v>
      </c>
      <c r="I183" s="2" t="s">
        <v>64</v>
      </c>
      <c r="J183" s="2" t="s">
        <v>65</v>
      </c>
      <c r="K183" s="2" t="s">
        <v>304</v>
      </c>
      <c r="L183" s="2" t="s">
        <v>206</v>
      </c>
      <c r="M183" s="8" t="str">
        <f>HYPERLINK("http://slimages.macys.com/is/image/MCY/10069547 ")</f>
        <v xml:space="preserve">http://slimages.macys.com/is/image/MCY/10069547 </v>
      </c>
    </row>
    <row r="184" spans="1:13" ht="96" x14ac:dyDescent="0.25">
      <c r="A184" s="7" t="s">
        <v>8251</v>
      </c>
      <c r="B184" s="2" t="s">
        <v>444</v>
      </c>
      <c r="C184" s="4">
        <v>2</v>
      </c>
      <c r="D184" s="5">
        <v>7.5</v>
      </c>
      <c r="E184" s="5">
        <v>16.989999999999998</v>
      </c>
      <c r="F184" s="4" t="s">
        <v>445</v>
      </c>
      <c r="G184" s="2" t="s">
        <v>28</v>
      </c>
      <c r="H184" s="7" t="s">
        <v>159</v>
      </c>
      <c r="I184" s="2" t="s">
        <v>30</v>
      </c>
      <c r="J184" s="2" t="s">
        <v>446</v>
      </c>
      <c r="K184" s="2" t="s">
        <v>304</v>
      </c>
      <c r="L184" s="2" t="s">
        <v>447</v>
      </c>
      <c r="M184" s="8" t="str">
        <f>HYPERLINK("http://slimages.macys.com/is/image/MCY/10172233 ")</f>
        <v xml:space="preserve">http://slimages.macys.com/is/image/MCY/10172233 </v>
      </c>
    </row>
    <row r="185" spans="1:13" ht="60" x14ac:dyDescent="0.25">
      <c r="A185" s="7" t="s">
        <v>13870</v>
      </c>
      <c r="B185" s="2" t="s">
        <v>13871</v>
      </c>
      <c r="C185" s="4">
        <v>1</v>
      </c>
      <c r="D185" s="5">
        <v>7.5</v>
      </c>
      <c r="E185" s="5">
        <v>16.989999999999998</v>
      </c>
      <c r="F185" s="4">
        <v>15963010</v>
      </c>
      <c r="G185" s="2"/>
      <c r="H185" s="7" t="s">
        <v>442</v>
      </c>
      <c r="I185" s="2" t="s">
        <v>153</v>
      </c>
      <c r="J185" s="2" t="s">
        <v>154</v>
      </c>
      <c r="K185" s="2" t="s">
        <v>304</v>
      </c>
      <c r="L185" s="2" t="s">
        <v>206</v>
      </c>
      <c r="M185" s="8" t="str">
        <f>HYPERLINK("http://slimages.macys.com/is/image/MCY/11632200 ")</f>
        <v xml:space="preserve">http://slimages.macys.com/is/image/MCY/11632200 </v>
      </c>
    </row>
    <row r="186" spans="1:13" ht="60" x14ac:dyDescent="0.25">
      <c r="A186" s="7" t="s">
        <v>13872</v>
      </c>
      <c r="B186" s="2" t="s">
        <v>7517</v>
      </c>
      <c r="C186" s="4">
        <v>1</v>
      </c>
      <c r="D186" s="5">
        <v>7.4</v>
      </c>
      <c r="E186" s="5">
        <v>16.989999999999998</v>
      </c>
      <c r="F186" s="4" t="s">
        <v>7518</v>
      </c>
      <c r="G186" s="2" t="s">
        <v>28</v>
      </c>
      <c r="H186" s="7"/>
      <c r="I186" s="2" t="s">
        <v>523</v>
      </c>
      <c r="J186" s="2" t="s">
        <v>5463</v>
      </c>
      <c r="K186" s="2" t="s">
        <v>304</v>
      </c>
      <c r="L186" s="2" t="s">
        <v>38</v>
      </c>
      <c r="M186" s="8" t="str">
        <f>HYPERLINK("http://slimages.macys.com/is/image/MCY/11646778 ")</f>
        <v xml:space="preserve">http://slimages.macys.com/is/image/MCY/11646778 </v>
      </c>
    </row>
    <row r="187" spans="1:13" ht="60" x14ac:dyDescent="0.25">
      <c r="A187" s="7" t="s">
        <v>13873</v>
      </c>
      <c r="B187" s="2" t="s">
        <v>7419</v>
      </c>
      <c r="C187" s="4">
        <v>1</v>
      </c>
      <c r="D187" s="5">
        <v>7.39</v>
      </c>
      <c r="E187" s="5">
        <v>16.989999999999998</v>
      </c>
      <c r="F187" s="4" t="s">
        <v>8256</v>
      </c>
      <c r="G187" s="2" t="s">
        <v>62</v>
      </c>
      <c r="H187" s="7" t="s">
        <v>166</v>
      </c>
      <c r="I187" s="2" t="s">
        <v>292</v>
      </c>
      <c r="J187" s="2" t="s">
        <v>354</v>
      </c>
      <c r="K187" s="2" t="s">
        <v>304</v>
      </c>
      <c r="L187" s="2" t="s">
        <v>100</v>
      </c>
      <c r="M187" s="8" t="str">
        <f>HYPERLINK("http://slimages.macys.com/is/image/MCY/12951244 ")</f>
        <v xml:space="preserve">http://slimages.macys.com/is/image/MCY/12951244 </v>
      </c>
    </row>
    <row r="188" spans="1:13" ht="72" x14ac:dyDescent="0.25">
      <c r="A188" s="7" t="s">
        <v>10044</v>
      </c>
      <c r="B188" s="2" t="s">
        <v>8261</v>
      </c>
      <c r="C188" s="4">
        <v>1</v>
      </c>
      <c r="D188" s="5">
        <v>7.25</v>
      </c>
      <c r="E188" s="5">
        <v>20</v>
      </c>
      <c r="F188" s="4" t="s">
        <v>6266</v>
      </c>
      <c r="G188" s="2" t="s">
        <v>36</v>
      </c>
      <c r="H188" s="7" t="s">
        <v>49</v>
      </c>
      <c r="I188" s="2" t="s">
        <v>50</v>
      </c>
      <c r="J188" s="2" t="s">
        <v>901</v>
      </c>
      <c r="K188" s="2" t="s">
        <v>304</v>
      </c>
      <c r="L188" s="2" t="s">
        <v>5455</v>
      </c>
      <c r="M188" s="8" t="str">
        <f>HYPERLINK("http://slimages.macys.com/is/image/MCY/11722010 ")</f>
        <v xml:space="preserve">http://slimages.macys.com/is/image/MCY/11722010 </v>
      </c>
    </row>
    <row r="189" spans="1:13" ht="60" x14ac:dyDescent="0.25">
      <c r="A189" s="7" t="s">
        <v>13874</v>
      </c>
      <c r="B189" s="2" t="s">
        <v>9975</v>
      </c>
      <c r="C189" s="4">
        <v>1</v>
      </c>
      <c r="D189" s="5">
        <v>7.23</v>
      </c>
      <c r="E189" s="5">
        <v>16.989999999999998</v>
      </c>
      <c r="F189" s="4" t="s">
        <v>10499</v>
      </c>
      <c r="G189" s="2" t="s">
        <v>62</v>
      </c>
      <c r="H189" s="7" t="s">
        <v>379</v>
      </c>
      <c r="I189" s="2" t="s">
        <v>292</v>
      </c>
      <c r="J189" s="2" t="s">
        <v>354</v>
      </c>
      <c r="K189" s="2" t="s">
        <v>304</v>
      </c>
      <c r="L189" s="2" t="s">
        <v>100</v>
      </c>
      <c r="M189" s="8" t="str">
        <f>HYPERLINK("http://slimages.macys.com/is/image/MCY/10893901 ")</f>
        <v xml:space="preserve">http://slimages.macys.com/is/image/MCY/10893901 </v>
      </c>
    </row>
    <row r="190" spans="1:13" ht="60" x14ac:dyDescent="0.25">
      <c r="A190" s="7" t="s">
        <v>13875</v>
      </c>
      <c r="B190" s="2" t="s">
        <v>13876</v>
      </c>
      <c r="C190" s="4">
        <v>1</v>
      </c>
      <c r="D190" s="5">
        <v>7.2</v>
      </c>
      <c r="E190" s="5">
        <v>16</v>
      </c>
      <c r="F190" s="4" t="s">
        <v>13877</v>
      </c>
      <c r="G190" s="2" t="s">
        <v>28</v>
      </c>
      <c r="H190" s="7" t="s">
        <v>228</v>
      </c>
      <c r="I190" s="2" t="s">
        <v>468</v>
      </c>
      <c r="J190" s="2" t="s">
        <v>2468</v>
      </c>
      <c r="K190" s="2" t="s">
        <v>304</v>
      </c>
      <c r="L190" s="2" t="s">
        <v>206</v>
      </c>
      <c r="M190" s="8" t="str">
        <f>HYPERLINK("http://slimages.macys.com/is/image/MCY/13316354 ")</f>
        <v xml:space="preserve">http://slimages.macys.com/is/image/MCY/13316354 </v>
      </c>
    </row>
    <row r="191" spans="1:13" ht="60" x14ac:dyDescent="0.25">
      <c r="A191" s="7" t="s">
        <v>5398</v>
      </c>
      <c r="B191" s="2" t="s">
        <v>421</v>
      </c>
      <c r="C191" s="4">
        <v>1</v>
      </c>
      <c r="D191" s="5">
        <v>7</v>
      </c>
      <c r="E191" s="5">
        <v>15.99</v>
      </c>
      <c r="F191" s="4" t="s">
        <v>422</v>
      </c>
      <c r="G191" s="2" t="s">
        <v>195</v>
      </c>
      <c r="H191" s="7" t="s">
        <v>123</v>
      </c>
      <c r="I191" s="2" t="s">
        <v>73</v>
      </c>
      <c r="J191" s="2" t="s">
        <v>464</v>
      </c>
      <c r="K191" s="2" t="s">
        <v>304</v>
      </c>
      <c r="L191" s="2" t="s">
        <v>119</v>
      </c>
      <c r="M191" s="8" t="str">
        <f>HYPERLINK("http://slimages.macys.com/is/image/MCY/13581725 ")</f>
        <v xml:space="preserve">http://slimages.macys.com/is/image/MCY/13581725 </v>
      </c>
    </row>
    <row r="192" spans="1:13" ht="96" x14ac:dyDescent="0.25">
      <c r="A192" s="7" t="s">
        <v>13878</v>
      </c>
      <c r="B192" s="2" t="s">
        <v>13879</v>
      </c>
      <c r="C192" s="4">
        <v>1</v>
      </c>
      <c r="D192" s="5">
        <v>7</v>
      </c>
      <c r="E192" s="5">
        <v>17.989999999999998</v>
      </c>
      <c r="F192" s="4" t="s">
        <v>13880</v>
      </c>
      <c r="G192" s="2" t="s">
        <v>310</v>
      </c>
      <c r="H192" s="7" t="s">
        <v>149</v>
      </c>
      <c r="I192" s="2" t="s">
        <v>135</v>
      </c>
      <c r="J192" s="2" t="s">
        <v>430</v>
      </c>
      <c r="K192" s="2" t="s">
        <v>304</v>
      </c>
      <c r="L192" s="2" t="s">
        <v>9552</v>
      </c>
      <c r="M192" s="8" t="str">
        <f>HYPERLINK("http://slimages.macys.com/is/image/MCY/11949099 ")</f>
        <v xml:space="preserve">http://slimages.macys.com/is/image/MCY/11949099 </v>
      </c>
    </row>
    <row r="193" spans="1:13" ht="60" x14ac:dyDescent="0.25">
      <c r="A193" s="7" t="s">
        <v>13881</v>
      </c>
      <c r="B193" s="2" t="s">
        <v>984</v>
      </c>
      <c r="C193" s="4">
        <v>1</v>
      </c>
      <c r="D193" s="5">
        <v>6.9</v>
      </c>
      <c r="E193" s="5">
        <v>14.99</v>
      </c>
      <c r="F193" s="4" t="s">
        <v>985</v>
      </c>
      <c r="G193" s="2" t="s">
        <v>28</v>
      </c>
      <c r="H193" s="7" t="s">
        <v>159</v>
      </c>
      <c r="I193" s="2" t="s">
        <v>523</v>
      </c>
      <c r="J193" s="2" t="s">
        <v>921</v>
      </c>
      <c r="K193" s="2" t="s">
        <v>304</v>
      </c>
      <c r="L193" s="2" t="s">
        <v>323</v>
      </c>
      <c r="M193" s="8" t="str">
        <f>HYPERLINK("http://slimages.macys.com/is/image/MCY/11247936 ")</f>
        <v xml:space="preserve">http://slimages.macys.com/is/image/MCY/11247936 </v>
      </c>
    </row>
    <row r="194" spans="1:13" ht="60" x14ac:dyDescent="0.25">
      <c r="A194" s="7" t="s">
        <v>5413</v>
      </c>
      <c r="B194" s="2" t="s">
        <v>993</v>
      </c>
      <c r="C194" s="4">
        <v>1</v>
      </c>
      <c r="D194" s="5">
        <v>6.85</v>
      </c>
      <c r="E194" s="5">
        <v>18</v>
      </c>
      <c r="F194" s="4" t="s">
        <v>994</v>
      </c>
      <c r="G194" s="2" t="s">
        <v>657</v>
      </c>
      <c r="H194" s="7" t="s">
        <v>217</v>
      </c>
      <c r="I194" s="2" t="s">
        <v>468</v>
      </c>
      <c r="J194" s="2" t="s">
        <v>469</v>
      </c>
      <c r="K194" s="2" t="s">
        <v>304</v>
      </c>
      <c r="L194" s="2" t="s">
        <v>537</v>
      </c>
      <c r="M194" s="8" t="str">
        <f>HYPERLINK("http://slimages.macys.com/is/image/MCY/13468835 ")</f>
        <v xml:space="preserve">http://slimages.macys.com/is/image/MCY/13468835 </v>
      </c>
    </row>
    <row r="195" spans="1:13" ht="60" x14ac:dyDescent="0.25">
      <c r="A195" s="7" t="s">
        <v>13882</v>
      </c>
      <c r="B195" s="2" t="s">
        <v>4070</v>
      </c>
      <c r="C195" s="4">
        <v>1</v>
      </c>
      <c r="D195" s="5">
        <v>6.79</v>
      </c>
      <c r="E195" s="5">
        <v>16.989999999999998</v>
      </c>
      <c r="F195" s="4" t="s">
        <v>4071</v>
      </c>
      <c r="G195" s="2" t="s">
        <v>262</v>
      </c>
      <c r="H195" s="7" t="s">
        <v>590</v>
      </c>
      <c r="I195" s="2" t="s">
        <v>483</v>
      </c>
      <c r="J195" s="2" t="s">
        <v>536</v>
      </c>
      <c r="K195" s="2" t="s">
        <v>304</v>
      </c>
      <c r="L195" s="2" t="s">
        <v>38</v>
      </c>
      <c r="M195" s="8" t="str">
        <f>HYPERLINK("http://slimages.macys.com/is/image/MCY/14385171 ")</f>
        <v xml:space="preserve">http://slimages.macys.com/is/image/MCY/14385171 </v>
      </c>
    </row>
    <row r="196" spans="1:13" ht="72" x14ac:dyDescent="0.25">
      <c r="A196" s="7" t="s">
        <v>4074</v>
      </c>
      <c r="B196" s="2" t="s">
        <v>4075</v>
      </c>
      <c r="C196" s="4">
        <v>1</v>
      </c>
      <c r="D196" s="5">
        <v>6.76</v>
      </c>
      <c r="E196" s="5">
        <v>14.99</v>
      </c>
      <c r="F196" s="4" t="s">
        <v>4076</v>
      </c>
      <c r="G196" s="2" t="s">
        <v>195</v>
      </c>
      <c r="H196" s="7" t="s">
        <v>91</v>
      </c>
      <c r="I196" s="2" t="s">
        <v>483</v>
      </c>
      <c r="J196" s="2" t="s">
        <v>536</v>
      </c>
      <c r="K196" s="2" t="s">
        <v>304</v>
      </c>
      <c r="L196" s="2" t="s">
        <v>4077</v>
      </c>
      <c r="M196" s="8" t="str">
        <f>HYPERLINK("http://slimages.macys.com/is/image/MCY/14634816 ")</f>
        <v xml:space="preserve">http://slimages.macys.com/is/image/MCY/14634816 </v>
      </c>
    </row>
    <row r="197" spans="1:13" ht="60" x14ac:dyDescent="0.25">
      <c r="A197" s="7" t="s">
        <v>13883</v>
      </c>
      <c r="B197" s="2" t="s">
        <v>13884</v>
      </c>
      <c r="C197" s="4">
        <v>1</v>
      </c>
      <c r="D197" s="5">
        <v>6.75</v>
      </c>
      <c r="E197" s="5">
        <v>16.989999999999998</v>
      </c>
      <c r="F197" s="4" t="s">
        <v>13885</v>
      </c>
      <c r="G197" s="2" t="s">
        <v>28</v>
      </c>
      <c r="H197" s="7" t="s">
        <v>159</v>
      </c>
      <c r="I197" s="2" t="s">
        <v>342</v>
      </c>
      <c r="J197" s="2" t="s">
        <v>1834</v>
      </c>
      <c r="K197" s="2" t="s">
        <v>304</v>
      </c>
      <c r="L197" s="2" t="s">
        <v>358</v>
      </c>
      <c r="M197" s="8" t="str">
        <f>HYPERLINK("http://slimages.macys.com/is/image/MCY/13294347 ")</f>
        <v xml:space="preserve">http://slimages.macys.com/is/image/MCY/13294347 </v>
      </c>
    </row>
    <row r="198" spans="1:13" ht="60" x14ac:dyDescent="0.25">
      <c r="A198" s="7" t="s">
        <v>5426</v>
      </c>
      <c r="B198" s="2" t="s">
        <v>1002</v>
      </c>
      <c r="C198" s="4">
        <v>1</v>
      </c>
      <c r="D198" s="5">
        <v>6.75</v>
      </c>
      <c r="E198" s="5">
        <v>16.989999999999998</v>
      </c>
      <c r="F198" s="4" t="s">
        <v>1003</v>
      </c>
      <c r="G198" s="2" t="s">
        <v>107</v>
      </c>
      <c r="H198" s="7" t="s">
        <v>590</v>
      </c>
      <c r="I198" s="2" t="s">
        <v>92</v>
      </c>
      <c r="J198" s="2" t="s">
        <v>65</v>
      </c>
      <c r="K198" s="2" t="s">
        <v>304</v>
      </c>
      <c r="L198" s="2" t="s">
        <v>1004</v>
      </c>
      <c r="M198" s="8" t="str">
        <f>HYPERLINK("http://slimages.macys.com/is/image/MCY/14803429 ")</f>
        <v xml:space="preserve">http://slimages.macys.com/is/image/MCY/14803429 </v>
      </c>
    </row>
    <row r="199" spans="1:13" ht="60" x14ac:dyDescent="0.25">
      <c r="A199" s="7" t="s">
        <v>1001</v>
      </c>
      <c r="B199" s="2" t="s">
        <v>1002</v>
      </c>
      <c r="C199" s="4">
        <v>1</v>
      </c>
      <c r="D199" s="5">
        <v>6.75</v>
      </c>
      <c r="E199" s="5">
        <v>16.989999999999998</v>
      </c>
      <c r="F199" s="4" t="s">
        <v>1003</v>
      </c>
      <c r="G199" s="2" t="s">
        <v>107</v>
      </c>
      <c r="H199" s="7" t="s">
        <v>91</v>
      </c>
      <c r="I199" s="2" t="s">
        <v>92</v>
      </c>
      <c r="J199" s="2" t="s">
        <v>65</v>
      </c>
      <c r="K199" s="2" t="s">
        <v>304</v>
      </c>
      <c r="L199" s="2" t="s">
        <v>1004</v>
      </c>
      <c r="M199" s="8" t="str">
        <f>HYPERLINK("http://slimages.macys.com/is/image/MCY/14803429 ")</f>
        <v xml:space="preserve">http://slimages.macys.com/is/image/MCY/14803429 </v>
      </c>
    </row>
    <row r="200" spans="1:13" ht="60" x14ac:dyDescent="0.25">
      <c r="A200" s="7" t="s">
        <v>5425</v>
      </c>
      <c r="B200" s="2" t="s">
        <v>1002</v>
      </c>
      <c r="C200" s="4">
        <v>1</v>
      </c>
      <c r="D200" s="5">
        <v>6.75</v>
      </c>
      <c r="E200" s="5">
        <v>16.989999999999998</v>
      </c>
      <c r="F200" s="4" t="s">
        <v>1003</v>
      </c>
      <c r="G200" s="2" t="s">
        <v>107</v>
      </c>
      <c r="H200" s="7" t="s">
        <v>149</v>
      </c>
      <c r="I200" s="2" t="s">
        <v>92</v>
      </c>
      <c r="J200" s="2" t="s">
        <v>65</v>
      </c>
      <c r="K200" s="2" t="s">
        <v>304</v>
      </c>
      <c r="L200" s="2" t="s">
        <v>1004</v>
      </c>
      <c r="M200" s="8" t="str">
        <f>HYPERLINK("http://slimages.macys.com/is/image/MCY/14803429 ")</f>
        <v xml:space="preserve">http://slimages.macys.com/is/image/MCY/14803429 </v>
      </c>
    </row>
    <row r="201" spans="1:13" ht="60" x14ac:dyDescent="0.25">
      <c r="A201" s="7" t="s">
        <v>13668</v>
      </c>
      <c r="B201" s="2" t="s">
        <v>1002</v>
      </c>
      <c r="C201" s="4">
        <v>1</v>
      </c>
      <c r="D201" s="5">
        <v>6.75</v>
      </c>
      <c r="E201" s="5">
        <v>16.989999999999998</v>
      </c>
      <c r="F201" s="4" t="s">
        <v>1003</v>
      </c>
      <c r="G201" s="2" t="s">
        <v>107</v>
      </c>
      <c r="H201" s="7" t="s">
        <v>442</v>
      </c>
      <c r="I201" s="2" t="s">
        <v>92</v>
      </c>
      <c r="J201" s="2" t="s">
        <v>65</v>
      </c>
      <c r="K201" s="2" t="s">
        <v>304</v>
      </c>
      <c r="L201" s="2" t="s">
        <v>1004</v>
      </c>
      <c r="M201" s="8" t="str">
        <f>HYPERLINK("http://slimages.macys.com/is/image/MCY/14803429 ")</f>
        <v xml:space="preserve">http://slimages.macys.com/is/image/MCY/14803429 </v>
      </c>
    </row>
    <row r="202" spans="1:13" ht="60" x14ac:dyDescent="0.25">
      <c r="A202" s="7" t="s">
        <v>5934</v>
      </c>
      <c r="B202" s="2" t="s">
        <v>3347</v>
      </c>
      <c r="C202" s="4">
        <v>1</v>
      </c>
      <c r="D202" s="5">
        <v>6.7</v>
      </c>
      <c r="E202" s="5">
        <v>11.99</v>
      </c>
      <c r="F202" s="4" t="s">
        <v>3348</v>
      </c>
      <c r="G202" s="2" t="s">
        <v>48</v>
      </c>
      <c r="H202" s="7" t="s">
        <v>317</v>
      </c>
      <c r="I202" s="2" t="s">
        <v>73</v>
      </c>
      <c r="J202" s="2" t="s">
        <v>1963</v>
      </c>
      <c r="K202" s="2" t="s">
        <v>304</v>
      </c>
      <c r="L202" s="2" t="s">
        <v>100</v>
      </c>
      <c r="M202" s="8" t="str">
        <f>HYPERLINK("http://slimages.macys.com/is/image/MCY/11229110 ")</f>
        <v xml:space="preserve">http://slimages.macys.com/is/image/MCY/11229110 </v>
      </c>
    </row>
    <row r="203" spans="1:13" ht="60" x14ac:dyDescent="0.25">
      <c r="A203" s="7" t="s">
        <v>3346</v>
      </c>
      <c r="B203" s="2" t="s">
        <v>3347</v>
      </c>
      <c r="C203" s="4">
        <v>3</v>
      </c>
      <c r="D203" s="5">
        <v>6.7</v>
      </c>
      <c r="E203" s="5">
        <v>11.99</v>
      </c>
      <c r="F203" s="4" t="s">
        <v>3348</v>
      </c>
      <c r="G203" s="2" t="s">
        <v>48</v>
      </c>
      <c r="H203" s="7" t="s">
        <v>123</v>
      </c>
      <c r="I203" s="2" t="s">
        <v>73</v>
      </c>
      <c r="J203" s="2" t="s">
        <v>1963</v>
      </c>
      <c r="K203" s="2" t="s">
        <v>304</v>
      </c>
      <c r="L203" s="2" t="s">
        <v>100</v>
      </c>
      <c r="M203" s="8" t="str">
        <f>HYPERLINK("http://slimages.macys.com/is/image/MCY/11229110 ")</f>
        <v xml:space="preserve">http://slimages.macys.com/is/image/MCY/11229110 </v>
      </c>
    </row>
    <row r="204" spans="1:13" ht="60" x14ac:dyDescent="0.25">
      <c r="A204" s="7" t="s">
        <v>13886</v>
      </c>
      <c r="B204" s="2" t="s">
        <v>3347</v>
      </c>
      <c r="C204" s="4">
        <v>2</v>
      </c>
      <c r="D204" s="5">
        <v>6.7</v>
      </c>
      <c r="E204" s="5">
        <v>11.99</v>
      </c>
      <c r="F204" s="4" t="s">
        <v>3348</v>
      </c>
      <c r="G204" s="2" t="s">
        <v>48</v>
      </c>
      <c r="H204" s="7" t="s">
        <v>63</v>
      </c>
      <c r="I204" s="2" t="s">
        <v>73</v>
      </c>
      <c r="J204" s="2" t="s">
        <v>1963</v>
      </c>
      <c r="K204" s="2" t="s">
        <v>304</v>
      </c>
      <c r="L204" s="2" t="s">
        <v>100</v>
      </c>
      <c r="M204" s="8" t="str">
        <f>HYPERLINK("http://slimages.macys.com/is/image/MCY/11229110 ")</f>
        <v xml:space="preserve">http://slimages.macys.com/is/image/MCY/11229110 </v>
      </c>
    </row>
    <row r="205" spans="1:13" ht="60" x14ac:dyDescent="0.25">
      <c r="A205" s="7" t="s">
        <v>13887</v>
      </c>
      <c r="B205" s="2" t="s">
        <v>4100</v>
      </c>
      <c r="C205" s="4">
        <v>1</v>
      </c>
      <c r="D205" s="5">
        <v>6.67</v>
      </c>
      <c r="E205" s="5">
        <v>13.99</v>
      </c>
      <c r="F205" s="4" t="s">
        <v>4101</v>
      </c>
      <c r="G205" s="2" t="s">
        <v>393</v>
      </c>
      <c r="H205" s="7"/>
      <c r="I205" s="2" t="s">
        <v>523</v>
      </c>
      <c r="J205" s="2" t="s">
        <v>4102</v>
      </c>
      <c r="K205" s="2"/>
      <c r="L205" s="2"/>
      <c r="M205" s="8" t="str">
        <f>HYPERLINK("http://slimages.macys.com/is/image/MCY/8647388 ")</f>
        <v xml:space="preserve">http://slimages.macys.com/is/image/MCY/8647388 </v>
      </c>
    </row>
    <row r="206" spans="1:13" ht="60" x14ac:dyDescent="0.25">
      <c r="A206" s="7" t="s">
        <v>1005</v>
      </c>
      <c r="B206" s="2" t="s">
        <v>1006</v>
      </c>
      <c r="C206" s="4">
        <v>1</v>
      </c>
      <c r="D206" s="5">
        <v>6.52</v>
      </c>
      <c r="E206" s="5">
        <v>14.99</v>
      </c>
      <c r="F206" s="4" t="s">
        <v>1007</v>
      </c>
      <c r="G206" s="2" t="s">
        <v>28</v>
      </c>
      <c r="H206" s="7" t="s">
        <v>123</v>
      </c>
      <c r="I206" s="2" t="s">
        <v>292</v>
      </c>
      <c r="J206" s="2" t="s">
        <v>354</v>
      </c>
      <c r="K206" s="2" t="s">
        <v>304</v>
      </c>
      <c r="L206" s="2" t="s">
        <v>119</v>
      </c>
      <c r="M206" s="8" t="str">
        <f>HYPERLINK("http://slimages.macys.com/is/image/MCY/11776479 ")</f>
        <v xml:space="preserve">http://slimages.macys.com/is/image/MCY/11776479 </v>
      </c>
    </row>
    <row r="207" spans="1:13" ht="60" x14ac:dyDescent="0.25">
      <c r="A207" s="7" t="s">
        <v>6294</v>
      </c>
      <c r="B207" s="2" t="s">
        <v>1006</v>
      </c>
      <c r="C207" s="4">
        <v>1</v>
      </c>
      <c r="D207" s="5">
        <v>6.52</v>
      </c>
      <c r="E207" s="5">
        <v>14.99</v>
      </c>
      <c r="F207" s="4" t="s">
        <v>1007</v>
      </c>
      <c r="G207" s="2" t="s">
        <v>28</v>
      </c>
      <c r="H207" s="7" t="s">
        <v>317</v>
      </c>
      <c r="I207" s="2" t="s">
        <v>292</v>
      </c>
      <c r="J207" s="2" t="s">
        <v>354</v>
      </c>
      <c r="K207" s="2" t="s">
        <v>304</v>
      </c>
      <c r="L207" s="2" t="s">
        <v>119</v>
      </c>
      <c r="M207" s="8" t="str">
        <f>HYPERLINK("http://slimages.macys.com/is/image/MCY/11776479 ")</f>
        <v xml:space="preserve">http://slimages.macys.com/is/image/MCY/11776479 </v>
      </c>
    </row>
    <row r="208" spans="1:13" ht="60" x14ac:dyDescent="0.25">
      <c r="A208" s="7" t="s">
        <v>13888</v>
      </c>
      <c r="B208" s="2" t="s">
        <v>13889</v>
      </c>
      <c r="C208" s="4">
        <v>1</v>
      </c>
      <c r="D208" s="5">
        <v>6.5</v>
      </c>
      <c r="E208" s="5">
        <v>13.99</v>
      </c>
      <c r="F208" s="4" t="s">
        <v>13890</v>
      </c>
      <c r="G208" s="2" t="s">
        <v>86</v>
      </c>
      <c r="H208" s="7" t="s">
        <v>217</v>
      </c>
      <c r="I208" s="2" t="s">
        <v>468</v>
      </c>
      <c r="J208" s="2" t="s">
        <v>469</v>
      </c>
      <c r="K208" s="2" t="s">
        <v>304</v>
      </c>
      <c r="L208" s="2" t="s">
        <v>119</v>
      </c>
      <c r="M208" s="8" t="str">
        <f>HYPERLINK("http://slimages.macys.com/is/image/MCY/8952751 ")</f>
        <v xml:space="preserve">http://slimages.macys.com/is/image/MCY/8952751 </v>
      </c>
    </row>
    <row r="209" spans="1:13" ht="72" x14ac:dyDescent="0.25">
      <c r="A209" s="7" t="s">
        <v>13891</v>
      </c>
      <c r="B209" s="2" t="s">
        <v>3364</v>
      </c>
      <c r="C209" s="4">
        <v>1</v>
      </c>
      <c r="D209" s="5">
        <v>6.5</v>
      </c>
      <c r="E209" s="5">
        <v>38</v>
      </c>
      <c r="F209" s="4" t="s">
        <v>3364</v>
      </c>
      <c r="G209" s="2" t="s">
        <v>36</v>
      </c>
      <c r="H209" s="7" t="s">
        <v>177</v>
      </c>
      <c r="I209" s="2" t="s">
        <v>50</v>
      </c>
      <c r="J209" s="2" t="s">
        <v>650</v>
      </c>
      <c r="K209" s="2" t="s">
        <v>304</v>
      </c>
      <c r="L209" s="2" t="s">
        <v>3365</v>
      </c>
      <c r="M209" s="8" t="str">
        <f>HYPERLINK("http://slimages.macys.com/is/image/MCY/12042412 ")</f>
        <v xml:space="preserve">http://slimages.macys.com/is/image/MCY/12042412 </v>
      </c>
    </row>
    <row r="210" spans="1:13" ht="60" x14ac:dyDescent="0.25">
      <c r="A210" s="7" t="s">
        <v>13892</v>
      </c>
      <c r="B210" s="2" t="s">
        <v>13893</v>
      </c>
      <c r="C210" s="4">
        <v>1</v>
      </c>
      <c r="D210" s="5">
        <v>6.35</v>
      </c>
      <c r="E210" s="5">
        <v>14.77</v>
      </c>
      <c r="F210" s="4">
        <v>18205710</v>
      </c>
      <c r="G210" s="2" t="s">
        <v>28</v>
      </c>
      <c r="H210" s="7" t="s">
        <v>42</v>
      </c>
      <c r="I210" s="2" t="s">
        <v>153</v>
      </c>
      <c r="J210" s="2" t="s">
        <v>154</v>
      </c>
      <c r="K210" s="2" t="s">
        <v>304</v>
      </c>
      <c r="L210" s="2" t="s">
        <v>125</v>
      </c>
      <c r="M210" s="8" t="str">
        <f>HYPERLINK("http://slimages.macys.com/is/image/MCY/15107835 ")</f>
        <v xml:space="preserve">http://slimages.macys.com/is/image/MCY/15107835 </v>
      </c>
    </row>
    <row r="211" spans="1:13" ht="60" x14ac:dyDescent="0.25">
      <c r="A211" s="7" t="s">
        <v>13894</v>
      </c>
      <c r="B211" s="2" t="s">
        <v>4969</v>
      </c>
      <c r="C211" s="4">
        <v>1</v>
      </c>
      <c r="D211" s="5">
        <v>6.3</v>
      </c>
      <c r="E211" s="5">
        <v>10.99</v>
      </c>
      <c r="F211" s="4" t="s">
        <v>13895</v>
      </c>
      <c r="G211" s="2" t="s">
        <v>48</v>
      </c>
      <c r="H211" s="7" t="s">
        <v>284</v>
      </c>
      <c r="I211" s="2" t="s">
        <v>80</v>
      </c>
      <c r="J211" s="2" t="s">
        <v>1917</v>
      </c>
      <c r="K211" s="2" t="s">
        <v>304</v>
      </c>
      <c r="L211" s="2" t="s">
        <v>119</v>
      </c>
      <c r="M211" s="8" t="str">
        <f>HYPERLINK("http://slimages.macys.com/is/image/MCY/11207821 ")</f>
        <v xml:space="preserve">http://slimages.macys.com/is/image/MCY/11207821 </v>
      </c>
    </row>
    <row r="212" spans="1:13" ht="60" x14ac:dyDescent="0.25">
      <c r="A212" s="7" t="s">
        <v>13896</v>
      </c>
      <c r="B212" s="2" t="s">
        <v>3382</v>
      </c>
      <c r="C212" s="4">
        <v>1</v>
      </c>
      <c r="D212" s="5">
        <v>6.3</v>
      </c>
      <c r="E212" s="5">
        <v>10.99</v>
      </c>
      <c r="F212" s="4" t="s">
        <v>13673</v>
      </c>
      <c r="G212" s="2" t="s">
        <v>48</v>
      </c>
      <c r="H212" s="7" t="s">
        <v>159</v>
      </c>
      <c r="I212" s="2" t="s">
        <v>80</v>
      </c>
      <c r="J212" s="2" t="s">
        <v>1917</v>
      </c>
      <c r="K212" s="2" t="s">
        <v>304</v>
      </c>
      <c r="L212" s="2" t="s">
        <v>119</v>
      </c>
      <c r="M212" s="8" t="str">
        <f>HYPERLINK("http://slimages.macys.com/is/image/MCY/12742372 ")</f>
        <v xml:space="preserve">http://slimages.macys.com/is/image/MCY/12742372 </v>
      </c>
    </row>
    <row r="213" spans="1:13" ht="60" x14ac:dyDescent="0.25">
      <c r="A213" s="7" t="s">
        <v>3376</v>
      </c>
      <c r="B213" s="2" t="s">
        <v>480</v>
      </c>
      <c r="C213" s="4">
        <v>3</v>
      </c>
      <c r="D213" s="5">
        <v>6.25</v>
      </c>
      <c r="E213" s="5">
        <v>11.99</v>
      </c>
      <c r="F213" s="4" t="s">
        <v>481</v>
      </c>
      <c r="G213" s="2" t="s">
        <v>62</v>
      </c>
      <c r="H213" s="7" t="s">
        <v>149</v>
      </c>
      <c r="I213" s="2" t="s">
        <v>483</v>
      </c>
      <c r="J213" s="2" t="s">
        <v>484</v>
      </c>
      <c r="K213" s="2" t="s">
        <v>304</v>
      </c>
      <c r="L213" s="2" t="s">
        <v>206</v>
      </c>
      <c r="M213" s="8" t="str">
        <f>HYPERLINK("http://slimages.macys.com/is/image/MCY/8550083 ")</f>
        <v xml:space="preserve">http://slimages.macys.com/is/image/MCY/8550083 </v>
      </c>
    </row>
    <row r="214" spans="1:13" ht="60" x14ac:dyDescent="0.25">
      <c r="A214" s="7" t="s">
        <v>13674</v>
      </c>
      <c r="B214" s="2" t="s">
        <v>480</v>
      </c>
      <c r="C214" s="4">
        <v>1</v>
      </c>
      <c r="D214" s="5">
        <v>6.25</v>
      </c>
      <c r="E214" s="5">
        <v>11.99</v>
      </c>
      <c r="F214" s="4" t="s">
        <v>481</v>
      </c>
      <c r="G214" s="2" t="s">
        <v>62</v>
      </c>
      <c r="H214" s="7" t="s">
        <v>590</v>
      </c>
      <c r="I214" s="2" t="s">
        <v>483</v>
      </c>
      <c r="J214" s="2" t="s">
        <v>484</v>
      </c>
      <c r="K214" s="2" t="s">
        <v>304</v>
      </c>
      <c r="L214" s="2" t="s">
        <v>206</v>
      </c>
      <c r="M214" s="8" t="str">
        <f>HYPERLINK("http://slimages.macys.com/is/image/MCY/8550083 ")</f>
        <v xml:space="preserve">http://slimages.macys.com/is/image/MCY/8550083 </v>
      </c>
    </row>
    <row r="215" spans="1:13" ht="60" x14ac:dyDescent="0.25">
      <c r="A215" s="7" t="s">
        <v>479</v>
      </c>
      <c r="B215" s="2" t="s">
        <v>480</v>
      </c>
      <c r="C215" s="4">
        <v>1</v>
      </c>
      <c r="D215" s="5">
        <v>6.25</v>
      </c>
      <c r="E215" s="5">
        <v>11.99</v>
      </c>
      <c r="F215" s="4" t="s">
        <v>481</v>
      </c>
      <c r="G215" s="2" t="s">
        <v>62</v>
      </c>
      <c r="H215" s="7" t="s">
        <v>482</v>
      </c>
      <c r="I215" s="2" t="s">
        <v>483</v>
      </c>
      <c r="J215" s="2" t="s">
        <v>484</v>
      </c>
      <c r="K215" s="2" t="s">
        <v>304</v>
      </c>
      <c r="L215" s="2" t="s">
        <v>206</v>
      </c>
      <c r="M215" s="8" t="str">
        <f>HYPERLINK("http://slimages.macys.com/is/image/MCY/8550083 ")</f>
        <v xml:space="preserve">http://slimages.macys.com/is/image/MCY/8550083 </v>
      </c>
    </row>
    <row r="216" spans="1:13" ht="60" x14ac:dyDescent="0.25">
      <c r="A216" s="7" t="s">
        <v>7639</v>
      </c>
      <c r="B216" s="2" t="s">
        <v>4964</v>
      </c>
      <c r="C216" s="4">
        <v>1</v>
      </c>
      <c r="D216" s="5">
        <v>6.13</v>
      </c>
      <c r="E216" s="5">
        <v>16.989999999999998</v>
      </c>
      <c r="F216" s="4" t="s">
        <v>4965</v>
      </c>
      <c r="G216" s="2" t="s">
        <v>86</v>
      </c>
      <c r="H216" s="7" t="s">
        <v>159</v>
      </c>
      <c r="I216" s="2" t="s">
        <v>389</v>
      </c>
      <c r="J216" s="2" t="s">
        <v>354</v>
      </c>
      <c r="K216" s="2" t="s">
        <v>304</v>
      </c>
      <c r="L216" s="2" t="s">
        <v>596</v>
      </c>
      <c r="M216" s="8" t="str">
        <f>HYPERLINK("http://slimages.macys.com/is/image/MCY/12645407 ")</f>
        <v xml:space="preserve">http://slimages.macys.com/is/image/MCY/12645407 </v>
      </c>
    </row>
    <row r="217" spans="1:13" ht="144" x14ac:dyDescent="0.25">
      <c r="A217" s="7" t="s">
        <v>13897</v>
      </c>
      <c r="B217" s="2" t="s">
        <v>13898</v>
      </c>
      <c r="C217" s="4">
        <v>1</v>
      </c>
      <c r="D217" s="5">
        <v>6</v>
      </c>
      <c r="E217" s="5">
        <v>14.99</v>
      </c>
      <c r="F217" s="4" t="s">
        <v>13899</v>
      </c>
      <c r="G217" s="2" t="s">
        <v>134</v>
      </c>
      <c r="H217" s="7" t="s">
        <v>144</v>
      </c>
      <c r="I217" s="2" t="s">
        <v>64</v>
      </c>
      <c r="J217" s="2" t="s">
        <v>801</v>
      </c>
      <c r="K217" s="2" t="s">
        <v>304</v>
      </c>
      <c r="L217" s="2" t="s">
        <v>13900</v>
      </c>
      <c r="M217" s="8" t="str">
        <f>HYPERLINK("http://slimages.macys.com/is/image/MCY/14379085 ")</f>
        <v xml:space="preserve">http://slimages.macys.com/is/image/MCY/14379085 </v>
      </c>
    </row>
    <row r="218" spans="1:13" ht="96" x14ac:dyDescent="0.25">
      <c r="A218" s="7" t="s">
        <v>1867</v>
      </c>
      <c r="B218" s="2" t="s">
        <v>1862</v>
      </c>
      <c r="C218" s="4">
        <v>1</v>
      </c>
      <c r="D218" s="5">
        <v>6</v>
      </c>
      <c r="E218" s="5">
        <v>14.99</v>
      </c>
      <c r="F218" s="4" t="s">
        <v>1863</v>
      </c>
      <c r="G218" s="2" t="s">
        <v>195</v>
      </c>
      <c r="H218" s="7" t="s">
        <v>63</v>
      </c>
      <c r="I218" s="2" t="s">
        <v>73</v>
      </c>
      <c r="J218" s="2" t="s">
        <v>778</v>
      </c>
      <c r="K218" s="2" t="s">
        <v>304</v>
      </c>
      <c r="L218" s="2" t="s">
        <v>1864</v>
      </c>
      <c r="M218" s="8" t="str">
        <f>HYPERLINK("http://slimages.macys.com/is/image/MCY/15103710 ")</f>
        <v xml:space="preserve">http://slimages.macys.com/is/image/MCY/15103710 </v>
      </c>
    </row>
    <row r="219" spans="1:13" ht="60" x14ac:dyDescent="0.25">
      <c r="A219" s="7" t="s">
        <v>13901</v>
      </c>
      <c r="B219" s="2" t="s">
        <v>1855</v>
      </c>
      <c r="C219" s="4">
        <v>1</v>
      </c>
      <c r="D219" s="5">
        <v>6</v>
      </c>
      <c r="E219" s="5">
        <v>10.99</v>
      </c>
      <c r="F219" s="4" t="s">
        <v>1856</v>
      </c>
      <c r="G219" s="2" t="s">
        <v>28</v>
      </c>
      <c r="H219" s="7" t="s">
        <v>166</v>
      </c>
      <c r="I219" s="2" t="s">
        <v>80</v>
      </c>
      <c r="J219" s="2" t="s">
        <v>1857</v>
      </c>
      <c r="K219" s="2" t="s">
        <v>304</v>
      </c>
      <c r="L219" s="2" t="s">
        <v>125</v>
      </c>
      <c r="M219" s="8" t="str">
        <f>HYPERLINK("http://slimages.macys.com/is/image/MCY/12802283 ")</f>
        <v xml:space="preserve">http://slimages.macys.com/is/image/MCY/12802283 </v>
      </c>
    </row>
    <row r="220" spans="1:13" ht="60" x14ac:dyDescent="0.25">
      <c r="A220" s="7" t="s">
        <v>6917</v>
      </c>
      <c r="B220" s="2" t="s">
        <v>6918</v>
      </c>
      <c r="C220" s="4">
        <v>1</v>
      </c>
      <c r="D220" s="5">
        <v>6</v>
      </c>
      <c r="E220" s="5">
        <v>10.99</v>
      </c>
      <c r="F220" s="4" t="s">
        <v>6919</v>
      </c>
      <c r="G220" s="2" t="s">
        <v>41</v>
      </c>
      <c r="H220" s="7" t="s">
        <v>228</v>
      </c>
      <c r="I220" s="2" t="s">
        <v>73</v>
      </c>
      <c r="J220" s="2" t="s">
        <v>1917</v>
      </c>
      <c r="K220" s="2" t="s">
        <v>304</v>
      </c>
      <c r="L220" s="2" t="s">
        <v>119</v>
      </c>
      <c r="M220" s="8" t="str">
        <f>HYPERLINK("http://slimages.macys.com/is/image/MCY/11282298 ")</f>
        <v xml:space="preserve">http://slimages.macys.com/is/image/MCY/11282298 </v>
      </c>
    </row>
    <row r="221" spans="1:13" ht="60" x14ac:dyDescent="0.25">
      <c r="A221" s="7" t="s">
        <v>7648</v>
      </c>
      <c r="B221" s="2" t="s">
        <v>4969</v>
      </c>
      <c r="C221" s="4">
        <v>1</v>
      </c>
      <c r="D221" s="5">
        <v>6</v>
      </c>
      <c r="E221" s="5">
        <v>10.99</v>
      </c>
      <c r="F221" s="4" t="s">
        <v>4970</v>
      </c>
      <c r="G221" s="2" t="s">
        <v>28</v>
      </c>
      <c r="H221" s="7" t="s">
        <v>123</v>
      </c>
      <c r="I221" s="2" t="s">
        <v>80</v>
      </c>
      <c r="J221" s="2" t="s">
        <v>1857</v>
      </c>
      <c r="K221" s="2" t="s">
        <v>304</v>
      </c>
      <c r="L221" s="2" t="s">
        <v>119</v>
      </c>
      <c r="M221" s="8" t="str">
        <f>HYPERLINK("http://slimages.macys.com/is/image/MCY/11207821 ")</f>
        <v xml:space="preserve">http://slimages.macys.com/is/image/MCY/11207821 </v>
      </c>
    </row>
    <row r="222" spans="1:13" ht="60" x14ac:dyDescent="0.25">
      <c r="A222" s="7" t="s">
        <v>8974</v>
      </c>
      <c r="B222" s="2" t="s">
        <v>4969</v>
      </c>
      <c r="C222" s="4">
        <v>1</v>
      </c>
      <c r="D222" s="5">
        <v>6</v>
      </c>
      <c r="E222" s="5">
        <v>10.99</v>
      </c>
      <c r="F222" s="4" t="s">
        <v>4970</v>
      </c>
      <c r="G222" s="2" t="s">
        <v>48</v>
      </c>
      <c r="H222" s="7" t="s">
        <v>123</v>
      </c>
      <c r="I222" s="2" t="s">
        <v>80</v>
      </c>
      <c r="J222" s="2" t="s">
        <v>1857</v>
      </c>
      <c r="K222" s="2" t="s">
        <v>304</v>
      </c>
      <c r="L222" s="2" t="s">
        <v>119</v>
      </c>
      <c r="M222" s="8" t="str">
        <f>HYPERLINK("http://slimages.macys.com/is/image/MCY/11207821 ")</f>
        <v xml:space="preserve">http://slimages.macys.com/is/image/MCY/11207821 </v>
      </c>
    </row>
    <row r="223" spans="1:13" ht="60" x14ac:dyDescent="0.25">
      <c r="A223" s="7" t="s">
        <v>13902</v>
      </c>
      <c r="B223" s="2" t="s">
        <v>13903</v>
      </c>
      <c r="C223" s="4">
        <v>1</v>
      </c>
      <c r="D223" s="5">
        <v>5.85</v>
      </c>
      <c r="E223" s="5">
        <v>12.99</v>
      </c>
      <c r="F223" s="4">
        <v>15955610</v>
      </c>
      <c r="G223" s="2" t="s">
        <v>129</v>
      </c>
      <c r="H223" s="7" t="s">
        <v>233</v>
      </c>
      <c r="I223" s="2" t="s">
        <v>153</v>
      </c>
      <c r="J223" s="2" t="s">
        <v>154</v>
      </c>
      <c r="K223" s="2" t="s">
        <v>304</v>
      </c>
      <c r="L223" s="2" t="s">
        <v>38</v>
      </c>
      <c r="M223" s="8" t="str">
        <f>HYPERLINK("http://slimages.macys.com/is/image/MCY/11387712 ")</f>
        <v xml:space="preserve">http://slimages.macys.com/is/image/MCY/11387712 </v>
      </c>
    </row>
    <row r="224" spans="1:13" ht="60" x14ac:dyDescent="0.25">
      <c r="A224" s="7" t="s">
        <v>13904</v>
      </c>
      <c r="B224" s="2" t="s">
        <v>13905</v>
      </c>
      <c r="C224" s="4">
        <v>1</v>
      </c>
      <c r="D224" s="5">
        <v>5.85</v>
      </c>
      <c r="E224" s="5">
        <v>12.99</v>
      </c>
      <c r="F224" s="4">
        <v>16514010</v>
      </c>
      <c r="G224" s="2"/>
      <c r="H224" s="7" t="s">
        <v>482</v>
      </c>
      <c r="I224" s="2" t="s">
        <v>153</v>
      </c>
      <c r="J224" s="2" t="s">
        <v>154</v>
      </c>
      <c r="K224" s="2" t="s">
        <v>304</v>
      </c>
      <c r="L224" s="2" t="s">
        <v>206</v>
      </c>
      <c r="M224" s="8" t="str">
        <f>HYPERLINK("http://slimages.macys.com/is/image/MCY/11671807 ")</f>
        <v xml:space="preserve">http://slimages.macys.com/is/image/MCY/11671807 </v>
      </c>
    </row>
    <row r="225" spans="1:13" ht="60" x14ac:dyDescent="0.25">
      <c r="A225" s="7" t="s">
        <v>13686</v>
      </c>
      <c r="B225" s="2" t="s">
        <v>503</v>
      </c>
      <c r="C225" s="4">
        <v>1</v>
      </c>
      <c r="D225" s="5">
        <v>5.85</v>
      </c>
      <c r="E225" s="5">
        <v>12.99</v>
      </c>
      <c r="F225" s="4" t="s">
        <v>504</v>
      </c>
      <c r="G225" s="2" t="s">
        <v>165</v>
      </c>
      <c r="H225" s="7" t="s">
        <v>166</v>
      </c>
      <c r="I225" s="2" t="s">
        <v>80</v>
      </c>
      <c r="J225" s="2" t="s">
        <v>167</v>
      </c>
      <c r="K225" s="2" t="s">
        <v>304</v>
      </c>
      <c r="L225" s="2" t="s">
        <v>206</v>
      </c>
      <c r="M225" s="8" t="str">
        <f>HYPERLINK("http://slimages.macys.com/is/image/MCY/13534181 ")</f>
        <v xml:space="preserve">http://slimages.macys.com/is/image/MCY/13534181 </v>
      </c>
    </row>
    <row r="226" spans="1:13" ht="60" x14ac:dyDescent="0.25">
      <c r="A226" s="7" t="s">
        <v>13906</v>
      </c>
      <c r="B226" s="2" t="s">
        <v>13684</v>
      </c>
      <c r="C226" s="4">
        <v>1</v>
      </c>
      <c r="D226" s="5">
        <v>5.85</v>
      </c>
      <c r="E226" s="5">
        <v>12.99</v>
      </c>
      <c r="F226" s="4" t="s">
        <v>13685</v>
      </c>
      <c r="G226" s="2" t="s">
        <v>41</v>
      </c>
      <c r="H226" s="7" t="s">
        <v>317</v>
      </c>
      <c r="I226" s="2" t="s">
        <v>80</v>
      </c>
      <c r="J226" s="2" t="s">
        <v>167</v>
      </c>
      <c r="K226" s="2" t="s">
        <v>304</v>
      </c>
      <c r="L226" s="2" t="s">
        <v>38</v>
      </c>
      <c r="M226" s="8" t="str">
        <f>HYPERLINK("http://slimages.macys.com/is/image/MCY/12793811 ")</f>
        <v xml:space="preserve">http://slimages.macys.com/is/image/MCY/12793811 </v>
      </c>
    </row>
    <row r="227" spans="1:13" ht="60" x14ac:dyDescent="0.25">
      <c r="A227" s="7" t="s">
        <v>13907</v>
      </c>
      <c r="B227" s="2" t="s">
        <v>13908</v>
      </c>
      <c r="C227" s="4">
        <v>1</v>
      </c>
      <c r="D227" s="5">
        <v>5.85</v>
      </c>
      <c r="E227" s="5">
        <v>16.989999999999998</v>
      </c>
      <c r="F227" s="4" t="s">
        <v>13909</v>
      </c>
      <c r="G227" s="2" t="s">
        <v>86</v>
      </c>
      <c r="H227" s="7" t="s">
        <v>228</v>
      </c>
      <c r="I227" s="2" t="s">
        <v>468</v>
      </c>
      <c r="J227" s="2" t="s">
        <v>469</v>
      </c>
      <c r="K227" s="2" t="s">
        <v>304</v>
      </c>
      <c r="L227" s="2" t="s">
        <v>206</v>
      </c>
      <c r="M227" s="8" t="str">
        <f>HYPERLINK("http://slimages.macys.com/is/image/MCY/11474098 ")</f>
        <v xml:space="preserve">http://slimages.macys.com/is/image/MCY/11474098 </v>
      </c>
    </row>
    <row r="228" spans="1:13" ht="60" x14ac:dyDescent="0.25">
      <c r="A228" s="7" t="s">
        <v>8303</v>
      </c>
      <c r="B228" s="2" t="s">
        <v>1880</v>
      </c>
      <c r="C228" s="4">
        <v>1</v>
      </c>
      <c r="D228" s="5">
        <v>5.8</v>
      </c>
      <c r="E228" s="5">
        <v>13.19</v>
      </c>
      <c r="F228" s="4">
        <v>17894010</v>
      </c>
      <c r="G228" s="2"/>
      <c r="H228" s="7" t="s">
        <v>675</v>
      </c>
      <c r="I228" s="2" t="s">
        <v>153</v>
      </c>
      <c r="J228" s="2" t="s">
        <v>154</v>
      </c>
      <c r="K228" s="2" t="s">
        <v>304</v>
      </c>
      <c r="L228" s="2" t="s">
        <v>38</v>
      </c>
      <c r="M228" s="8" t="str">
        <f>HYPERLINK("http://slimages.macys.com/is/image/MCY/13729099 ")</f>
        <v xml:space="preserve">http://slimages.macys.com/is/image/MCY/13729099 </v>
      </c>
    </row>
    <row r="229" spans="1:13" ht="60" x14ac:dyDescent="0.25">
      <c r="A229" s="7" t="s">
        <v>13910</v>
      </c>
      <c r="B229" s="2" t="s">
        <v>13911</v>
      </c>
      <c r="C229" s="4">
        <v>1</v>
      </c>
      <c r="D229" s="5">
        <v>5.75</v>
      </c>
      <c r="E229" s="5">
        <v>12</v>
      </c>
      <c r="F229" s="4">
        <v>27903810</v>
      </c>
      <c r="G229" s="2"/>
      <c r="H229" s="7" t="s">
        <v>209</v>
      </c>
      <c r="I229" s="2" t="s">
        <v>487</v>
      </c>
      <c r="J229" s="2" t="s">
        <v>488</v>
      </c>
      <c r="K229" s="2" t="s">
        <v>304</v>
      </c>
      <c r="L229" s="2" t="s">
        <v>38</v>
      </c>
      <c r="M229" s="8" t="str">
        <f>HYPERLINK("http://slimages.macys.com/is/image/MCY/13852777 ")</f>
        <v xml:space="preserve">http://slimages.macys.com/is/image/MCY/13852777 </v>
      </c>
    </row>
    <row r="230" spans="1:13" ht="60" x14ac:dyDescent="0.25">
      <c r="A230" s="7" t="s">
        <v>11118</v>
      </c>
      <c r="B230" s="2" t="s">
        <v>11119</v>
      </c>
      <c r="C230" s="4">
        <v>1</v>
      </c>
      <c r="D230" s="5">
        <v>5.75</v>
      </c>
      <c r="E230" s="5">
        <v>13.99</v>
      </c>
      <c r="F230" s="4" t="s">
        <v>11120</v>
      </c>
      <c r="G230" s="2" t="s">
        <v>28</v>
      </c>
      <c r="H230" s="7" t="s">
        <v>166</v>
      </c>
      <c r="I230" s="2" t="s">
        <v>218</v>
      </c>
      <c r="J230" s="2" t="s">
        <v>835</v>
      </c>
      <c r="K230" s="2" t="s">
        <v>304</v>
      </c>
      <c r="L230" s="2" t="s">
        <v>125</v>
      </c>
      <c r="M230" s="8" t="str">
        <f>HYPERLINK("http://slimages.macys.com/is/image/MCY/12284165 ")</f>
        <v xml:space="preserve">http://slimages.macys.com/is/image/MCY/12284165 </v>
      </c>
    </row>
    <row r="231" spans="1:13" ht="60" x14ac:dyDescent="0.25">
      <c r="A231" s="7" t="s">
        <v>13912</v>
      </c>
      <c r="B231" s="2" t="s">
        <v>13913</v>
      </c>
      <c r="C231" s="4">
        <v>1</v>
      </c>
      <c r="D231" s="5">
        <v>5.75</v>
      </c>
      <c r="E231" s="5">
        <v>11.5</v>
      </c>
      <c r="F231" s="4">
        <v>37896410</v>
      </c>
      <c r="G231" s="2" t="s">
        <v>41</v>
      </c>
      <c r="H231" s="7" t="s">
        <v>179</v>
      </c>
      <c r="I231" s="2" t="s">
        <v>487</v>
      </c>
      <c r="J231" s="2" t="s">
        <v>488</v>
      </c>
      <c r="K231" s="2" t="s">
        <v>304</v>
      </c>
      <c r="L231" s="2" t="s">
        <v>206</v>
      </c>
      <c r="M231" s="8" t="str">
        <f>HYPERLINK("http://slimages.macys.com/is/image/MCY/13852881 ")</f>
        <v xml:space="preserve">http://slimages.macys.com/is/image/MCY/13852881 </v>
      </c>
    </row>
    <row r="232" spans="1:13" ht="60" x14ac:dyDescent="0.25">
      <c r="A232" s="7" t="s">
        <v>13914</v>
      </c>
      <c r="B232" s="2" t="s">
        <v>4149</v>
      </c>
      <c r="C232" s="4">
        <v>1</v>
      </c>
      <c r="D232" s="5">
        <v>5.7</v>
      </c>
      <c r="E232" s="5">
        <v>9.99</v>
      </c>
      <c r="F232" s="4" t="s">
        <v>4150</v>
      </c>
      <c r="G232" s="2" t="s">
        <v>36</v>
      </c>
      <c r="H232" s="7" t="s">
        <v>63</v>
      </c>
      <c r="I232" s="2" t="s">
        <v>73</v>
      </c>
      <c r="J232" s="2" t="s">
        <v>1963</v>
      </c>
      <c r="K232" s="2" t="s">
        <v>304</v>
      </c>
      <c r="L232" s="2" t="s">
        <v>623</v>
      </c>
      <c r="M232" s="8" t="str">
        <f>HYPERLINK("http://slimages.macys.com/is/image/MCY/12684281 ")</f>
        <v xml:space="preserve">http://slimages.macys.com/is/image/MCY/12684281 </v>
      </c>
    </row>
    <row r="233" spans="1:13" ht="60" x14ac:dyDescent="0.25">
      <c r="A233" s="7" t="s">
        <v>2638</v>
      </c>
      <c r="B233" s="2" t="s">
        <v>2639</v>
      </c>
      <c r="C233" s="4">
        <v>2</v>
      </c>
      <c r="D233" s="5">
        <v>5.6</v>
      </c>
      <c r="E233" s="5">
        <v>13.99</v>
      </c>
      <c r="F233" s="4" t="s">
        <v>2640</v>
      </c>
      <c r="G233" s="2" t="s">
        <v>874</v>
      </c>
      <c r="H233" s="7" t="s">
        <v>91</v>
      </c>
      <c r="I233" s="2" t="s">
        <v>483</v>
      </c>
      <c r="J233" s="2" t="s">
        <v>536</v>
      </c>
      <c r="K233" s="2" t="s">
        <v>304</v>
      </c>
      <c r="L233" s="2" t="s">
        <v>125</v>
      </c>
      <c r="M233" s="8" t="str">
        <f>HYPERLINK("http://slimages.macys.com/is/image/MCY/14446785 ")</f>
        <v xml:space="preserve">http://slimages.macys.com/is/image/MCY/14446785 </v>
      </c>
    </row>
    <row r="234" spans="1:13" ht="60" x14ac:dyDescent="0.25">
      <c r="A234" s="7" t="s">
        <v>2641</v>
      </c>
      <c r="B234" s="2" t="s">
        <v>2639</v>
      </c>
      <c r="C234" s="4">
        <v>1</v>
      </c>
      <c r="D234" s="5">
        <v>5.6</v>
      </c>
      <c r="E234" s="5">
        <v>13.99</v>
      </c>
      <c r="F234" s="4" t="s">
        <v>2640</v>
      </c>
      <c r="G234" s="2" t="s">
        <v>874</v>
      </c>
      <c r="H234" s="7" t="s">
        <v>42</v>
      </c>
      <c r="I234" s="2" t="s">
        <v>483</v>
      </c>
      <c r="J234" s="2" t="s">
        <v>536</v>
      </c>
      <c r="K234" s="2" t="s">
        <v>304</v>
      </c>
      <c r="L234" s="2" t="s">
        <v>125</v>
      </c>
      <c r="M234" s="8" t="str">
        <f>HYPERLINK("http://slimages.macys.com/is/image/MCY/14446785 ")</f>
        <v xml:space="preserve">http://slimages.macys.com/is/image/MCY/14446785 </v>
      </c>
    </row>
    <row r="235" spans="1:13" ht="60" x14ac:dyDescent="0.25">
      <c r="A235" s="7" t="s">
        <v>2642</v>
      </c>
      <c r="B235" s="2" t="s">
        <v>2639</v>
      </c>
      <c r="C235" s="4">
        <v>1</v>
      </c>
      <c r="D235" s="5">
        <v>5.6</v>
      </c>
      <c r="E235" s="5">
        <v>13.99</v>
      </c>
      <c r="F235" s="4" t="s">
        <v>2640</v>
      </c>
      <c r="G235" s="2" t="s">
        <v>874</v>
      </c>
      <c r="H235" s="7" t="s">
        <v>442</v>
      </c>
      <c r="I235" s="2" t="s">
        <v>483</v>
      </c>
      <c r="J235" s="2" t="s">
        <v>536</v>
      </c>
      <c r="K235" s="2" t="s">
        <v>304</v>
      </c>
      <c r="L235" s="2" t="s">
        <v>125</v>
      </c>
      <c r="M235" s="8" t="str">
        <f>HYPERLINK("http://slimages.macys.com/is/image/MCY/14446785 ")</f>
        <v xml:space="preserve">http://slimages.macys.com/is/image/MCY/14446785 </v>
      </c>
    </row>
    <row r="236" spans="1:13" ht="60" x14ac:dyDescent="0.25">
      <c r="A236" s="7" t="s">
        <v>3405</v>
      </c>
      <c r="B236" s="2" t="s">
        <v>2639</v>
      </c>
      <c r="C236" s="4">
        <v>1</v>
      </c>
      <c r="D236" s="5">
        <v>5.6</v>
      </c>
      <c r="E236" s="5">
        <v>13.99</v>
      </c>
      <c r="F236" s="4" t="s">
        <v>2640</v>
      </c>
      <c r="G236" s="2" t="s">
        <v>874</v>
      </c>
      <c r="H236" s="7" t="s">
        <v>590</v>
      </c>
      <c r="I236" s="2" t="s">
        <v>483</v>
      </c>
      <c r="J236" s="2" t="s">
        <v>536</v>
      </c>
      <c r="K236" s="2" t="s">
        <v>304</v>
      </c>
      <c r="L236" s="2" t="s">
        <v>125</v>
      </c>
      <c r="M236" s="8" t="str">
        <f>HYPERLINK("http://slimages.macys.com/is/image/MCY/14446785 ")</f>
        <v xml:space="preserve">http://slimages.macys.com/is/image/MCY/14446785 </v>
      </c>
    </row>
    <row r="237" spans="1:13" ht="60" x14ac:dyDescent="0.25">
      <c r="A237" s="7" t="s">
        <v>13915</v>
      </c>
      <c r="B237" s="2" t="s">
        <v>4163</v>
      </c>
      <c r="C237" s="4">
        <v>1</v>
      </c>
      <c r="D237" s="5">
        <v>5.55</v>
      </c>
      <c r="E237" s="5">
        <v>11.1</v>
      </c>
      <c r="F237" s="4">
        <v>28441514</v>
      </c>
      <c r="G237" s="2" t="s">
        <v>62</v>
      </c>
      <c r="H237" s="7" t="s">
        <v>68</v>
      </c>
      <c r="I237" s="2" t="s">
        <v>487</v>
      </c>
      <c r="J237" s="2" t="s">
        <v>2424</v>
      </c>
      <c r="K237" s="2" t="s">
        <v>304</v>
      </c>
      <c r="L237" s="2" t="s">
        <v>206</v>
      </c>
      <c r="M237" s="8" t="str">
        <f>HYPERLINK("http://slimages.macys.com/is/image/MCY/14661874 ")</f>
        <v xml:space="preserve">http://slimages.macys.com/is/image/MCY/14661874 </v>
      </c>
    </row>
    <row r="238" spans="1:13" ht="60" x14ac:dyDescent="0.25">
      <c r="A238" s="7" t="s">
        <v>4162</v>
      </c>
      <c r="B238" s="2" t="s">
        <v>4163</v>
      </c>
      <c r="C238" s="4">
        <v>1</v>
      </c>
      <c r="D238" s="5">
        <v>5.55</v>
      </c>
      <c r="E238" s="5">
        <v>11.1</v>
      </c>
      <c r="F238" s="4">
        <v>28441514</v>
      </c>
      <c r="G238" s="2" t="s">
        <v>62</v>
      </c>
      <c r="H238" s="7" t="s">
        <v>144</v>
      </c>
      <c r="I238" s="2" t="s">
        <v>487</v>
      </c>
      <c r="J238" s="2" t="s">
        <v>2424</v>
      </c>
      <c r="K238" s="2" t="s">
        <v>304</v>
      </c>
      <c r="L238" s="2" t="s">
        <v>206</v>
      </c>
      <c r="M238" s="8" t="str">
        <f>HYPERLINK("http://slimages.macys.com/is/image/MCY/14661874 ")</f>
        <v xml:space="preserve">http://slimages.macys.com/is/image/MCY/14661874 </v>
      </c>
    </row>
    <row r="239" spans="1:13" ht="60" x14ac:dyDescent="0.25">
      <c r="A239" s="7" t="s">
        <v>13916</v>
      </c>
      <c r="B239" s="2" t="s">
        <v>13917</v>
      </c>
      <c r="C239" s="4">
        <v>1</v>
      </c>
      <c r="D239" s="5">
        <v>5.55</v>
      </c>
      <c r="E239" s="5">
        <v>11.1</v>
      </c>
      <c r="F239" s="4">
        <v>28345418</v>
      </c>
      <c r="G239" s="2"/>
      <c r="H239" s="7" t="s">
        <v>209</v>
      </c>
      <c r="I239" s="2" t="s">
        <v>487</v>
      </c>
      <c r="J239" s="2" t="s">
        <v>2424</v>
      </c>
      <c r="K239" s="2" t="s">
        <v>304</v>
      </c>
      <c r="L239" s="2" t="s">
        <v>206</v>
      </c>
      <c r="M239" s="8" t="str">
        <f>HYPERLINK("http://slimages.macys.com/is/image/MCY/14661858 ")</f>
        <v xml:space="preserve">http://slimages.macys.com/is/image/MCY/14661858 </v>
      </c>
    </row>
    <row r="240" spans="1:13" ht="60" x14ac:dyDescent="0.25">
      <c r="A240" s="7" t="s">
        <v>4164</v>
      </c>
      <c r="B240" s="2" t="s">
        <v>3410</v>
      </c>
      <c r="C240" s="4">
        <v>1</v>
      </c>
      <c r="D240" s="5">
        <v>5.52</v>
      </c>
      <c r="E240" s="5">
        <v>13.99</v>
      </c>
      <c r="F240" s="4" t="s">
        <v>3411</v>
      </c>
      <c r="G240" s="2" t="s">
        <v>62</v>
      </c>
      <c r="H240" s="7" t="s">
        <v>42</v>
      </c>
      <c r="I240" s="2" t="s">
        <v>483</v>
      </c>
      <c r="J240" s="2" t="s">
        <v>536</v>
      </c>
      <c r="K240" s="2" t="s">
        <v>304</v>
      </c>
      <c r="L240" s="2" t="s">
        <v>596</v>
      </c>
      <c r="M240" s="8" t="str">
        <f>HYPERLINK("http://slimages.macys.com/is/image/MCY/14630640 ")</f>
        <v xml:space="preserve">http://slimages.macys.com/is/image/MCY/14630640 </v>
      </c>
    </row>
    <row r="241" spans="1:13" ht="60" x14ac:dyDescent="0.25">
      <c r="A241" s="7" t="s">
        <v>3409</v>
      </c>
      <c r="B241" s="2" t="s">
        <v>3410</v>
      </c>
      <c r="C241" s="4">
        <v>1</v>
      </c>
      <c r="D241" s="5">
        <v>5.52</v>
      </c>
      <c r="E241" s="5">
        <v>13.99</v>
      </c>
      <c r="F241" s="4" t="s">
        <v>3411</v>
      </c>
      <c r="G241" s="2" t="s">
        <v>62</v>
      </c>
      <c r="H241" s="7" t="s">
        <v>149</v>
      </c>
      <c r="I241" s="2" t="s">
        <v>483</v>
      </c>
      <c r="J241" s="2" t="s">
        <v>536</v>
      </c>
      <c r="K241" s="2" t="s">
        <v>304</v>
      </c>
      <c r="L241" s="2" t="s">
        <v>596</v>
      </c>
      <c r="M241" s="8" t="str">
        <f>HYPERLINK("http://slimages.macys.com/is/image/MCY/14630640 ")</f>
        <v xml:space="preserve">http://slimages.macys.com/is/image/MCY/14630640 </v>
      </c>
    </row>
    <row r="242" spans="1:13" ht="60" x14ac:dyDescent="0.25">
      <c r="A242" s="7" t="s">
        <v>4165</v>
      </c>
      <c r="B242" s="2" t="s">
        <v>3410</v>
      </c>
      <c r="C242" s="4">
        <v>1</v>
      </c>
      <c r="D242" s="5">
        <v>5.52</v>
      </c>
      <c r="E242" s="5">
        <v>13.99</v>
      </c>
      <c r="F242" s="4" t="s">
        <v>3411</v>
      </c>
      <c r="G242" s="2" t="s">
        <v>62</v>
      </c>
      <c r="H242" s="7" t="s">
        <v>590</v>
      </c>
      <c r="I242" s="2" t="s">
        <v>483</v>
      </c>
      <c r="J242" s="2" t="s">
        <v>536</v>
      </c>
      <c r="K242" s="2" t="s">
        <v>304</v>
      </c>
      <c r="L242" s="2" t="s">
        <v>596</v>
      </c>
      <c r="M242" s="8" t="str">
        <f>HYPERLINK("http://slimages.macys.com/is/image/MCY/14630640 ")</f>
        <v xml:space="preserve">http://slimages.macys.com/is/image/MCY/14630640 </v>
      </c>
    </row>
    <row r="243" spans="1:13" ht="60" x14ac:dyDescent="0.25">
      <c r="A243" s="7" t="s">
        <v>13918</v>
      </c>
      <c r="B243" s="2" t="s">
        <v>13919</v>
      </c>
      <c r="C243" s="4">
        <v>1</v>
      </c>
      <c r="D243" s="5">
        <v>5.5</v>
      </c>
      <c r="E243" s="5">
        <v>9.99</v>
      </c>
      <c r="F243" s="4" t="s">
        <v>13920</v>
      </c>
      <c r="G243" s="2" t="s">
        <v>62</v>
      </c>
      <c r="H243" s="7" t="s">
        <v>284</v>
      </c>
      <c r="I243" s="2" t="s">
        <v>73</v>
      </c>
      <c r="J243" s="2" t="s">
        <v>1917</v>
      </c>
      <c r="K243" s="2" t="s">
        <v>304</v>
      </c>
      <c r="L243" s="2" t="s">
        <v>493</v>
      </c>
      <c r="M243" s="8" t="str">
        <f>HYPERLINK("http://slimages.macys.com/is/image/MCY/13727357 ")</f>
        <v xml:space="preserve">http://slimages.macys.com/is/image/MCY/13727357 </v>
      </c>
    </row>
    <row r="244" spans="1:13" ht="60" x14ac:dyDescent="0.25">
      <c r="A244" s="7" t="s">
        <v>13921</v>
      </c>
      <c r="B244" s="2" t="s">
        <v>13922</v>
      </c>
      <c r="C244" s="4">
        <v>1</v>
      </c>
      <c r="D244" s="5">
        <v>5.5</v>
      </c>
      <c r="E244" s="5">
        <v>11.98</v>
      </c>
      <c r="F244" s="4" t="s">
        <v>13923</v>
      </c>
      <c r="G244" s="2" t="s">
        <v>41</v>
      </c>
      <c r="H244" s="7"/>
      <c r="I244" s="2" t="s">
        <v>43</v>
      </c>
      <c r="J244" s="2" t="s">
        <v>497</v>
      </c>
      <c r="K244" s="2" t="s">
        <v>304</v>
      </c>
      <c r="L244" s="2" t="s">
        <v>87</v>
      </c>
      <c r="M244" s="8" t="str">
        <f>HYPERLINK("http://slimages.macys.com/is/image/MCY/1431260 ")</f>
        <v xml:space="preserve">http://slimages.macys.com/is/image/MCY/1431260 </v>
      </c>
    </row>
    <row r="245" spans="1:13" ht="60" x14ac:dyDescent="0.25">
      <c r="A245" s="7" t="s">
        <v>13924</v>
      </c>
      <c r="B245" s="2" t="s">
        <v>13919</v>
      </c>
      <c r="C245" s="4">
        <v>2</v>
      </c>
      <c r="D245" s="5">
        <v>5.5</v>
      </c>
      <c r="E245" s="5">
        <v>9.99</v>
      </c>
      <c r="F245" s="4" t="s">
        <v>13920</v>
      </c>
      <c r="G245" s="2" t="s">
        <v>62</v>
      </c>
      <c r="H245" s="7" t="s">
        <v>159</v>
      </c>
      <c r="I245" s="2" t="s">
        <v>73</v>
      </c>
      <c r="J245" s="2" t="s">
        <v>1917</v>
      </c>
      <c r="K245" s="2" t="s">
        <v>304</v>
      </c>
      <c r="L245" s="2" t="s">
        <v>493</v>
      </c>
      <c r="M245" s="8" t="str">
        <f>HYPERLINK("http://slimages.macys.com/is/image/MCY/13727357 ")</f>
        <v xml:space="preserve">http://slimages.macys.com/is/image/MCY/13727357 </v>
      </c>
    </row>
    <row r="246" spans="1:13" ht="84" x14ac:dyDescent="0.25">
      <c r="A246" s="7" t="s">
        <v>4173</v>
      </c>
      <c r="B246" s="2" t="s">
        <v>4174</v>
      </c>
      <c r="C246" s="4">
        <v>1</v>
      </c>
      <c r="D246" s="5">
        <v>5.44</v>
      </c>
      <c r="E246" s="5">
        <v>14.99</v>
      </c>
      <c r="F246" s="4" t="s">
        <v>4175</v>
      </c>
      <c r="G246" s="2" t="s">
        <v>195</v>
      </c>
      <c r="H246" s="7" t="s">
        <v>149</v>
      </c>
      <c r="I246" s="2" t="s">
        <v>483</v>
      </c>
      <c r="J246" s="2" t="s">
        <v>4176</v>
      </c>
      <c r="K246" s="2" t="s">
        <v>304</v>
      </c>
      <c r="L246" s="2" t="s">
        <v>4177</v>
      </c>
      <c r="M246" s="8" t="str">
        <f>HYPERLINK("http://slimages.macys.com/is/image/MCY/14601081 ")</f>
        <v xml:space="preserve">http://slimages.macys.com/is/image/MCY/14601081 </v>
      </c>
    </row>
    <row r="247" spans="1:13" ht="84" x14ac:dyDescent="0.25">
      <c r="A247" s="7" t="s">
        <v>4179</v>
      </c>
      <c r="B247" s="2" t="s">
        <v>4174</v>
      </c>
      <c r="C247" s="4">
        <v>1</v>
      </c>
      <c r="D247" s="5">
        <v>5.44</v>
      </c>
      <c r="E247" s="5">
        <v>14.99</v>
      </c>
      <c r="F247" s="4" t="s">
        <v>4175</v>
      </c>
      <c r="G247" s="2" t="s">
        <v>195</v>
      </c>
      <c r="H247" s="7" t="s">
        <v>442</v>
      </c>
      <c r="I247" s="2" t="s">
        <v>483</v>
      </c>
      <c r="J247" s="2" t="s">
        <v>4176</v>
      </c>
      <c r="K247" s="2" t="s">
        <v>304</v>
      </c>
      <c r="L247" s="2" t="s">
        <v>4177</v>
      </c>
      <c r="M247" s="8" t="str">
        <f>HYPERLINK("http://slimages.macys.com/is/image/MCY/14601081 ")</f>
        <v xml:space="preserve">http://slimages.macys.com/is/image/MCY/14601081 </v>
      </c>
    </row>
    <row r="248" spans="1:13" ht="60" x14ac:dyDescent="0.25">
      <c r="A248" s="7" t="s">
        <v>1080</v>
      </c>
      <c r="B248" s="2" t="s">
        <v>1081</v>
      </c>
      <c r="C248" s="4">
        <v>2</v>
      </c>
      <c r="D248" s="5">
        <v>5.35</v>
      </c>
      <c r="E248" s="5">
        <v>13.99</v>
      </c>
      <c r="F248" s="4" t="s">
        <v>1082</v>
      </c>
      <c r="G248" s="2" t="s">
        <v>41</v>
      </c>
      <c r="H248" s="7" t="s">
        <v>590</v>
      </c>
      <c r="I248" s="2" t="s">
        <v>483</v>
      </c>
      <c r="J248" s="2" t="s">
        <v>536</v>
      </c>
      <c r="K248" s="2" t="s">
        <v>304</v>
      </c>
      <c r="L248" s="2" t="s">
        <v>125</v>
      </c>
      <c r="M248" s="8" t="str">
        <f>HYPERLINK("http://slimages.macys.com/is/image/MCY/14447244 ")</f>
        <v xml:space="preserve">http://slimages.macys.com/is/image/MCY/14447244 </v>
      </c>
    </row>
    <row r="249" spans="1:13" ht="60" x14ac:dyDescent="0.25">
      <c r="A249" s="7" t="s">
        <v>5501</v>
      </c>
      <c r="B249" s="2" t="s">
        <v>1081</v>
      </c>
      <c r="C249" s="4">
        <v>1</v>
      </c>
      <c r="D249" s="5">
        <v>5.35</v>
      </c>
      <c r="E249" s="5">
        <v>13.99</v>
      </c>
      <c r="F249" s="4" t="s">
        <v>1082</v>
      </c>
      <c r="G249" s="2" t="s">
        <v>41</v>
      </c>
      <c r="H249" s="7" t="s">
        <v>149</v>
      </c>
      <c r="I249" s="2" t="s">
        <v>483</v>
      </c>
      <c r="J249" s="2" t="s">
        <v>536</v>
      </c>
      <c r="K249" s="2" t="s">
        <v>304</v>
      </c>
      <c r="L249" s="2" t="s">
        <v>125</v>
      </c>
      <c r="M249" s="8" t="str">
        <f>HYPERLINK("http://slimages.macys.com/is/image/MCY/14447244 ")</f>
        <v xml:space="preserve">http://slimages.macys.com/is/image/MCY/14447244 </v>
      </c>
    </row>
    <row r="250" spans="1:13" ht="60" x14ac:dyDescent="0.25">
      <c r="A250" s="7" t="s">
        <v>13925</v>
      </c>
      <c r="B250" s="2" t="s">
        <v>13926</v>
      </c>
      <c r="C250" s="4">
        <v>1</v>
      </c>
      <c r="D250" s="5">
        <v>5.33</v>
      </c>
      <c r="E250" s="5">
        <v>13.99</v>
      </c>
      <c r="F250" s="4" t="s">
        <v>13927</v>
      </c>
      <c r="G250" s="2" t="s">
        <v>86</v>
      </c>
      <c r="H250" s="7" t="s">
        <v>149</v>
      </c>
      <c r="I250" s="2" t="s">
        <v>483</v>
      </c>
      <c r="J250" s="2" t="s">
        <v>536</v>
      </c>
      <c r="K250" s="2" t="s">
        <v>304</v>
      </c>
      <c r="L250" s="2" t="s">
        <v>119</v>
      </c>
      <c r="M250" s="8" t="str">
        <f>HYPERLINK("http://slimages.macys.com/is/image/MCY/14384817 ")</f>
        <v xml:space="preserve">http://slimages.macys.com/is/image/MCY/14384817 </v>
      </c>
    </row>
    <row r="251" spans="1:13" ht="60" x14ac:dyDescent="0.25">
      <c r="A251" s="7" t="s">
        <v>13928</v>
      </c>
      <c r="B251" s="2" t="s">
        <v>13929</v>
      </c>
      <c r="C251" s="4">
        <v>1</v>
      </c>
      <c r="D251" s="5">
        <v>5.3</v>
      </c>
      <c r="E251" s="5">
        <v>10.6</v>
      </c>
      <c r="F251" s="4" t="s">
        <v>13930</v>
      </c>
      <c r="G251" s="2" t="s">
        <v>79</v>
      </c>
      <c r="H251" s="7" t="s">
        <v>144</v>
      </c>
      <c r="I251" s="2" t="s">
        <v>487</v>
      </c>
      <c r="J251" s="2" t="s">
        <v>488</v>
      </c>
      <c r="K251" s="2" t="s">
        <v>304</v>
      </c>
      <c r="L251" s="2" t="s">
        <v>206</v>
      </c>
      <c r="M251" s="8" t="str">
        <f>HYPERLINK("http://slimages.macys.com/is/image/MCY/11867494 ")</f>
        <v xml:space="preserve">http://slimages.macys.com/is/image/MCY/11867494 </v>
      </c>
    </row>
    <row r="252" spans="1:13" ht="60" x14ac:dyDescent="0.25">
      <c r="A252" s="7" t="s">
        <v>6969</v>
      </c>
      <c r="B252" s="2" t="s">
        <v>6970</v>
      </c>
      <c r="C252" s="4">
        <v>1</v>
      </c>
      <c r="D252" s="5">
        <v>5.25</v>
      </c>
      <c r="E252" s="5">
        <v>12.77</v>
      </c>
      <c r="F252" s="4">
        <v>17880810</v>
      </c>
      <c r="G252" s="2"/>
      <c r="H252" s="7" t="s">
        <v>442</v>
      </c>
      <c r="I252" s="2" t="s">
        <v>153</v>
      </c>
      <c r="J252" s="2" t="s">
        <v>3580</v>
      </c>
      <c r="K252" s="2" t="s">
        <v>304</v>
      </c>
      <c r="L252" s="2" t="s">
        <v>125</v>
      </c>
      <c r="M252" s="8" t="str">
        <f>HYPERLINK("http://slimages.macys.com/is/image/MCY/13728577 ")</f>
        <v xml:space="preserve">http://slimages.macys.com/is/image/MCY/13728577 </v>
      </c>
    </row>
    <row r="253" spans="1:13" ht="60" x14ac:dyDescent="0.25">
      <c r="A253" s="7" t="s">
        <v>13931</v>
      </c>
      <c r="B253" s="2" t="s">
        <v>13704</v>
      </c>
      <c r="C253" s="4">
        <v>1</v>
      </c>
      <c r="D253" s="5">
        <v>5.25</v>
      </c>
      <c r="E253" s="5">
        <v>10.5</v>
      </c>
      <c r="F253" s="4">
        <v>27854010</v>
      </c>
      <c r="G253" s="2" t="s">
        <v>653</v>
      </c>
      <c r="H253" s="7" t="s">
        <v>68</v>
      </c>
      <c r="I253" s="2" t="s">
        <v>487</v>
      </c>
      <c r="J253" s="2" t="s">
        <v>488</v>
      </c>
      <c r="K253" s="2" t="s">
        <v>304</v>
      </c>
      <c r="L253" s="2" t="s">
        <v>38</v>
      </c>
      <c r="M253" s="8" t="str">
        <f>HYPERLINK("http://slimages.macys.com/is/image/MCY/13852902 ")</f>
        <v xml:space="preserve">http://slimages.macys.com/is/image/MCY/13852902 </v>
      </c>
    </row>
    <row r="254" spans="1:13" ht="60" x14ac:dyDescent="0.25">
      <c r="A254" s="7" t="s">
        <v>13932</v>
      </c>
      <c r="B254" s="2" t="s">
        <v>13704</v>
      </c>
      <c r="C254" s="4">
        <v>1</v>
      </c>
      <c r="D254" s="5">
        <v>5.25</v>
      </c>
      <c r="E254" s="5">
        <v>10.5</v>
      </c>
      <c r="F254" s="4">
        <v>27854010</v>
      </c>
      <c r="G254" s="2" t="s">
        <v>653</v>
      </c>
      <c r="H254" s="7" t="s">
        <v>209</v>
      </c>
      <c r="I254" s="2" t="s">
        <v>487</v>
      </c>
      <c r="J254" s="2" t="s">
        <v>488</v>
      </c>
      <c r="K254" s="2" t="s">
        <v>304</v>
      </c>
      <c r="L254" s="2" t="s">
        <v>38</v>
      </c>
      <c r="M254" s="8" t="str">
        <f>HYPERLINK("http://slimages.macys.com/is/image/MCY/13852902 ")</f>
        <v xml:space="preserve">http://slimages.macys.com/is/image/MCY/13852902 </v>
      </c>
    </row>
    <row r="255" spans="1:13" ht="60" x14ac:dyDescent="0.25">
      <c r="A255" s="7" t="s">
        <v>13933</v>
      </c>
      <c r="B255" s="2" t="s">
        <v>4184</v>
      </c>
      <c r="C255" s="4">
        <v>1</v>
      </c>
      <c r="D255" s="5">
        <v>5.25</v>
      </c>
      <c r="E255" s="5">
        <v>10.5</v>
      </c>
      <c r="F255" s="4">
        <v>27853610</v>
      </c>
      <c r="G255" s="2" t="s">
        <v>892</v>
      </c>
      <c r="H255" s="7"/>
      <c r="I255" s="2" t="s">
        <v>487</v>
      </c>
      <c r="J255" s="2" t="s">
        <v>488</v>
      </c>
      <c r="K255" s="2" t="s">
        <v>304</v>
      </c>
      <c r="L255" s="2" t="s">
        <v>38</v>
      </c>
      <c r="M255" s="8" t="str">
        <f>HYPERLINK("http://slimages.macys.com/is/image/MCY/13852892 ")</f>
        <v xml:space="preserve">http://slimages.macys.com/is/image/MCY/13852892 </v>
      </c>
    </row>
    <row r="256" spans="1:13" ht="60" x14ac:dyDescent="0.25">
      <c r="A256" s="7" t="s">
        <v>13934</v>
      </c>
      <c r="B256" s="2" t="s">
        <v>534</v>
      </c>
      <c r="C256" s="4">
        <v>1</v>
      </c>
      <c r="D256" s="5">
        <v>5.23</v>
      </c>
      <c r="E256" s="5">
        <v>13.5</v>
      </c>
      <c r="F256" s="4" t="s">
        <v>535</v>
      </c>
      <c r="G256" s="2" t="s">
        <v>297</v>
      </c>
      <c r="H256" s="7" t="s">
        <v>590</v>
      </c>
      <c r="I256" s="2" t="s">
        <v>483</v>
      </c>
      <c r="J256" s="2" t="s">
        <v>536</v>
      </c>
      <c r="K256" s="2" t="s">
        <v>304</v>
      </c>
      <c r="L256" s="2" t="s">
        <v>537</v>
      </c>
      <c r="M256" s="8" t="str">
        <f>HYPERLINK("http://slimages.macys.com/is/image/MCY/9157948 ")</f>
        <v xml:space="preserve">http://slimages.macys.com/is/image/MCY/9157948 </v>
      </c>
    </row>
    <row r="257" spans="1:13" ht="60" x14ac:dyDescent="0.25">
      <c r="A257" s="7" t="s">
        <v>3415</v>
      </c>
      <c r="B257" s="2" t="s">
        <v>534</v>
      </c>
      <c r="C257" s="4">
        <v>1</v>
      </c>
      <c r="D257" s="5">
        <v>5.0999999999999996</v>
      </c>
      <c r="E257" s="5">
        <v>13.5</v>
      </c>
      <c r="F257" s="4" t="s">
        <v>535</v>
      </c>
      <c r="G257" s="2" t="s">
        <v>86</v>
      </c>
      <c r="H257" s="7" t="s">
        <v>91</v>
      </c>
      <c r="I257" s="2" t="s">
        <v>483</v>
      </c>
      <c r="J257" s="2" t="s">
        <v>536</v>
      </c>
      <c r="K257" s="2" t="s">
        <v>304</v>
      </c>
      <c r="L257" s="2" t="s">
        <v>537</v>
      </c>
      <c r="M257" s="8" t="str">
        <f>HYPERLINK("http://slimages.macys.com/is/image/MCY/9157948 ")</f>
        <v xml:space="preserve">http://slimages.macys.com/is/image/MCY/9157948 </v>
      </c>
    </row>
    <row r="258" spans="1:13" ht="60" x14ac:dyDescent="0.25">
      <c r="A258" s="7" t="s">
        <v>533</v>
      </c>
      <c r="B258" s="2" t="s">
        <v>534</v>
      </c>
      <c r="C258" s="4">
        <v>3</v>
      </c>
      <c r="D258" s="5">
        <v>5.0999999999999996</v>
      </c>
      <c r="E258" s="5">
        <v>13.5</v>
      </c>
      <c r="F258" s="4" t="s">
        <v>535</v>
      </c>
      <c r="G258" s="2" t="s">
        <v>86</v>
      </c>
      <c r="H258" s="7"/>
      <c r="I258" s="2" t="s">
        <v>483</v>
      </c>
      <c r="J258" s="2" t="s">
        <v>536</v>
      </c>
      <c r="K258" s="2" t="s">
        <v>304</v>
      </c>
      <c r="L258" s="2" t="s">
        <v>537</v>
      </c>
      <c r="M258" s="8" t="str">
        <f>HYPERLINK("http://slimages.macys.com/is/image/MCY/9157948 ")</f>
        <v xml:space="preserve">http://slimages.macys.com/is/image/MCY/9157948 </v>
      </c>
    </row>
    <row r="259" spans="1:13" ht="60" x14ac:dyDescent="0.25">
      <c r="A259" s="7" t="s">
        <v>13935</v>
      </c>
      <c r="B259" s="2" t="s">
        <v>534</v>
      </c>
      <c r="C259" s="4">
        <v>1</v>
      </c>
      <c r="D259" s="5">
        <v>5.0999999999999996</v>
      </c>
      <c r="E259" s="5">
        <v>13.5</v>
      </c>
      <c r="F259" s="4" t="s">
        <v>535</v>
      </c>
      <c r="G259" s="2" t="s">
        <v>297</v>
      </c>
      <c r="H259" s="7" t="s">
        <v>442</v>
      </c>
      <c r="I259" s="2" t="s">
        <v>483</v>
      </c>
      <c r="J259" s="2" t="s">
        <v>536</v>
      </c>
      <c r="K259" s="2" t="s">
        <v>304</v>
      </c>
      <c r="L259" s="2" t="s">
        <v>537</v>
      </c>
      <c r="M259" s="8" t="str">
        <f>HYPERLINK("http://slimages.macys.com/is/image/MCY/9157948 ")</f>
        <v xml:space="preserve">http://slimages.macys.com/is/image/MCY/9157948 </v>
      </c>
    </row>
    <row r="260" spans="1:13" ht="60" x14ac:dyDescent="0.25">
      <c r="A260" s="7" t="s">
        <v>13710</v>
      </c>
      <c r="B260" s="2" t="s">
        <v>534</v>
      </c>
      <c r="C260" s="4">
        <v>2</v>
      </c>
      <c r="D260" s="5">
        <v>5.0999999999999996</v>
      </c>
      <c r="E260" s="5">
        <v>13.5</v>
      </c>
      <c r="F260" s="4">
        <v>100006338</v>
      </c>
      <c r="G260" s="2" t="s">
        <v>86</v>
      </c>
      <c r="H260" s="7" t="s">
        <v>42</v>
      </c>
      <c r="I260" s="2" t="s">
        <v>483</v>
      </c>
      <c r="J260" s="2" t="s">
        <v>536</v>
      </c>
      <c r="K260" s="2" t="s">
        <v>304</v>
      </c>
      <c r="L260" s="2" t="s">
        <v>537</v>
      </c>
      <c r="M260" s="8" t="str">
        <f>HYPERLINK("http://slimages.macys.com/is/image/MCY/9157948 ")</f>
        <v xml:space="preserve">http://slimages.macys.com/is/image/MCY/9157948 </v>
      </c>
    </row>
    <row r="261" spans="1:13" ht="60" x14ac:dyDescent="0.25">
      <c r="A261" s="7" t="s">
        <v>13936</v>
      </c>
      <c r="B261" s="2" t="s">
        <v>3420</v>
      </c>
      <c r="C261" s="4">
        <v>1</v>
      </c>
      <c r="D261" s="5">
        <v>5.0999999999999996</v>
      </c>
      <c r="E261" s="5">
        <v>10.199999999999999</v>
      </c>
      <c r="F261" s="4">
        <v>28379610</v>
      </c>
      <c r="G261" s="2" t="s">
        <v>643</v>
      </c>
      <c r="H261" s="7" t="s">
        <v>68</v>
      </c>
      <c r="I261" s="2" t="s">
        <v>487</v>
      </c>
      <c r="J261" s="2" t="s">
        <v>488</v>
      </c>
      <c r="K261" s="2" t="s">
        <v>304</v>
      </c>
      <c r="L261" s="2" t="s">
        <v>206</v>
      </c>
      <c r="M261" s="8" t="str">
        <f>HYPERLINK("http://slimages.macys.com/is/image/MCY/13743113 ")</f>
        <v xml:space="preserve">http://slimages.macys.com/is/image/MCY/13743113 </v>
      </c>
    </row>
    <row r="262" spans="1:13" ht="60" x14ac:dyDescent="0.25">
      <c r="A262" s="7" t="s">
        <v>3424</v>
      </c>
      <c r="B262" s="2" t="s">
        <v>534</v>
      </c>
      <c r="C262" s="4">
        <v>2</v>
      </c>
      <c r="D262" s="5">
        <v>5.0999999999999996</v>
      </c>
      <c r="E262" s="5">
        <v>13.5</v>
      </c>
      <c r="F262" s="4">
        <v>100006338</v>
      </c>
      <c r="G262" s="2" t="s">
        <v>86</v>
      </c>
      <c r="H262" s="7" t="s">
        <v>442</v>
      </c>
      <c r="I262" s="2" t="s">
        <v>483</v>
      </c>
      <c r="J262" s="2" t="s">
        <v>536</v>
      </c>
      <c r="K262" s="2" t="s">
        <v>304</v>
      </c>
      <c r="L262" s="2" t="s">
        <v>537</v>
      </c>
      <c r="M262" s="8" t="str">
        <f>HYPERLINK("http://slimages.macys.com/is/image/MCY/9157948 ")</f>
        <v xml:space="preserve">http://slimages.macys.com/is/image/MCY/9157948 </v>
      </c>
    </row>
    <row r="263" spans="1:13" ht="60" x14ac:dyDescent="0.25">
      <c r="A263" s="7" t="s">
        <v>4189</v>
      </c>
      <c r="B263" s="2" t="s">
        <v>534</v>
      </c>
      <c r="C263" s="4">
        <v>2</v>
      </c>
      <c r="D263" s="5">
        <v>5.0999999999999996</v>
      </c>
      <c r="E263" s="5">
        <v>13.5</v>
      </c>
      <c r="F263" s="4" t="s">
        <v>535</v>
      </c>
      <c r="G263" s="2" t="s">
        <v>86</v>
      </c>
      <c r="H263" s="7" t="s">
        <v>149</v>
      </c>
      <c r="I263" s="2" t="s">
        <v>483</v>
      </c>
      <c r="J263" s="2" t="s">
        <v>536</v>
      </c>
      <c r="K263" s="2" t="s">
        <v>304</v>
      </c>
      <c r="L263" s="2" t="s">
        <v>537</v>
      </c>
      <c r="M263" s="8" t="str">
        <f>HYPERLINK("http://slimages.macys.com/is/image/MCY/9157948 ")</f>
        <v xml:space="preserve">http://slimages.macys.com/is/image/MCY/9157948 </v>
      </c>
    </row>
    <row r="264" spans="1:13" ht="84" x14ac:dyDescent="0.25">
      <c r="A264" s="7" t="s">
        <v>528</v>
      </c>
      <c r="B264" s="2" t="s">
        <v>529</v>
      </c>
      <c r="C264" s="4">
        <v>1</v>
      </c>
      <c r="D264" s="5">
        <v>5.0999999999999996</v>
      </c>
      <c r="E264" s="5">
        <v>10.99</v>
      </c>
      <c r="F264" s="4" t="s">
        <v>530</v>
      </c>
      <c r="G264" s="2" t="s">
        <v>41</v>
      </c>
      <c r="H264" s="7" t="s">
        <v>531</v>
      </c>
      <c r="I264" s="2" t="s">
        <v>483</v>
      </c>
      <c r="J264" s="2" t="s">
        <v>484</v>
      </c>
      <c r="K264" s="2" t="s">
        <v>304</v>
      </c>
      <c r="L264" s="2" t="s">
        <v>532</v>
      </c>
      <c r="M264" s="8" t="str">
        <f>HYPERLINK("http://slimages.macys.com/is/image/MCY/8549851 ")</f>
        <v xml:space="preserve">http://slimages.macys.com/is/image/MCY/8549851 </v>
      </c>
    </row>
    <row r="265" spans="1:13" ht="60" x14ac:dyDescent="0.25">
      <c r="A265" s="7" t="s">
        <v>13937</v>
      </c>
      <c r="B265" s="2" t="s">
        <v>534</v>
      </c>
      <c r="C265" s="4">
        <v>1</v>
      </c>
      <c r="D265" s="5">
        <v>5.0999999999999996</v>
      </c>
      <c r="E265" s="5">
        <v>13.5</v>
      </c>
      <c r="F265" s="4" t="s">
        <v>535</v>
      </c>
      <c r="G265" s="2" t="s">
        <v>297</v>
      </c>
      <c r="H265" s="7" t="s">
        <v>91</v>
      </c>
      <c r="I265" s="2" t="s">
        <v>483</v>
      </c>
      <c r="J265" s="2" t="s">
        <v>536</v>
      </c>
      <c r="K265" s="2" t="s">
        <v>304</v>
      </c>
      <c r="L265" s="2" t="s">
        <v>537</v>
      </c>
      <c r="M265" s="8" t="str">
        <f>HYPERLINK("http://slimages.macys.com/is/image/MCY/9157948 ")</f>
        <v xml:space="preserve">http://slimages.macys.com/is/image/MCY/9157948 </v>
      </c>
    </row>
    <row r="266" spans="1:13" ht="60" x14ac:dyDescent="0.25">
      <c r="A266" s="7" t="s">
        <v>3418</v>
      </c>
      <c r="B266" s="2" t="s">
        <v>534</v>
      </c>
      <c r="C266" s="4">
        <v>1</v>
      </c>
      <c r="D266" s="5">
        <v>5.0999999999999996</v>
      </c>
      <c r="E266" s="5">
        <v>13.5</v>
      </c>
      <c r="F266" s="4">
        <v>100006338</v>
      </c>
      <c r="G266" s="2" t="s">
        <v>86</v>
      </c>
      <c r="H266" s="7" t="s">
        <v>590</v>
      </c>
      <c r="I266" s="2" t="s">
        <v>483</v>
      </c>
      <c r="J266" s="2" t="s">
        <v>536</v>
      </c>
      <c r="K266" s="2" t="s">
        <v>304</v>
      </c>
      <c r="L266" s="2" t="s">
        <v>537</v>
      </c>
      <c r="M266" s="8" t="str">
        <f>HYPERLINK("http://slimages.macys.com/is/image/MCY/9157948 ")</f>
        <v xml:space="preserve">http://slimages.macys.com/is/image/MCY/9157948 </v>
      </c>
    </row>
    <row r="267" spans="1:13" ht="60" x14ac:dyDescent="0.25">
      <c r="A267" s="7" t="s">
        <v>4190</v>
      </c>
      <c r="B267" s="2" t="s">
        <v>3427</v>
      </c>
      <c r="C267" s="4">
        <v>1</v>
      </c>
      <c r="D267" s="5">
        <v>5.0999999999999996</v>
      </c>
      <c r="E267" s="5">
        <v>10.199999999999999</v>
      </c>
      <c r="F267" s="4">
        <v>28379810</v>
      </c>
      <c r="G267" s="2" t="s">
        <v>62</v>
      </c>
      <c r="H267" s="7" t="s">
        <v>144</v>
      </c>
      <c r="I267" s="2" t="s">
        <v>487</v>
      </c>
      <c r="J267" s="2" t="s">
        <v>488</v>
      </c>
      <c r="K267" s="2" t="s">
        <v>304</v>
      </c>
      <c r="L267" s="2" t="s">
        <v>206</v>
      </c>
      <c r="M267" s="8" t="str">
        <f>HYPERLINK("http://slimages.macys.com/is/image/MCY/13743118 ")</f>
        <v xml:space="preserve">http://slimages.macys.com/is/image/MCY/13743118 </v>
      </c>
    </row>
    <row r="268" spans="1:13" ht="60" x14ac:dyDescent="0.25">
      <c r="A268" s="7" t="s">
        <v>3423</v>
      </c>
      <c r="B268" s="2" t="s">
        <v>534</v>
      </c>
      <c r="C268" s="4">
        <v>3</v>
      </c>
      <c r="D268" s="5">
        <v>5.0999999999999996</v>
      </c>
      <c r="E268" s="5">
        <v>13.5</v>
      </c>
      <c r="F268" s="4" t="s">
        <v>535</v>
      </c>
      <c r="G268" s="2" t="s">
        <v>86</v>
      </c>
      <c r="H268" s="7" t="s">
        <v>590</v>
      </c>
      <c r="I268" s="2" t="s">
        <v>483</v>
      </c>
      <c r="J268" s="2" t="s">
        <v>536</v>
      </c>
      <c r="K268" s="2" t="s">
        <v>304</v>
      </c>
      <c r="L268" s="2" t="s">
        <v>537</v>
      </c>
      <c r="M268" s="8" t="str">
        <f>HYPERLINK("http://slimages.macys.com/is/image/MCY/9157948 ")</f>
        <v xml:space="preserve">http://slimages.macys.com/is/image/MCY/9157948 </v>
      </c>
    </row>
    <row r="269" spans="1:13" ht="60" x14ac:dyDescent="0.25">
      <c r="A269" s="7" t="s">
        <v>13391</v>
      </c>
      <c r="B269" s="2" t="s">
        <v>13389</v>
      </c>
      <c r="C269" s="4">
        <v>1</v>
      </c>
      <c r="D269" s="5">
        <v>5</v>
      </c>
      <c r="E269" s="5">
        <v>11.37</v>
      </c>
      <c r="F269" s="4">
        <v>18486110</v>
      </c>
      <c r="G269" s="2" t="s">
        <v>28</v>
      </c>
      <c r="H269" s="7" t="s">
        <v>482</v>
      </c>
      <c r="I269" s="2" t="s">
        <v>153</v>
      </c>
      <c r="J269" s="2" t="s">
        <v>154</v>
      </c>
      <c r="K269" s="2" t="s">
        <v>304</v>
      </c>
      <c r="L269" s="2" t="s">
        <v>206</v>
      </c>
      <c r="M269" s="8" t="str">
        <f>HYPERLINK("http://slimages.macys.com/is/image/MCY/14888738 ")</f>
        <v xml:space="preserve">http://slimages.macys.com/is/image/MCY/14888738 </v>
      </c>
    </row>
    <row r="270" spans="1:13" ht="60" x14ac:dyDescent="0.25">
      <c r="A270" s="7" t="s">
        <v>13938</v>
      </c>
      <c r="B270" s="2" t="s">
        <v>13939</v>
      </c>
      <c r="C270" s="4">
        <v>1</v>
      </c>
      <c r="D270" s="5">
        <v>5</v>
      </c>
      <c r="E270" s="5">
        <v>9.98</v>
      </c>
      <c r="F270" s="4" t="s">
        <v>13940</v>
      </c>
      <c r="G270" s="2" t="s">
        <v>36</v>
      </c>
      <c r="H270" s="7" t="s">
        <v>4040</v>
      </c>
      <c r="I270" s="2" t="s">
        <v>43</v>
      </c>
      <c r="J270" s="2" t="s">
        <v>497</v>
      </c>
      <c r="K270" s="2" t="s">
        <v>304</v>
      </c>
      <c r="L270" s="2" t="s">
        <v>87</v>
      </c>
      <c r="M270" s="8" t="str">
        <f>HYPERLINK("http://slimages.macys.com/is/image/MCY/2109550 ")</f>
        <v xml:space="preserve">http://slimages.macys.com/is/image/MCY/2109550 </v>
      </c>
    </row>
    <row r="271" spans="1:13" ht="60" x14ac:dyDescent="0.25">
      <c r="A271" s="7" t="s">
        <v>9639</v>
      </c>
      <c r="B271" s="2" t="s">
        <v>9640</v>
      </c>
      <c r="C271" s="4">
        <v>1</v>
      </c>
      <c r="D271" s="5">
        <v>4.9800000000000004</v>
      </c>
      <c r="E271" s="5">
        <v>11.99</v>
      </c>
      <c r="F271" s="4" t="s">
        <v>9641</v>
      </c>
      <c r="G271" s="2" t="s">
        <v>353</v>
      </c>
      <c r="H271" s="7" t="s">
        <v>217</v>
      </c>
      <c r="I271" s="2" t="s">
        <v>292</v>
      </c>
      <c r="J271" s="2" t="s">
        <v>293</v>
      </c>
      <c r="K271" s="2" t="s">
        <v>304</v>
      </c>
      <c r="L271" s="2" t="s">
        <v>119</v>
      </c>
      <c r="M271" s="8" t="str">
        <f>HYPERLINK("http://slimages.macys.com/is/image/MCY/11527662 ")</f>
        <v xml:space="preserve">http://slimages.macys.com/is/image/MCY/11527662 </v>
      </c>
    </row>
    <row r="272" spans="1:13" ht="60" x14ac:dyDescent="0.25">
      <c r="A272" s="7" t="s">
        <v>13941</v>
      </c>
      <c r="B272" s="2" t="s">
        <v>11145</v>
      </c>
      <c r="C272" s="4">
        <v>1</v>
      </c>
      <c r="D272" s="5">
        <v>4.9800000000000004</v>
      </c>
      <c r="E272" s="5">
        <v>16.8</v>
      </c>
      <c r="F272" s="4" t="s">
        <v>11146</v>
      </c>
      <c r="G272" s="2" t="s">
        <v>437</v>
      </c>
      <c r="H272" s="7" t="s">
        <v>482</v>
      </c>
      <c r="I272" s="2" t="s">
        <v>483</v>
      </c>
      <c r="J272" s="2" t="s">
        <v>536</v>
      </c>
      <c r="K272" s="2" t="s">
        <v>304</v>
      </c>
      <c r="L272" s="2" t="s">
        <v>623</v>
      </c>
      <c r="M272" s="8" t="str">
        <f>HYPERLINK("http://slimages.macys.com/is/image/MCY/12466267 ")</f>
        <v xml:space="preserve">http://slimages.macys.com/is/image/MCY/12466267 </v>
      </c>
    </row>
    <row r="273" spans="1:13" ht="60" x14ac:dyDescent="0.25">
      <c r="A273" s="7" t="s">
        <v>5041</v>
      </c>
      <c r="B273" s="2" t="s">
        <v>2661</v>
      </c>
      <c r="C273" s="4">
        <v>3</v>
      </c>
      <c r="D273" s="5">
        <v>4.88</v>
      </c>
      <c r="E273" s="5">
        <v>12.99</v>
      </c>
      <c r="F273" s="4" t="s">
        <v>2662</v>
      </c>
      <c r="G273" s="2" t="s">
        <v>134</v>
      </c>
      <c r="H273" s="7" t="s">
        <v>149</v>
      </c>
      <c r="I273" s="2" t="s">
        <v>483</v>
      </c>
      <c r="J273" s="2" t="s">
        <v>536</v>
      </c>
      <c r="K273" s="2" t="s">
        <v>304</v>
      </c>
      <c r="L273" s="2" t="s">
        <v>38</v>
      </c>
      <c r="M273" s="8" t="str">
        <f>HYPERLINK("http://slimages.macys.com/is/image/MCY/14517553 ")</f>
        <v xml:space="preserve">http://slimages.macys.com/is/image/MCY/14517553 </v>
      </c>
    </row>
    <row r="274" spans="1:13" ht="60" x14ac:dyDescent="0.25">
      <c r="A274" s="7" t="s">
        <v>13713</v>
      </c>
      <c r="B274" s="2" t="s">
        <v>5516</v>
      </c>
      <c r="C274" s="4">
        <v>2</v>
      </c>
      <c r="D274" s="5">
        <v>4.88</v>
      </c>
      <c r="E274" s="5">
        <v>12.99</v>
      </c>
      <c r="F274" s="4" t="s">
        <v>5517</v>
      </c>
      <c r="G274" s="2" t="s">
        <v>86</v>
      </c>
      <c r="H274" s="7" t="s">
        <v>42</v>
      </c>
      <c r="I274" s="2" t="s">
        <v>483</v>
      </c>
      <c r="J274" s="2" t="s">
        <v>536</v>
      </c>
      <c r="K274" s="2" t="s">
        <v>304</v>
      </c>
      <c r="L274" s="2" t="s">
        <v>206</v>
      </c>
      <c r="M274" s="8" t="str">
        <f>HYPERLINK("http://slimages.macys.com/is/image/MCY/14446383 ")</f>
        <v xml:space="preserve">http://slimages.macys.com/is/image/MCY/14446383 </v>
      </c>
    </row>
    <row r="275" spans="1:13" ht="60" x14ac:dyDescent="0.25">
      <c r="A275" s="7" t="s">
        <v>5515</v>
      </c>
      <c r="B275" s="2" t="s">
        <v>5516</v>
      </c>
      <c r="C275" s="4">
        <v>1</v>
      </c>
      <c r="D275" s="5">
        <v>4.88</v>
      </c>
      <c r="E275" s="5">
        <v>12.99</v>
      </c>
      <c r="F275" s="4" t="s">
        <v>5517</v>
      </c>
      <c r="G275" s="2" t="s">
        <v>86</v>
      </c>
      <c r="H275" s="7" t="s">
        <v>590</v>
      </c>
      <c r="I275" s="2" t="s">
        <v>483</v>
      </c>
      <c r="J275" s="2" t="s">
        <v>536</v>
      </c>
      <c r="K275" s="2" t="s">
        <v>304</v>
      </c>
      <c r="L275" s="2" t="s">
        <v>206</v>
      </c>
      <c r="M275" s="8" t="str">
        <f>HYPERLINK("http://slimages.macys.com/is/image/MCY/14446383 ")</f>
        <v xml:space="preserve">http://slimages.macys.com/is/image/MCY/14446383 </v>
      </c>
    </row>
    <row r="276" spans="1:13" ht="60" x14ac:dyDescent="0.25">
      <c r="A276" s="7" t="s">
        <v>13503</v>
      </c>
      <c r="B276" s="2" t="s">
        <v>5516</v>
      </c>
      <c r="C276" s="4">
        <v>1</v>
      </c>
      <c r="D276" s="5">
        <v>4.88</v>
      </c>
      <c r="E276" s="5">
        <v>12.99</v>
      </c>
      <c r="F276" s="4" t="s">
        <v>5517</v>
      </c>
      <c r="G276" s="2" t="s">
        <v>86</v>
      </c>
      <c r="H276" s="7" t="s">
        <v>149</v>
      </c>
      <c r="I276" s="2" t="s">
        <v>483</v>
      </c>
      <c r="J276" s="2" t="s">
        <v>536</v>
      </c>
      <c r="K276" s="2" t="s">
        <v>304</v>
      </c>
      <c r="L276" s="2" t="s">
        <v>206</v>
      </c>
      <c r="M276" s="8" t="str">
        <f>HYPERLINK("http://slimages.macys.com/is/image/MCY/14446383 ")</f>
        <v xml:space="preserve">http://slimages.macys.com/is/image/MCY/14446383 </v>
      </c>
    </row>
    <row r="277" spans="1:13" ht="60" x14ac:dyDescent="0.25">
      <c r="A277" s="7" t="s">
        <v>2663</v>
      </c>
      <c r="B277" s="2" t="s">
        <v>2661</v>
      </c>
      <c r="C277" s="4">
        <v>1</v>
      </c>
      <c r="D277" s="5">
        <v>4.88</v>
      </c>
      <c r="E277" s="5">
        <v>12.99</v>
      </c>
      <c r="F277" s="4" t="s">
        <v>2662</v>
      </c>
      <c r="G277" s="2" t="s">
        <v>134</v>
      </c>
      <c r="H277" s="7" t="s">
        <v>590</v>
      </c>
      <c r="I277" s="2" t="s">
        <v>483</v>
      </c>
      <c r="J277" s="2" t="s">
        <v>536</v>
      </c>
      <c r="K277" s="2" t="s">
        <v>304</v>
      </c>
      <c r="L277" s="2" t="s">
        <v>38</v>
      </c>
      <c r="M277" s="8" t="str">
        <f>HYPERLINK("http://slimages.macys.com/is/image/MCY/14517553 ")</f>
        <v xml:space="preserve">http://slimages.macys.com/is/image/MCY/14517553 </v>
      </c>
    </row>
    <row r="278" spans="1:13" ht="60" x14ac:dyDescent="0.25">
      <c r="A278" s="7" t="s">
        <v>3439</v>
      </c>
      <c r="B278" s="2" t="s">
        <v>2661</v>
      </c>
      <c r="C278" s="4">
        <v>2</v>
      </c>
      <c r="D278" s="5">
        <v>4.88</v>
      </c>
      <c r="E278" s="5">
        <v>12.99</v>
      </c>
      <c r="F278" s="4" t="s">
        <v>2662</v>
      </c>
      <c r="G278" s="2" t="s">
        <v>134</v>
      </c>
      <c r="H278" s="7" t="s">
        <v>42</v>
      </c>
      <c r="I278" s="2" t="s">
        <v>483</v>
      </c>
      <c r="J278" s="2" t="s">
        <v>536</v>
      </c>
      <c r="K278" s="2" t="s">
        <v>304</v>
      </c>
      <c r="L278" s="2" t="s">
        <v>38</v>
      </c>
      <c r="M278" s="8" t="str">
        <f>HYPERLINK("http://slimages.macys.com/is/image/MCY/14517553 ")</f>
        <v xml:space="preserve">http://slimages.macys.com/is/image/MCY/14517553 </v>
      </c>
    </row>
    <row r="279" spans="1:13" ht="60" x14ac:dyDescent="0.25">
      <c r="A279" s="7" t="s">
        <v>2660</v>
      </c>
      <c r="B279" s="2" t="s">
        <v>2661</v>
      </c>
      <c r="C279" s="4">
        <v>1</v>
      </c>
      <c r="D279" s="5">
        <v>4.88</v>
      </c>
      <c r="E279" s="5">
        <v>12.99</v>
      </c>
      <c r="F279" s="4" t="s">
        <v>2662</v>
      </c>
      <c r="G279" s="2" t="s">
        <v>134</v>
      </c>
      <c r="H279" s="7" t="s">
        <v>91</v>
      </c>
      <c r="I279" s="2" t="s">
        <v>483</v>
      </c>
      <c r="J279" s="2" t="s">
        <v>536</v>
      </c>
      <c r="K279" s="2" t="s">
        <v>304</v>
      </c>
      <c r="L279" s="2" t="s">
        <v>38</v>
      </c>
      <c r="M279" s="8" t="str">
        <f>HYPERLINK("http://slimages.macys.com/is/image/MCY/14517553 ")</f>
        <v xml:space="preserve">http://slimages.macys.com/is/image/MCY/14517553 </v>
      </c>
    </row>
    <row r="280" spans="1:13" ht="60" x14ac:dyDescent="0.25">
      <c r="A280" s="7" t="s">
        <v>13942</v>
      </c>
      <c r="B280" s="2" t="s">
        <v>5516</v>
      </c>
      <c r="C280" s="4">
        <v>1</v>
      </c>
      <c r="D280" s="5">
        <v>4.88</v>
      </c>
      <c r="E280" s="5">
        <v>12.99</v>
      </c>
      <c r="F280" s="4" t="s">
        <v>5517</v>
      </c>
      <c r="G280" s="2" t="s">
        <v>86</v>
      </c>
      <c r="H280" s="7" t="s">
        <v>442</v>
      </c>
      <c r="I280" s="2" t="s">
        <v>483</v>
      </c>
      <c r="J280" s="2" t="s">
        <v>536</v>
      </c>
      <c r="K280" s="2" t="s">
        <v>304</v>
      </c>
      <c r="L280" s="2" t="s">
        <v>206</v>
      </c>
      <c r="M280" s="8" t="str">
        <f>HYPERLINK("http://slimages.macys.com/is/image/MCY/14446383 ")</f>
        <v xml:space="preserve">http://slimages.macys.com/is/image/MCY/14446383 </v>
      </c>
    </row>
    <row r="281" spans="1:13" ht="60" x14ac:dyDescent="0.25">
      <c r="A281" s="7" t="s">
        <v>3440</v>
      </c>
      <c r="B281" s="2" t="s">
        <v>2661</v>
      </c>
      <c r="C281" s="4">
        <v>1</v>
      </c>
      <c r="D281" s="5">
        <v>4.88</v>
      </c>
      <c r="E281" s="5">
        <v>12.99</v>
      </c>
      <c r="F281" s="4" t="s">
        <v>2662</v>
      </c>
      <c r="G281" s="2" t="s">
        <v>134</v>
      </c>
      <c r="H281" s="7" t="s">
        <v>442</v>
      </c>
      <c r="I281" s="2" t="s">
        <v>483</v>
      </c>
      <c r="J281" s="2" t="s">
        <v>536</v>
      </c>
      <c r="K281" s="2" t="s">
        <v>304</v>
      </c>
      <c r="L281" s="2" t="s">
        <v>38</v>
      </c>
      <c r="M281" s="8" t="str">
        <f>HYPERLINK("http://slimages.macys.com/is/image/MCY/14517553 ")</f>
        <v xml:space="preserve">http://slimages.macys.com/is/image/MCY/14517553 </v>
      </c>
    </row>
    <row r="282" spans="1:13" ht="60" x14ac:dyDescent="0.25">
      <c r="A282" s="7" t="s">
        <v>1982</v>
      </c>
      <c r="B282" s="2" t="s">
        <v>1983</v>
      </c>
      <c r="C282" s="4">
        <v>2</v>
      </c>
      <c r="D282" s="5">
        <v>4.82</v>
      </c>
      <c r="E282" s="5">
        <v>12.99</v>
      </c>
      <c r="F282" s="4" t="s">
        <v>1984</v>
      </c>
      <c r="G282" s="2" t="s">
        <v>297</v>
      </c>
      <c r="H282" s="7" t="s">
        <v>42</v>
      </c>
      <c r="I282" s="2" t="s">
        <v>483</v>
      </c>
      <c r="J282" s="2" t="s">
        <v>536</v>
      </c>
      <c r="K282" s="2" t="s">
        <v>304</v>
      </c>
      <c r="L282" s="2" t="s">
        <v>38</v>
      </c>
      <c r="M282" s="8" t="str">
        <f>HYPERLINK("http://slimages.macys.com/is/image/MCY/14384811 ")</f>
        <v xml:space="preserve">http://slimages.macys.com/is/image/MCY/14384811 </v>
      </c>
    </row>
    <row r="283" spans="1:13" ht="60" x14ac:dyDescent="0.25">
      <c r="A283" s="7" t="s">
        <v>13714</v>
      </c>
      <c r="B283" s="2" t="s">
        <v>1983</v>
      </c>
      <c r="C283" s="4">
        <v>4</v>
      </c>
      <c r="D283" s="5">
        <v>4.82</v>
      </c>
      <c r="E283" s="5">
        <v>12.99</v>
      </c>
      <c r="F283" s="4" t="s">
        <v>1984</v>
      </c>
      <c r="G283" s="2" t="s">
        <v>297</v>
      </c>
      <c r="H283" s="7" t="s">
        <v>590</v>
      </c>
      <c r="I283" s="2" t="s">
        <v>483</v>
      </c>
      <c r="J283" s="2" t="s">
        <v>536</v>
      </c>
      <c r="K283" s="2" t="s">
        <v>304</v>
      </c>
      <c r="L283" s="2" t="s">
        <v>38</v>
      </c>
      <c r="M283" s="8" t="str">
        <f>HYPERLINK("http://slimages.macys.com/is/image/MCY/14384811 ")</f>
        <v xml:space="preserve">http://slimages.macys.com/is/image/MCY/14384811 </v>
      </c>
    </row>
    <row r="284" spans="1:13" ht="60" x14ac:dyDescent="0.25">
      <c r="A284" s="7" t="s">
        <v>13943</v>
      </c>
      <c r="B284" s="2" t="s">
        <v>1983</v>
      </c>
      <c r="C284" s="4">
        <v>1</v>
      </c>
      <c r="D284" s="5">
        <v>4.82</v>
      </c>
      <c r="E284" s="5">
        <v>12.99</v>
      </c>
      <c r="F284" s="4" t="s">
        <v>1984</v>
      </c>
      <c r="G284" s="2" t="s">
        <v>297</v>
      </c>
      <c r="H284" s="7" t="s">
        <v>149</v>
      </c>
      <c r="I284" s="2" t="s">
        <v>483</v>
      </c>
      <c r="J284" s="2" t="s">
        <v>536</v>
      </c>
      <c r="K284" s="2" t="s">
        <v>304</v>
      </c>
      <c r="L284" s="2" t="s">
        <v>38</v>
      </c>
      <c r="M284" s="8" t="str">
        <f>HYPERLINK("http://slimages.macys.com/is/image/MCY/14384811 ")</f>
        <v xml:space="preserve">http://slimages.macys.com/is/image/MCY/14384811 </v>
      </c>
    </row>
    <row r="285" spans="1:13" ht="60" x14ac:dyDescent="0.25">
      <c r="A285" s="7" t="s">
        <v>13944</v>
      </c>
      <c r="B285" s="2" t="s">
        <v>13945</v>
      </c>
      <c r="C285" s="4">
        <v>1</v>
      </c>
      <c r="D285" s="5">
        <v>4.8</v>
      </c>
      <c r="E285" s="5">
        <v>10.99</v>
      </c>
      <c r="F285" s="4">
        <v>16576510</v>
      </c>
      <c r="G285" s="2" t="s">
        <v>36</v>
      </c>
      <c r="H285" s="7" t="s">
        <v>482</v>
      </c>
      <c r="I285" s="2" t="s">
        <v>153</v>
      </c>
      <c r="J285" s="2" t="s">
        <v>154</v>
      </c>
      <c r="K285" s="2" t="s">
        <v>304</v>
      </c>
      <c r="L285" s="2" t="s">
        <v>119</v>
      </c>
      <c r="M285" s="8" t="str">
        <f>HYPERLINK("http://slimages.macys.com/is/image/MCY/11720673 ")</f>
        <v xml:space="preserve">http://slimages.macys.com/is/image/MCY/11720673 </v>
      </c>
    </row>
    <row r="286" spans="1:13" ht="60" x14ac:dyDescent="0.25">
      <c r="A286" s="7" t="s">
        <v>13716</v>
      </c>
      <c r="B286" s="2" t="s">
        <v>539</v>
      </c>
      <c r="C286" s="4">
        <v>1</v>
      </c>
      <c r="D286" s="5">
        <v>4.76</v>
      </c>
      <c r="E286" s="5">
        <v>12.99</v>
      </c>
      <c r="F286" s="4" t="s">
        <v>540</v>
      </c>
      <c r="G286" s="2" t="s">
        <v>62</v>
      </c>
      <c r="H286" s="7" t="s">
        <v>442</v>
      </c>
      <c r="I286" s="2" t="s">
        <v>483</v>
      </c>
      <c r="J286" s="2" t="s">
        <v>536</v>
      </c>
      <c r="K286" s="2" t="s">
        <v>304</v>
      </c>
      <c r="L286" s="2" t="s">
        <v>38</v>
      </c>
      <c r="M286" s="8" t="str">
        <f>HYPERLINK("http://slimages.macys.com/is/image/MCY/14385161 ")</f>
        <v xml:space="preserve">http://slimages.macys.com/is/image/MCY/14385161 </v>
      </c>
    </row>
    <row r="287" spans="1:13" ht="60" x14ac:dyDescent="0.25">
      <c r="A287" s="7" t="s">
        <v>13946</v>
      </c>
      <c r="B287" s="2" t="s">
        <v>539</v>
      </c>
      <c r="C287" s="4">
        <v>1</v>
      </c>
      <c r="D287" s="5">
        <v>4.76</v>
      </c>
      <c r="E287" s="5">
        <v>12.99</v>
      </c>
      <c r="F287" s="4" t="s">
        <v>540</v>
      </c>
      <c r="G287" s="2" t="s">
        <v>62</v>
      </c>
      <c r="H287" s="7" t="s">
        <v>590</v>
      </c>
      <c r="I287" s="2" t="s">
        <v>483</v>
      </c>
      <c r="J287" s="2" t="s">
        <v>536</v>
      </c>
      <c r="K287" s="2" t="s">
        <v>304</v>
      </c>
      <c r="L287" s="2" t="s">
        <v>38</v>
      </c>
      <c r="M287" s="8" t="str">
        <f>HYPERLINK("http://slimages.macys.com/is/image/MCY/14385161 ")</f>
        <v xml:space="preserve">http://slimages.macys.com/is/image/MCY/14385161 </v>
      </c>
    </row>
    <row r="288" spans="1:13" ht="60" x14ac:dyDescent="0.25">
      <c r="A288" s="7" t="s">
        <v>13947</v>
      </c>
      <c r="B288" s="2" t="s">
        <v>3446</v>
      </c>
      <c r="C288" s="4">
        <v>2</v>
      </c>
      <c r="D288" s="5">
        <v>4.75</v>
      </c>
      <c r="E288" s="5">
        <v>11.99</v>
      </c>
      <c r="F288" s="4" t="s">
        <v>3447</v>
      </c>
      <c r="G288" s="2" t="s">
        <v>129</v>
      </c>
      <c r="H288" s="7" t="s">
        <v>159</v>
      </c>
      <c r="I288" s="2" t="s">
        <v>292</v>
      </c>
      <c r="J288" s="2" t="s">
        <v>293</v>
      </c>
      <c r="K288" s="2" t="s">
        <v>304</v>
      </c>
      <c r="L288" s="2" t="s">
        <v>571</v>
      </c>
      <c r="M288" s="8" t="str">
        <f>HYPERLINK("http://slimages.macys.com/is/image/MCY/12928718 ")</f>
        <v xml:space="preserve">http://slimages.macys.com/is/image/MCY/12928718 </v>
      </c>
    </row>
    <row r="289" spans="1:13" ht="60" x14ac:dyDescent="0.25">
      <c r="A289" s="7" t="s">
        <v>13948</v>
      </c>
      <c r="B289" s="2" t="s">
        <v>3446</v>
      </c>
      <c r="C289" s="4">
        <v>1</v>
      </c>
      <c r="D289" s="5">
        <v>4.75</v>
      </c>
      <c r="E289" s="5">
        <v>11.99</v>
      </c>
      <c r="F289" s="4" t="s">
        <v>3447</v>
      </c>
      <c r="G289" s="2" t="s">
        <v>129</v>
      </c>
      <c r="H289" s="7" t="s">
        <v>228</v>
      </c>
      <c r="I289" s="2" t="s">
        <v>292</v>
      </c>
      <c r="J289" s="2" t="s">
        <v>293</v>
      </c>
      <c r="K289" s="2" t="s">
        <v>304</v>
      </c>
      <c r="L289" s="2" t="s">
        <v>571</v>
      </c>
      <c r="M289" s="8" t="str">
        <f>HYPERLINK("http://slimages.macys.com/is/image/MCY/12928718 ")</f>
        <v xml:space="preserve">http://slimages.macys.com/is/image/MCY/12928718 </v>
      </c>
    </row>
    <row r="290" spans="1:13" ht="60" x14ac:dyDescent="0.25">
      <c r="A290" s="7" t="s">
        <v>13949</v>
      </c>
      <c r="B290" s="2" t="s">
        <v>13950</v>
      </c>
      <c r="C290" s="4">
        <v>1</v>
      </c>
      <c r="D290" s="5">
        <v>4.5999999999999996</v>
      </c>
      <c r="E290" s="5">
        <v>14.99</v>
      </c>
      <c r="F290" s="4" t="s">
        <v>13951</v>
      </c>
      <c r="G290" s="2" t="s">
        <v>28</v>
      </c>
      <c r="H290" s="7"/>
      <c r="I290" s="2" t="s">
        <v>30</v>
      </c>
      <c r="J290" s="2" t="s">
        <v>1890</v>
      </c>
      <c r="K290" s="2"/>
      <c r="L290" s="2"/>
      <c r="M290" s="8" t="str">
        <f>HYPERLINK("http://slimages.macys.com/is/image/MCY/3711236 ")</f>
        <v xml:space="preserve">http://slimages.macys.com/is/image/MCY/3711236 </v>
      </c>
    </row>
    <row r="291" spans="1:13" ht="84" x14ac:dyDescent="0.25">
      <c r="A291" s="7" t="s">
        <v>9657</v>
      </c>
      <c r="B291" s="2" t="s">
        <v>1115</v>
      </c>
      <c r="C291" s="4">
        <v>1</v>
      </c>
      <c r="D291" s="5">
        <v>4.59</v>
      </c>
      <c r="E291" s="5">
        <v>12.99</v>
      </c>
      <c r="F291" s="4" t="s">
        <v>1116</v>
      </c>
      <c r="G291" s="2" t="s">
        <v>28</v>
      </c>
      <c r="H291" s="7" t="s">
        <v>228</v>
      </c>
      <c r="I291" s="2" t="s">
        <v>515</v>
      </c>
      <c r="J291" s="2" t="s">
        <v>827</v>
      </c>
      <c r="K291" s="2" t="s">
        <v>304</v>
      </c>
      <c r="L291" s="2" t="s">
        <v>1117</v>
      </c>
      <c r="M291" s="8" t="str">
        <f>HYPERLINK("http://slimages.macys.com/is/image/MCY/11606022 ")</f>
        <v xml:space="preserve">http://slimages.macys.com/is/image/MCY/11606022 </v>
      </c>
    </row>
    <row r="292" spans="1:13" ht="84" x14ac:dyDescent="0.25">
      <c r="A292" s="7" t="s">
        <v>10193</v>
      </c>
      <c r="B292" s="2" t="s">
        <v>9106</v>
      </c>
      <c r="C292" s="4">
        <v>1</v>
      </c>
      <c r="D292" s="5">
        <v>4.59</v>
      </c>
      <c r="E292" s="5">
        <v>12.99</v>
      </c>
      <c r="F292" s="4" t="s">
        <v>9107</v>
      </c>
      <c r="G292" s="2" t="s">
        <v>28</v>
      </c>
      <c r="H292" s="7" t="s">
        <v>228</v>
      </c>
      <c r="I292" s="2" t="s">
        <v>515</v>
      </c>
      <c r="J292" s="2" t="s">
        <v>827</v>
      </c>
      <c r="K292" s="2" t="s">
        <v>304</v>
      </c>
      <c r="L292" s="2" t="s">
        <v>1117</v>
      </c>
      <c r="M292" s="8" t="str">
        <f>HYPERLINK("http://slimages.macys.com/is/image/MCY/11605907 ")</f>
        <v xml:space="preserve">http://slimages.macys.com/is/image/MCY/11605907 </v>
      </c>
    </row>
    <row r="293" spans="1:13" ht="60" x14ac:dyDescent="0.25">
      <c r="A293" s="7" t="s">
        <v>1121</v>
      </c>
      <c r="B293" s="2" t="s">
        <v>1122</v>
      </c>
      <c r="C293" s="4">
        <v>1</v>
      </c>
      <c r="D293" s="5">
        <v>4.55</v>
      </c>
      <c r="E293" s="5">
        <v>11.99</v>
      </c>
      <c r="F293" s="4" t="s">
        <v>1123</v>
      </c>
      <c r="G293" s="2" t="s">
        <v>36</v>
      </c>
      <c r="H293" s="7" t="s">
        <v>159</v>
      </c>
      <c r="I293" s="2" t="s">
        <v>523</v>
      </c>
      <c r="J293" s="2" t="s">
        <v>921</v>
      </c>
      <c r="K293" s="2" t="s">
        <v>304</v>
      </c>
      <c r="L293" s="2" t="s">
        <v>323</v>
      </c>
      <c r="M293" s="8" t="str">
        <f>HYPERLINK("http://slimages.macys.com/is/image/MCY/8345547 ")</f>
        <v xml:space="preserve">http://slimages.macys.com/is/image/MCY/8345547 </v>
      </c>
    </row>
    <row r="294" spans="1:13" ht="60" x14ac:dyDescent="0.25">
      <c r="A294" s="7" t="s">
        <v>13952</v>
      </c>
      <c r="B294" s="2" t="s">
        <v>13953</v>
      </c>
      <c r="C294" s="4">
        <v>1</v>
      </c>
      <c r="D294" s="5">
        <v>4.5</v>
      </c>
      <c r="E294" s="5">
        <v>9</v>
      </c>
      <c r="F294" s="4">
        <v>27839010</v>
      </c>
      <c r="G294" s="2" t="s">
        <v>129</v>
      </c>
      <c r="H294" s="7" t="s">
        <v>144</v>
      </c>
      <c r="I294" s="2" t="s">
        <v>487</v>
      </c>
      <c r="J294" s="2" t="s">
        <v>488</v>
      </c>
      <c r="K294" s="2" t="s">
        <v>304</v>
      </c>
      <c r="L294" s="2" t="s">
        <v>206</v>
      </c>
      <c r="M294" s="8" t="str">
        <f>HYPERLINK("http://slimages.macys.com/is/image/MCY/13852820 ")</f>
        <v xml:space="preserve">http://slimages.macys.com/is/image/MCY/13852820 </v>
      </c>
    </row>
    <row r="295" spans="1:13" ht="60" x14ac:dyDescent="0.25">
      <c r="A295" s="7" t="s">
        <v>5550</v>
      </c>
      <c r="B295" s="2" t="s">
        <v>3473</v>
      </c>
      <c r="C295" s="4">
        <v>1</v>
      </c>
      <c r="D295" s="5">
        <v>4.4000000000000004</v>
      </c>
      <c r="E295" s="5">
        <v>9.99</v>
      </c>
      <c r="F295" s="4" t="s">
        <v>3474</v>
      </c>
      <c r="G295" s="2" t="s">
        <v>171</v>
      </c>
      <c r="H295" s="7" t="s">
        <v>228</v>
      </c>
      <c r="I295" s="2" t="s">
        <v>468</v>
      </c>
      <c r="J295" s="2" t="s">
        <v>469</v>
      </c>
      <c r="K295" s="2" t="s">
        <v>304</v>
      </c>
      <c r="L295" s="2" t="s">
        <v>119</v>
      </c>
      <c r="M295" s="8" t="str">
        <f>HYPERLINK("http://slimages.macys.com/is/image/MCY/12809149 ")</f>
        <v xml:space="preserve">http://slimages.macys.com/is/image/MCY/12809149 </v>
      </c>
    </row>
    <row r="296" spans="1:13" ht="60" x14ac:dyDescent="0.25">
      <c r="A296" s="7" t="s">
        <v>13954</v>
      </c>
      <c r="B296" s="2" t="s">
        <v>13955</v>
      </c>
      <c r="C296" s="4">
        <v>1</v>
      </c>
      <c r="D296" s="5">
        <v>4.4000000000000004</v>
      </c>
      <c r="E296" s="5">
        <v>10.99</v>
      </c>
      <c r="F296" s="4" t="s">
        <v>13956</v>
      </c>
      <c r="G296" s="2" t="s">
        <v>79</v>
      </c>
      <c r="H296" s="7" t="s">
        <v>217</v>
      </c>
      <c r="I296" s="2" t="s">
        <v>468</v>
      </c>
      <c r="J296" s="2" t="s">
        <v>469</v>
      </c>
      <c r="K296" s="2" t="s">
        <v>304</v>
      </c>
      <c r="L296" s="2" t="s">
        <v>119</v>
      </c>
      <c r="M296" s="8" t="str">
        <f>HYPERLINK("http://slimages.macys.com/is/image/MCY/9731673 ")</f>
        <v xml:space="preserve">http://slimages.macys.com/is/image/MCY/9731673 </v>
      </c>
    </row>
    <row r="297" spans="1:13" ht="60" x14ac:dyDescent="0.25">
      <c r="A297" s="7" t="s">
        <v>5556</v>
      </c>
      <c r="B297" s="2" t="s">
        <v>2049</v>
      </c>
      <c r="C297" s="4">
        <v>1</v>
      </c>
      <c r="D297" s="5">
        <v>4.32</v>
      </c>
      <c r="E297" s="5">
        <v>10.99</v>
      </c>
      <c r="F297" s="4">
        <v>10005384800</v>
      </c>
      <c r="G297" s="2" t="s">
        <v>86</v>
      </c>
      <c r="H297" s="7" t="s">
        <v>149</v>
      </c>
      <c r="I297" s="2" t="s">
        <v>483</v>
      </c>
      <c r="J297" s="2" t="s">
        <v>536</v>
      </c>
      <c r="K297" s="2" t="s">
        <v>304</v>
      </c>
      <c r="L297" s="2" t="s">
        <v>119</v>
      </c>
      <c r="M297" s="8" t="str">
        <f>HYPERLINK("http://slimages.macys.com/is/image/MCY/12465277 ")</f>
        <v xml:space="preserve">http://slimages.macys.com/is/image/MCY/12465277 </v>
      </c>
    </row>
    <row r="298" spans="1:13" ht="96" x14ac:dyDescent="0.25">
      <c r="A298" s="7" t="s">
        <v>13957</v>
      </c>
      <c r="B298" s="2" t="s">
        <v>13958</v>
      </c>
      <c r="C298" s="4">
        <v>1</v>
      </c>
      <c r="D298" s="5">
        <v>4.26</v>
      </c>
      <c r="E298" s="5">
        <v>9.99</v>
      </c>
      <c r="F298" s="4" t="s">
        <v>13959</v>
      </c>
      <c r="G298" s="2" t="s">
        <v>36</v>
      </c>
      <c r="H298" s="7" t="s">
        <v>578</v>
      </c>
      <c r="I298" s="2" t="s">
        <v>1689</v>
      </c>
      <c r="J298" s="2" t="s">
        <v>354</v>
      </c>
      <c r="K298" s="2" t="s">
        <v>304</v>
      </c>
      <c r="L298" s="2" t="s">
        <v>13960</v>
      </c>
      <c r="M298" s="8" t="str">
        <f>HYPERLINK("http://slimages.macys.com/is/image/MCY/12465674 ")</f>
        <v xml:space="preserve">http://slimages.macys.com/is/image/MCY/12465674 </v>
      </c>
    </row>
    <row r="299" spans="1:13" ht="60" x14ac:dyDescent="0.25">
      <c r="A299" s="7" t="s">
        <v>5562</v>
      </c>
      <c r="B299" s="2" t="s">
        <v>1991</v>
      </c>
      <c r="C299" s="4">
        <v>1</v>
      </c>
      <c r="D299" s="5">
        <v>4.25</v>
      </c>
      <c r="E299" s="5">
        <v>5.99</v>
      </c>
      <c r="F299" s="4" t="s">
        <v>2061</v>
      </c>
      <c r="G299" s="2" t="s">
        <v>36</v>
      </c>
      <c r="H299" s="7" t="s">
        <v>123</v>
      </c>
      <c r="I299" s="2" t="s">
        <v>73</v>
      </c>
      <c r="J299" s="2" t="s">
        <v>1963</v>
      </c>
      <c r="K299" s="2" t="s">
        <v>304</v>
      </c>
      <c r="L299" s="2" t="s">
        <v>125</v>
      </c>
      <c r="M299" s="8" t="str">
        <f>HYPERLINK("http://slimages.macys.com/is/image/MCY/13726811 ")</f>
        <v xml:space="preserve">http://slimages.macys.com/is/image/MCY/13726811 </v>
      </c>
    </row>
    <row r="300" spans="1:13" ht="60" x14ac:dyDescent="0.25">
      <c r="A300" s="7" t="s">
        <v>9674</v>
      </c>
      <c r="B300" s="2" t="s">
        <v>8360</v>
      </c>
      <c r="C300" s="4">
        <v>2</v>
      </c>
      <c r="D300" s="5">
        <v>4.1500000000000004</v>
      </c>
      <c r="E300" s="5">
        <v>9.99</v>
      </c>
      <c r="F300" s="4" t="s">
        <v>8361</v>
      </c>
      <c r="G300" s="2" t="s">
        <v>262</v>
      </c>
      <c r="H300" s="7" t="s">
        <v>217</v>
      </c>
      <c r="I300" s="2" t="s">
        <v>468</v>
      </c>
      <c r="J300" s="2" t="s">
        <v>469</v>
      </c>
      <c r="K300" s="2" t="s">
        <v>304</v>
      </c>
      <c r="L300" s="2" t="s">
        <v>119</v>
      </c>
      <c r="M300" s="8" t="str">
        <f>HYPERLINK("http://slimages.macys.com/is/image/MCY/12809148 ")</f>
        <v xml:space="preserve">http://slimages.macys.com/is/image/MCY/12809148 </v>
      </c>
    </row>
    <row r="301" spans="1:13" ht="60" x14ac:dyDescent="0.25">
      <c r="A301" s="7" t="s">
        <v>13961</v>
      </c>
      <c r="B301" s="2" t="s">
        <v>13962</v>
      </c>
      <c r="C301" s="4">
        <v>1</v>
      </c>
      <c r="D301" s="5">
        <v>4.1500000000000004</v>
      </c>
      <c r="E301" s="5">
        <v>9.5</v>
      </c>
      <c r="F301" s="4" t="s">
        <v>13963</v>
      </c>
      <c r="G301" s="2" t="s">
        <v>13964</v>
      </c>
      <c r="H301" s="7" t="s">
        <v>166</v>
      </c>
      <c r="I301" s="2" t="s">
        <v>380</v>
      </c>
      <c r="J301" s="2" t="s">
        <v>544</v>
      </c>
      <c r="K301" s="2" t="s">
        <v>304</v>
      </c>
      <c r="L301" s="2" t="s">
        <v>119</v>
      </c>
      <c r="M301" s="8" t="str">
        <f>HYPERLINK("http://slimages.macys.com/is/image/MCY/10945562 ")</f>
        <v xml:space="preserve">http://slimages.macys.com/is/image/MCY/10945562 </v>
      </c>
    </row>
    <row r="302" spans="1:13" ht="60" x14ac:dyDescent="0.25">
      <c r="A302" s="7" t="s">
        <v>13965</v>
      </c>
      <c r="B302" s="2" t="s">
        <v>542</v>
      </c>
      <c r="C302" s="4">
        <v>1</v>
      </c>
      <c r="D302" s="5">
        <v>4.1500000000000004</v>
      </c>
      <c r="E302" s="5">
        <v>8.99</v>
      </c>
      <c r="F302" s="4" t="s">
        <v>543</v>
      </c>
      <c r="G302" s="2" t="s">
        <v>86</v>
      </c>
      <c r="H302" s="7" t="s">
        <v>379</v>
      </c>
      <c r="I302" s="2" t="s">
        <v>380</v>
      </c>
      <c r="J302" s="2" t="s">
        <v>544</v>
      </c>
      <c r="K302" s="2" t="s">
        <v>304</v>
      </c>
      <c r="L302" s="2" t="s">
        <v>119</v>
      </c>
      <c r="M302" s="8" t="str">
        <f>HYPERLINK("http://slimages.macys.com/is/image/MCY/11644403 ")</f>
        <v xml:space="preserve">http://slimages.macys.com/is/image/MCY/11644403 </v>
      </c>
    </row>
    <row r="303" spans="1:13" ht="60" x14ac:dyDescent="0.25">
      <c r="A303" s="7" t="s">
        <v>12895</v>
      </c>
      <c r="B303" s="2" t="s">
        <v>6370</v>
      </c>
      <c r="C303" s="4">
        <v>2</v>
      </c>
      <c r="D303" s="5">
        <v>4.1500000000000004</v>
      </c>
      <c r="E303" s="5">
        <v>9.99</v>
      </c>
      <c r="F303" s="4" t="s">
        <v>6371</v>
      </c>
      <c r="G303" s="2" t="s">
        <v>62</v>
      </c>
      <c r="H303" s="7" t="s">
        <v>284</v>
      </c>
      <c r="I303" s="2" t="s">
        <v>468</v>
      </c>
      <c r="J303" s="2" t="s">
        <v>469</v>
      </c>
      <c r="K303" s="2" t="s">
        <v>304</v>
      </c>
      <c r="L303" s="2" t="s">
        <v>119</v>
      </c>
      <c r="M303" s="8" t="str">
        <f>HYPERLINK("http://slimages.macys.com/is/image/MCY/12809145 ")</f>
        <v xml:space="preserve">http://slimages.macys.com/is/image/MCY/12809145 </v>
      </c>
    </row>
    <row r="304" spans="1:13" ht="60" x14ac:dyDescent="0.25">
      <c r="A304" s="7" t="s">
        <v>10231</v>
      </c>
      <c r="B304" s="2" t="s">
        <v>6370</v>
      </c>
      <c r="C304" s="4">
        <v>2</v>
      </c>
      <c r="D304" s="5">
        <v>4.1500000000000004</v>
      </c>
      <c r="E304" s="5">
        <v>9.99</v>
      </c>
      <c r="F304" s="4" t="s">
        <v>6371</v>
      </c>
      <c r="G304" s="2" t="s">
        <v>62</v>
      </c>
      <c r="H304" s="7" t="s">
        <v>159</v>
      </c>
      <c r="I304" s="2" t="s">
        <v>468</v>
      </c>
      <c r="J304" s="2" t="s">
        <v>469</v>
      </c>
      <c r="K304" s="2" t="s">
        <v>304</v>
      </c>
      <c r="L304" s="2" t="s">
        <v>119</v>
      </c>
      <c r="M304" s="8" t="str">
        <f>HYPERLINK("http://slimages.macys.com/is/image/MCY/12809145 ")</f>
        <v xml:space="preserve">http://slimages.macys.com/is/image/MCY/12809145 </v>
      </c>
    </row>
    <row r="305" spans="1:13" ht="60" x14ac:dyDescent="0.25">
      <c r="A305" s="7" t="s">
        <v>10230</v>
      </c>
      <c r="B305" s="2" t="s">
        <v>6370</v>
      </c>
      <c r="C305" s="4">
        <v>1</v>
      </c>
      <c r="D305" s="5">
        <v>4.1500000000000004</v>
      </c>
      <c r="E305" s="5">
        <v>9.99</v>
      </c>
      <c r="F305" s="4" t="s">
        <v>6371</v>
      </c>
      <c r="G305" s="2" t="s">
        <v>62</v>
      </c>
      <c r="H305" s="7" t="s">
        <v>217</v>
      </c>
      <c r="I305" s="2" t="s">
        <v>468</v>
      </c>
      <c r="J305" s="2" t="s">
        <v>469</v>
      </c>
      <c r="K305" s="2" t="s">
        <v>304</v>
      </c>
      <c r="L305" s="2" t="s">
        <v>119</v>
      </c>
      <c r="M305" s="8" t="str">
        <f>HYPERLINK("http://slimages.macys.com/is/image/MCY/12809145 ")</f>
        <v xml:space="preserve">http://slimages.macys.com/is/image/MCY/12809145 </v>
      </c>
    </row>
    <row r="306" spans="1:13" ht="60" x14ac:dyDescent="0.25">
      <c r="A306" s="7" t="s">
        <v>13966</v>
      </c>
      <c r="B306" s="2" t="s">
        <v>4257</v>
      </c>
      <c r="C306" s="4">
        <v>1</v>
      </c>
      <c r="D306" s="5">
        <v>4.05</v>
      </c>
      <c r="E306" s="5">
        <v>8.1</v>
      </c>
      <c r="F306" s="4">
        <v>27852410</v>
      </c>
      <c r="G306" s="2"/>
      <c r="H306" s="7"/>
      <c r="I306" s="2" t="s">
        <v>487</v>
      </c>
      <c r="J306" s="2" t="s">
        <v>488</v>
      </c>
      <c r="K306" s="2" t="s">
        <v>304</v>
      </c>
      <c r="L306" s="2" t="s">
        <v>75</v>
      </c>
      <c r="M306" s="8" t="str">
        <f>HYPERLINK("http://slimages.macys.com/is/image/MCY/13852879 ")</f>
        <v xml:space="preserve">http://slimages.macys.com/is/image/MCY/13852879 </v>
      </c>
    </row>
    <row r="307" spans="1:13" ht="60" x14ac:dyDescent="0.25">
      <c r="A307" s="7" t="s">
        <v>13967</v>
      </c>
      <c r="B307" s="2" t="s">
        <v>13968</v>
      </c>
      <c r="C307" s="4">
        <v>1</v>
      </c>
      <c r="D307" s="5">
        <v>4.05</v>
      </c>
      <c r="E307" s="5">
        <v>8.1</v>
      </c>
      <c r="F307" s="4">
        <v>27852414</v>
      </c>
      <c r="G307" s="2"/>
      <c r="H307" s="7" t="s">
        <v>209</v>
      </c>
      <c r="I307" s="2" t="s">
        <v>487</v>
      </c>
      <c r="J307" s="2" t="s">
        <v>488</v>
      </c>
      <c r="K307" s="2" t="s">
        <v>304</v>
      </c>
      <c r="L307" s="2" t="s">
        <v>75</v>
      </c>
      <c r="M307" s="8" t="str">
        <f>HYPERLINK("http://slimages.macys.com/is/image/MCY/13853291 ")</f>
        <v xml:space="preserve">http://slimages.macys.com/is/image/MCY/13853291 </v>
      </c>
    </row>
    <row r="308" spans="1:13" ht="84" x14ac:dyDescent="0.25">
      <c r="A308" s="7" t="s">
        <v>13969</v>
      </c>
      <c r="B308" s="2" t="s">
        <v>6375</v>
      </c>
      <c r="C308" s="4">
        <v>2</v>
      </c>
      <c r="D308" s="5">
        <v>4.05</v>
      </c>
      <c r="E308" s="5">
        <v>9.99</v>
      </c>
      <c r="F308" s="4" t="s">
        <v>6376</v>
      </c>
      <c r="G308" s="2" t="s">
        <v>582</v>
      </c>
      <c r="H308" s="7" t="s">
        <v>1151</v>
      </c>
      <c r="I308" s="2" t="s">
        <v>515</v>
      </c>
      <c r="J308" s="2" t="s">
        <v>875</v>
      </c>
      <c r="K308" s="2" t="s">
        <v>304</v>
      </c>
      <c r="L308" s="2" t="s">
        <v>6377</v>
      </c>
      <c r="M308" s="8" t="str">
        <f>HYPERLINK("http://slimages.macys.com/is/image/MCY/12953223 ")</f>
        <v xml:space="preserve">http://slimages.macys.com/is/image/MCY/12953223 </v>
      </c>
    </row>
    <row r="309" spans="1:13" ht="60" x14ac:dyDescent="0.25">
      <c r="A309" s="7" t="s">
        <v>6005</v>
      </c>
      <c r="B309" s="2" t="s">
        <v>6006</v>
      </c>
      <c r="C309" s="4">
        <v>1</v>
      </c>
      <c r="D309" s="5">
        <v>4.05</v>
      </c>
      <c r="E309" s="5">
        <v>12.99</v>
      </c>
      <c r="F309" s="4" t="s">
        <v>6007</v>
      </c>
      <c r="G309" s="2" t="s">
        <v>437</v>
      </c>
      <c r="H309" s="7" t="s">
        <v>531</v>
      </c>
      <c r="I309" s="2" t="s">
        <v>483</v>
      </c>
      <c r="J309" s="2" t="s">
        <v>536</v>
      </c>
      <c r="K309" s="2" t="s">
        <v>304</v>
      </c>
      <c r="L309" s="2" t="s">
        <v>2711</v>
      </c>
      <c r="M309" s="8" t="str">
        <f>HYPERLINK("http://slimages.macys.com/is/image/MCY/12230704 ")</f>
        <v xml:space="preserve">http://slimages.macys.com/is/image/MCY/12230704 </v>
      </c>
    </row>
    <row r="310" spans="1:13" ht="60" x14ac:dyDescent="0.25">
      <c r="A310" s="7" t="s">
        <v>13970</v>
      </c>
      <c r="B310" s="2" t="s">
        <v>13968</v>
      </c>
      <c r="C310" s="4">
        <v>1</v>
      </c>
      <c r="D310" s="5">
        <v>4.05</v>
      </c>
      <c r="E310" s="5">
        <v>8.1</v>
      </c>
      <c r="F310" s="4">
        <v>27852414</v>
      </c>
      <c r="G310" s="2"/>
      <c r="H310" s="7" t="s">
        <v>68</v>
      </c>
      <c r="I310" s="2" t="s">
        <v>487</v>
      </c>
      <c r="J310" s="2" t="s">
        <v>488</v>
      </c>
      <c r="K310" s="2" t="s">
        <v>304</v>
      </c>
      <c r="L310" s="2" t="s">
        <v>75</v>
      </c>
      <c r="M310" s="8" t="str">
        <f>HYPERLINK("http://slimages.macys.com/is/image/MCY/13853291 ")</f>
        <v xml:space="preserve">http://slimages.macys.com/is/image/MCY/13853291 </v>
      </c>
    </row>
    <row r="311" spans="1:13" ht="60" x14ac:dyDescent="0.25">
      <c r="A311" s="7" t="s">
        <v>13971</v>
      </c>
      <c r="B311" s="2" t="s">
        <v>2128</v>
      </c>
      <c r="C311" s="4">
        <v>1</v>
      </c>
      <c r="D311" s="5">
        <v>4.04</v>
      </c>
      <c r="E311" s="5">
        <v>6.99</v>
      </c>
      <c r="F311" s="4" t="s">
        <v>10242</v>
      </c>
      <c r="G311" s="2" t="s">
        <v>62</v>
      </c>
      <c r="H311" s="7" t="s">
        <v>228</v>
      </c>
      <c r="I311" s="2" t="s">
        <v>80</v>
      </c>
      <c r="J311" s="2" t="s">
        <v>1917</v>
      </c>
      <c r="K311" s="2" t="s">
        <v>304</v>
      </c>
      <c r="L311" s="2" t="s">
        <v>125</v>
      </c>
      <c r="M311" s="8" t="str">
        <f>HYPERLINK("http://slimages.macys.com/is/image/MCY/12751351 ")</f>
        <v xml:space="preserve">http://slimages.macys.com/is/image/MCY/12751351 </v>
      </c>
    </row>
    <row r="312" spans="1:13" ht="60" x14ac:dyDescent="0.25">
      <c r="A312" s="7" t="s">
        <v>13972</v>
      </c>
      <c r="B312" s="2" t="s">
        <v>550</v>
      </c>
      <c r="C312" s="4">
        <v>1</v>
      </c>
      <c r="D312" s="5">
        <v>3.82</v>
      </c>
      <c r="E312" s="5">
        <v>9.99</v>
      </c>
      <c r="F312" s="4" t="s">
        <v>551</v>
      </c>
      <c r="G312" s="2" t="s">
        <v>195</v>
      </c>
      <c r="H312" s="7" t="s">
        <v>442</v>
      </c>
      <c r="I312" s="2" t="s">
        <v>483</v>
      </c>
      <c r="J312" s="2" t="s">
        <v>536</v>
      </c>
      <c r="K312" s="2" t="s">
        <v>304</v>
      </c>
      <c r="L312" s="2" t="s">
        <v>119</v>
      </c>
      <c r="M312" s="8" t="str">
        <f>HYPERLINK("http://slimages.macys.com/is/image/MCY/14384897 ")</f>
        <v xml:space="preserve">http://slimages.macys.com/is/image/MCY/14384897 </v>
      </c>
    </row>
    <row r="313" spans="1:13" ht="60" x14ac:dyDescent="0.25">
      <c r="A313" s="7" t="s">
        <v>13973</v>
      </c>
      <c r="B313" s="2" t="s">
        <v>550</v>
      </c>
      <c r="C313" s="4">
        <v>1</v>
      </c>
      <c r="D313" s="5">
        <v>3.82</v>
      </c>
      <c r="E313" s="5">
        <v>9.99</v>
      </c>
      <c r="F313" s="4" t="s">
        <v>551</v>
      </c>
      <c r="G313" s="2" t="s">
        <v>195</v>
      </c>
      <c r="H313" s="7"/>
      <c r="I313" s="2" t="s">
        <v>483</v>
      </c>
      <c r="J313" s="2" t="s">
        <v>536</v>
      </c>
      <c r="K313" s="2" t="s">
        <v>304</v>
      </c>
      <c r="L313" s="2" t="s">
        <v>119</v>
      </c>
      <c r="M313" s="8" t="str">
        <f>HYPERLINK("http://slimages.macys.com/is/image/MCY/14384897 ")</f>
        <v xml:space="preserve">http://slimages.macys.com/is/image/MCY/14384897 </v>
      </c>
    </row>
    <row r="314" spans="1:13" ht="60" x14ac:dyDescent="0.25">
      <c r="A314" s="7" t="s">
        <v>549</v>
      </c>
      <c r="B314" s="2" t="s">
        <v>550</v>
      </c>
      <c r="C314" s="4">
        <v>2</v>
      </c>
      <c r="D314" s="5">
        <v>3.82</v>
      </c>
      <c r="E314" s="5">
        <v>9.99</v>
      </c>
      <c r="F314" s="4" t="s">
        <v>551</v>
      </c>
      <c r="G314" s="2" t="s">
        <v>195</v>
      </c>
      <c r="H314" s="7" t="s">
        <v>149</v>
      </c>
      <c r="I314" s="2" t="s">
        <v>483</v>
      </c>
      <c r="J314" s="2" t="s">
        <v>536</v>
      </c>
      <c r="K314" s="2" t="s">
        <v>304</v>
      </c>
      <c r="L314" s="2" t="s">
        <v>119</v>
      </c>
      <c r="M314" s="8" t="str">
        <f>HYPERLINK("http://slimages.macys.com/is/image/MCY/14384897 ")</f>
        <v xml:space="preserve">http://slimages.macys.com/is/image/MCY/14384897 </v>
      </c>
    </row>
    <row r="315" spans="1:13" ht="60" x14ac:dyDescent="0.25">
      <c r="A315" s="7" t="s">
        <v>13974</v>
      </c>
      <c r="B315" s="2" t="s">
        <v>4316</v>
      </c>
      <c r="C315" s="4">
        <v>1</v>
      </c>
      <c r="D315" s="5">
        <v>3.71</v>
      </c>
      <c r="E315" s="5">
        <v>7.99</v>
      </c>
      <c r="F315" s="4" t="s">
        <v>13975</v>
      </c>
      <c r="G315" s="2" t="s">
        <v>86</v>
      </c>
      <c r="H315" s="7" t="s">
        <v>311</v>
      </c>
      <c r="I315" s="2" t="s">
        <v>1689</v>
      </c>
      <c r="J315" s="2" t="s">
        <v>354</v>
      </c>
      <c r="K315" s="2" t="s">
        <v>304</v>
      </c>
      <c r="L315" s="2" t="s">
        <v>596</v>
      </c>
      <c r="M315" s="8" t="str">
        <f>HYPERLINK("http://slimages.macys.com/is/image/MCY/12492584 ")</f>
        <v xml:space="preserve">http://slimages.macys.com/is/image/MCY/12492584 </v>
      </c>
    </row>
    <row r="316" spans="1:13" ht="60" x14ac:dyDescent="0.25">
      <c r="A316" s="7" t="s">
        <v>13976</v>
      </c>
      <c r="B316" s="2" t="s">
        <v>4316</v>
      </c>
      <c r="C316" s="4">
        <v>2</v>
      </c>
      <c r="D316" s="5">
        <v>3.71</v>
      </c>
      <c r="E316" s="5">
        <v>7.99</v>
      </c>
      <c r="F316" s="4" t="s">
        <v>13975</v>
      </c>
      <c r="G316" s="2" t="s">
        <v>86</v>
      </c>
      <c r="H316" s="7" t="s">
        <v>1151</v>
      </c>
      <c r="I316" s="2" t="s">
        <v>1689</v>
      </c>
      <c r="J316" s="2" t="s">
        <v>354</v>
      </c>
      <c r="K316" s="2" t="s">
        <v>304</v>
      </c>
      <c r="L316" s="2" t="s">
        <v>596</v>
      </c>
      <c r="M316" s="8" t="str">
        <f>HYPERLINK("http://slimages.macys.com/is/image/MCY/12492584 ")</f>
        <v xml:space="preserve">http://slimages.macys.com/is/image/MCY/12492584 </v>
      </c>
    </row>
    <row r="317" spans="1:13" ht="60" x14ac:dyDescent="0.25">
      <c r="A317" s="7" t="s">
        <v>13977</v>
      </c>
      <c r="B317" s="2" t="s">
        <v>13404</v>
      </c>
      <c r="C317" s="4">
        <v>1</v>
      </c>
      <c r="D317" s="5">
        <v>3.57</v>
      </c>
      <c r="E317" s="5">
        <v>7.99</v>
      </c>
      <c r="F317" s="4" t="s">
        <v>13405</v>
      </c>
      <c r="G317" s="2" t="s">
        <v>48</v>
      </c>
      <c r="H317" s="7" t="s">
        <v>1151</v>
      </c>
      <c r="I317" s="2" t="s">
        <v>483</v>
      </c>
      <c r="J317" s="2" t="s">
        <v>536</v>
      </c>
      <c r="K317" s="2" t="s">
        <v>304</v>
      </c>
      <c r="L317" s="2" t="s">
        <v>119</v>
      </c>
      <c r="M317" s="8" t="str">
        <f>HYPERLINK("http://slimages.macys.com/is/image/MCY/14448637 ")</f>
        <v xml:space="preserve">http://slimages.macys.com/is/image/MCY/14448637 </v>
      </c>
    </row>
    <row r="318" spans="1:13" ht="60" x14ac:dyDescent="0.25">
      <c r="A318" s="7" t="s">
        <v>6439</v>
      </c>
      <c r="B318" s="2" t="s">
        <v>2128</v>
      </c>
      <c r="C318" s="4">
        <v>1</v>
      </c>
      <c r="D318" s="5">
        <v>3.48</v>
      </c>
      <c r="E318" s="5">
        <v>5.99</v>
      </c>
      <c r="F318" s="4" t="s">
        <v>2129</v>
      </c>
      <c r="G318" s="2" t="s">
        <v>62</v>
      </c>
      <c r="H318" s="7" t="s">
        <v>311</v>
      </c>
      <c r="I318" s="2" t="s">
        <v>80</v>
      </c>
      <c r="J318" s="2" t="s">
        <v>1857</v>
      </c>
      <c r="K318" s="2" t="s">
        <v>304</v>
      </c>
      <c r="L318" s="2" t="s">
        <v>125</v>
      </c>
      <c r="M318" s="8" t="str">
        <f>HYPERLINK("http://slimages.macys.com/is/image/MCY/12751351 ")</f>
        <v xml:space="preserve">http://slimages.macys.com/is/image/MCY/12751351 </v>
      </c>
    </row>
    <row r="319" spans="1:13" ht="60" x14ac:dyDescent="0.25">
      <c r="A319" s="7" t="s">
        <v>3498</v>
      </c>
      <c r="B319" s="2" t="s">
        <v>2684</v>
      </c>
      <c r="C319" s="4">
        <v>1</v>
      </c>
      <c r="D319" s="5">
        <v>3.48</v>
      </c>
      <c r="E319" s="5">
        <v>6.99</v>
      </c>
      <c r="F319" s="4" t="s">
        <v>2685</v>
      </c>
      <c r="G319" s="2" t="s">
        <v>41</v>
      </c>
      <c r="H319" s="7" t="s">
        <v>144</v>
      </c>
      <c r="I319" s="2" t="s">
        <v>80</v>
      </c>
      <c r="J319" s="2" t="s">
        <v>1857</v>
      </c>
      <c r="K319" s="2" t="s">
        <v>304</v>
      </c>
      <c r="L319" s="2" t="s">
        <v>493</v>
      </c>
      <c r="M319" s="8" t="str">
        <f>HYPERLINK("http://slimages.macys.com/is/image/MCY/13727146 ")</f>
        <v xml:space="preserve">http://slimages.macys.com/is/image/MCY/13727146 </v>
      </c>
    </row>
    <row r="320" spans="1:13" ht="60" x14ac:dyDescent="0.25">
      <c r="A320" s="7" t="s">
        <v>13978</v>
      </c>
      <c r="B320" s="2" t="s">
        <v>13509</v>
      </c>
      <c r="C320" s="4">
        <v>1</v>
      </c>
      <c r="D320" s="5">
        <v>3.48</v>
      </c>
      <c r="E320" s="5">
        <v>5.99</v>
      </c>
      <c r="F320" s="4" t="s">
        <v>5063</v>
      </c>
      <c r="G320" s="2" t="s">
        <v>793</v>
      </c>
      <c r="H320" s="7" t="s">
        <v>123</v>
      </c>
      <c r="I320" s="2" t="s">
        <v>80</v>
      </c>
      <c r="J320" s="2" t="s">
        <v>1857</v>
      </c>
      <c r="K320" s="2" t="s">
        <v>304</v>
      </c>
      <c r="L320" s="2" t="s">
        <v>125</v>
      </c>
      <c r="M320" s="8" t="str">
        <f>HYPERLINK("http://slimages.macys.com/is/image/MCY/2581838 ")</f>
        <v xml:space="preserve">http://slimages.macys.com/is/image/MCY/2581838 </v>
      </c>
    </row>
    <row r="321" spans="1:13" ht="60" x14ac:dyDescent="0.25">
      <c r="A321" s="7" t="s">
        <v>9704</v>
      </c>
      <c r="B321" s="2" t="s">
        <v>7813</v>
      </c>
      <c r="C321" s="4">
        <v>1</v>
      </c>
      <c r="D321" s="5">
        <v>3.48</v>
      </c>
      <c r="E321" s="5">
        <v>5.99</v>
      </c>
      <c r="F321" s="4" t="s">
        <v>7814</v>
      </c>
      <c r="G321" s="2" t="s">
        <v>41</v>
      </c>
      <c r="H321" s="7" t="s">
        <v>166</v>
      </c>
      <c r="I321" s="2" t="s">
        <v>80</v>
      </c>
      <c r="J321" s="2" t="s">
        <v>1857</v>
      </c>
      <c r="K321" s="2" t="s">
        <v>304</v>
      </c>
      <c r="L321" s="2" t="s">
        <v>119</v>
      </c>
      <c r="M321" s="8" t="str">
        <f>HYPERLINK("http://slimages.macys.com/is/image/MCY/12802575 ")</f>
        <v xml:space="preserve">http://slimages.macys.com/is/image/MCY/12802575 </v>
      </c>
    </row>
    <row r="322" spans="1:13" ht="60" x14ac:dyDescent="0.25">
      <c r="A322" s="7" t="s">
        <v>5616</v>
      </c>
      <c r="B322" s="2" t="s">
        <v>5062</v>
      </c>
      <c r="C322" s="4">
        <v>1</v>
      </c>
      <c r="D322" s="5">
        <v>3.48</v>
      </c>
      <c r="E322" s="5">
        <v>5.99</v>
      </c>
      <c r="F322" s="4" t="s">
        <v>5063</v>
      </c>
      <c r="G322" s="2" t="s">
        <v>28</v>
      </c>
      <c r="H322" s="7" t="s">
        <v>311</v>
      </c>
      <c r="I322" s="2" t="s">
        <v>80</v>
      </c>
      <c r="J322" s="2" t="s">
        <v>1857</v>
      </c>
      <c r="K322" s="2" t="s">
        <v>304</v>
      </c>
      <c r="L322" s="2" t="s">
        <v>125</v>
      </c>
      <c r="M322" s="8" t="str">
        <f>HYPERLINK("http://slimages.macys.com/is/image/MCY/2581838 ")</f>
        <v xml:space="preserve">http://slimages.macys.com/is/image/MCY/2581838 </v>
      </c>
    </row>
    <row r="323" spans="1:13" ht="60" x14ac:dyDescent="0.25">
      <c r="A323" s="7" t="s">
        <v>13979</v>
      </c>
      <c r="B323" s="2" t="s">
        <v>13980</v>
      </c>
      <c r="C323" s="4">
        <v>1</v>
      </c>
      <c r="D323" s="5">
        <v>3.48</v>
      </c>
      <c r="E323" s="5">
        <v>5.99</v>
      </c>
      <c r="F323" s="4" t="s">
        <v>8383</v>
      </c>
      <c r="G323" s="2" t="s">
        <v>48</v>
      </c>
      <c r="H323" s="7" t="s">
        <v>123</v>
      </c>
      <c r="I323" s="2" t="s">
        <v>80</v>
      </c>
      <c r="J323" s="2" t="s">
        <v>1857</v>
      </c>
      <c r="K323" s="2" t="s">
        <v>304</v>
      </c>
      <c r="L323" s="2" t="s">
        <v>119</v>
      </c>
      <c r="M323" s="8" t="str">
        <f>HYPERLINK("http://slimages.macys.com/is/image/MCY/11271627 ")</f>
        <v xml:space="preserve">http://slimages.macys.com/is/image/MCY/11271627 </v>
      </c>
    </row>
    <row r="324" spans="1:13" ht="84" x14ac:dyDescent="0.25">
      <c r="A324" s="7" t="s">
        <v>1166</v>
      </c>
      <c r="B324" s="2" t="s">
        <v>1167</v>
      </c>
      <c r="C324" s="4">
        <v>3</v>
      </c>
      <c r="D324" s="5">
        <v>3.46</v>
      </c>
      <c r="E324" s="5">
        <v>8.99</v>
      </c>
      <c r="F324" s="4" t="s">
        <v>1168</v>
      </c>
      <c r="G324" s="2" t="s">
        <v>793</v>
      </c>
      <c r="H324" s="7" t="s">
        <v>531</v>
      </c>
      <c r="I324" s="2" t="s">
        <v>483</v>
      </c>
      <c r="J324" s="2" t="s">
        <v>484</v>
      </c>
      <c r="K324" s="2" t="s">
        <v>304</v>
      </c>
      <c r="L324" s="2" t="s">
        <v>532</v>
      </c>
      <c r="M324" s="8" t="str">
        <f>HYPERLINK("http://slimages.macys.com/is/image/MCY/8549849 ")</f>
        <v xml:space="preserve">http://slimages.macys.com/is/image/MCY/8549849 </v>
      </c>
    </row>
    <row r="325" spans="1:13" ht="60" x14ac:dyDescent="0.25">
      <c r="A325" s="7" t="s">
        <v>562</v>
      </c>
      <c r="B325" s="2" t="s">
        <v>563</v>
      </c>
      <c r="C325" s="4">
        <v>15</v>
      </c>
      <c r="D325" s="5">
        <v>3.46</v>
      </c>
      <c r="E325" s="5">
        <v>8.99</v>
      </c>
      <c r="F325" s="4">
        <v>100007426</v>
      </c>
      <c r="G325" s="2" t="s">
        <v>41</v>
      </c>
      <c r="H325" s="7" t="s">
        <v>531</v>
      </c>
      <c r="I325" s="2" t="s">
        <v>483</v>
      </c>
      <c r="J325" s="2" t="s">
        <v>484</v>
      </c>
      <c r="K325" s="2" t="s">
        <v>304</v>
      </c>
      <c r="L325" s="2" t="s">
        <v>119</v>
      </c>
      <c r="M325" s="8" t="str">
        <f>HYPERLINK("http://slimages.macys.com/is/image/MCY/9157888 ")</f>
        <v xml:space="preserve">http://slimages.macys.com/is/image/MCY/9157888 </v>
      </c>
    </row>
    <row r="326" spans="1:13" ht="60" x14ac:dyDescent="0.25">
      <c r="A326" s="7" t="s">
        <v>7822</v>
      </c>
      <c r="B326" s="2" t="s">
        <v>7823</v>
      </c>
      <c r="C326" s="4">
        <v>1</v>
      </c>
      <c r="D326" s="5">
        <v>3.36</v>
      </c>
      <c r="E326" s="5">
        <v>7.99</v>
      </c>
      <c r="F326" s="4" t="s">
        <v>7824</v>
      </c>
      <c r="G326" s="2" t="s">
        <v>86</v>
      </c>
      <c r="H326" s="7" t="s">
        <v>514</v>
      </c>
      <c r="I326" s="2" t="s">
        <v>1689</v>
      </c>
      <c r="J326" s="2" t="s">
        <v>354</v>
      </c>
      <c r="K326" s="2" t="s">
        <v>304</v>
      </c>
      <c r="L326" s="2" t="s">
        <v>596</v>
      </c>
      <c r="M326" s="8" t="str">
        <f>HYPERLINK("http://slimages.macys.com/is/image/MCY/11499707 ")</f>
        <v xml:space="preserve">http://slimages.macys.com/is/image/MCY/11499707 </v>
      </c>
    </row>
    <row r="327" spans="1:13" ht="60" x14ac:dyDescent="0.25">
      <c r="A327" s="7" t="s">
        <v>13981</v>
      </c>
      <c r="B327" s="2" t="s">
        <v>2694</v>
      </c>
      <c r="C327" s="4">
        <v>1</v>
      </c>
      <c r="D327" s="5">
        <v>3.36</v>
      </c>
      <c r="E327" s="5">
        <v>7.99</v>
      </c>
      <c r="F327" s="4" t="s">
        <v>2695</v>
      </c>
      <c r="G327" s="2" t="s">
        <v>103</v>
      </c>
      <c r="H327" s="7" t="s">
        <v>514</v>
      </c>
      <c r="I327" s="2" t="s">
        <v>1689</v>
      </c>
      <c r="J327" s="2" t="s">
        <v>354</v>
      </c>
      <c r="K327" s="2" t="s">
        <v>304</v>
      </c>
      <c r="L327" s="2" t="s">
        <v>596</v>
      </c>
      <c r="M327" s="8" t="str">
        <f>HYPERLINK("http://slimages.macys.com/is/image/MCY/13636886 ")</f>
        <v xml:space="preserve">http://slimages.macys.com/is/image/MCY/13636886 </v>
      </c>
    </row>
    <row r="328" spans="1:13" ht="60" x14ac:dyDescent="0.25">
      <c r="A328" s="7" t="s">
        <v>2699</v>
      </c>
      <c r="B328" s="2" t="s">
        <v>2697</v>
      </c>
      <c r="C328" s="4">
        <v>2</v>
      </c>
      <c r="D328" s="5">
        <v>3.36</v>
      </c>
      <c r="E328" s="5">
        <v>7.99</v>
      </c>
      <c r="F328" s="4" t="s">
        <v>2698</v>
      </c>
      <c r="G328" s="2" t="s">
        <v>103</v>
      </c>
      <c r="H328" s="7" t="s">
        <v>311</v>
      </c>
      <c r="I328" s="2" t="s">
        <v>1689</v>
      </c>
      <c r="J328" s="2" t="s">
        <v>354</v>
      </c>
      <c r="K328" s="2" t="s">
        <v>304</v>
      </c>
      <c r="L328" s="2" t="s">
        <v>596</v>
      </c>
      <c r="M328" s="8" t="str">
        <f>HYPERLINK("http://slimages.macys.com/is/image/MCY/12938496 ")</f>
        <v xml:space="preserve">http://slimages.macys.com/is/image/MCY/12938496 </v>
      </c>
    </row>
    <row r="329" spans="1:13" ht="60" x14ac:dyDescent="0.25">
      <c r="A329" s="7" t="s">
        <v>13982</v>
      </c>
      <c r="B329" s="2" t="s">
        <v>2694</v>
      </c>
      <c r="C329" s="4">
        <v>1</v>
      </c>
      <c r="D329" s="5">
        <v>3.36</v>
      </c>
      <c r="E329" s="5">
        <v>7.99</v>
      </c>
      <c r="F329" s="4" t="s">
        <v>2695</v>
      </c>
      <c r="G329" s="2" t="s">
        <v>103</v>
      </c>
      <c r="H329" s="7" t="s">
        <v>63</v>
      </c>
      <c r="I329" s="2" t="s">
        <v>1689</v>
      </c>
      <c r="J329" s="2" t="s">
        <v>354</v>
      </c>
      <c r="K329" s="2" t="s">
        <v>304</v>
      </c>
      <c r="L329" s="2" t="s">
        <v>596</v>
      </c>
      <c r="M329" s="8" t="str">
        <f>HYPERLINK("http://slimages.macys.com/is/image/MCY/13636886 ")</f>
        <v xml:space="preserve">http://slimages.macys.com/is/image/MCY/13636886 </v>
      </c>
    </row>
    <row r="330" spans="1:13" ht="60" x14ac:dyDescent="0.25">
      <c r="A330" s="7" t="s">
        <v>8401</v>
      </c>
      <c r="B330" s="2" t="s">
        <v>7060</v>
      </c>
      <c r="C330" s="4">
        <v>1</v>
      </c>
      <c r="D330" s="5">
        <v>3.29</v>
      </c>
      <c r="E330" s="5">
        <v>7.99</v>
      </c>
      <c r="F330" s="4" t="s">
        <v>7061</v>
      </c>
      <c r="G330" s="2" t="s">
        <v>582</v>
      </c>
      <c r="H330" s="7" t="s">
        <v>311</v>
      </c>
      <c r="I330" s="2" t="s">
        <v>1689</v>
      </c>
      <c r="J330" s="2" t="s">
        <v>354</v>
      </c>
      <c r="K330" s="2" t="s">
        <v>304</v>
      </c>
      <c r="L330" s="2" t="s">
        <v>119</v>
      </c>
      <c r="M330" s="8" t="str">
        <f>HYPERLINK("http://slimages.macys.com/is/image/MCY/12465532 ")</f>
        <v xml:space="preserve">http://slimages.macys.com/is/image/MCY/12465532 </v>
      </c>
    </row>
    <row r="331" spans="1:13" ht="60" x14ac:dyDescent="0.25">
      <c r="A331" s="7" t="s">
        <v>13983</v>
      </c>
      <c r="B331" s="2" t="s">
        <v>7875</v>
      </c>
      <c r="C331" s="4">
        <v>1</v>
      </c>
      <c r="D331" s="5">
        <v>3.29</v>
      </c>
      <c r="E331" s="5">
        <v>7.99</v>
      </c>
      <c r="F331" s="4" t="s">
        <v>7876</v>
      </c>
      <c r="G331" s="2" t="s">
        <v>303</v>
      </c>
      <c r="H331" s="7" t="s">
        <v>578</v>
      </c>
      <c r="I331" s="2" t="s">
        <v>1689</v>
      </c>
      <c r="J331" s="2" t="s">
        <v>354</v>
      </c>
      <c r="K331" s="2" t="s">
        <v>304</v>
      </c>
      <c r="L331" s="2" t="s">
        <v>119</v>
      </c>
      <c r="M331" s="8" t="str">
        <f>HYPERLINK("http://slimages.macys.com/is/image/MCY/11777397 ")</f>
        <v xml:space="preserve">http://slimages.macys.com/is/image/MCY/11777397 </v>
      </c>
    </row>
    <row r="332" spans="1:13" ht="60" x14ac:dyDescent="0.25">
      <c r="A332" s="7" t="s">
        <v>13984</v>
      </c>
      <c r="B332" s="2" t="s">
        <v>2153</v>
      </c>
      <c r="C332" s="4">
        <v>1</v>
      </c>
      <c r="D332" s="5">
        <v>3.29</v>
      </c>
      <c r="E332" s="5">
        <v>7.99</v>
      </c>
      <c r="F332" s="4" t="s">
        <v>2154</v>
      </c>
      <c r="G332" s="2" t="s">
        <v>103</v>
      </c>
      <c r="H332" s="7" t="s">
        <v>514</v>
      </c>
      <c r="I332" s="2" t="s">
        <v>1689</v>
      </c>
      <c r="J332" s="2" t="s">
        <v>354</v>
      </c>
      <c r="K332" s="2" t="s">
        <v>304</v>
      </c>
      <c r="L332" s="2" t="s">
        <v>119</v>
      </c>
      <c r="M332" s="8" t="str">
        <f>HYPERLINK("http://slimages.macys.com/is/image/MCY/13637752 ")</f>
        <v xml:space="preserve">http://slimages.macys.com/is/image/MCY/13637752 </v>
      </c>
    </row>
    <row r="333" spans="1:13" ht="60" x14ac:dyDescent="0.25">
      <c r="A333" s="7" t="s">
        <v>13985</v>
      </c>
      <c r="B333" s="2" t="s">
        <v>13986</v>
      </c>
      <c r="C333" s="4">
        <v>1</v>
      </c>
      <c r="D333" s="5">
        <v>3.01</v>
      </c>
      <c r="E333" s="5">
        <v>7.99</v>
      </c>
      <c r="F333" s="4" t="s">
        <v>13987</v>
      </c>
      <c r="G333" s="2" t="s">
        <v>195</v>
      </c>
      <c r="H333" s="7" t="s">
        <v>514</v>
      </c>
      <c r="I333" s="2" t="s">
        <v>483</v>
      </c>
      <c r="J333" s="2" t="s">
        <v>536</v>
      </c>
      <c r="K333" s="2" t="s">
        <v>304</v>
      </c>
      <c r="L333" s="2" t="s">
        <v>100</v>
      </c>
      <c r="M333" s="8" t="str">
        <f>HYPERLINK("http://slimages.macys.com/is/image/MCY/14384828 ")</f>
        <v xml:space="preserve">http://slimages.macys.com/is/image/MCY/14384828 </v>
      </c>
    </row>
    <row r="334" spans="1:13" ht="60" x14ac:dyDescent="0.25">
      <c r="A334" s="7" t="s">
        <v>13988</v>
      </c>
      <c r="B334" s="2" t="s">
        <v>4390</v>
      </c>
      <c r="C334" s="4">
        <v>1</v>
      </c>
      <c r="D334" s="5">
        <v>2.98</v>
      </c>
      <c r="E334" s="5">
        <v>6.99</v>
      </c>
      <c r="F334" s="4" t="s">
        <v>4391</v>
      </c>
      <c r="G334" s="2" t="s">
        <v>86</v>
      </c>
      <c r="H334" s="7" t="s">
        <v>442</v>
      </c>
      <c r="I334" s="2" t="s">
        <v>483</v>
      </c>
      <c r="J334" s="2" t="s">
        <v>536</v>
      </c>
      <c r="K334" s="2" t="s">
        <v>304</v>
      </c>
      <c r="L334" s="2" t="s">
        <v>119</v>
      </c>
      <c r="M334" s="8" t="str">
        <f>HYPERLINK("http://slimages.macys.com/is/image/MCY/14448381 ")</f>
        <v xml:space="preserve">http://slimages.macys.com/is/image/MCY/14448381 </v>
      </c>
    </row>
    <row r="335" spans="1:13" ht="60" x14ac:dyDescent="0.25">
      <c r="A335" s="7" t="s">
        <v>13731</v>
      </c>
      <c r="B335" s="2" t="s">
        <v>4390</v>
      </c>
      <c r="C335" s="4">
        <v>1</v>
      </c>
      <c r="D335" s="5">
        <v>2.98</v>
      </c>
      <c r="E335" s="5">
        <v>6.99</v>
      </c>
      <c r="F335" s="4" t="s">
        <v>4391</v>
      </c>
      <c r="G335" s="2" t="s">
        <v>86</v>
      </c>
      <c r="H335" s="7" t="s">
        <v>91</v>
      </c>
      <c r="I335" s="2" t="s">
        <v>483</v>
      </c>
      <c r="J335" s="2" t="s">
        <v>536</v>
      </c>
      <c r="K335" s="2" t="s">
        <v>304</v>
      </c>
      <c r="L335" s="2" t="s">
        <v>119</v>
      </c>
      <c r="M335" s="8" t="str">
        <f>HYPERLINK("http://slimages.macys.com/is/image/MCY/14448381 ")</f>
        <v xml:space="preserve">http://slimages.macys.com/is/image/MCY/14448381 </v>
      </c>
    </row>
    <row r="336" spans="1:13" ht="60" x14ac:dyDescent="0.25">
      <c r="A336" s="7" t="s">
        <v>4393</v>
      </c>
      <c r="B336" s="2" t="s">
        <v>4390</v>
      </c>
      <c r="C336" s="4">
        <v>1</v>
      </c>
      <c r="D336" s="5">
        <v>2.98</v>
      </c>
      <c r="E336" s="5">
        <v>6.99</v>
      </c>
      <c r="F336" s="4" t="s">
        <v>4391</v>
      </c>
      <c r="G336" s="2" t="s">
        <v>86</v>
      </c>
      <c r="H336" s="7" t="s">
        <v>42</v>
      </c>
      <c r="I336" s="2" t="s">
        <v>483</v>
      </c>
      <c r="J336" s="2" t="s">
        <v>536</v>
      </c>
      <c r="K336" s="2" t="s">
        <v>304</v>
      </c>
      <c r="L336" s="2" t="s">
        <v>119</v>
      </c>
      <c r="M336" s="8" t="str">
        <f>HYPERLINK("http://slimages.macys.com/is/image/MCY/14448381 ")</f>
        <v xml:space="preserve">http://slimages.macys.com/is/image/MCY/14448381 </v>
      </c>
    </row>
    <row r="337" spans="1:13" ht="60" x14ac:dyDescent="0.25">
      <c r="A337" s="7" t="s">
        <v>13423</v>
      </c>
      <c r="B337" s="2" t="s">
        <v>2171</v>
      </c>
      <c r="C337" s="4">
        <v>1</v>
      </c>
      <c r="D337" s="5">
        <v>2.98</v>
      </c>
      <c r="E337" s="5">
        <v>6.99</v>
      </c>
      <c r="F337" s="4" t="s">
        <v>2172</v>
      </c>
      <c r="G337" s="2" t="s">
        <v>657</v>
      </c>
      <c r="H337" s="7" t="s">
        <v>442</v>
      </c>
      <c r="I337" s="2" t="s">
        <v>483</v>
      </c>
      <c r="J337" s="2" t="s">
        <v>536</v>
      </c>
      <c r="K337" s="2" t="s">
        <v>304</v>
      </c>
      <c r="L337" s="2" t="s">
        <v>119</v>
      </c>
      <c r="M337" s="8" t="str">
        <f>HYPERLINK("http://slimages.macys.com/is/image/MCY/13531944 ")</f>
        <v xml:space="preserve">http://slimages.macys.com/is/image/MCY/13531944 </v>
      </c>
    </row>
    <row r="338" spans="1:13" ht="60" x14ac:dyDescent="0.25">
      <c r="A338" s="7" t="s">
        <v>4389</v>
      </c>
      <c r="B338" s="2" t="s">
        <v>4390</v>
      </c>
      <c r="C338" s="4">
        <v>1</v>
      </c>
      <c r="D338" s="5">
        <v>2.98</v>
      </c>
      <c r="E338" s="5">
        <v>6.99</v>
      </c>
      <c r="F338" s="4" t="s">
        <v>4391</v>
      </c>
      <c r="G338" s="2" t="s">
        <v>86</v>
      </c>
      <c r="H338" s="7" t="s">
        <v>149</v>
      </c>
      <c r="I338" s="2" t="s">
        <v>483</v>
      </c>
      <c r="J338" s="2" t="s">
        <v>536</v>
      </c>
      <c r="K338" s="2" t="s">
        <v>304</v>
      </c>
      <c r="L338" s="2" t="s">
        <v>119</v>
      </c>
      <c r="M338" s="8" t="str">
        <f>HYPERLINK("http://slimages.macys.com/is/image/MCY/14448381 ")</f>
        <v xml:space="preserve">http://slimages.macys.com/is/image/MCY/14448381 </v>
      </c>
    </row>
    <row r="339" spans="1:13" ht="60" x14ac:dyDescent="0.25">
      <c r="A339" s="7" t="s">
        <v>6476</v>
      </c>
      <c r="B339" s="2" t="s">
        <v>2183</v>
      </c>
      <c r="C339" s="4">
        <v>1</v>
      </c>
      <c r="D339" s="5">
        <v>2.97</v>
      </c>
      <c r="E339" s="5">
        <v>7.99</v>
      </c>
      <c r="F339" s="4" t="s">
        <v>2184</v>
      </c>
      <c r="G339" s="2" t="s">
        <v>595</v>
      </c>
      <c r="H339" s="7"/>
      <c r="I339" s="2" t="s">
        <v>483</v>
      </c>
      <c r="J339" s="2" t="s">
        <v>536</v>
      </c>
      <c r="K339" s="2" t="s">
        <v>304</v>
      </c>
      <c r="L339" s="2" t="s">
        <v>119</v>
      </c>
      <c r="M339" s="8" t="str">
        <f>HYPERLINK("http://slimages.macys.com/is/image/MCY/12465363 ")</f>
        <v xml:space="preserve">http://slimages.macys.com/is/image/MCY/12465363 </v>
      </c>
    </row>
    <row r="340" spans="1:13" ht="60" x14ac:dyDescent="0.25">
      <c r="A340" s="7" t="s">
        <v>3509</v>
      </c>
      <c r="B340" s="2" t="s">
        <v>588</v>
      </c>
      <c r="C340" s="4">
        <v>6</v>
      </c>
      <c r="D340" s="5">
        <v>2.96</v>
      </c>
      <c r="E340" s="5">
        <v>6.99</v>
      </c>
      <c r="F340" s="4" t="s">
        <v>589</v>
      </c>
      <c r="G340" s="2" t="s">
        <v>134</v>
      </c>
      <c r="H340" s="7" t="s">
        <v>91</v>
      </c>
      <c r="I340" s="2" t="s">
        <v>483</v>
      </c>
      <c r="J340" s="2" t="s">
        <v>536</v>
      </c>
      <c r="K340" s="2" t="s">
        <v>304</v>
      </c>
      <c r="L340" s="2" t="s">
        <v>119</v>
      </c>
      <c r="M340" s="8" t="str">
        <f>HYPERLINK("http://slimages.macys.com/is/image/MCY/14532191 ")</f>
        <v xml:space="preserve">http://slimages.macys.com/is/image/MCY/14532191 </v>
      </c>
    </row>
    <row r="341" spans="1:13" ht="60" x14ac:dyDescent="0.25">
      <c r="A341" s="7" t="s">
        <v>587</v>
      </c>
      <c r="B341" s="2" t="s">
        <v>588</v>
      </c>
      <c r="C341" s="4">
        <v>1</v>
      </c>
      <c r="D341" s="5">
        <v>2.96</v>
      </c>
      <c r="E341" s="5">
        <v>6.99</v>
      </c>
      <c r="F341" s="4" t="s">
        <v>589</v>
      </c>
      <c r="G341" s="2" t="s">
        <v>134</v>
      </c>
      <c r="H341" s="7" t="s">
        <v>590</v>
      </c>
      <c r="I341" s="2" t="s">
        <v>483</v>
      </c>
      <c r="J341" s="2" t="s">
        <v>536</v>
      </c>
      <c r="K341" s="2" t="s">
        <v>304</v>
      </c>
      <c r="L341" s="2" t="s">
        <v>119</v>
      </c>
      <c r="M341" s="8" t="str">
        <f>HYPERLINK("http://slimages.macys.com/is/image/MCY/14532191 ")</f>
        <v xml:space="preserve">http://slimages.macys.com/is/image/MCY/14532191 </v>
      </c>
    </row>
    <row r="342" spans="1:13" ht="60" x14ac:dyDescent="0.25">
      <c r="A342" s="7" t="s">
        <v>4402</v>
      </c>
      <c r="B342" s="2" t="s">
        <v>588</v>
      </c>
      <c r="C342" s="4">
        <v>3</v>
      </c>
      <c r="D342" s="5">
        <v>2.96</v>
      </c>
      <c r="E342" s="5">
        <v>6.99</v>
      </c>
      <c r="F342" s="4" t="s">
        <v>589</v>
      </c>
      <c r="G342" s="2" t="s">
        <v>134</v>
      </c>
      <c r="H342" s="7" t="s">
        <v>442</v>
      </c>
      <c r="I342" s="2" t="s">
        <v>483</v>
      </c>
      <c r="J342" s="2" t="s">
        <v>536</v>
      </c>
      <c r="K342" s="2" t="s">
        <v>304</v>
      </c>
      <c r="L342" s="2" t="s">
        <v>119</v>
      </c>
      <c r="M342" s="8" t="str">
        <f>HYPERLINK("http://slimages.macys.com/is/image/MCY/14532191 ")</f>
        <v xml:space="preserve">http://slimages.macys.com/is/image/MCY/14532191 </v>
      </c>
    </row>
    <row r="343" spans="1:13" ht="60" x14ac:dyDescent="0.25">
      <c r="A343" s="7" t="s">
        <v>591</v>
      </c>
      <c r="B343" s="2" t="s">
        <v>588</v>
      </c>
      <c r="C343" s="4">
        <v>4</v>
      </c>
      <c r="D343" s="5">
        <v>2.96</v>
      </c>
      <c r="E343" s="5">
        <v>6.99</v>
      </c>
      <c r="F343" s="4" t="s">
        <v>589</v>
      </c>
      <c r="G343" s="2" t="s">
        <v>134</v>
      </c>
      <c r="H343" s="7" t="s">
        <v>42</v>
      </c>
      <c r="I343" s="2" t="s">
        <v>483</v>
      </c>
      <c r="J343" s="2" t="s">
        <v>536</v>
      </c>
      <c r="K343" s="2" t="s">
        <v>304</v>
      </c>
      <c r="L343" s="2" t="s">
        <v>119</v>
      </c>
      <c r="M343" s="8" t="str">
        <f>HYPERLINK("http://slimages.macys.com/is/image/MCY/14532191 ")</f>
        <v xml:space="preserve">http://slimages.macys.com/is/image/MCY/14532191 </v>
      </c>
    </row>
    <row r="344" spans="1:13" ht="60" x14ac:dyDescent="0.25">
      <c r="A344" s="7" t="s">
        <v>4403</v>
      </c>
      <c r="B344" s="2" t="s">
        <v>588</v>
      </c>
      <c r="C344" s="4">
        <v>6</v>
      </c>
      <c r="D344" s="5">
        <v>2.96</v>
      </c>
      <c r="E344" s="5">
        <v>6.99</v>
      </c>
      <c r="F344" s="4" t="s">
        <v>589</v>
      </c>
      <c r="G344" s="2" t="s">
        <v>134</v>
      </c>
      <c r="H344" s="7" t="s">
        <v>149</v>
      </c>
      <c r="I344" s="2" t="s">
        <v>483</v>
      </c>
      <c r="J344" s="2" t="s">
        <v>536</v>
      </c>
      <c r="K344" s="2" t="s">
        <v>304</v>
      </c>
      <c r="L344" s="2" t="s">
        <v>119</v>
      </c>
      <c r="M344" s="8" t="str">
        <f>HYPERLINK("http://slimages.macys.com/is/image/MCY/14532191 ")</f>
        <v xml:space="preserve">http://slimages.macys.com/is/image/MCY/14532191 </v>
      </c>
    </row>
    <row r="345" spans="1:13" ht="60" x14ac:dyDescent="0.25">
      <c r="A345" s="7" t="s">
        <v>13989</v>
      </c>
      <c r="B345" s="2" t="s">
        <v>1202</v>
      </c>
      <c r="C345" s="4">
        <v>1</v>
      </c>
      <c r="D345" s="5">
        <v>2.94</v>
      </c>
      <c r="E345" s="5">
        <v>6.99</v>
      </c>
      <c r="F345" s="4" t="s">
        <v>1203</v>
      </c>
      <c r="G345" s="2" t="s">
        <v>86</v>
      </c>
      <c r="H345" s="7" t="s">
        <v>442</v>
      </c>
      <c r="I345" s="2" t="s">
        <v>483</v>
      </c>
      <c r="J345" s="2" t="s">
        <v>536</v>
      </c>
      <c r="K345" s="2" t="s">
        <v>304</v>
      </c>
      <c r="L345" s="2" t="s">
        <v>119</v>
      </c>
      <c r="M345" s="8" t="str">
        <f>HYPERLINK("http://slimages.macys.com/is/image/MCY/14384895 ")</f>
        <v xml:space="preserve">http://slimages.macys.com/is/image/MCY/14384895 </v>
      </c>
    </row>
    <row r="346" spans="1:13" ht="60" x14ac:dyDescent="0.25">
      <c r="A346" s="7" t="s">
        <v>1204</v>
      </c>
      <c r="B346" s="2" t="s">
        <v>1205</v>
      </c>
      <c r="C346" s="4">
        <v>1</v>
      </c>
      <c r="D346" s="5">
        <v>2.87</v>
      </c>
      <c r="E346" s="5">
        <v>7.99</v>
      </c>
      <c r="F346" s="4" t="s">
        <v>1206</v>
      </c>
      <c r="G346" s="2" t="s">
        <v>437</v>
      </c>
      <c r="H346" s="7" t="s">
        <v>531</v>
      </c>
      <c r="I346" s="2" t="s">
        <v>483</v>
      </c>
      <c r="J346" s="2" t="s">
        <v>536</v>
      </c>
      <c r="K346" s="2" t="s">
        <v>304</v>
      </c>
      <c r="L346" s="2" t="s">
        <v>1207</v>
      </c>
      <c r="M346" s="8" t="str">
        <f>HYPERLINK("http://slimages.macys.com/is/image/MCY/12466264 ")</f>
        <v xml:space="preserve">http://slimages.macys.com/is/image/MCY/12466264 </v>
      </c>
    </row>
    <row r="347" spans="1:13" ht="60" x14ac:dyDescent="0.25">
      <c r="A347" s="7" t="s">
        <v>605</v>
      </c>
      <c r="B347" s="2" t="s">
        <v>602</v>
      </c>
      <c r="C347" s="4">
        <v>1</v>
      </c>
      <c r="D347" s="5">
        <v>2.77</v>
      </c>
      <c r="E347" s="5">
        <v>7.99</v>
      </c>
      <c r="F347" s="4" t="s">
        <v>603</v>
      </c>
      <c r="G347" s="2" t="s">
        <v>297</v>
      </c>
      <c r="H347" s="7"/>
      <c r="I347" s="2" t="s">
        <v>483</v>
      </c>
      <c r="J347" s="2" t="s">
        <v>536</v>
      </c>
      <c r="K347" s="2" t="s">
        <v>304</v>
      </c>
      <c r="L347" s="2" t="s">
        <v>119</v>
      </c>
      <c r="M347" s="8" t="str">
        <f>HYPERLINK("http://slimages.macys.com/is/image/MCY/11520409 ")</f>
        <v xml:space="preserve">http://slimages.macys.com/is/image/MCY/11520409 </v>
      </c>
    </row>
    <row r="348" spans="1:13" ht="60" x14ac:dyDescent="0.25">
      <c r="A348" s="7" t="s">
        <v>13990</v>
      </c>
      <c r="B348" s="2" t="s">
        <v>13431</v>
      </c>
      <c r="C348" s="4">
        <v>1</v>
      </c>
      <c r="D348" s="5">
        <v>2.76</v>
      </c>
      <c r="E348" s="5">
        <v>7.99</v>
      </c>
      <c r="F348" s="4" t="s">
        <v>13432</v>
      </c>
      <c r="G348" s="2" t="s">
        <v>1147</v>
      </c>
      <c r="H348" s="7" t="s">
        <v>1151</v>
      </c>
      <c r="I348" s="2" t="s">
        <v>483</v>
      </c>
      <c r="J348" s="2" t="s">
        <v>536</v>
      </c>
      <c r="K348" s="2" t="s">
        <v>304</v>
      </c>
      <c r="L348" s="2" t="s">
        <v>119</v>
      </c>
      <c r="M348" s="8" t="str">
        <f>HYPERLINK("http://slimages.macys.com/is/image/MCY/14385120 ")</f>
        <v xml:space="preserve">http://slimages.macys.com/is/image/MCY/14385120 </v>
      </c>
    </row>
    <row r="349" spans="1:13" ht="60" x14ac:dyDescent="0.25">
      <c r="A349" s="7" t="s">
        <v>7153</v>
      </c>
      <c r="B349" s="2" t="s">
        <v>7150</v>
      </c>
      <c r="C349" s="4">
        <v>1</v>
      </c>
      <c r="D349" s="5">
        <v>2.66</v>
      </c>
      <c r="E349" s="5">
        <v>7.99</v>
      </c>
      <c r="F349" s="4" t="s">
        <v>7151</v>
      </c>
      <c r="G349" s="2" t="s">
        <v>657</v>
      </c>
      <c r="H349" s="7" t="s">
        <v>514</v>
      </c>
      <c r="I349" s="2" t="s">
        <v>483</v>
      </c>
      <c r="J349" s="2" t="s">
        <v>536</v>
      </c>
      <c r="K349" s="2" t="s">
        <v>304</v>
      </c>
      <c r="L349" s="2" t="s">
        <v>119</v>
      </c>
      <c r="M349" s="8" t="str">
        <f>HYPERLINK("http://slimages.macys.com/is/image/MCY/13987611 ")</f>
        <v xml:space="preserve">http://slimages.macys.com/is/image/MCY/13987611 </v>
      </c>
    </row>
    <row r="350" spans="1:13" ht="60" x14ac:dyDescent="0.25">
      <c r="A350" s="7" t="s">
        <v>13991</v>
      </c>
      <c r="B350" s="2" t="s">
        <v>13992</v>
      </c>
      <c r="C350" s="4">
        <v>1</v>
      </c>
      <c r="D350" s="5">
        <v>2.65</v>
      </c>
      <c r="E350" s="5">
        <v>6.99</v>
      </c>
      <c r="F350" s="4" t="s">
        <v>13993</v>
      </c>
      <c r="G350" s="2" t="s">
        <v>41</v>
      </c>
      <c r="H350" s="7" t="s">
        <v>42</v>
      </c>
      <c r="I350" s="2" t="s">
        <v>483</v>
      </c>
      <c r="J350" s="2" t="s">
        <v>536</v>
      </c>
      <c r="K350" s="2" t="s">
        <v>304</v>
      </c>
      <c r="L350" s="2" t="s">
        <v>38</v>
      </c>
      <c r="M350" s="8" t="str">
        <f>HYPERLINK("http://slimages.macys.com/is/image/MCY/14380612 ")</f>
        <v xml:space="preserve">http://slimages.macys.com/is/image/MCY/14380612 </v>
      </c>
    </row>
    <row r="351" spans="1:13" ht="60" x14ac:dyDescent="0.25">
      <c r="A351" s="7" t="s">
        <v>13994</v>
      </c>
      <c r="B351" s="2" t="s">
        <v>8429</v>
      </c>
      <c r="C351" s="4">
        <v>1</v>
      </c>
      <c r="D351" s="5">
        <v>2.65</v>
      </c>
      <c r="E351" s="5">
        <v>6.99</v>
      </c>
      <c r="F351" s="4">
        <v>10005486600</v>
      </c>
      <c r="G351" s="2" t="s">
        <v>41</v>
      </c>
      <c r="H351" s="7" t="s">
        <v>149</v>
      </c>
      <c r="I351" s="2" t="s">
        <v>483</v>
      </c>
      <c r="J351" s="2" t="s">
        <v>536</v>
      </c>
      <c r="K351" s="2" t="s">
        <v>304</v>
      </c>
      <c r="L351" s="2" t="s">
        <v>206</v>
      </c>
      <c r="M351" s="8" t="str">
        <f>HYPERLINK("http://slimages.macys.com/is/image/MCY/12466215 ")</f>
        <v xml:space="preserve">http://slimages.macys.com/is/image/MCY/12466215 </v>
      </c>
    </row>
    <row r="352" spans="1:13" ht="60" x14ac:dyDescent="0.25">
      <c r="A352" s="7" t="s">
        <v>4503</v>
      </c>
      <c r="B352" s="2" t="s">
        <v>607</v>
      </c>
      <c r="C352" s="4">
        <v>1</v>
      </c>
      <c r="D352" s="5">
        <v>2.62</v>
      </c>
      <c r="E352" s="5">
        <v>6.99</v>
      </c>
      <c r="F352" s="4" t="s">
        <v>608</v>
      </c>
      <c r="G352" s="2" t="s">
        <v>41</v>
      </c>
      <c r="H352" s="7" t="s">
        <v>590</v>
      </c>
      <c r="I352" s="2" t="s">
        <v>483</v>
      </c>
      <c r="J352" s="2" t="s">
        <v>536</v>
      </c>
      <c r="K352" s="2" t="s">
        <v>304</v>
      </c>
      <c r="L352" s="2" t="s">
        <v>100</v>
      </c>
      <c r="M352" s="8" t="str">
        <f>HYPERLINK("http://slimages.macys.com/is/image/MCY/13336572 ")</f>
        <v xml:space="preserve">http://slimages.macys.com/is/image/MCY/13336572 </v>
      </c>
    </row>
    <row r="353" spans="1:13" ht="60" x14ac:dyDescent="0.25">
      <c r="A353" s="7" t="s">
        <v>1238</v>
      </c>
      <c r="B353" s="2" t="s">
        <v>607</v>
      </c>
      <c r="C353" s="4">
        <v>1</v>
      </c>
      <c r="D353" s="5">
        <v>2.62</v>
      </c>
      <c r="E353" s="5">
        <v>6.99</v>
      </c>
      <c r="F353" s="4" t="s">
        <v>608</v>
      </c>
      <c r="G353" s="2" t="s">
        <v>41</v>
      </c>
      <c r="H353" s="7" t="s">
        <v>91</v>
      </c>
      <c r="I353" s="2" t="s">
        <v>483</v>
      </c>
      <c r="J353" s="2" t="s">
        <v>536</v>
      </c>
      <c r="K353" s="2" t="s">
        <v>304</v>
      </c>
      <c r="L353" s="2" t="s">
        <v>100</v>
      </c>
      <c r="M353" s="8" t="str">
        <f>HYPERLINK("http://slimages.macys.com/is/image/MCY/13336572 ")</f>
        <v xml:space="preserve">http://slimages.macys.com/is/image/MCY/13336572 </v>
      </c>
    </row>
    <row r="354" spans="1:13" ht="60" x14ac:dyDescent="0.25">
      <c r="A354" s="7" t="s">
        <v>13995</v>
      </c>
      <c r="B354" s="2" t="s">
        <v>610</v>
      </c>
      <c r="C354" s="4">
        <v>1</v>
      </c>
      <c r="D354" s="5">
        <v>2.58</v>
      </c>
      <c r="E354" s="5">
        <v>6.99</v>
      </c>
      <c r="F354" s="4" t="s">
        <v>611</v>
      </c>
      <c r="G354" s="2" t="s">
        <v>297</v>
      </c>
      <c r="H354" s="7" t="s">
        <v>149</v>
      </c>
      <c r="I354" s="2" t="s">
        <v>483</v>
      </c>
      <c r="J354" s="2" t="s">
        <v>536</v>
      </c>
      <c r="K354" s="2" t="s">
        <v>304</v>
      </c>
      <c r="L354" s="2" t="s">
        <v>358</v>
      </c>
      <c r="M354" s="8" t="str">
        <f>HYPERLINK("http://slimages.macys.com/is/image/MCY/14384900 ")</f>
        <v xml:space="preserve">http://slimages.macys.com/is/image/MCY/14384900 </v>
      </c>
    </row>
    <row r="355" spans="1:13" ht="60" x14ac:dyDescent="0.25">
      <c r="A355" s="7" t="s">
        <v>609</v>
      </c>
      <c r="B355" s="2" t="s">
        <v>610</v>
      </c>
      <c r="C355" s="4">
        <v>1</v>
      </c>
      <c r="D355" s="5">
        <v>2.58</v>
      </c>
      <c r="E355" s="5">
        <v>6.99</v>
      </c>
      <c r="F355" s="4" t="s">
        <v>611</v>
      </c>
      <c r="G355" s="2" t="s">
        <v>297</v>
      </c>
      <c r="H355" s="7" t="s">
        <v>590</v>
      </c>
      <c r="I355" s="2" t="s">
        <v>483</v>
      </c>
      <c r="J355" s="2" t="s">
        <v>536</v>
      </c>
      <c r="K355" s="2" t="s">
        <v>304</v>
      </c>
      <c r="L355" s="2" t="s">
        <v>358</v>
      </c>
      <c r="M355" s="8" t="str">
        <f>HYPERLINK("http://slimages.macys.com/is/image/MCY/14384900 ")</f>
        <v xml:space="preserve">http://slimages.macys.com/is/image/MCY/14384900 </v>
      </c>
    </row>
    <row r="356" spans="1:13" ht="60" x14ac:dyDescent="0.25">
      <c r="A356" s="7" t="s">
        <v>7916</v>
      </c>
      <c r="B356" s="2" t="s">
        <v>7917</v>
      </c>
      <c r="C356" s="4">
        <v>1</v>
      </c>
      <c r="D356" s="5">
        <v>2.57</v>
      </c>
      <c r="E356" s="5">
        <v>6.99</v>
      </c>
      <c r="F356" s="4" t="s">
        <v>7918</v>
      </c>
      <c r="G356" s="2" t="s">
        <v>41</v>
      </c>
      <c r="H356" s="7" t="s">
        <v>442</v>
      </c>
      <c r="I356" s="2" t="s">
        <v>483</v>
      </c>
      <c r="J356" s="2" t="s">
        <v>536</v>
      </c>
      <c r="K356" s="2" t="s">
        <v>304</v>
      </c>
      <c r="L356" s="2" t="s">
        <v>100</v>
      </c>
      <c r="M356" s="8" t="str">
        <f>HYPERLINK("http://slimages.macys.com/is/image/MCY/11340098 ")</f>
        <v xml:space="preserve">http://slimages.macys.com/is/image/MCY/11340098 </v>
      </c>
    </row>
    <row r="357" spans="1:13" ht="60" x14ac:dyDescent="0.25">
      <c r="A357" s="7" t="s">
        <v>13996</v>
      </c>
      <c r="B357" s="2" t="s">
        <v>2286</v>
      </c>
      <c r="C357" s="4">
        <v>1</v>
      </c>
      <c r="D357" s="5">
        <v>2.5499999999999998</v>
      </c>
      <c r="E357" s="5">
        <v>6.99</v>
      </c>
      <c r="F357" s="4" t="s">
        <v>2287</v>
      </c>
      <c r="G357" s="2" t="s">
        <v>297</v>
      </c>
      <c r="H357" s="7" t="s">
        <v>442</v>
      </c>
      <c r="I357" s="2" t="s">
        <v>483</v>
      </c>
      <c r="J357" s="2" t="s">
        <v>536</v>
      </c>
      <c r="K357" s="2" t="s">
        <v>304</v>
      </c>
      <c r="L357" s="2" t="s">
        <v>38</v>
      </c>
      <c r="M357" s="8" t="str">
        <f>HYPERLINK("http://slimages.macys.com/is/image/MCY/12465797 ")</f>
        <v xml:space="preserve">http://slimages.macys.com/is/image/MCY/12465797 </v>
      </c>
    </row>
    <row r="358" spans="1:13" ht="60" x14ac:dyDescent="0.25">
      <c r="A358" s="7" t="s">
        <v>12226</v>
      </c>
      <c r="B358" s="2" t="s">
        <v>6549</v>
      </c>
      <c r="C358" s="4">
        <v>1</v>
      </c>
      <c r="D358" s="5">
        <v>2.54</v>
      </c>
      <c r="E358" s="5">
        <v>7.99</v>
      </c>
      <c r="F358" s="4" t="s">
        <v>6550</v>
      </c>
      <c r="G358" s="2" t="s">
        <v>41</v>
      </c>
      <c r="H358" s="7" t="s">
        <v>514</v>
      </c>
      <c r="I358" s="2" t="s">
        <v>483</v>
      </c>
      <c r="J358" s="2" t="s">
        <v>536</v>
      </c>
      <c r="K358" s="2" t="s">
        <v>304</v>
      </c>
      <c r="L358" s="2" t="s">
        <v>38</v>
      </c>
      <c r="M358" s="8" t="str">
        <f>HYPERLINK("http://slimages.macys.com/is/image/MCY/13987582 ")</f>
        <v xml:space="preserve">http://slimages.macys.com/is/image/MCY/13987582 </v>
      </c>
    </row>
    <row r="359" spans="1:13" ht="60" x14ac:dyDescent="0.25">
      <c r="A359" s="7" t="s">
        <v>3519</v>
      </c>
      <c r="B359" s="2" t="s">
        <v>3520</v>
      </c>
      <c r="C359" s="4">
        <v>2</v>
      </c>
      <c r="D359" s="5">
        <v>2.5299999999999998</v>
      </c>
      <c r="E359" s="5">
        <v>7.99</v>
      </c>
      <c r="F359" s="4" t="s">
        <v>3521</v>
      </c>
      <c r="G359" s="2" t="s">
        <v>86</v>
      </c>
      <c r="H359" s="7" t="s">
        <v>1151</v>
      </c>
      <c r="I359" s="2" t="s">
        <v>483</v>
      </c>
      <c r="J359" s="2" t="s">
        <v>536</v>
      </c>
      <c r="K359" s="2" t="s">
        <v>304</v>
      </c>
      <c r="L359" s="2" t="s">
        <v>38</v>
      </c>
      <c r="M359" s="8" t="str">
        <f>HYPERLINK("http://slimages.macys.com/is/image/MCY/14384969 ")</f>
        <v xml:space="preserve">http://slimages.macys.com/is/image/MCY/14384969 </v>
      </c>
    </row>
    <row r="360" spans="1:13" ht="60" x14ac:dyDescent="0.25">
      <c r="A360" s="7" t="s">
        <v>13449</v>
      </c>
      <c r="B360" s="2" t="s">
        <v>4548</v>
      </c>
      <c r="C360" s="4">
        <v>1</v>
      </c>
      <c r="D360" s="5">
        <v>2.5299999999999998</v>
      </c>
      <c r="E360" s="5">
        <v>5.99</v>
      </c>
      <c r="F360" s="4" t="s">
        <v>4549</v>
      </c>
      <c r="G360" s="2" t="s">
        <v>28</v>
      </c>
      <c r="H360" s="7" t="s">
        <v>442</v>
      </c>
      <c r="I360" s="2" t="s">
        <v>483</v>
      </c>
      <c r="J360" s="2" t="s">
        <v>536</v>
      </c>
      <c r="K360" s="2" t="s">
        <v>304</v>
      </c>
      <c r="L360" s="2" t="s">
        <v>38</v>
      </c>
      <c r="M360" s="8" t="str">
        <f>HYPERLINK("http://slimages.macys.com/is/image/MCY/14384849 ")</f>
        <v xml:space="preserve">http://slimages.macys.com/is/image/MCY/14384849 </v>
      </c>
    </row>
    <row r="361" spans="1:13" ht="60" x14ac:dyDescent="0.25">
      <c r="A361" s="7" t="s">
        <v>8459</v>
      </c>
      <c r="B361" s="2" t="s">
        <v>8460</v>
      </c>
      <c r="C361" s="4">
        <v>1</v>
      </c>
      <c r="D361" s="5">
        <v>2.5299999999999998</v>
      </c>
      <c r="E361" s="5">
        <v>5.99</v>
      </c>
      <c r="F361" s="4" t="s">
        <v>8461</v>
      </c>
      <c r="G361" s="2" t="s">
        <v>41</v>
      </c>
      <c r="H361" s="7" t="s">
        <v>149</v>
      </c>
      <c r="I361" s="2" t="s">
        <v>483</v>
      </c>
      <c r="J361" s="2" t="s">
        <v>536</v>
      </c>
      <c r="K361" s="2" t="s">
        <v>304</v>
      </c>
      <c r="L361" s="2" t="s">
        <v>100</v>
      </c>
      <c r="M361" s="8" t="str">
        <f>HYPERLINK("http://slimages.macys.com/is/image/MCY/11857562 ")</f>
        <v xml:space="preserve">http://slimages.macys.com/is/image/MCY/11857562 </v>
      </c>
    </row>
    <row r="362" spans="1:13" ht="60" x14ac:dyDescent="0.25">
      <c r="A362" s="7" t="s">
        <v>7203</v>
      </c>
      <c r="B362" s="2" t="s">
        <v>2299</v>
      </c>
      <c r="C362" s="4">
        <v>1</v>
      </c>
      <c r="D362" s="5">
        <v>2.5099999999999998</v>
      </c>
      <c r="E362" s="5">
        <v>5.99</v>
      </c>
      <c r="F362" s="4" t="s">
        <v>2300</v>
      </c>
      <c r="G362" s="2" t="s">
        <v>28</v>
      </c>
      <c r="H362" s="7" t="s">
        <v>442</v>
      </c>
      <c r="I362" s="2" t="s">
        <v>483</v>
      </c>
      <c r="J362" s="2" t="s">
        <v>536</v>
      </c>
      <c r="K362" s="2" t="s">
        <v>304</v>
      </c>
      <c r="L362" s="2" t="s">
        <v>119</v>
      </c>
      <c r="M362" s="8" t="str">
        <f>HYPERLINK("http://slimages.macys.com/is/image/MCY/13987054 ")</f>
        <v xml:space="preserve">http://slimages.macys.com/is/image/MCY/13987054 </v>
      </c>
    </row>
    <row r="363" spans="1:13" ht="60" x14ac:dyDescent="0.25">
      <c r="A363" s="7" t="s">
        <v>13997</v>
      </c>
      <c r="B363" s="2" t="s">
        <v>2725</v>
      </c>
      <c r="C363" s="4">
        <v>1</v>
      </c>
      <c r="D363" s="5">
        <v>2.5</v>
      </c>
      <c r="E363" s="5">
        <v>5.99</v>
      </c>
      <c r="F363" s="4" t="s">
        <v>2726</v>
      </c>
      <c r="G363" s="2" t="s">
        <v>41</v>
      </c>
      <c r="H363" s="7" t="s">
        <v>149</v>
      </c>
      <c r="I363" s="2" t="s">
        <v>483</v>
      </c>
      <c r="J363" s="2" t="s">
        <v>536</v>
      </c>
      <c r="K363" s="2" t="s">
        <v>304</v>
      </c>
      <c r="L363" s="2" t="s">
        <v>87</v>
      </c>
      <c r="M363" s="8" t="str">
        <f>HYPERLINK("http://slimages.macys.com/is/image/MCY/11524101 ")</f>
        <v xml:space="preserve">http://slimages.macys.com/is/image/MCY/11524101 </v>
      </c>
    </row>
    <row r="364" spans="1:13" ht="60" x14ac:dyDescent="0.25">
      <c r="A364" s="7" t="s">
        <v>13998</v>
      </c>
      <c r="B364" s="2" t="s">
        <v>13999</v>
      </c>
      <c r="C364" s="4">
        <v>1</v>
      </c>
      <c r="D364" s="5">
        <v>2.5</v>
      </c>
      <c r="E364" s="5">
        <v>6.99</v>
      </c>
      <c r="F364" s="4" t="s">
        <v>14000</v>
      </c>
      <c r="G364" s="2" t="s">
        <v>195</v>
      </c>
      <c r="H364" s="7" t="s">
        <v>149</v>
      </c>
      <c r="I364" s="2" t="s">
        <v>483</v>
      </c>
      <c r="J364" s="2" t="s">
        <v>536</v>
      </c>
      <c r="K364" s="2" t="s">
        <v>304</v>
      </c>
      <c r="L364" s="2" t="s">
        <v>38</v>
      </c>
      <c r="M364" s="8" t="str">
        <f>HYPERLINK("http://slimages.macys.com/is/image/MCY/14522720 ")</f>
        <v xml:space="preserve">http://slimages.macys.com/is/image/MCY/14522720 </v>
      </c>
    </row>
    <row r="365" spans="1:13" ht="60" x14ac:dyDescent="0.25">
      <c r="A365" s="7" t="s">
        <v>3538</v>
      </c>
      <c r="B365" s="2" t="s">
        <v>3533</v>
      </c>
      <c r="C365" s="4">
        <v>1</v>
      </c>
      <c r="D365" s="5">
        <v>2.42</v>
      </c>
      <c r="E365" s="5">
        <v>7.99</v>
      </c>
      <c r="F365" s="4" t="s">
        <v>3534</v>
      </c>
      <c r="G365" s="2" t="s">
        <v>48</v>
      </c>
      <c r="H365" s="7" t="s">
        <v>514</v>
      </c>
      <c r="I365" s="2" t="s">
        <v>483</v>
      </c>
      <c r="J365" s="2" t="s">
        <v>536</v>
      </c>
      <c r="K365" s="2" t="s">
        <v>304</v>
      </c>
      <c r="L365" s="2" t="s">
        <v>119</v>
      </c>
      <c r="M365" s="8" t="str">
        <f>HYPERLINK("http://slimages.macys.com/is/image/MCY/14380988 ")</f>
        <v xml:space="preserve">http://slimages.macys.com/is/image/MCY/14380988 </v>
      </c>
    </row>
    <row r="366" spans="1:13" ht="60" x14ac:dyDescent="0.25">
      <c r="A366" s="7" t="s">
        <v>10314</v>
      </c>
      <c r="B366" s="2" t="s">
        <v>10315</v>
      </c>
      <c r="C366" s="4">
        <v>1</v>
      </c>
      <c r="D366" s="5">
        <v>2.41</v>
      </c>
      <c r="E366" s="5">
        <v>5.99</v>
      </c>
      <c r="F366" s="4" t="s">
        <v>10316</v>
      </c>
      <c r="G366" s="2" t="s">
        <v>41</v>
      </c>
      <c r="H366" s="7" t="s">
        <v>149</v>
      </c>
      <c r="I366" s="2" t="s">
        <v>483</v>
      </c>
      <c r="J366" s="2" t="s">
        <v>536</v>
      </c>
      <c r="K366" s="2" t="s">
        <v>304</v>
      </c>
      <c r="L366" s="2" t="s">
        <v>38</v>
      </c>
      <c r="M366" s="8" t="str">
        <f>HYPERLINK("http://slimages.macys.com/is/image/MCY/11857512 ")</f>
        <v xml:space="preserve">http://slimages.macys.com/is/image/MCY/11857512 </v>
      </c>
    </row>
    <row r="367" spans="1:13" ht="60" x14ac:dyDescent="0.25">
      <c r="A367" s="7" t="s">
        <v>1344</v>
      </c>
      <c r="B367" s="2" t="s">
        <v>1333</v>
      </c>
      <c r="C367" s="4">
        <v>1</v>
      </c>
      <c r="D367" s="5">
        <v>2.4</v>
      </c>
      <c r="E367" s="5">
        <v>4.99</v>
      </c>
      <c r="F367" s="4" t="s">
        <v>1325</v>
      </c>
      <c r="G367" s="2" t="s">
        <v>36</v>
      </c>
      <c r="H367" s="7" t="s">
        <v>159</v>
      </c>
      <c r="I367" s="2" t="s">
        <v>523</v>
      </c>
      <c r="J367" s="2" t="s">
        <v>921</v>
      </c>
      <c r="K367" s="2" t="s">
        <v>304</v>
      </c>
      <c r="L367" s="2" t="s">
        <v>1334</v>
      </c>
      <c r="M367" s="8" t="str">
        <f>HYPERLINK("http://slimages.macys.com/is/image/MCY/8345543 ")</f>
        <v xml:space="preserve">http://slimages.macys.com/is/image/MCY/8345543 </v>
      </c>
    </row>
    <row r="368" spans="1:13" ht="60" x14ac:dyDescent="0.25">
      <c r="A368" s="7" t="s">
        <v>5752</v>
      </c>
      <c r="B368" s="2" t="s">
        <v>628</v>
      </c>
      <c r="C368" s="4">
        <v>1</v>
      </c>
      <c r="D368" s="5">
        <v>2.36</v>
      </c>
      <c r="E368" s="5">
        <v>6.99</v>
      </c>
      <c r="F368" s="4" t="s">
        <v>629</v>
      </c>
      <c r="G368" s="2" t="s">
        <v>388</v>
      </c>
      <c r="H368" s="7" t="s">
        <v>590</v>
      </c>
      <c r="I368" s="2" t="s">
        <v>483</v>
      </c>
      <c r="J368" s="2" t="s">
        <v>536</v>
      </c>
      <c r="K368" s="2" t="s">
        <v>304</v>
      </c>
      <c r="L368" s="2" t="s">
        <v>87</v>
      </c>
      <c r="M368" s="8" t="str">
        <f>HYPERLINK("http://slimages.macys.com/is/image/MCY/14532052 ")</f>
        <v xml:space="preserve">http://slimages.macys.com/is/image/MCY/14532052 </v>
      </c>
    </row>
    <row r="369" spans="1:13" ht="60" x14ac:dyDescent="0.25">
      <c r="A369" s="7" t="s">
        <v>627</v>
      </c>
      <c r="B369" s="2" t="s">
        <v>628</v>
      </c>
      <c r="C369" s="4">
        <v>1</v>
      </c>
      <c r="D369" s="5">
        <v>2.36</v>
      </c>
      <c r="E369" s="5">
        <v>6.99</v>
      </c>
      <c r="F369" s="4" t="s">
        <v>629</v>
      </c>
      <c r="G369" s="2" t="s">
        <v>388</v>
      </c>
      <c r="H369" s="7" t="s">
        <v>149</v>
      </c>
      <c r="I369" s="2" t="s">
        <v>483</v>
      </c>
      <c r="J369" s="2" t="s">
        <v>536</v>
      </c>
      <c r="K369" s="2" t="s">
        <v>304</v>
      </c>
      <c r="L369" s="2" t="s">
        <v>87</v>
      </c>
      <c r="M369" s="8" t="str">
        <f>HYPERLINK("http://slimages.macys.com/is/image/MCY/14532052 ")</f>
        <v xml:space="preserve">http://slimages.macys.com/is/image/MCY/14532052 </v>
      </c>
    </row>
    <row r="370" spans="1:13" ht="60" x14ac:dyDescent="0.25">
      <c r="A370" s="7" t="s">
        <v>13454</v>
      </c>
      <c r="B370" s="2" t="s">
        <v>628</v>
      </c>
      <c r="C370" s="4">
        <v>1</v>
      </c>
      <c r="D370" s="5">
        <v>2.36</v>
      </c>
      <c r="E370" s="5">
        <v>6.99</v>
      </c>
      <c r="F370" s="4" t="s">
        <v>629</v>
      </c>
      <c r="G370" s="2" t="s">
        <v>388</v>
      </c>
      <c r="H370" s="7" t="s">
        <v>442</v>
      </c>
      <c r="I370" s="2" t="s">
        <v>483</v>
      </c>
      <c r="J370" s="2" t="s">
        <v>536</v>
      </c>
      <c r="K370" s="2" t="s">
        <v>304</v>
      </c>
      <c r="L370" s="2" t="s">
        <v>87</v>
      </c>
      <c r="M370" s="8" t="str">
        <f>HYPERLINK("http://slimages.macys.com/is/image/MCY/14532052 ")</f>
        <v xml:space="preserve">http://slimages.macys.com/is/image/MCY/14532052 </v>
      </c>
    </row>
    <row r="371" spans="1:13" ht="96" x14ac:dyDescent="0.25">
      <c r="A371" s="7" t="s">
        <v>14001</v>
      </c>
      <c r="B371" s="2" t="s">
        <v>13739</v>
      </c>
      <c r="C371" s="4">
        <v>1</v>
      </c>
      <c r="D371" s="5">
        <v>2.33</v>
      </c>
      <c r="E371" s="5">
        <v>5.99</v>
      </c>
      <c r="F371" s="4" t="s">
        <v>13740</v>
      </c>
      <c r="G371" s="2" t="s">
        <v>134</v>
      </c>
      <c r="H371" s="7" t="s">
        <v>590</v>
      </c>
      <c r="I371" s="2" t="s">
        <v>483</v>
      </c>
      <c r="J371" s="2" t="s">
        <v>536</v>
      </c>
      <c r="K371" s="2" t="s">
        <v>304</v>
      </c>
      <c r="L371" s="2" t="s">
        <v>9839</v>
      </c>
      <c r="M371" s="8" t="str">
        <f>HYPERLINK("http://slimages.macys.com/is/image/MCY/12644533 ")</f>
        <v xml:space="preserve">http://slimages.macys.com/is/image/MCY/12644533 </v>
      </c>
    </row>
    <row r="372" spans="1:13" ht="96" x14ac:dyDescent="0.25">
      <c r="A372" s="7" t="s">
        <v>14002</v>
      </c>
      <c r="B372" s="2" t="s">
        <v>13739</v>
      </c>
      <c r="C372" s="4">
        <v>1</v>
      </c>
      <c r="D372" s="5">
        <v>2.33</v>
      </c>
      <c r="E372" s="5">
        <v>5.99</v>
      </c>
      <c r="F372" s="4" t="s">
        <v>13740</v>
      </c>
      <c r="G372" s="2" t="s">
        <v>134</v>
      </c>
      <c r="H372" s="7" t="s">
        <v>442</v>
      </c>
      <c r="I372" s="2" t="s">
        <v>483</v>
      </c>
      <c r="J372" s="2" t="s">
        <v>536</v>
      </c>
      <c r="K372" s="2" t="s">
        <v>304</v>
      </c>
      <c r="L372" s="2" t="s">
        <v>9839</v>
      </c>
      <c r="M372" s="8" t="str">
        <f>HYPERLINK("http://slimages.macys.com/is/image/MCY/12644533 ")</f>
        <v xml:space="preserve">http://slimages.macys.com/is/image/MCY/12644533 </v>
      </c>
    </row>
    <row r="373" spans="1:13" ht="96" x14ac:dyDescent="0.25">
      <c r="A373" s="7" t="s">
        <v>14003</v>
      </c>
      <c r="B373" s="2" t="s">
        <v>13739</v>
      </c>
      <c r="C373" s="4">
        <v>1</v>
      </c>
      <c r="D373" s="5">
        <v>2.33</v>
      </c>
      <c r="E373" s="5">
        <v>5.99</v>
      </c>
      <c r="F373" s="4" t="s">
        <v>13740</v>
      </c>
      <c r="G373" s="2" t="s">
        <v>134</v>
      </c>
      <c r="H373" s="7" t="s">
        <v>149</v>
      </c>
      <c r="I373" s="2" t="s">
        <v>483</v>
      </c>
      <c r="J373" s="2" t="s">
        <v>536</v>
      </c>
      <c r="K373" s="2" t="s">
        <v>304</v>
      </c>
      <c r="L373" s="2" t="s">
        <v>9839</v>
      </c>
      <c r="M373" s="8" t="str">
        <f>HYPERLINK("http://slimages.macys.com/is/image/MCY/12644533 ")</f>
        <v xml:space="preserve">http://slimages.macys.com/is/image/MCY/12644533 </v>
      </c>
    </row>
    <row r="374" spans="1:13" ht="60" x14ac:dyDescent="0.25">
      <c r="A374" s="7" t="s">
        <v>2347</v>
      </c>
      <c r="B374" s="2" t="s">
        <v>2348</v>
      </c>
      <c r="C374" s="4">
        <v>1</v>
      </c>
      <c r="D374" s="5">
        <v>2.31</v>
      </c>
      <c r="E374" s="5">
        <v>7.99</v>
      </c>
      <c r="F374" s="4">
        <v>10005380100</v>
      </c>
      <c r="G374" s="2" t="s">
        <v>1360</v>
      </c>
      <c r="H374" s="7" t="s">
        <v>531</v>
      </c>
      <c r="I374" s="2" t="s">
        <v>483</v>
      </c>
      <c r="J374" s="2" t="s">
        <v>536</v>
      </c>
      <c r="K374" s="2" t="s">
        <v>304</v>
      </c>
      <c r="L374" s="2" t="s">
        <v>87</v>
      </c>
      <c r="M374" s="8" t="str">
        <f>HYPERLINK("http://slimages.macys.com/is/image/MCY/12466174 ")</f>
        <v xml:space="preserve">http://slimages.macys.com/is/image/MCY/12466174 </v>
      </c>
    </row>
    <row r="375" spans="1:13" ht="60" x14ac:dyDescent="0.25">
      <c r="A375" s="7" t="s">
        <v>5769</v>
      </c>
      <c r="B375" s="2" t="s">
        <v>1365</v>
      </c>
      <c r="C375" s="4">
        <v>1</v>
      </c>
      <c r="D375" s="5">
        <v>2.29</v>
      </c>
      <c r="E375" s="5">
        <v>5.99</v>
      </c>
      <c r="F375" s="4" t="s">
        <v>1366</v>
      </c>
      <c r="G375" s="2" t="s">
        <v>62</v>
      </c>
      <c r="H375" s="7" t="s">
        <v>91</v>
      </c>
      <c r="I375" s="2" t="s">
        <v>483</v>
      </c>
      <c r="J375" s="2" t="s">
        <v>536</v>
      </c>
      <c r="K375" s="2" t="s">
        <v>304</v>
      </c>
      <c r="L375" s="2" t="s">
        <v>206</v>
      </c>
      <c r="M375" s="8" t="str">
        <f>HYPERLINK("http://slimages.macys.com/is/image/MCY/12463166 ")</f>
        <v xml:space="preserve">http://slimages.macys.com/is/image/MCY/12463166 </v>
      </c>
    </row>
    <row r="376" spans="1:13" ht="60" x14ac:dyDescent="0.25">
      <c r="A376" s="7" t="s">
        <v>1370</v>
      </c>
      <c r="B376" s="2" t="s">
        <v>1368</v>
      </c>
      <c r="C376" s="4">
        <v>1</v>
      </c>
      <c r="D376" s="5">
        <v>2.2799999999999998</v>
      </c>
      <c r="E376" s="5">
        <v>5.99</v>
      </c>
      <c r="F376" s="4" t="s">
        <v>1369</v>
      </c>
      <c r="G376" s="2" t="s">
        <v>41</v>
      </c>
      <c r="H376" s="7" t="s">
        <v>42</v>
      </c>
      <c r="I376" s="2" t="s">
        <v>483</v>
      </c>
      <c r="J376" s="2" t="s">
        <v>536</v>
      </c>
      <c r="K376" s="2" t="s">
        <v>304</v>
      </c>
      <c r="L376" s="2" t="s">
        <v>38</v>
      </c>
      <c r="M376" s="8" t="str">
        <f>HYPERLINK("http://slimages.macys.com/is/image/MCY/13987603 ")</f>
        <v xml:space="preserve">http://slimages.macys.com/is/image/MCY/13987603 </v>
      </c>
    </row>
    <row r="377" spans="1:13" ht="60" x14ac:dyDescent="0.25">
      <c r="A377" s="7" t="s">
        <v>1374</v>
      </c>
      <c r="B377" s="2" t="s">
        <v>1372</v>
      </c>
      <c r="C377" s="4">
        <v>1</v>
      </c>
      <c r="D377" s="5">
        <v>2.27</v>
      </c>
      <c r="E377" s="5">
        <v>5.99</v>
      </c>
      <c r="F377" s="4" t="s">
        <v>1373</v>
      </c>
      <c r="G377" s="2" t="s">
        <v>134</v>
      </c>
      <c r="H377" s="7" t="s">
        <v>590</v>
      </c>
      <c r="I377" s="2" t="s">
        <v>483</v>
      </c>
      <c r="J377" s="2" t="s">
        <v>536</v>
      </c>
      <c r="K377" s="2" t="s">
        <v>304</v>
      </c>
      <c r="L377" s="2" t="s">
        <v>119</v>
      </c>
      <c r="M377" s="8" t="str">
        <f>HYPERLINK("http://slimages.macys.com/is/image/MCY/12642166 ")</f>
        <v xml:space="preserve">http://slimages.macys.com/is/image/MCY/12642166 </v>
      </c>
    </row>
    <row r="378" spans="1:13" ht="60" x14ac:dyDescent="0.25">
      <c r="A378" s="7" t="s">
        <v>9245</v>
      </c>
      <c r="B378" s="2" t="s">
        <v>7259</v>
      </c>
      <c r="C378" s="4">
        <v>1</v>
      </c>
      <c r="D378" s="5">
        <v>2.2400000000000002</v>
      </c>
      <c r="E378" s="5">
        <v>5.99</v>
      </c>
      <c r="F378" s="4" t="s">
        <v>7260</v>
      </c>
      <c r="G378" s="2" t="s">
        <v>353</v>
      </c>
      <c r="H378" s="7" t="s">
        <v>590</v>
      </c>
      <c r="I378" s="2" t="s">
        <v>483</v>
      </c>
      <c r="J378" s="2" t="s">
        <v>536</v>
      </c>
      <c r="K378" s="2" t="s">
        <v>304</v>
      </c>
      <c r="L378" s="2" t="s">
        <v>206</v>
      </c>
      <c r="M378" s="8" t="str">
        <f>HYPERLINK("http://slimages.macys.com/is/image/MCY/12644528 ")</f>
        <v xml:space="preserve">http://slimages.macys.com/is/image/MCY/12644528 </v>
      </c>
    </row>
    <row r="379" spans="1:13" ht="60" x14ac:dyDescent="0.25">
      <c r="A379" s="7" t="s">
        <v>4600</v>
      </c>
      <c r="B379" s="2" t="s">
        <v>4598</v>
      </c>
      <c r="C379" s="4">
        <v>1</v>
      </c>
      <c r="D379" s="5">
        <v>2.2200000000000002</v>
      </c>
      <c r="E379" s="5">
        <v>5.99</v>
      </c>
      <c r="F379" s="4" t="s">
        <v>4599</v>
      </c>
      <c r="G379" s="2" t="s">
        <v>171</v>
      </c>
      <c r="H379" s="7" t="s">
        <v>590</v>
      </c>
      <c r="I379" s="2" t="s">
        <v>483</v>
      </c>
      <c r="J379" s="2" t="s">
        <v>536</v>
      </c>
      <c r="K379" s="2" t="s">
        <v>304</v>
      </c>
      <c r="L379" s="2" t="s">
        <v>119</v>
      </c>
      <c r="M379" s="8" t="str">
        <f>HYPERLINK("http://slimages.macys.com/is/image/MCY/14380996 ")</f>
        <v xml:space="preserve">http://slimages.macys.com/is/image/MCY/14380996 </v>
      </c>
    </row>
    <row r="380" spans="1:13" ht="60" x14ac:dyDescent="0.25">
      <c r="A380" s="7" t="s">
        <v>14004</v>
      </c>
      <c r="B380" s="2" t="s">
        <v>4598</v>
      </c>
      <c r="C380" s="4">
        <v>1</v>
      </c>
      <c r="D380" s="5">
        <v>2.2200000000000002</v>
      </c>
      <c r="E380" s="5">
        <v>5.99</v>
      </c>
      <c r="F380" s="4" t="s">
        <v>4599</v>
      </c>
      <c r="G380" s="2" t="s">
        <v>171</v>
      </c>
      <c r="H380" s="7" t="s">
        <v>442</v>
      </c>
      <c r="I380" s="2" t="s">
        <v>483</v>
      </c>
      <c r="J380" s="2" t="s">
        <v>536</v>
      </c>
      <c r="K380" s="2" t="s">
        <v>304</v>
      </c>
      <c r="L380" s="2" t="s">
        <v>119</v>
      </c>
      <c r="M380" s="8" t="str">
        <f>HYPERLINK("http://slimages.macys.com/is/image/MCY/14380996 ")</f>
        <v xml:space="preserve">http://slimages.macys.com/is/image/MCY/14380996 </v>
      </c>
    </row>
    <row r="381" spans="1:13" ht="60" x14ac:dyDescent="0.25">
      <c r="A381" s="7" t="s">
        <v>14005</v>
      </c>
      <c r="B381" s="2" t="s">
        <v>4604</v>
      </c>
      <c r="C381" s="4">
        <v>1</v>
      </c>
      <c r="D381" s="5">
        <v>2.21</v>
      </c>
      <c r="E381" s="5">
        <v>5.99</v>
      </c>
      <c r="F381" s="4" t="s">
        <v>4605</v>
      </c>
      <c r="G381" s="2" t="s">
        <v>86</v>
      </c>
      <c r="H381" s="7" t="s">
        <v>91</v>
      </c>
      <c r="I381" s="2" t="s">
        <v>483</v>
      </c>
      <c r="J381" s="2" t="s">
        <v>536</v>
      </c>
      <c r="K381" s="2" t="s">
        <v>304</v>
      </c>
      <c r="L381" s="2" t="s">
        <v>119</v>
      </c>
      <c r="M381" s="8" t="str">
        <f>HYPERLINK("http://slimages.macys.com/is/image/MCY/14385251 ")</f>
        <v xml:space="preserve">http://slimages.macys.com/is/image/MCY/14385251 </v>
      </c>
    </row>
    <row r="382" spans="1:13" ht="60" x14ac:dyDescent="0.25">
      <c r="A382" s="7" t="s">
        <v>14006</v>
      </c>
      <c r="B382" s="2" t="s">
        <v>4604</v>
      </c>
      <c r="C382" s="4">
        <v>1</v>
      </c>
      <c r="D382" s="5">
        <v>2.21</v>
      </c>
      <c r="E382" s="5">
        <v>5.99</v>
      </c>
      <c r="F382" s="4" t="s">
        <v>4605</v>
      </c>
      <c r="G382" s="2" t="s">
        <v>86</v>
      </c>
      <c r="H382" s="7" t="s">
        <v>442</v>
      </c>
      <c r="I382" s="2" t="s">
        <v>483</v>
      </c>
      <c r="J382" s="2" t="s">
        <v>536</v>
      </c>
      <c r="K382" s="2" t="s">
        <v>304</v>
      </c>
      <c r="L382" s="2" t="s">
        <v>119</v>
      </c>
      <c r="M382" s="8" t="str">
        <f>HYPERLINK("http://slimages.macys.com/is/image/MCY/14385251 ")</f>
        <v xml:space="preserve">http://slimages.macys.com/is/image/MCY/14385251 </v>
      </c>
    </row>
    <row r="383" spans="1:13" ht="60" x14ac:dyDescent="0.25">
      <c r="A383" s="7" t="s">
        <v>13743</v>
      </c>
      <c r="B383" s="2" t="s">
        <v>4604</v>
      </c>
      <c r="C383" s="4">
        <v>1</v>
      </c>
      <c r="D383" s="5">
        <v>2.21</v>
      </c>
      <c r="E383" s="5">
        <v>5.99</v>
      </c>
      <c r="F383" s="4" t="s">
        <v>4605</v>
      </c>
      <c r="G383" s="2" t="s">
        <v>86</v>
      </c>
      <c r="H383" s="7" t="s">
        <v>149</v>
      </c>
      <c r="I383" s="2" t="s">
        <v>483</v>
      </c>
      <c r="J383" s="2" t="s">
        <v>536</v>
      </c>
      <c r="K383" s="2" t="s">
        <v>304</v>
      </c>
      <c r="L383" s="2" t="s">
        <v>119</v>
      </c>
      <c r="M383" s="8" t="str">
        <f>HYPERLINK("http://slimages.macys.com/is/image/MCY/14385251 ")</f>
        <v xml:space="preserve">http://slimages.macys.com/is/image/MCY/14385251 </v>
      </c>
    </row>
    <row r="384" spans="1:13" ht="60" x14ac:dyDescent="0.25">
      <c r="A384" s="7" t="s">
        <v>4603</v>
      </c>
      <c r="B384" s="2" t="s">
        <v>4604</v>
      </c>
      <c r="C384" s="4">
        <v>2</v>
      </c>
      <c r="D384" s="5">
        <v>2.21</v>
      </c>
      <c r="E384" s="5">
        <v>5.99</v>
      </c>
      <c r="F384" s="4" t="s">
        <v>4605</v>
      </c>
      <c r="G384" s="2" t="s">
        <v>86</v>
      </c>
      <c r="H384" s="7" t="s">
        <v>42</v>
      </c>
      <c r="I384" s="2" t="s">
        <v>483</v>
      </c>
      <c r="J384" s="2" t="s">
        <v>536</v>
      </c>
      <c r="K384" s="2" t="s">
        <v>304</v>
      </c>
      <c r="L384" s="2" t="s">
        <v>119</v>
      </c>
      <c r="M384" s="8" t="str">
        <f>HYPERLINK("http://slimages.macys.com/is/image/MCY/14385251 ")</f>
        <v xml:space="preserve">http://slimages.macys.com/is/image/MCY/14385251 </v>
      </c>
    </row>
    <row r="385" spans="1:13" ht="60" x14ac:dyDescent="0.25">
      <c r="A385" s="7" t="s">
        <v>5108</v>
      </c>
      <c r="B385" s="2" t="s">
        <v>5109</v>
      </c>
      <c r="C385" s="4">
        <v>2</v>
      </c>
      <c r="D385" s="5">
        <v>2.11</v>
      </c>
      <c r="E385" s="5">
        <v>5.99</v>
      </c>
      <c r="F385" s="4" t="s">
        <v>5110</v>
      </c>
      <c r="G385" s="2" t="s">
        <v>793</v>
      </c>
      <c r="H385" s="7" t="s">
        <v>91</v>
      </c>
      <c r="I385" s="2" t="s">
        <v>483</v>
      </c>
      <c r="J385" s="2" t="s">
        <v>536</v>
      </c>
      <c r="K385" s="2" t="s">
        <v>304</v>
      </c>
      <c r="L385" s="2" t="s">
        <v>119</v>
      </c>
      <c r="M385" s="8" t="str">
        <f>HYPERLINK("http://slimages.macys.com/is/image/MCY/13987430 ")</f>
        <v xml:space="preserve">http://slimages.macys.com/is/image/MCY/13987430 </v>
      </c>
    </row>
    <row r="386" spans="1:13" ht="60" x14ac:dyDescent="0.25">
      <c r="A386" s="7" t="s">
        <v>14007</v>
      </c>
      <c r="B386" s="2" t="s">
        <v>1396</v>
      </c>
      <c r="C386" s="4">
        <v>1</v>
      </c>
      <c r="D386" s="5">
        <v>2.1</v>
      </c>
      <c r="E386" s="5">
        <v>5.99</v>
      </c>
      <c r="F386" s="4" t="s">
        <v>1397</v>
      </c>
      <c r="G386" s="2" t="s">
        <v>41</v>
      </c>
      <c r="H386" s="7" t="s">
        <v>590</v>
      </c>
      <c r="I386" s="2" t="s">
        <v>483</v>
      </c>
      <c r="J386" s="2" t="s">
        <v>536</v>
      </c>
      <c r="K386" s="2" t="s">
        <v>304</v>
      </c>
      <c r="L386" s="2" t="s">
        <v>206</v>
      </c>
      <c r="M386" s="8" t="str">
        <f>HYPERLINK("http://slimages.macys.com/is/image/MCY/12466330 ")</f>
        <v xml:space="preserve">http://slimages.macys.com/is/image/MCY/12466330 </v>
      </c>
    </row>
    <row r="387" spans="1:13" ht="60" x14ac:dyDescent="0.25">
      <c r="A387" s="7" t="s">
        <v>6656</v>
      </c>
      <c r="B387" s="2" t="s">
        <v>1399</v>
      </c>
      <c r="C387" s="4">
        <v>1</v>
      </c>
      <c r="D387" s="5">
        <v>1.97</v>
      </c>
      <c r="E387" s="5">
        <v>5.99</v>
      </c>
      <c r="F387" s="4" t="s">
        <v>1400</v>
      </c>
      <c r="G387" s="2" t="s">
        <v>657</v>
      </c>
      <c r="H387" s="7" t="s">
        <v>149</v>
      </c>
      <c r="I387" s="2" t="s">
        <v>483</v>
      </c>
      <c r="J387" s="2" t="s">
        <v>536</v>
      </c>
      <c r="K387" s="2" t="s">
        <v>304</v>
      </c>
      <c r="L387" s="2" t="s">
        <v>119</v>
      </c>
      <c r="M387" s="8" t="str">
        <f>HYPERLINK("http://slimages.macys.com/is/image/MCY/13987628 ")</f>
        <v xml:space="preserve">http://slimages.macys.com/is/image/MCY/13987628 </v>
      </c>
    </row>
    <row r="388" spans="1:13" ht="204" x14ac:dyDescent="0.25">
      <c r="A388" s="7" t="s">
        <v>14008</v>
      </c>
      <c r="B388" s="2" t="s">
        <v>14009</v>
      </c>
      <c r="C388" s="4">
        <v>1</v>
      </c>
      <c r="D388" s="5">
        <v>1.92</v>
      </c>
      <c r="E388" s="5">
        <v>6.99</v>
      </c>
      <c r="F388" s="4" t="s">
        <v>14010</v>
      </c>
      <c r="G388" s="2" t="s">
        <v>134</v>
      </c>
      <c r="H388" s="7" t="s">
        <v>531</v>
      </c>
      <c r="I388" s="2" t="s">
        <v>483</v>
      </c>
      <c r="J388" s="2" t="s">
        <v>536</v>
      </c>
      <c r="K388" s="2" t="s">
        <v>304</v>
      </c>
      <c r="L388" s="2" t="s">
        <v>14011</v>
      </c>
      <c r="M388" s="8" t="str">
        <f>HYPERLINK("http://slimages.macys.com/is/image/MCY/10323854 ")</f>
        <v xml:space="preserve">http://slimages.macys.com/is/image/MCY/10323854 </v>
      </c>
    </row>
    <row r="389" spans="1:13" ht="36" x14ac:dyDescent="0.25">
      <c r="A389" s="7" t="s">
        <v>3564</v>
      </c>
      <c r="B389" s="2" t="s">
        <v>3565</v>
      </c>
      <c r="C389" s="4">
        <v>1</v>
      </c>
      <c r="D389" s="5">
        <v>10.75</v>
      </c>
      <c r="E389" s="5">
        <v>34</v>
      </c>
      <c r="F389" s="4" t="s">
        <v>3565</v>
      </c>
      <c r="G389" s="2" t="s">
        <v>62</v>
      </c>
      <c r="H389" s="7" t="s">
        <v>179</v>
      </c>
      <c r="I389" s="2" t="s">
        <v>50</v>
      </c>
      <c r="J389" s="2" t="s">
        <v>650</v>
      </c>
      <c r="K389" s="2"/>
      <c r="L389" s="2"/>
      <c r="M389" s="8"/>
    </row>
    <row r="390" spans="1:13" ht="36" x14ac:dyDescent="0.25">
      <c r="A390" s="7" t="s">
        <v>14012</v>
      </c>
      <c r="B390" s="2" t="s">
        <v>6097</v>
      </c>
      <c r="C390" s="4">
        <v>1</v>
      </c>
      <c r="D390" s="5">
        <v>10.5</v>
      </c>
      <c r="E390" s="5">
        <v>36</v>
      </c>
      <c r="F390" s="4" t="s">
        <v>6098</v>
      </c>
      <c r="G390" s="2" t="s">
        <v>657</v>
      </c>
      <c r="H390" s="7" t="s">
        <v>311</v>
      </c>
      <c r="I390" s="2" t="s">
        <v>50</v>
      </c>
      <c r="J390" s="2" t="s">
        <v>650</v>
      </c>
      <c r="K390" s="2"/>
      <c r="L390" s="2"/>
      <c r="M390" s="8"/>
    </row>
    <row r="391" spans="1:13" ht="36" x14ac:dyDescent="0.25">
      <c r="A391" s="7" t="s">
        <v>13473</v>
      </c>
      <c r="B391" s="2" t="s">
        <v>6097</v>
      </c>
      <c r="C391" s="4">
        <v>2</v>
      </c>
      <c r="D391" s="5">
        <v>10.5</v>
      </c>
      <c r="E391" s="5">
        <v>36</v>
      </c>
      <c r="F391" s="4" t="s">
        <v>6098</v>
      </c>
      <c r="G391" s="2" t="s">
        <v>657</v>
      </c>
      <c r="H391" s="7" t="s">
        <v>123</v>
      </c>
      <c r="I391" s="2" t="s">
        <v>50</v>
      </c>
      <c r="J391" s="2" t="s">
        <v>650</v>
      </c>
      <c r="K391" s="2"/>
      <c r="L391" s="2"/>
      <c r="M391" s="8"/>
    </row>
    <row r="392" spans="1:13" ht="36" x14ac:dyDescent="0.25">
      <c r="A392" s="7" t="s">
        <v>6660</v>
      </c>
      <c r="B392" s="2" t="s">
        <v>6097</v>
      </c>
      <c r="C392" s="4">
        <v>3</v>
      </c>
      <c r="D392" s="5">
        <v>10.5</v>
      </c>
      <c r="E392" s="5">
        <v>36</v>
      </c>
      <c r="F392" s="4" t="s">
        <v>6098</v>
      </c>
      <c r="G392" s="2" t="s">
        <v>657</v>
      </c>
      <c r="H392" s="7" t="s">
        <v>166</v>
      </c>
      <c r="I392" s="2" t="s">
        <v>50</v>
      </c>
      <c r="J392" s="2" t="s">
        <v>650</v>
      </c>
      <c r="K392" s="2"/>
      <c r="L392" s="2"/>
      <c r="M392" s="8"/>
    </row>
    <row r="393" spans="1:13" ht="60" x14ac:dyDescent="0.25">
      <c r="A393" s="7" t="s">
        <v>3578</v>
      </c>
      <c r="B393" s="2" t="s">
        <v>3579</v>
      </c>
      <c r="C393" s="4">
        <v>1</v>
      </c>
      <c r="D393" s="5">
        <v>10.3</v>
      </c>
      <c r="E393" s="5">
        <v>25.05</v>
      </c>
      <c r="F393" s="4">
        <v>17872211</v>
      </c>
      <c r="G393" s="2"/>
      <c r="H393" s="7" t="s">
        <v>91</v>
      </c>
      <c r="I393" s="2" t="s">
        <v>153</v>
      </c>
      <c r="J393" s="2" t="s">
        <v>3580</v>
      </c>
      <c r="K393" s="2"/>
      <c r="L393" s="2"/>
      <c r="M393" s="8"/>
    </row>
    <row r="394" spans="1:13" ht="60" x14ac:dyDescent="0.25">
      <c r="A394" s="7" t="s">
        <v>3577</v>
      </c>
      <c r="B394" s="2" t="s">
        <v>2423</v>
      </c>
      <c r="C394" s="4">
        <v>1</v>
      </c>
      <c r="D394" s="5">
        <v>10.3</v>
      </c>
      <c r="E394" s="5">
        <v>20.6</v>
      </c>
      <c r="F394" s="4">
        <v>28346410</v>
      </c>
      <c r="G394" s="2"/>
      <c r="H394" s="7" t="s">
        <v>144</v>
      </c>
      <c r="I394" s="2" t="s">
        <v>487</v>
      </c>
      <c r="J394" s="2" t="s">
        <v>2424</v>
      </c>
      <c r="K394" s="2"/>
      <c r="L394" s="2"/>
      <c r="M394" s="8"/>
    </row>
    <row r="395" spans="1:13" ht="60" x14ac:dyDescent="0.25">
      <c r="A395" s="7" t="s">
        <v>14013</v>
      </c>
      <c r="B395" s="2" t="s">
        <v>2736</v>
      </c>
      <c r="C395" s="4">
        <v>1</v>
      </c>
      <c r="D395" s="5">
        <v>10.3</v>
      </c>
      <c r="E395" s="5">
        <v>20.6</v>
      </c>
      <c r="F395" s="4">
        <v>27924011</v>
      </c>
      <c r="G395" s="2"/>
      <c r="H395" s="7" t="s">
        <v>144</v>
      </c>
      <c r="I395" s="2" t="s">
        <v>487</v>
      </c>
      <c r="J395" s="2" t="s">
        <v>2424</v>
      </c>
      <c r="K395" s="2"/>
      <c r="L395" s="2"/>
      <c r="M395" s="8"/>
    </row>
    <row r="396" spans="1:13" ht="60" x14ac:dyDescent="0.25">
      <c r="A396" s="7" t="s">
        <v>3581</v>
      </c>
      <c r="B396" s="2" t="s">
        <v>3579</v>
      </c>
      <c r="C396" s="4">
        <v>1</v>
      </c>
      <c r="D396" s="5">
        <v>10.3</v>
      </c>
      <c r="E396" s="5">
        <v>25.05</v>
      </c>
      <c r="F396" s="4">
        <v>17872211</v>
      </c>
      <c r="G396" s="2"/>
      <c r="H396" s="7" t="s">
        <v>438</v>
      </c>
      <c r="I396" s="2" t="s">
        <v>153</v>
      </c>
      <c r="J396" s="2" t="s">
        <v>3580</v>
      </c>
      <c r="K396" s="2"/>
      <c r="L396" s="2"/>
      <c r="M396" s="8"/>
    </row>
    <row r="397" spans="1:13" ht="60" x14ac:dyDescent="0.25">
      <c r="A397" s="7" t="s">
        <v>8084</v>
      </c>
      <c r="B397" s="2" t="s">
        <v>3579</v>
      </c>
      <c r="C397" s="4">
        <v>1</v>
      </c>
      <c r="D397" s="5">
        <v>10.3</v>
      </c>
      <c r="E397" s="5">
        <v>25.05</v>
      </c>
      <c r="F397" s="4">
        <v>17872211</v>
      </c>
      <c r="G397" s="2"/>
      <c r="H397" s="7" t="s">
        <v>442</v>
      </c>
      <c r="I397" s="2" t="s">
        <v>153</v>
      </c>
      <c r="J397" s="2" t="s">
        <v>3580</v>
      </c>
      <c r="K397" s="2"/>
      <c r="L397" s="2"/>
      <c r="M397" s="8"/>
    </row>
    <row r="398" spans="1:13" ht="36" x14ac:dyDescent="0.25">
      <c r="A398" s="7" t="s">
        <v>6101</v>
      </c>
      <c r="B398" s="2" t="s">
        <v>1402</v>
      </c>
      <c r="C398" s="4">
        <v>1</v>
      </c>
      <c r="D398" s="5">
        <v>10.25</v>
      </c>
      <c r="E398" s="5">
        <v>34</v>
      </c>
      <c r="F398" s="4" t="s">
        <v>1403</v>
      </c>
      <c r="G398" s="2" t="s">
        <v>657</v>
      </c>
      <c r="H398" s="7" t="s">
        <v>2872</v>
      </c>
      <c r="I398" s="2" t="s">
        <v>50</v>
      </c>
      <c r="J398" s="2" t="s">
        <v>650</v>
      </c>
      <c r="K398" s="2"/>
      <c r="L398" s="2"/>
      <c r="M398" s="8"/>
    </row>
    <row r="399" spans="1:13" ht="36" x14ac:dyDescent="0.25">
      <c r="A399" s="7" t="s">
        <v>5804</v>
      </c>
      <c r="B399" s="2" t="s">
        <v>1402</v>
      </c>
      <c r="C399" s="4">
        <v>2</v>
      </c>
      <c r="D399" s="5">
        <v>10.25</v>
      </c>
      <c r="E399" s="5">
        <v>34</v>
      </c>
      <c r="F399" s="4" t="s">
        <v>1403</v>
      </c>
      <c r="G399" s="2" t="s">
        <v>657</v>
      </c>
      <c r="H399" s="7" t="s">
        <v>2740</v>
      </c>
      <c r="I399" s="2" t="s">
        <v>50</v>
      </c>
      <c r="J399" s="2" t="s">
        <v>650</v>
      </c>
      <c r="K399" s="2"/>
      <c r="L399" s="2"/>
      <c r="M399" s="8"/>
    </row>
    <row r="400" spans="1:13" ht="36" x14ac:dyDescent="0.25">
      <c r="A400" s="7" t="s">
        <v>651</v>
      </c>
      <c r="B400" s="2" t="s">
        <v>652</v>
      </c>
      <c r="C400" s="4">
        <v>1</v>
      </c>
      <c r="D400" s="5">
        <v>9</v>
      </c>
      <c r="E400" s="5">
        <v>34</v>
      </c>
      <c r="F400" s="4" t="s">
        <v>652</v>
      </c>
      <c r="G400" s="2" t="s">
        <v>653</v>
      </c>
      <c r="H400" s="7" t="s">
        <v>177</v>
      </c>
      <c r="I400" s="2" t="s">
        <v>50</v>
      </c>
      <c r="J400" s="2" t="s">
        <v>650</v>
      </c>
      <c r="K400" s="2"/>
      <c r="L400" s="2"/>
      <c r="M400" s="8"/>
    </row>
    <row r="401" spans="1:13" ht="36" x14ac:dyDescent="0.25">
      <c r="A401" s="7" t="s">
        <v>3592</v>
      </c>
      <c r="B401" s="2" t="s">
        <v>652</v>
      </c>
      <c r="C401" s="4">
        <v>1</v>
      </c>
      <c r="D401" s="5">
        <v>9</v>
      </c>
      <c r="E401" s="5">
        <v>34</v>
      </c>
      <c r="F401" s="4" t="s">
        <v>652</v>
      </c>
      <c r="G401" s="2" t="s">
        <v>653</v>
      </c>
      <c r="H401" s="7" t="s">
        <v>2872</v>
      </c>
      <c r="I401" s="2" t="s">
        <v>50</v>
      </c>
      <c r="J401" s="2" t="s">
        <v>650</v>
      </c>
      <c r="K401" s="2"/>
      <c r="L401" s="2"/>
      <c r="M401" s="8"/>
    </row>
    <row r="402" spans="1:13" ht="36" x14ac:dyDescent="0.25">
      <c r="A402" s="7" t="s">
        <v>3593</v>
      </c>
      <c r="B402" s="2" t="s">
        <v>652</v>
      </c>
      <c r="C402" s="4">
        <v>1</v>
      </c>
      <c r="D402" s="5">
        <v>9</v>
      </c>
      <c r="E402" s="5">
        <v>34</v>
      </c>
      <c r="F402" s="4" t="s">
        <v>652</v>
      </c>
      <c r="G402" s="2" t="s">
        <v>653</v>
      </c>
      <c r="H402" s="7" t="s">
        <v>2740</v>
      </c>
      <c r="I402" s="2" t="s">
        <v>50</v>
      </c>
      <c r="J402" s="2" t="s">
        <v>650</v>
      </c>
      <c r="K402" s="2"/>
      <c r="L402" s="2"/>
      <c r="M402" s="8"/>
    </row>
    <row r="403" spans="1:13" ht="36" x14ac:dyDescent="0.25">
      <c r="A403" s="7" t="s">
        <v>8509</v>
      </c>
      <c r="B403" s="2" t="s">
        <v>652</v>
      </c>
      <c r="C403" s="4">
        <v>1</v>
      </c>
      <c r="D403" s="5">
        <v>9</v>
      </c>
      <c r="E403" s="5">
        <v>34</v>
      </c>
      <c r="F403" s="4" t="s">
        <v>652</v>
      </c>
      <c r="G403" s="2" t="s">
        <v>653</v>
      </c>
      <c r="H403" s="7" t="s">
        <v>961</v>
      </c>
      <c r="I403" s="2" t="s">
        <v>50</v>
      </c>
      <c r="J403" s="2" t="s">
        <v>650</v>
      </c>
      <c r="K403" s="2"/>
      <c r="L403" s="2"/>
      <c r="M403" s="8"/>
    </row>
    <row r="404" spans="1:13" ht="24" x14ac:dyDescent="0.25">
      <c r="A404" s="7" t="s">
        <v>7303</v>
      </c>
      <c r="B404" s="2" t="s">
        <v>7304</v>
      </c>
      <c r="C404" s="4">
        <v>1</v>
      </c>
      <c r="D404" s="5">
        <v>8.01</v>
      </c>
      <c r="E404" s="5">
        <v>17.989999999999998</v>
      </c>
      <c r="F404" s="4" t="s">
        <v>7305</v>
      </c>
      <c r="G404" s="2" t="s">
        <v>527</v>
      </c>
      <c r="H404" s="7" t="s">
        <v>228</v>
      </c>
      <c r="I404" s="2" t="s">
        <v>80</v>
      </c>
      <c r="J404" s="2" t="s">
        <v>160</v>
      </c>
      <c r="K404" s="2"/>
      <c r="L404" s="2"/>
      <c r="M404" s="8"/>
    </row>
    <row r="405" spans="1:13" ht="36" x14ac:dyDescent="0.25">
      <c r="A405" s="7" t="s">
        <v>10763</v>
      </c>
      <c r="B405" s="2" t="s">
        <v>5808</v>
      </c>
      <c r="C405" s="4">
        <v>1</v>
      </c>
      <c r="D405" s="5">
        <v>6.4</v>
      </c>
      <c r="E405" s="5">
        <v>14.55</v>
      </c>
      <c r="F405" s="4">
        <v>17889410</v>
      </c>
      <c r="G405" s="2" t="s">
        <v>28</v>
      </c>
      <c r="H405" s="7" t="s">
        <v>233</v>
      </c>
      <c r="I405" s="2" t="s">
        <v>153</v>
      </c>
      <c r="J405" s="2" t="s">
        <v>154</v>
      </c>
      <c r="K405" s="2"/>
      <c r="L405" s="2"/>
      <c r="M405" s="8"/>
    </row>
  </sheetData>
  <pageMargins left="0.5" right="0.5" top="0.25" bottom="0.25" header="0.3" footer="0.3"/>
  <pageSetup scale="65" orientation="landscape" horizontalDpi="0" verticalDpi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31"/>
  <sheetViews>
    <sheetView workbookViewId="0">
      <selection activeCell="N7" sqref="N7"/>
    </sheetView>
  </sheetViews>
  <sheetFormatPr defaultRowHeight="15" x14ac:dyDescent="0.25"/>
  <cols>
    <col min="1" max="1" width="14.28515625" customWidth="1"/>
    <col min="2" max="2" width="40.7109375" customWidth="1"/>
    <col min="3" max="3" width="15" customWidth="1"/>
    <col min="4" max="4" width="10.85546875" customWidth="1"/>
    <col min="5" max="6" width="15" customWidth="1"/>
    <col min="7" max="7" width="10.28515625" customWidth="1"/>
    <col min="8" max="8" width="12.5703125" customWidth="1"/>
    <col min="9" max="11" width="11.42578125" customWidth="1"/>
    <col min="12" max="12" width="7.42578125" customWidth="1"/>
    <col min="13" max="13" width="10.85546875" customWidth="1"/>
    <col min="14" max="14" width="12.140625" customWidth="1"/>
    <col min="15" max="15" width="36.5703125" bestFit="1" customWidth="1"/>
    <col min="16" max="17" width="20.7109375" customWidth="1"/>
    <col min="18" max="18" width="64.28515625" customWidth="1"/>
  </cols>
  <sheetData>
    <row r="1" spans="1:13" ht="36" x14ac:dyDescent="0.25">
      <c r="A1" s="31" t="s">
        <v>0</v>
      </c>
      <c r="B1" s="31" t="s">
        <v>1</v>
      </c>
      <c r="C1" s="31" t="s">
        <v>2</v>
      </c>
      <c r="D1" s="31" t="s">
        <v>3</v>
      </c>
      <c r="E1" s="31" t="s">
        <v>4</v>
      </c>
      <c r="F1" s="31" t="s">
        <v>5</v>
      </c>
      <c r="G1" s="31" t="s">
        <v>6</v>
      </c>
      <c r="H1" s="31" t="s">
        <v>7</v>
      </c>
      <c r="I1" s="31" t="s">
        <v>8</v>
      </c>
      <c r="J1" s="31" t="s">
        <v>9</v>
      </c>
    </row>
    <row r="2" spans="1:13" ht="36" x14ac:dyDescent="0.25">
      <c r="A2" s="2" t="s">
        <v>10</v>
      </c>
      <c r="B2" s="3">
        <v>12488793</v>
      </c>
      <c r="C2" s="2" t="s">
        <v>11</v>
      </c>
      <c r="D2" s="2" t="s">
        <v>12</v>
      </c>
      <c r="E2" s="4">
        <v>1</v>
      </c>
      <c r="F2" s="4">
        <v>18</v>
      </c>
      <c r="G2" s="2">
        <v>263</v>
      </c>
      <c r="H2" s="5">
        <v>7004.85</v>
      </c>
      <c r="I2" s="5">
        <v>17443.099999999999</v>
      </c>
      <c r="J2" s="2">
        <v>776</v>
      </c>
    </row>
    <row r="4" spans="1:13" s="6" customFormat="1" x14ac:dyDescent="0.25"/>
    <row r="7" spans="1:13" s="6" customFormat="1" x14ac:dyDescent="0.25"/>
    <row r="8" spans="1:13" ht="36" x14ac:dyDescent="0.25">
      <c r="A8" s="31" t="s">
        <v>13</v>
      </c>
      <c r="B8" s="31" t="s">
        <v>14</v>
      </c>
      <c r="C8" s="31" t="s">
        <v>15</v>
      </c>
      <c r="D8" s="31" t="s">
        <v>16</v>
      </c>
      <c r="E8" s="31" t="s">
        <v>17</v>
      </c>
      <c r="F8" s="31" t="s">
        <v>18</v>
      </c>
      <c r="G8" s="31" t="s">
        <v>19</v>
      </c>
      <c r="H8" s="31" t="s">
        <v>20</v>
      </c>
      <c r="I8" s="31" t="s">
        <v>21</v>
      </c>
      <c r="J8" s="31" t="s">
        <v>22</v>
      </c>
      <c r="K8" s="31" t="s">
        <v>2737</v>
      </c>
      <c r="L8" s="31" t="s">
        <v>23</v>
      </c>
      <c r="M8" s="31" t="s">
        <v>24</v>
      </c>
    </row>
    <row r="9" spans="1:13" ht="60" x14ac:dyDescent="0.25">
      <c r="A9" s="7" t="s">
        <v>13510</v>
      </c>
      <c r="B9" s="2" t="s">
        <v>13511</v>
      </c>
      <c r="C9" s="4">
        <v>1</v>
      </c>
      <c r="D9" s="5">
        <v>51.75</v>
      </c>
      <c r="E9" s="5">
        <v>115</v>
      </c>
      <c r="F9" s="4">
        <v>311751081001</v>
      </c>
      <c r="G9" s="2" t="s">
        <v>28</v>
      </c>
      <c r="H9" s="7" t="s">
        <v>144</v>
      </c>
      <c r="I9" s="2" t="s">
        <v>3028</v>
      </c>
      <c r="J9" s="2" t="s">
        <v>205</v>
      </c>
      <c r="K9" s="2" t="s">
        <v>304</v>
      </c>
      <c r="L9" s="2" t="s">
        <v>13512</v>
      </c>
      <c r="M9" s="8" t="str">
        <f>HYPERLINK("http://slimages.macys.com/is/image/MCY/14878230 ")</f>
        <v xml:space="preserve">http://slimages.macys.com/is/image/MCY/14878230 </v>
      </c>
    </row>
    <row r="10" spans="1:13" ht="72" x14ac:dyDescent="0.25">
      <c r="A10" s="7" t="s">
        <v>13513</v>
      </c>
      <c r="B10" s="2" t="s">
        <v>13514</v>
      </c>
      <c r="C10" s="4">
        <v>1</v>
      </c>
      <c r="D10" s="5">
        <v>35</v>
      </c>
      <c r="E10" s="5">
        <v>74</v>
      </c>
      <c r="F10" s="4" t="s">
        <v>13515</v>
      </c>
      <c r="G10" s="2" t="s">
        <v>262</v>
      </c>
      <c r="H10" s="7" t="s">
        <v>311</v>
      </c>
      <c r="I10" s="2" t="s">
        <v>321</v>
      </c>
      <c r="J10" s="2" t="s">
        <v>13516</v>
      </c>
      <c r="K10" s="2" t="s">
        <v>2776</v>
      </c>
      <c r="L10" s="2" t="s">
        <v>13517</v>
      </c>
      <c r="M10" s="8" t="str">
        <f>HYPERLINK("http://images.bloomingdales.com/is/image/BLM/10125624 ")</f>
        <v xml:space="preserve">http://images.bloomingdales.com/is/image/BLM/10125624 </v>
      </c>
    </row>
    <row r="11" spans="1:13" ht="60" x14ac:dyDescent="0.25">
      <c r="A11" s="7" t="s">
        <v>13518</v>
      </c>
      <c r="B11" s="2" t="s">
        <v>1413</v>
      </c>
      <c r="C11" s="4">
        <v>1</v>
      </c>
      <c r="D11" s="5">
        <v>24.75</v>
      </c>
      <c r="E11" s="5">
        <v>55</v>
      </c>
      <c r="F11" s="4">
        <v>310752315001</v>
      </c>
      <c r="G11" s="2" t="s">
        <v>41</v>
      </c>
      <c r="H11" s="7" t="s">
        <v>42</v>
      </c>
      <c r="I11" s="2" t="s">
        <v>676</v>
      </c>
      <c r="J11" s="2" t="s">
        <v>677</v>
      </c>
      <c r="K11" s="2" t="s">
        <v>304</v>
      </c>
      <c r="L11" s="2" t="s">
        <v>38</v>
      </c>
      <c r="M11" s="8" t="str">
        <f>HYPERLINK("http://slimages.macys.com/is/image/MCY/14361795 ")</f>
        <v xml:space="preserve">http://slimages.macys.com/is/image/MCY/14361795 </v>
      </c>
    </row>
    <row r="12" spans="1:13" ht="60" x14ac:dyDescent="0.25">
      <c r="A12" s="7" t="s">
        <v>3612</v>
      </c>
      <c r="B12" s="2" t="s">
        <v>1413</v>
      </c>
      <c r="C12" s="4">
        <v>1</v>
      </c>
      <c r="D12" s="5">
        <v>24.75</v>
      </c>
      <c r="E12" s="5">
        <v>55</v>
      </c>
      <c r="F12" s="4">
        <v>310752315001</v>
      </c>
      <c r="G12" s="2" t="s">
        <v>41</v>
      </c>
      <c r="H12" s="7" t="s">
        <v>438</v>
      </c>
      <c r="I12" s="2" t="s">
        <v>676</v>
      </c>
      <c r="J12" s="2" t="s">
        <v>677</v>
      </c>
      <c r="K12" s="2" t="s">
        <v>304</v>
      </c>
      <c r="L12" s="2" t="s">
        <v>38</v>
      </c>
      <c r="M12" s="8" t="str">
        <f>HYPERLINK("http://slimages.macys.com/is/image/MCY/14361795 ")</f>
        <v xml:space="preserve">http://slimages.macys.com/is/image/MCY/14361795 </v>
      </c>
    </row>
    <row r="13" spans="1:13" ht="60" x14ac:dyDescent="0.25">
      <c r="A13" s="7" t="s">
        <v>13519</v>
      </c>
      <c r="B13" s="2" t="s">
        <v>674</v>
      </c>
      <c r="C13" s="4">
        <v>1</v>
      </c>
      <c r="D13" s="5">
        <v>20.25</v>
      </c>
      <c r="E13" s="5">
        <v>45</v>
      </c>
      <c r="F13" s="4">
        <v>310750855001</v>
      </c>
      <c r="G13" s="2" t="s">
        <v>657</v>
      </c>
      <c r="H13" s="7" t="s">
        <v>438</v>
      </c>
      <c r="I13" s="2" t="s">
        <v>676</v>
      </c>
      <c r="J13" s="2" t="s">
        <v>677</v>
      </c>
      <c r="K13" s="2" t="s">
        <v>304</v>
      </c>
      <c r="L13" s="2" t="s">
        <v>678</v>
      </c>
      <c r="M13" s="8" t="str">
        <f>HYPERLINK("http://slimages.macys.com/is/image/MCY/14468925 ")</f>
        <v xml:space="preserve">http://slimages.macys.com/is/image/MCY/14468925 </v>
      </c>
    </row>
    <row r="14" spans="1:13" ht="144" x14ac:dyDescent="0.25">
      <c r="A14" s="7" t="s">
        <v>13520</v>
      </c>
      <c r="B14" s="2" t="s">
        <v>13521</v>
      </c>
      <c r="C14" s="4">
        <v>1</v>
      </c>
      <c r="D14" s="5">
        <v>20</v>
      </c>
      <c r="E14" s="5">
        <v>54.99</v>
      </c>
      <c r="F14" s="4" t="s">
        <v>13522</v>
      </c>
      <c r="G14" s="2" t="s">
        <v>28</v>
      </c>
      <c r="H14" s="7" t="s">
        <v>179</v>
      </c>
      <c r="I14" s="2" t="s">
        <v>668</v>
      </c>
      <c r="J14" s="2" t="s">
        <v>239</v>
      </c>
      <c r="K14" s="2" t="s">
        <v>304</v>
      </c>
      <c r="L14" s="2" t="s">
        <v>13523</v>
      </c>
      <c r="M14" s="8" t="str">
        <f>HYPERLINK("http://slimages.macys.com/is/image/MCY/13761656 ")</f>
        <v xml:space="preserve">http://slimages.macys.com/is/image/MCY/13761656 </v>
      </c>
    </row>
    <row r="15" spans="1:13" ht="60" x14ac:dyDescent="0.25">
      <c r="A15" s="7" t="s">
        <v>3636</v>
      </c>
      <c r="B15" s="2" t="s">
        <v>70</v>
      </c>
      <c r="C15" s="4">
        <v>1</v>
      </c>
      <c r="D15" s="5">
        <v>18.899999999999999</v>
      </c>
      <c r="E15" s="5">
        <v>45</v>
      </c>
      <c r="F15" s="4" t="s">
        <v>71</v>
      </c>
      <c r="G15" s="2" t="s">
        <v>62</v>
      </c>
      <c r="H15" s="7" t="s">
        <v>789</v>
      </c>
      <c r="I15" s="2" t="s">
        <v>73</v>
      </c>
      <c r="J15" s="2" t="s">
        <v>74</v>
      </c>
      <c r="K15" s="2" t="s">
        <v>304</v>
      </c>
      <c r="L15" s="2" t="s">
        <v>75</v>
      </c>
      <c r="M15" s="8" t="str">
        <f>HYPERLINK("http://slimages.macys.com/is/image/MCY/11714378 ")</f>
        <v xml:space="preserve">http://slimages.macys.com/is/image/MCY/11714378 </v>
      </c>
    </row>
    <row r="16" spans="1:13" ht="228" x14ac:dyDescent="0.25">
      <c r="A16" s="7" t="s">
        <v>13524</v>
      </c>
      <c r="B16" s="2" t="s">
        <v>89</v>
      </c>
      <c r="C16" s="4">
        <v>1</v>
      </c>
      <c r="D16" s="5">
        <v>17.5</v>
      </c>
      <c r="E16" s="5">
        <v>39.99</v>
      </c>
      <c r="F16" s="4" t="s">
        <v>90</v>
      </c>
      <c r="G16" s="2" t="s">
        <v>41</v>
      </c>
      <c r="H16" s="7" t="s">
        <v>149</v>
      </c>
      <c r="I16" s="2" t="s">
        <v>92</v>
      </c>
      <c r="J16" s="2" t="s">
        <v>65</v>
      </c>
      <c r="K16" s="2" t="s">
        <v>304</v>
      </c>
      <c r="L16" s="2" t="s">
        <v>93</v>
      </c>
      <c r="M16" s="8" t="str">
        <f>HYPERLINK("http://slimages.macys.com/is/image/MCY/14885680 ")</f>
        <v xml:space="preserve">http://slimages.macys.com/is/image/MCY/14885680 </v>
      </c>
    </row>
    <row r="17" spans="1:13" ht="108" x14ac:dyDescent="0.25">
      <c r="A17" s="7" t="s">
        <v>2460</v>
      </c>
      <c r="B17" s="2" t="s">
        <v>2461</v>
      </c>
      <c r="C17" s="4">
        <v>1</v>
      </c>
      <c r="D17" s="5">
        <v>17.25</v>
      </c>
      <c r="E17" s="5">
        <v>39.99</v>
      </c>
      <c r="F17" s="4" t="s">
        <v>2462</v>
      </c>
      <c r="G17" s="2" t="s">
        <v>129</v>
      </c>
      <c r="H17" s="7" t="s">
        <v>91</v>
      </c>
      <c r="I17" s="2" t="s">
        <v>92</v>
      </c>
      <c r="J17" s="2" t="s">
        <v>187</v>
      </c>
      <c r="K17" s="2" t="s">
        <v>304</v>
      </c>
      <c r="L17" s="2" t="s">
        <v>2463</v>
      </c>
      <c r="M17" s="8" t="str">
        <f>HYPERLINK("http://slimages.macys.com/is/image/MCY/14885619 ")</f>
        <v xml:space="preserve">http://slimages.macys.com/is/image/MCY/14885619 </v>
      </c>
    </row>
    <row r="18" spans="1:13" ht="108" x14ac:dyDescent="0.25">
      <c r="A18" s="7" t="s">
        <v>13198</v>
      </c>
      <c r="B18" s="2" t="s">
        <v>2461</v>
      </c>
      <c r="C18" s="4">
        <v>2</v>
      </c>
      <c r="D18" s="5">
        <v>17.25</v>
      </c>
      <c r="E18" s="5">
        <v>39.99</v>
      </c>
      <c r="F18" s="4" t="s">
        <v>2462</v>
      </c>
      <c r="G18" s="2" t="s">
        <v>129</v>
      </c>
      <c r="H18" s="7" t="s">
        <v>149</v>
      </c>
      <c r="I18" s="2" t="s">
        <v>92</v>
      </c>
      <c r="J18" s="2" t="s">
        <v>187</v>
      </c>
      <c r="K18" s="2" t="s">
        <v>304</v>
      </c>
      <c r="L18" s="2" t="s">
        <v>2463</v>
      </c>
      <c r="M18" s="8" t="str">
        <f>HYPERLINK("http://slimages.macys.com/is/image/MCY/14885619 ")</f>
        <v xml:space="preserve">http://slimages.macys.com/is/image/MCY/14885619 </v>
      </c>
    </row>
    <row r="19" spans="1:13" ht="108" x14ac:dyDescent="0.25">
      <c r="A19" s="7" t="s">
        <v>13200</v>
      </c>
      <c r="B19" s="2" t="s">
        <v>2461</v>
      </c>
      <c r="C19" s="4">
        <v>1</v>
      </c>
      <c r="D19" s="5">
        <v>17.25</v>
      </c>
      <c r="E19" s="5">
        <v>39.99</v>
      </c>
      <c r="F19" s="4" t="s">
        <v>2462</v>
      </c>
      <c r="G19" s="2" t="s">
        <v>129</v>
      </c>
      <c r="H19" s="7" t="s">
        <v>42</v>
      </c>
      <c r="I19" s="2" t="s">
        <v>92</v>
      </c>
      <c r="J19" s="2" t="s">
        <v>187</v>
      </c>
      <c r="K19" s="2" t="s">
        <v>304</v>
      </c>
      <c r="L19" s="2" t="s">
        <v>2463</v>
      </c>
      <c r="M19" s="8" t="str">
        <f>HYPERLINK("http://slimages.macys.com/is/image/MCY/14885619 ")</f>
        <v xml:space="preserve">http://slimages.macys.com/is/image/MCY/14885619 </v>
      </c>
    </row>
    <row r="20" spans="1:13" ht="108" x14ac:dyDescent="0.25">
      <c r="A20" s="7" t="s">
        <v>13201</v>
      </c>
      <c r="B20" s="2" t="s">
        <v>2461</v>
      </c>
      <c r="C20" s="4">
        <v>1</v>
      </c>
      <c r="D20" s="5">
        <v>17.25</v>
      </c>
      <c r="E20" s="5">
        <v>39.99</v>
      </c>
      <c r="F20" s="4" t="s">
        <v>2462</v>
      </c>
      <c r="G20" s="2" t="s">
        <v>129</v>
      </c>
      <c r="H20" s="7" t="s">
        <v>590</v>
      </c>
      <c r="I20" s="2" t="s">
        <v>92</v>
      </c>
      <c r="J20" s="2" t="s">
        <v>187</v>
      </c>
      <c r="K20" s="2" t="s">
        <v>304</v>
      </c>
      <c r="L20" s="2" t="s">
        <v>2463</v>
      </c>
      <c r="M20" s="8" t="str">
        <f>HYPERLINK("http://slimages.macys.com/is/image/MCY/14885619 ")</f>
        <v xml:space="preserve">http://slimages.macys.com/is/image/MCY/14885619 </v>
      </c>
    </row>
    <row r="21" spans="1:13" ht="264" x14ac:dyDescent="0.25">
      <c r="A21" s="7" t="s">
        <v>13525</v>
      </c>
      <c r="B21" s="2" t="s">
        <v>13208</v>
      </c>
      <c r="C21" s="4">
        <v>3</v>
      </c>
      <c r="D21" s="5">
        <v>16.75</v>
      </c>
      <c r="E21" s="5">
        <v>39.99</v>
      </c>
      <c r="F21" s="4" t="s">
        <v>13209</v>
      </c>
      <c r="G21" s="2" t="s">
        <v>129</v>
      </c>
      <c r="H21" s="7" t="s">
        <v>42</v>
      </c>
      <c r="I21" s="2" t="s">
        <v>92</v>
      </c>
      <c r="J21" s="2" t="s">
        <v>187</v>
      </c>
      <c r="K21" s="2" t="s">
        <v>304</v>
      </c>
      <c r="L21" s="2" t="s">
        <v>13210</v>
      </c>
      <c r="M21" s="8" t="str">
        <f>HYPERLINK("http://slimages.macys.com/is/image/MCY/14802453 ")</f>
        <v xml:space="preserve">http://slimages.macys.com/is/image/MCY/14802453 </v>
      </c>
    </row>
    <row r="22" spans="1:13" ht="264" x14ac:dyDescent="0.25">
      <c r="A22" s="7" t="s">
        <v>13207</v>
      </c>
      <c r="B22" s="2" t="s">
        <v>13208</v>
      </c>
      <c r="C22" s="4">
        <v>1</v>
      </c>
      <c r="D22" s="5">
        <v>16.75</v>
      </c>
      <c r="E22" s="5">
        <v>39.99</v>
      </c>
      <c r="F22" s="4" t="s">
        <v>13209</v>
      </c>
      <c r="G22" s="2" t="s">
        <v>129</v>
      </c>
      <c r="H22" s="7" t="s">
        <v>149</v>
      </c>
      <c r="I22" s="2" t="s">
        <v>92</v>
      </c>
      <c r="J22" s="2" t="s">
        <v>187</v>
      </c>
      <c r="K22" s="2" t="s">
        <v>304</v>
      </c>
      <c r="L22" s="2" t="s">
        <v>13210</v>
      </c>
      <c r="M22" s="8" t="str">
        <f>HYPERLINK("http://slimages.macys.com/is/image/MCY/14802453 ")</f>
        <v xml:space="preserve">http://slimages.macys.com/is/image/MCY/14802453 </v>
      </c>
    </row>
    <row r="23" spans="1:13" ht="264" x14ac:dyDescent="0.25">
      <c r="A23" s="7" t="s">
        <v>13526</v>
      </c>
      <c r="B23" s="2" t="s">
        <v>13208</v>
      </c>
      <c r="C23" s="4">
        <v>1</v>
      </c>
      <c r="D23" s="5">
        <v>16.75</v>
      </c>
      <c r="E23" s="5">
        <v>39.99</v>
      </c>
      <c r="F23" s="4" t="s">
        <v>13209</v>
      </c>
      <c r="G23" s="2" t="s">
        <v>129</v>
      </c>
      <c r="H23" s="7" t="s">
        <v>590</v>
      </c>
      <c r="I23" s="2" t="s">
        <v>92</v>
      </c>
      <c r="J23" s="2" t="s">
        <v>187</v>
      </c>
      <c r="K23" s="2" t="s">
        <v>304</v>
      </c>
      <c r="L23" s="2" t="s">
        <v>13210</v>
      </c>
      <c r="M23" s="8" t="str">
        <f>HYPERLINK("http://slimages.macys.com/is/image/MCY/14802453 ")</f>
        <v xml:space="preserve">http://slimages.macys.com/is/image/MCY/14802453 </v>
      </c>
    </row>
    <row r="24" spans="1:13" ht="264" x14ac:dyDescent="0.25">
      <c r="A24" s="7" t="s">
        <v>13527</v>
      </c>
      <c r="B24" s="2" t="s">
        <v>13208</v>
      </c>
      <c r="C24" s="4">
        <v>2</v>
      </c>
      <c r="D24" s="5">
        <v>16.75</v>
      </c>
      <c r="E24" s="5">
        <v>39.99</v>
      </c>
      <c r="F24" s="4" t="s">
        <v>13209</v>
      </c>
      <c r="G24" s="2" t="s">
        <v>129</v>
      </c>
      <c r="H24" s="7" t="s">
        <v>91</v>
      </c>
      <c r="I24" s="2" t="s">
        <v>92</v>
      </c>
      <c r="J24" s="2" t="s">
        <v>187</v>
      </c>
      <c r="K24" s="2" t="s">
        <v>304</v>
      </c>
      <c r="L24" s="2" t="s">
        <v>13210</v>
      </c>
      <c r="M24" s="8" t="str">
        <f>HYPERLINK("http://slimages.macys.com/is/image/MCY/14802453 ")</f>
        <v xml:space="preserve">http://slimages.macys.com/is/image/MCY/14802453 </v>
      </c>
    </row>
    <row r="25" spans="1:13" ht="120" x14ac:dyDescent="0.25">
      <c r="A25" s="7" t="s">
        <v>3660</v>
      </c>
      <c r="B25" s="2" t="s">
        <v>1454</v>
      </c>
      <c r="C25" s="4">
        <v>1</v>
      </c>
      <c r="D25" s="5">
        <v>16.5</v>
      </c>
      <c r="E25" s="5">
        <v>39.99</v>
      </c>
      <c r="F25" s="4" t="s">
        <v>1455</v>
      </c>
      <c r="G25" s="2" t="s">
        <v>103</v>
      </c>
      <c r="H25" s="7" t="s">
        <v>590</v>
      </c>
      <c r="I25" s="2" t="s">
        <v>92</v>
      </c>
      <c r="J25" s="2" t="s">
        <v>65</v>
      </c>
      <c r="K25" s="2" t="s">
        <v>304</v>
      </c>
      <c r="L25" s="2" t="s">
        <v>1456</v>
      </c>
      <c r="M25" s="8" t="str">
        <f>HYPERLINK("http://slimages.macys.com/is/image/MCY/13965178 ")</f>
        <v xml:space="preserve">http://slimages.macys.com/is/image/MCY/13965178 </v>
      </c>
    </row>
    <row r="26" spans="1:13" ht="120" x14ac:dyDescent="0.25">
      <c r="A26" s="7" t="s">
        <v>13528</v>
      </c>
      <c r="B26" s="2" t="s">
        <v>1454</v>
      </c>
      <c r="C26" s="4">
        <v>1</v>
      </c>
      <c r="D26" s="5">
        <v>16.5</v>
      </c>
      <c r="E26" s="5">
        <v>39.99</v>
      </c>
      <c r="F26" s="4" t="s">
        <v>1455</v>
      </c>
      <c r="G26" s="2" t="s">
        <v>103</v>
      </c>
      <c r="H26" s="7" t="s">
        <v>149</v>
      </c>
      <c r="I26" s="2" t="s">
        <v>92</v>
      </c>
      <c r="J26" s="2" t="s">
        <v>65</v>
      </c>
      <c r="K26" s="2" t="s">
        <v>304</v>
      </c>
      <c r="L26" s="2" t="s">
        <v>1456</v>
      </c>
      <c r="M26" s="8" t="str">
        <f>HYPERLINK("http://slimages.macys.com/is/image/MCY/13965178 ")</f>
        <v xml:space="preserve">http://slimages.macys.com/is/image/MCY/13965178 </v>
      </c>
    </row>
    <row r="27" spans="1:13" ht="180" x14ac:dyDescent="0.25">
      <c r="A27" s="7" t="s">
        <v>2950</v>
      </c>
      <c r="B27" s="2" t="s">
        <v>1450</v>
      </c>
      <c r="C27" s="4">
        <v>1</v>
      </c>
      <c r="D27" s="5">
        <v>16.5</v>
      </c>
      <c r="E27" s="5">
        <v>39.99</v>
      </c>
      <c r="F27" s="4" t="s">
        <v>1451</v>
      </c>
      <c r="G27" s="2" t="s">
        <v>103</v>
      </c>
      <c r="H27" s="7" t="s">
        <v>42</v>
      </c>
      <c r="I27" s="2" t="s">
        <v>92</v>
      </c>
      <c r="J27" s="2" t="s">
        <v>239</v>
      </c>
      <c r="K27" s="2" t="s">
        <v>304</v>
      </c>
      <c r="L27" s="2" t="s">
        <v>1452</v>
      </c>
      <c r="M27" s="8" t="str">
        <f>HYPERLINK("http://slimages.macys.com/is/image/MCY/14989365 ")</f>
        <v xml:space="preserve">http://slimages.macys.com/is/image/MCY/14989365 </v>
      </c>
    </row>
    <row r="28" spans="1:13" ht="120" x14ac:dyDescent="0.25">
      <c r="A28" s="7" t="s">
        <v>2951</v>
      </c>
      <c r="B28" s="2" t="s">
        <v>1454</v>
      </c>
      <c r="C28" s="4">
        <v>1</v>
      </c>
      <c r="D28" s="5">
        <v>16.5</v>
      </c>
      <c r="E28" s="5">
        <v>39.99</v>
      </c>
      <c r="F28" s="4" t="s">
        <v>1455</v>
      </c>
      <c r="G28" s="2" t="s">
        <v>103</v>
      </c>
      <c r="H28" s="7" t="s">
        <v>91</v>
      </c>
      <c r="I28" s="2" t="s">
        <v>92</v>
      </c>
      <c r="J28" s="2" t="s">
        <v>65</v>
      </c>
      <c r="K28" s="2" t="s">
        <v>304</v>
      </c>
      <c r="L28" s="2" t="s">
        <v>1456</v>
      </c>
      <c r="M28" s="8" t="str">
        <f>HYPERLINK("http://slimages.macys.com/is/image/MCY/13965178 ")</f>
        <v xml:space="preserve">http://slimages.macys.com/is/image/MCY/13965178 </v>
      </c>
    </row>
    <row r="29" spans="1:13" ht="168" x14ac:dyDescent="0.25">
      <c r="A29" s="7" t="s">
        <v>3661</v>
      </c>
      <c r="B29" s="2" t="s">
        <v>3655</v>
      </c>
      <c r="C29" s="4">
        <v>1</v>
      </c>
      <c r="D29" s="5">
        <v>16.5</v>
      </c>
      <c r="E29" s="5">
        <v>39.99</v>
      </c>
      <c r="F29" s="4" t="s">
        <v>3656</v>
      </c>
      <c r="G29" s="2" t="s">
        <v>129</v>
      </c>
      <c r="H29" s="7" t="s">
        <v>442</v>
      </c>
      <c r="I29" s="2" t="s">
        <v>92</v>
      </c>
      <c r="J29" s="2" t="s">
        <v>239</v>
      </c>
      <c r="K29" s="2" t="s">
        <v>304</v>
      </c>
      <c r="L29" s="2" t="s">
        <v>3657</v>
      </c>
      <c r="M29" s="8" t="str">
        <f>HYPERLINK("http://slimages.macys.com/is/image/MCY/14990170 ")</f>
        <v xml:space="preserve">http://slimages.macys.com/is/image/MCY/14990170 </v>
      </c>
    </row>
    <row r="30" spans="1:13" ht="168" x14ac:dyDescent="0.25">
      <c r="A30" s="7" t="s">
        <v>13213</v>
      </c>
      <c r="B30" s="2" t="s">
        <v>3655</v>
      </c>
      <c r="C30" s="4">
        <v>1</v>
      </c>
      <c r="D30" s="5">
        <v>16.5</v>
      </c>
      <c r="E30" s="5">
        <v>39.99</v>
      </c>
      <c r="F30" s="4" t="s">
        <v>3656</v>
      </c>
      <c r="G30" s="2" t="s">
        <v>129</v>
      </c>
      <c r="H30" s="7" t="s">
        <v>149</v>
      </c>
      <c r="I30" s="2" t="s">
        <v>92</v>
      </c>
      <c r="J30" s="2" t="s">
        <v>239</v>
      </c>
      <c r="K30" s="2" t="s">
        <v>304</v>
      </c>
      <c r="L30" s="2" t="s">
        <v>3657</v>
      </c>
      <c r="M30" s="8" t="str">
        <f>HYPERLINK("http://slimages.macys.com/is/image/MCY/14990170 ")</f>
        <v xml:space="preserve">http://slimages.macys.com/is/image/MCY/14990170 </v>
      </c>
    </row>
    <row r="31" spans="1:13" ht="84" x14ac:dyDescent="0.25">
      <c r="A31" s="7" t="s">
        <v>2959</v>
      </c>
      <c r="B31" s="2" t="s">
        <v>1458</v>
      </c>
      <c r="C31" s="4">
        <v>1</v>
      </c>
      <c r="D31" s="5">
        <v>16</v>
      </c>
      <c r="E31" s="5">
        <v>39.99</v>
      </c>
      <c r="F31" s="4" t="s">
        <v>1459</v>
      </c>
      <c r="G31" s="2" t="s">
        <v>129</v>
      </c>
      <c r="H31" s="7" t="s">
        <v>149</v>
      </c>
      <c r="I31" s="2" t="s">
        <v>92</v>
      </c>
      <c r="J31" s="2" t="s">
        <v>239</v>
      </c>
      <c r="K31" s="2" t="s">
        <v>304</v>
      </c>
      <c r="L31" s="2" t="s">
        <v>1460</v>
      </c>
      <c r="M31" s="8" t="str">
        <f>HYPERLINK("http://slimages.macys.com/is/image/MCY/14989246 ")</f>
        <v xml:space="preserve">http://slimages.macys.com/is/image/MCY/14989246 </v>
      </c>
    </row>
    <row r="32" spans="1:13" ht="108" x14ac:dyDescent="0.25">
      <c r="A32" s="7" t="s">
        <v>13529</v>
      </c>
      <c r="B32" s="2" t="s">
        <v>13530</v>
      </c>
      <c r="C32" s="4">
        <v>1</v>
      </c>
      <c r="D32" s="5">
        <v>16</v>
      </c>
      <c r="E32" s="5">
        <v>39.99</v>
      </c>
      <c r="F32" s="4" t="s">
        <v>13531</v>
      </c>
      <c r="G32" s="2" t="s">
        <v>643</v>
      </c>
      <c r="H32" s="7" t="s">
        <v>149</v>
      </c>
      <c r="I32" s="2" t="s">
        <v>92</v>
      </c>
      <c r="J32" s="2" t="s">
        <v>239</v>
      </c>
      <c r="K32" s="2" t="s">
        <v>304</v>
      </c>
      <c r="L32" s="2" t="s">
        <v>13532</v>
      </c>
      <c r="M32" s="8" t="str">
        <f>HYPERLINK("http://slimages.macys.com/is/image/MCY/11703712 ")</f>
        <v xml:space="preserve">http://slimages.macys.com/is/image/MCY/11703712 </v>
      </c>
    </row>
    <row r="33" spans="1:13" ht="132" x14ac:dyDescent="0.25">
      <c r="A33" s="7" t="s">
        <v>13533</v>
      </c>
      <c r="B33" s="2" t="s">
        <v>13534</v>
      </c>
      <c r="C33" s="4">
        <v>1</v>
      </c>
      <c r="D33" s="5">
        <v>15</v>
      </c>
      <c r="E33" s="5">
        <v>39.99</v>
      </c>
      <c r="F33" s="4" t="s">
        <v>13535</v>
      </c>
      <c r="G33" s="2" t="s">
        <v>36</v>
      </c>
      <c r="H33" s="7" t="s">
        <v>149</v>
      </c>
      <c r="I33" s="2" t="s">
        <v>92</v>
      </c>
      <c r="J33" s="2" t="s">
        <v>65</v>
      </c>
      <c r="K33" s="2" t="s">
        <v>304</v>
      </c>
      <c r="L33" s="2" t="s">
        <v>13536</v>
      </c>
      <c r="M33" s="8" t="str">
        <f>HYPERLINK("http://slimages.macys.com/is/image/MCY/13965171 ")</f>
        <v xml:space="preserve">http://slimages.macys.com/is/image/MCY/13965171 </v>
      </c>
    </row>
    <row r="34" spans="1:13" ht="60" x14ac:dyDescent="0.25">
      <c r="A34" s="7" t="s">
        <v>5182</v>
      </c>
      <c r="B34" s="2" t="s">
        <v>1484</v>
      </c>
      <c r="C34" s="4">
        <v>1</v>
      </c>
      <c r="D34" s="5">
        <v>15</v>
      </c>
      <c r="E34" s="5">
        <v>39.99</v>
      </c>
      <c r="F34" s="4" t="s">
        <v>1485</v>
      </c>
      <c r="G34" s="2" t="s">
        <v>752</v>
      </c>
      <c r="H34" s="7" t="s">
        <v>149</v>
      </c>
      <c r="I34" s="2" t="s">
        <v>92</v>
      </c>
      <c r="J34" s="2" t="s">
        <v>239</v>
      </c>
      <c r="K34" s="2" t="s">
        <v>304</v>
      </c>
      <c r="L34" s="2" t="s">
        <v>125</v>
      </c>
      <c r="M34" s="8" t="str">
        <f>HYPERLINK("http://slimages.macys.com/is/image/MCY/14886756 ")</f>
        <v xml:space="preserve">http://slimages.macys.com/is/image/MCY/14886756 </v>
      </c>
    </row>
    <row r="35" spans="1:13" ht="60" x14ac:dyDescent="0.25">
      <c r="A35" s="7" t="s">
        <v>13221</v>
      </c>
      <c r="B35" s="2" t="s">
        <v>1481</v>
      </c>
      <c r="C35" s="4">
        <v>1</v>
      </c>
      <c r="D35" s="5">
        <v>15</v>
      </c>
      <c r="E35" s="5">
        <v>39.99</v>
      </c>
      <c r="F35" s="4" t="s">
        <v>1482</v>
      </c>
      <c r="G35" s="2" t="s">
        <v>103</v>
      </c>
      <c r="H35" s="7" t="s">
        <v>590</v>
      </c>
      <c r="I35" s="2" t="s">
        <v>92</v>
      </c>
      <c r="J35" s="2" t="s">
        <v>239</v>
      </c>
      <c r="K35" s="2" t="s">
        <v>304</v>
      </c>
      <c r="L35" s="2" t="s">
        <v>125</v>
      </c>
      <c r="M35" s="8" t="str">
        <f>HYPERLINK("http://slimages.macys.com/is/image/MCY/15071393 ")</f>
        <v xml:space="preserve">http://slimages.macys.com/is/image/MCY/15071393 </v>
      </c>
    </row>
    <row r="36" spans="1:13" ht="180" x14ac:dyDescent="0.25">
      <c r="A36" s="7" t="s">
        <v>13537</v>
      </c>
      <c r="B36" s="2" t="s">
        <v>3698</v>
      </c>
      <c r="C36" s="4">
        <v>1</v>
      </c>
      <c r="D36" s="5">
        <v>14.5</v>
      </c>
      <c r="E36" s="5">
        <v>39.99</v>
      </c>
      <c r="F36" s="4" t="s">
        <v>3699</v>
      </c>
      <c r="G36" s="2" t="s">
        <v>62</v>
      </c>
      <c r="H36" s="7" t="s">
        <v>590</v>
      </c>
      <c r="I36" s="2" t="s">
        <v>92</v>
      </c>
      <c r="J36" s="2" t="s">
        <v>239</v>
      </c>
      <c r="K36" s="2" t="s">
        <v>304</v>
      </c>
      <c r="L36" s="2" t="s">
        <v>1452</v>
      </c>
      <c r="M36" s="8" t="str">
        <f>HYPERLINK("http://slimages.macys.com/is/image/MCY/14989303 ")</f>
        <v xml:space="preserve">http://slimages.macys.com/is/image/MCY/14989303 </v>
      </c>
    </row>
    <row r="37" spans="1:13" ht="60" x14ac:dyDescent="0.25">
      <c r="A37" s="7" t="s">
        <v>13538</v>
      </c>
      <c r="B37" s="2" t="s">
        <v>5194</v>
      </c>
      <c r="C37" s="4">
        <v>1</v>
      </c>
      <c r="D37" s="5">
        <v>14.5</v>
      </c>
      <c r="E37" s="5">
        <v>39.99</v>
      </c>
      <c r="F37" s="4" t="s">
        <v>5195</v>
      </c>
      <c r="G37" s="2" t="s">
        <v>129</v>
      </c>
      <c r="H37" s="7" t="s">
        <v>590</v>
      </c>
      <c r="I37" s="2" t="s">
        <v>92</v>
      </c>
      <c r="J37" s="2" t="s">
        <v>239</v>
      </c>
      <c r="K37" s="2" t="s">
        <v>304</v>
      </c>
      <c r="L37" s="2" t="s">
        <v>125</v>
      </c>
      <c r="M37" s="8" t="str">
        <f>HYPERLINK("http://slimages.macys.com/is/image/MCY/14988472 ")</f>
        <v xml:space="preserve">http://slimages.macys.com/is/image/MCY/14988472 </v>
      </c>
    </row>
    <row r="38" spans="1:13" ht="60" x14ac:dyDescent="0.25">
      <c r="A38" s="7" t="s">
        <v>13539</v>
      </c>
      <c r="B38" s="2" t="s">
        <v>9321</v>
      </c>
      <c r="C38" s="4">
        <v>1</v>
      </c>
      <c r="D38" s="5">
        <v>14.5</v>
      </c>
      <c r="E38" s="5">
        <v>39.99</v>
      </c>
      <c r="F38" s="4" t="s">
        <v>9322</v>
      </c>
      <c r="G38" s="2" t="s">
        <v>36</v>
      </c>
      <c r="H38" s="7" t="s">
        <v>42</v>
      </c>
      <c r="I38" s="2" t="s">
        <v>92</v>
      </c>
      <c r="J38" s="2" t="s">
        <v>65</v>
      </c>
      <c r="K38" s="2" t="s">
        <v>304</v>
      </c>
      <c r="L38" s="2" t="s">
        <v>9323</v>
      </c>
      <c r="M38" s="8" t="str">
        <f>HYPERLINK("http://slimages.macys.com/is/image/MCY/11455718 ")</f>
        <v xml:space="preserve">http://slimages.macys.com/is/image/MCY/11455718 </v>
      </c>
    </row>
    <row r="39" spans="1:13" ht="216" x14ac:dyDescent="0.25">
      <c r="A39" s="7" t="s">
        <v>13540</v>
      </c>
      <c r="B39" s="2" t="s">
        <v>3701</v>
      </c>
      <c r="C39" s="4">
        <v>1</v>
      </c>
      <c r="D39" s="5">
        <v>14.5</v>
      </c>
      <c r="E39" s="5">
        <v>34.99</v>
      </c>
      <c r="F39" s="4" t="s">
        <v>3702</v>
      </c>
      <c r="G39" s="2" t="s">
        <v>752</v>
      </c>
      <c r="H39" s="7" t="s">
        <v>442</v>
      </c>
      <c r="I39" s="2" t="s">
        <v>92</v>
      </c>
      <c r="J39" s="2" t="s">
        <v>65</v>
      </c>
      <c r="K39" s="2" t="s">
        <v>304</v>
      </c>
      <c r="L39" s="2" t="s">
        <v>3703</v>
      </c>
      <c r="M39" s="8" t="str">
        <f>HYPERLINK("http://slimages.macys.com/is/image/MCY/16148944 ")</f>
        <v xml:space="preserve">http://slimages.macys.com/is/image/MCY/16148944 </v>
      </c>
    </row>
    <row r="40" spans="1:13" ht="96" x14ac:dyDescent="0.25">
      <c r="A40" s="7" t="s">
        <v>13229</v>
      </c>
      <c r="B40" s="2" t="s">
        <v>2996</v>
      </c>
      <c r="C40" s="4">
        <v>2</v>
      </c>
      <c r="D40" s="5">
        <v>14</v>
      </c>
      <c r="E40" s="5">
        <v>34.99</v>
      </c>
      <c r="F40" s="4" t="s">
        <v>2997</v>
      </c>
      <c r="G40" s="2" t="s">
        <v>752</v>
      </c>
      <c r="H40" s="7" t="s">
        <v>442</v>
      </c>
      <c r="I40" s="2" t="s">
        <v>135</v>
      </c>
      <c r="J40" s="2" t="s">
        <v>136</v>
      </c>
      <c r="K40" s="2" t="s">
        <v>304</v>
      </c>
      <c r="L40" s="2" t="s">
        <v>137</v>
      </c>
      <c r="M40" s="8" t="str">
        <f>HYPERLINK("http://slimages.macys.com/is/image/MCY/15364745 ")</f>
        <v xml:space="preserve">http://slimages.macys.com/is/image/MCY/15364745 </v>
      </c>
    </row>
    <row r="41" spans="1:13" ht="96" x14ac:dyDescent="0.25">
      <c r="A41" s="7" t="s">
        <v>3706</v>
      </c>
      <c r="B41" s="2" t="s">
        <v>3707</v>
      </c>
      <c r="C41" s="4">
        <v>1</v>
      </c>
      <c r="D41" s="5">
        <v>14</v>
      </c>
      <c r="E41" s="5">
        <v>34.99</v>
      </c>
      <c r="F41" s="4" t="s">
        <v>3708</v>
      </c>
      <c r="G41" s="2" t="s">
        <v>62</v>
      </c>
      <c r="H41" s="7" t="s">
        <v>42</v>
      </c>
      <c r="I41" s="2" t="s">
        <v>135</v>
      </c>
      <c r="J41" s="2" t="s">
        <v>136</v>
      </c>
      <c r="K41" s="2" t="s">
        <v>304</v>
      </c>
      <c r="L41" s="2" t="s">
        <v>3709</v>
      </c>
      <c r="M41" s="8" t="str">
        <f>HYPERLINK("http://slimages.macys.com/is/image/MCY/15363769 ")</f>
        <v xml:space="preserve">http://slimages.macys.com/is/image/MCY/15363769 </v>
      </c>
    </row>
    <row r="42" spans="1:13" ht="96" x14ac:dyDescent="0.25">
      <c r="A42" s="7" t="s">
        <v>13240</v>
      </c>
      <c r="B42" s="2" t="s">
        <v>2996</v>
      </c>
      <c r="C42" s="4">
        <v>3</v>
      </c>
      <c r="D42" s="5">
        <v>14</v>
      </c>
      <c r="E42" s="5">
        <v>34.99</v>
      </c>
      <c r="F42" s="4" t="s">
        <v>2997</v>
      </c>
      <c r="G42" s="2" t="s">
        <v>752</v>
      </c>
      <c r="H42" s="7" t="s">
        <v>91</v>
      </c>
      <c r="I42" s="2" t="s">
        <v>135</v>
      </c>
      <c r="J42" s="2" t="s">
        <v>136</v>
      </c>
      <c r="K42" s="2" t="s">
        <v>304</v>
      </c>
      <c r="L42" s="2" t="s">
        <v>137</v>
      </c>
      <c r="M42" s="8" t="str">
        <f>HYPERLINK("http://slimages.macys.com/is/image/MCY/15364745 ")</f>
        <v xml:space="preserve">http://slimages.macys.com/is/image/MCY/15364745 </v>
      </c>
    </row>
    <row r="43" spans="1:13" ht="96" x14ac:dyDescent="0.25">
      <c r="A43" s="7" t="s">
        <v>2491</v>
      </c>
      <c r="B43" s="2" t="s">
        <v>2488</v>
      </c>
      <c r="C43" s="4">
        <v>1</v>
      </c>
      <c r="D43" s="5">
        <v>14</v>
      </c>
      <c r="E43" s="5">
        <v>34.99</v>
      </c>
      <c r="F43" s="4" t="s">
        <v>2489</v>
      </c>
      <c r="G43" s="2" t="s">
        <v>388</v>
      </c>
      <c r="H43" s="7" t="s">
        <v>91</v>
      </c>
      <c r="I43" s="2" t="s">
        <v>135</v>
      </c>
      <c r="J43" s="2" t="s">
        <v>136</v>
      </c>
      <c r="K43" s="2" t="s">
        <v>304</v>
      </c>
      <c r="L43" s="2" t="s">
        <v>137</v>
      </c>
      <c r="M43" s="8" t="str">
        <f>HYPERLINK("http://slimages.macys.com/is/image/MCY/15363783 ")</f>
        <v xml:space="preserve">http://slimages.macys.com/is/image/MCY/15363783 </v>
      </c>
    </row>
    <row r="44" spans="1:13" ht="96" x14ac:dyDescent="0.25">
      <c r="A44" s="7" t="s">
        <v>13241</v>
      </c>
      <c r="B44" s="2" t="s">
        <v>13235</v>
      </c>
      <c r="C44" s="4">
        <v>1</v>
      </c>
      <c r="D44" s="5">
        <v>14</v>
      </c>
      <c r="E44" s="5">
        <v>34.99</v>
      </c>
      <c r="F44" s="4" t="s">
        <v>13236</v>
      </c>
      <c r="G44" s="2" t="s">
        <v>752</v>
      </c>
      <c r="H44" s="7" t="s">
        <v>42</v>
      </c>
      <c r="I44" s="2" t="s">
        <v>135</v>
      </c>
      <c r="J44" s="2" t="s">
        <v>136</v>
      </c>
      <c r="K44" s="2" t="s">
        <v>304</v>
      </c>
      <c r="L44" s="2" t="s">
        <v>137</v>
      </c>
      <c r="M44" s="8" t="str">
        <f>HYPERLINK("http://slimages.macys.com/is/image/MCY/15364739 ")</f>
        <v xml:space="preserve">http://slimages.macys.com/is/image/MCY/15364739 </v>
      </c>
    </row>
    <row r="45" spans="1:13" ht="96" x14ac:dyDescent="0.25">
      <c r="A45" s="7" t="s">
        <v>13233</v>
      </c>
      <c r="B45" s="2" t="s">
        <v>3707</v>
      </c>
      <c r="C45" s="4">
        <v>5</v>
      </c>
      <c r="D45" s="5">
        <v>14</v>
      </c>
      <c r="E45" s="5">
        <v>34.99</v>
      </c>
      <c r="F45" s="4" t="s">
        <v>3708</v>
      </c>
      <c r="G45" s="2" t="s">
        <v>62</v>
      </c>
      <c r="H45" s="7" t="s">
        <v>91</v>
      </c>
      <c r="I45" s="2" t="s">
        <v>135</v>
      </c>
      <c r="J45" s="2" t="s">
        <v>136</v>
      </c>
      <c r="K45" s="2" t="s">
        <v>304</v>
      </c>
      <c r="L45" s="2" t="s">
        <v>3709</v>
      </c>
      <c r="M45" s="8" t="str">
        <f>HYPERLINK("http://slimages.macys.com/is/image/MCY/15363769 ")</f>
        <v xml:space="preserve">http://slimages.macys.com/is/image/MCY/15363769 </v>
      </c>
    </row>
    <row r="46" spans="1:13" ht="96" x14ac:dyDescent="0.25">
      <c r="A46" s="7" t="s">
        <v>2995</v>
      </c>
      <c r="B46" s="2" t="s">
        <v>2996</v>
      </c>
      <c r="C46" s="4">
        <v>2</v>
      </c>
      <c r="D46" s="5">
        <v>14</v>
      </c>
      <c r="E46" s="5">
        <v>34.99</v>
      </c>
      <c r="F46" s="4" t="s">
        <v>2997</v>
      </c>
      <c r="G46" s="2" t="s">
        <v>752</v>
      </c>
      <c r="H46" s="7" t="s">
        <v>42</v>
      </c>
      <c r="I46" s="2" t="s">
        <v>135</v>
      </c>
      <c r="J46" s="2" t="s">
        <v>136</v>
      </c>
      <c r="K46" s="2" t="s">
        <v>304</v>
      </c>
      <c r="L46" s="2" t="s">
        <v>137</v>
      </c>
      <c r="M46" s="8" t="str">
        <f>HYPERLINK("http://slimages.macys.com/is/image/MCY/15364745 ")</f>
        <v xml:space="preserve">http://slimages.macys.com/is/image/MCY/15364745 </v>
      </c>
    </row>
    <row r="47" spans="1:13" ht="96" x14ac:dyDescent="0.25">
      <c r="A47" s="7" t="s">
        <v>2487</v>
      </c>
      <c r="B47" s="2" t="s">
        <v>2488</v>
      </c>
      <c r="C47" s="4">
        <v>3</v>
      </c>
      <c r="D47" s="5">
        <v>14</v>
      </c>
      <c r="E47" s="5">
        <v>34.99</v>
      </c>
      <c r="F47" s="4" t="s">
        <v>2489</v>
      </c>
      <c r="G47" s="2" t="s">
        <v>388</v>
      </c>
      <c r="H47" s="7" t="s">
        <v>442</v>
      </c>
      <c r="I47" s="2" t="s">
        <v>135</v>
      </c>
      <c r="J47" s="2" t="s">
        <v>136</v>
      </c>
      <c r="K47" s="2" t="s">
        <v>304</v>
      </c>
      <c r="L47" s="2" t="s">
        <v>137</v>
      </c>
      <c r="M47" s="8" t="str">
        <f>HYPERLINK("http://slimages.macys.com/is/image/MCY/15363783 ")</f>
        <v xml:space="preserve">http://slimages.macys.com/is/image/MCY/15363783 </v>
      </c>
    </row>
    <row r="48" spans="1:13" ht="180" x14ac:dyDescent="0.25">
      <c r="A48" s="7" t="s">
        <v>13244</v>
      </c>
      <c r="B48" s="2" t="s">
        <v>13245</v>
      </c>
      <c r="C48" s="4">
        <v>1</v>
      </c>
      <c r="D48" s="5">
        <v>14</v>
      </c>
      <c r="E48" s="5">
        <v>34.99</v>
      </c>
      <c r="F48" s="4" t="s">
        <v>13246</v>
      </c>
      <c r="G48" s="2" t="s">
        <v>752</v>
      </c>
      <c r="H48" s="7" t="s">
        <v>149</v>
      </c>
      <c r="I48" s="2" t="s">
        <v>92</v>
      </c>
      <c r="J48" s="2" t="s">
        <v>65</v>
      </c>
      <c r="K48" s="2" t="s">
        <v>304</v>
      </c>
      <c r="L48" s="2" t="s">
        <v>13247</v>
      </c>
      <c r="M48" s="8" t="str">
        <f>HYPERLINK("http://slimages.macys.com/is/image/MCY/14885620 ")</f>
        <v xml:space="preserve">http://slimages.macys.com/is/image/MCY/14885620 </v>
      </c>
    </row>
    <row r="49" spans="1:13" ht="168" x14ac:dyDescent="0.25">
      <c r="A49" s="7" t="s">
        <v>13251</v>
      </c>
      <c r="B49" s="2" t="s">
        <v>127</v>
      </c>
      <c r="C49" s="4">
        <v>1</v>
      </c>
      <c r="D49" s="5">
        <v>14</v>
      </c>
      <c r="E49" s="5">
        <v>34.99</v>
      </c>
      <c r="F49" s="4" t="s">
        <v>128</v>
      </c>
      <c r="G49" s="2" t="s">
        <v>129</v>
      </c>
      <c r="H49" s="7" t="s">
        <v>42</v>
      </c>
      <c r="I49" s="2" t="s">
        <v>92</v>
      </c>
      <c r="J49" s="2" t="s">
        <v>65</v>
      </c>
      <c r="K49" s="2" t="s">
        <v>304</v>
      </c>
      <c r="L49" s="2" t="s">
        <v>130</v>
      </c>
      <c r="M49" s="8" t="str">
        <f>HYPERLINK("http://slimages.macys.com/is/image/MCY/14885750 ")</f>
        <v xml:space="preserve">http://slimages.macys.com/is/image/MCY/14885750 </v>
      </c>
    </row>
    <row r="50" spans="1:13" ht="168" x14ac:dyDescent="0.25">
      <c r="A50" s="7" t="s">
        <v>3705</v>
      </c>
      <c r="B50" s="2" t="s">
        <v>127</v>
      </c>
      <c r="C50" s="4">
        <v>2</v>
      </c>
      <c r="D50" s="5">
        <v>14</v>
      </c>
      <c r="E50" s="5">
        <v>34.99</v>
      </c>
      <c r="F50" s="4" t="s">
        <v>128</v>
      </c>
      <c r="G50" s="2" t="s">
        <v>129</v>
      </c>
      <c r="H50" s="7" t="s">
        <v>149</v>
      </c>
      <c r="I50" s="2" t="s">
        <v>92</v>
      </c>
      <c r="J50" s="2" t="s">
        <v>65</v>
      </c>
      <c r="K50" s="2" t="s">
        <v>304</v>
      </c>
      <c r="L50" s="2" t="s">
        <v>130</v>
      </c>
      <c r="M50" s="8" t="str">
        <f>HYPERLINK("http://slimages.macys.com/is/image/MCY/14885750 ")</f>
        <v xml:space="preserve">http://slimages.macys.com/is/image/MCY/14885750 </v>
      </c>
    </row>
    <row r="51" spans="1:13" ht="96" x14ac:dyDescent="0.25">
      <c r="A51" s="7" t="s">
        <v>2490</v>
      </c>
      <c r="B51" s="2" t="s">
        <v>2488</v>
      </c>
      <c r="C51" s="4">
        <v>1</v>
      </c>
      <c r="D51" s="5">
        <v>14</v>
      </c>
      <c r="E51" s="5">
        <v>34.99</v>
      </c>
      <c r="F51" s="4" t="s">
        <v>2489</v>
      </c>
      <c r="G51" s="2" t="s">
        <v>388</v>
      </c>
      <c r="H51" s="7" t="s">
        <v>42</v>
      </c>
      <c r="I51" s="2" t="s">
        <v>135</v>
      </c>
      <c r="J51" s="2" t="s">
        <v>136</v>
      </c>
      <c r="K51" s="2" t="s">
        <v>304</v>
      </c>
      <c r="L51" s="2" t="s">
        <v>137</v>
      </c>
      <c r="M51" s="8" t="str">
        <f>HYPERLINK("http://slimages.macys.com/is/image/MCY/15363783 ")</f>
        <v xml:space="preserve">http://slimages.macys.com/is/image/MCY/15363783 </v>
      </c>
    </row>
    <row r="52" spans="1:13" ht="60" x14ac:dyDescent="0.25">
      <c r="A52" s="7" t="s">
        <v>13541</v>
      </c>
      <c r="B52" s="2" t="s">
        <v>6173</v>
      </c>
      <c r="C52" s="4">
        <v>1</v>
      </c>
      <c r="D52" s="5">
        <v>14</v>
      </c>
      <c r="E52" s="5">
        <v>34.99</v>
      </c>
      <c r="F52" s="4" t="s">
        <v>13542</v>
      </c>
      <c r="G52" s="2" t="s">
        <v>814</v>
      </c>
      <c r="H52" s="7" t="s">
        <v>159</v>
      </c>
      <c r="I52" s="2" t="s">
        <v>80</v>
      </c>
      <c r="J52" s="2" t="s">
        <v>2967</v>
      </c>
      <c r="K52" s="2" t="s">
        <v>304</v>
      </c>
      <c r="L52" s="2" t="s">
        <v>125</v>
      </c>
      <c r="M52" s="8" t="str">
        <f>HYPERLINK("http://slimages.macys.com/is/image/MCY/13759639 ")</f>
        <v xml:space="preserve">http://slimages.macys.com/is/image/MCY/13759639 </v>
      </c>
    </row>
    <row r="53" spans="1:13" ht="84" x14ac:dyDescent="0.25">
      <c r="A53" s="7" t="s">
        <v>13543</v>
      </c>
      <c r="B53" s="2" t="s">
        <v>13544</v>
      </c>
      <c r="C53" s="4">
        <v>1</v>
      </c>
      <c r="D53" s="5">
        <v>14</v>
      </c>
      <c r="E53" s="5">
        <v>40</v>
      </c>
      <c r="F53" s="4" t="s">
        <v>13545</v>
      </c>
      <c r="G53" s="2" t="s">
        <v>874</v>
      </c>
      <c r="H53" s="7" t="s">
        <v>68</v>
      </c>
      <c r="I53" s="2" t="s">
        <v>700</v>
      </c>
      <c r="J53" s="2" t="s">
        <v>8171</v>
      </c>
      <c r="K53" s="2" t="s">
        <v>304</v>
      </c>
      <c r="L53" s="2" t="s">
        <v>13546</v>
      </c>
      <c r="M53" s="8" t="str">
        <f>HYPERLINK("http://slimages.macys.com/is/image/MCY/13791589 ")</f>
        <v xml:space="preserve">http://slimages.macys.com/is/image/MCY/13791589 </v>
      </c>
    </row>
    <row r="54" spans="1:13" ht="96" x14ac:dyDescent="0.25">
      <c r="A54" s="7" t="s">
        <v>13230</v>
      </c>
      <c r="B54" s="2" t="s">
        <v>13231</v>
      </c>
      <c r="C54" s="4">
        <v>2</v>
      </c>
      <c r="D54" s="5">
        <v>14</v>
      </c>
      <c r="E54" s="5">
        <v>34.99</v>
      </c>
      <c r="F54" s="4" t="s">
        <v>13232</v>
      </c>
      <c r="G54" s="2" t="s">
        <v>582</v>
      </c>
      <c r="H54" s="7" t="s">
        <v>442</v>
      </c>
      <c r="I54" s="2" t="s">
        <v>135</v>
      </c>
      <c r="J54" s="2" t="s">
        <v>136</v>
      </c>
      <c r="K54" s="2" t="s">
        <v>304</v>
      </c>
      <c r="L54" s="2" t="s">
        <v>137</v>
      </c>
      <c r="M54" s="8" t="str">
        <f>HYPERLINK("http://slimages.macys.com/is/image/MCY/15364743 ")</f>
        <v xml:space="preserve">http://slimages.macys.com/is/image/MCY/15364743 </v>
      </c>
    </row>
    <row r="55" spans="1:13" ht="96" x14ac:dyDescent="0.25">
      <c r="A55" s="7" t="s">
        <v>13547</v>
      </c>
      <c r="B55" s="2" t="s">
        <v>13231</v>
      </c>
      <c r="C55" s="4">
        <v>1</v>
      </c>
      <c r="D55" s="5">
        <v>14</v>
      </c>
      <c r="E55" s="5">
        <v>34.99</v>
      </c>
      <c r="F55" s="4" t="s">
        <v>13232</v>
      </c>
      <c r="G55" s="2" t="s">
        <v>582</v>
      </c>
      <c r="H55" s="7" t="s">
        <v>42</v>
      </c>
      <c r="I55" s="2" t="s">
        <v>135</v>
      </c>
      <c r="J55" s="2" t="s">
        <v>136</v>
      </c>
      <c r="K55" s="2" t="s">
        <v>304</v>
      </c>
      <c r="L55" s="2" t="s">
        <v>137</v>
      </c>
      <c r="M55" s="8" t="str">
        <f>HYPERLINK("http://slimages.macys.com/is/image/MCY/15364743 ")</f>
        <v xml:space="preserve">http://slimages.macys.com/is/image/MCY/15364743 </v>
      </c>
    </row>
    <row r="56" spans="1:13" ht="96" x14ac:dyDescent="0.25">
      <c r="A56" s="7" t="s">
        <v>13242</v>
      </c>
      <c r="B56" s="2" t="s">
        <v>13231</v>
      </c>
      <c r="C56" s="4">
        <v>2</v>
      </c>
      <c r="D56" s="5">
        <v>14</v>
      </c>
      <c r="E56" s="5">
        <v>34.99</v>
      </c>
      <c r="F56" s="4" t="s">
        <v>13232</v>
      </c>
      <c r="G56" s="2" t="s">
        <v>582</v>
      </c>
      <c r="H56" s="7" t="s">
        <v>91</v>
      </c>
      <c r="I56" s="2" t="s">
        <v>135</v>
      </c>
      <c r="J56" s="2" t="s">
        <v>136</v>
      </c>
      <c r="K56" s="2" t="s">
        <v>304</v>
      </c>
      <c r="L56" s="2" t="s">
        <v>137</v>
      </c>
      <c r="M56" s="8" t="str">
        <f>HYPERLINK("http://slimages.macys.com/is/image/MCY/15364743 ")</f>
        <v xml:space="preserve">http://slimages.macys.com/is/image/MCY/15364743 </v>
      </c>
    </row>
    <row r="57" spans="1:13" ht="96" x14ac:dyDescent="0.25">
      <c r="A57" s="7" t="s">
        <v>131</v>
      </c>
      <c r="B57" s="2" t="s">
        <v>132</v>
      </c>
      <c r="C57" s="4">
        <v>2</v>
      </c>
      <c r="D57" s="5">
        <v>14</v>
      </c>
      <c r="E57" s="5">
        <v>34.99</v>
      </c>
      <c r="F57" s="4" t="s">
        <v>133</v>
      </c>
      <c r="G57" s="2" t="s">
        <v>134</v>
      </c>
      <c r="H57" s="7" t="s">
        <v>91</v>
      </c>
      <c r="I57" s="2" t="s">
        <v>135</v>
      </c>
      <c r="J57" s="2" t="s">
        <v>136</v>
      </c>
      <c r="K57" s="2" t="s">
        <v>304</v>
      </c>
      <c r="L57" s="2" t="s">
        <v>137</v>
      </c>
      <c r="M57" s="8" t="str">
        <f>HYPERLINK("http://slimages.macys.com/is/image/MCY/15365447 ")</f>
        <v xml:space="preserve">http://slimages.macys.com/is/image/MCY/15365447 </v>
      </c>
    </row>
    <row r="58" spans="1:13" ht="96" x14ac:dyDescent="0.25">
      <c r="A58" s="7" t="s">
        <v>13238</v>
      </c>
      <c r="B58" s="2" t="s">
        <v>132</v>
      </c>
      <c r="C58" s="4">
        <v>2</v>
      </c>
      <c r="D58" s="5">
        <v>14</v>
      </c>
      <c r="E58" s="5">
        <v>34.99</v>
      </c>
      <c r="F58" s="4" t="s">
        <v>133</v>
      </c>
      <c r="G58" s="2" t="s">
        <v>134</v>
      </c>
      <c r="H58" s="7" t="s">
        <v>42</v>
      </c>
      <c r="I58" s="2" t="s">
        <v>135</v>
      </c>
      <c r="J58" s="2" t="s">
        <v>136</v>
      </c>
      <c r="K58" s="2" t="s">
        <v>304</v>
      </c>
      <c r="L58" s="2" t="s">
        <v>137</v>
      </c>
      <c r="M58" s="8" t="str">
        <f>HYPERLINK("http://slimages.macys.com/is/image/MCY/15365447 ")</f>
        <v xml:space="preserve">http://slimages.macys.com/is/image/MCY/15365447 </v>
      </c>
    </row>
    <row r="59" spans="1:13" ht="96" x14ac:dyDescent="0.25">
      <c r="A59" s="7" t="s">
        <v>3011</v>
      </c>
      <c r="B59" s="2" t="s">
        <v>132</v>
      </c>
      <c r="C59" s="4">
        <v>3</v>
      </c>
      <c r="D59" s="5">
        <v>14</v>
      </c>
      <c r="E59" s="5">
        <v>34.99</v>
      </c>
      <c r="F59" s="4" t="s">
        <v>133</v>
      </c>
      <c r="G59" s="2" t="s">
        <v>134</v>
      </c>
      <c r="H59" s="7" t="s">
        <v>442</v>
      </c>
      <c r="I59" s="2" t="s">
        <v>135</v>
      </c>
      <c r="J59" s="2" t="s">
        <v>136</v>
      </c>
      <c r="K59" s="2" t="s">
        <v>304</v>
      </c>
      <c r="L59" s="2" t="s">
        <v>137</v>
      </c>
      <c r="M59" s="8" t="str">
        <f>HYPERLINK("http://slimages.macys.com/is/image/MCY/15365447 ")</f>
        <v xml:space="preserve">http://slimages.macys.com/is/image/MCY/15365447 </v>
      </c>
    </row>
    <row r="60" spans="1:13" ht="96" x14ac:dyDescent="0.25">
      <c r="A60" s="7" t="s">
        <v>13243</v>
      </c>
      <c r="B60" s="2" t="s">
        <v>3707</v>
      </c>
      <c r="C60" s="4">
        <v>6</v>
      </c>
      <c r="D60" s="5">
        <v>14</v>
      </c>
      <c r="E60" s="5">
        <v>34.99</v>
      </c>
      <c r="F60" s="4" t="s">
        <v>3708</v>
      </c>
      <c r="G60" s="2" t="s">
        <v>62</v>
      </c>
      <c r="H60" s="7" t="s">
        <v>442</v>
      </c>
      <c r="I60" s="2" t="s">
        <v>135</v>
      </c>
      <c r="J60" s="2" t="s">
        <v>136</v>
      </c>
      <c r="K60" s="2" t="s">
        <v>304</v>
      </c>
      <c r="L60" s="2" t="s">
        <v>3709</v>
      </c>
      <c r="M60" s="8" t="str">
        <f>HYPERLINK("http://slimages.macys.com/is/image/MCY/15363769 ")</f>
        <v xml:space="preserve">http://slimages.macys.com/is/image/MCY/15363769 </v>
      </c>
    </row>
    <row r="61" spans="1:13" ht="168" x14ac:dyDescent="0.25">
      <c r="A61" s="7" t="s">
        <v>5211</v>
      </c>
      <c r="B61" s="2" t="s">
        <v>1522</v>
      </c>
      <c r="C61" s="4">
        <v>2</v>
      </c>
      <c r="D61" s="5">
        <v>13.75</v>
      </c>
      <c r="E61" s="5">
        <v>39.99</v>
      </c>
      <c r="F61" s="4" t="s">
        <v>1523</v>
      </c>
      <c r="G61" s="2" t="s">
        <v>62</v>
      </c>
      <c r="H61" s="7" t="s">
        <v>91</v>
      </c>
      <c r="I61" s="2" t="s">
        <v>92</v>
      </c>
      <c r="J61" s="2" t="s">
        <v>239</v>
      </c>
      <c r="K61" s="2" t="s">
        <v>304</v>
      </c>
      <c r="L61" s="2" t="s">
        <v>1524</v>
      </c>
      <c r="M61" s="8" t="str">
        <f>HYPERLINK("http://slimages.macys.com/is/image/MCY/14886823 ")</f>
        <v xml:space="preserve">http://slimages.macys.com/is/image/MCY/14886823 </v>
      </c>
    </row>
    <row r="62" spans="1:13" ht="168" x14ac:dyDescent="0.25">
      <c r="A62" s="7" t="s">
        <v>4789</v>
      </c>
      <c r="B62" s="2" t="s">
        <v>1522</v>
      </c>
      <c r="C62" s="4">
        <v>1</v>
      </c>
      <c r="D62" s="5">
        <v>13.75</v>
      </c>
      <c r="E62" s="5">
        <v>39.99</v>
      </c>
      <c r="F62" s="4" t="s">
        <v>1523</v>
      </c>
      <c r="G62" s="2" t="s">
        <v>62</v>
      </c>
      <c r="H62" s="7" t="s">
        <v>42</v>
      </c>
      <c r="I62" s="2" t="s">
        <v>92</v>
      </c>
      <c r="J62" s="2" t="s">
        <v>239</v>
      </c>
      <c r="K62" s="2" t="s">
        <v>304</v>
      </c>
      <c r="L62" s="2" t="s">
        <v>1524</v>
      </c>
      <c r="M62" s="8" t="str">
        <f>HYPERLINK("http://slimages.macys.com/is/image/MCY/14886823 ")</f>
        <v xml:space="preserve">http://slimages.macys.com/is/image/MCY/14886823 </v>
      </c>
    </row>
    <row r="63" spans="1:13" ht="96" x14ac:dyDescent="0.25">
      <c r="A63" s="7" t="s">
        <v>3735</v>
      </c>
      <c r="B63" s="2" t="s">
        <v>3727</v>
      </c>
      <c r="C63" s="4">
        <v>1</v>
      </c>
      <c r="D63" s="5">
        <v>13.75</v>
      </c>
      <c r="E63" s="5">
        <v>39.99</v>
      </c>
      <c r="F63" s="4" t="s">
        <v>3728</v>
      </c>
      <c r="G63" s="2" t="s">
        <v>62</v>
      </c>
      <c r="H63" s="7" t="s">
        <v>442</v>
      </c>
      <c r="I63" s="2" t="s">
        <v>92</v>
      </c>
      <c r="J63" s="2" t="s">
        <v>239</v>
      </c>
      <c r="K63" s="2" t="s">
        <v>304</v>
      </c>
      <c r="L63" s="2" t="s">
        <v>1516</v>
      </c>
      <c r="M63" s="8" t="str">
        <f>HYPERLINK("http://slimages.macys.com/is/image/MCY/14989330 ")</f>
        <v xml:space="preserve">http://slimages.macys.com/is/image/MCY/14989330 </v>
      </c>
    </row>
    <row r="64" spans="1:13" ht="168" x14ac:dyDescent="0.25">
      <c r="A64" s="7" t="s">
        <v>1521</v>
      </c>
      <c r="B64" s="2" t="s">
        <v>1522</v>
      </c>
      <c r="C64" s="4">
        <v>2</v>
      </c>
      <c r="D64" s="5">
        <v>13.75</v>
      </c>
      <c r="E64" s="5">
        <v>39.99</v>
      </c>
      <c r="F64" s="4" t="s">
        <v>1523</v>
      </c>
      <c r="G64" s="2" t="s">
        <v>62</v>
      </c>
      <c r="H64" s="7" t="s">
        <v>442</v>
      </c>
      <c r="I64" s="2" t="s">
        <v>92</v>
      </c>
      <c r="J64" s="2" t="s">
        <v>239</v>
      </c>
      <c r="K64" s="2" t="s">
        <v>304</v>
      </c>
      <c r="L64" s="2" t="s">
        <v>1524</v>
      </c>
      <c r="M64" s="8" t="str">
        <f>HYPERLINK("http://slimages.macys.com/is/image/MCY/14886823 ")</f>
        <v xml:space="preserve">http://slimages.macys.com/is/image/MCY/14886823 </v>
      </c>
    </row>
    <row r="65" spans="1:13" ht="168" x14ac:dyDescent="0.25">
      <c r="A65" s="7" t="s">
        <v>3014</v>
      </c>
      <c r="B65" s="2" t="s">
        <v>1522</v>
      </c>
      <c r="C65" s="4">
        <v>1</v>
      </c>
      <c r="D65" s="5">
        <v>13.75</v>
      </c>
      <c r="E65" s="5">
        <v>39.99</v>
      </c>
      <c r="F65" s="4" t="s">
        <v>1523</v>
      </c>
      <c r="G65" s="2" t="s">
        <v>62</v>
      </c>
      <c r="H65" s="7" t="s">
        <v>149</v>
      </c>
      <c r="I65" s="2" t="s">
        <v>92</v>
      </c>
      <c r="J65" s="2" t="s">
        <v>239</v>
      </c>
      <c r="K65" s="2" t="s">
        <v>304</v>
      </c>
      <c r="L65" s="2" t="s">
        <v>1524</v>
      </c>
      <c r="M65" s="8" t="str">
        <f>HYPERLINK("http://slimages.macys.com/is/image/MCY/14886823 ")</f>
        <v xml:space="preserve">http://slimages.macys.com/is/image/MCY/14886823 </v>
      </c>
    </row>
    <row r="66" spans="1:13" ht="312" x14ac:dyDescent="0.25">
      <c r="A66" s="7" t="s">
        <v>13548</v>
      </c>
      <c r="B66" s="2" t="s">
        <v>3737</v>
      </c>
      <c r="C66" s="4">
        <v>2</v>
      </c>
      <c r="D66" s="5">
        <v>13.75</v>
      </c>
      <c r="E66" s="5">
        <v>39.99</v>
      </c>
      <c r="F66" s="4" t="s">
        <v>3738</v>
      </c>
      <c r="G66" s="2" t="s">
        <v>129</v>
      </c>
      <c r="H66" s="7" t="s">
        <v>590</v>
      </c>
      <c r="I66" s="2" t="s">
        <v>92</v>
      </c>
      <c r="J66" s="2" t="s">
        <v>239</v>
      </c>
      <c r="K66" s="2" t="s">
        <v>304</v>
      </c>
      <c r="L66" s="2" t="s">
        <v>3739</v>
      </c>
      <c r="M66" s="8" t="str">
        <f>HYPERLINK("http://slimages.macys.com/is/image/MCY/14886904 ")</f>
        <v xml:space="preserve">http://slimages.macys.com/is/image/MCY/14886904 </v>
      </c>
    </row>
    <row r="67" spans="1:13" ht="312" x14ac:dyDescent="0.25">
      <c r="A67" s="7" t="s">
        <v>3736</v>
      </c>
      <c r="B67" s="2" t="s">
        <v>3737</v>
      </c>
      <c r="C67" s="4">
        <v>2</v>
      </c>
      <c r="D67" s="5">
        <v>13.75</v>
      </c>
      <c r="E67" s="5">
        <v>39.99</v>
      </c>
      <c r="F67" s="4" t="s">
        <v>3738</v>
      </c>
      <c r="G67" s="2" t="s">
        <v>129</v>
      </c>
      <c r="H67" s="7" t="s">
        <v>91</v>
      </c>
      <c r="I67" s="2" t="s">
        <v>92</v>
      </c>
      <c r="J67" s="2" t="s">
        <v>239</v>
      </c>
      <c r="K67" s="2" t="s">
        <v>304</v>
      </c>
      <c r="L67" s="2" t="s">
        <v>3739</v>
      </c>
      <c r="M67" s="8" t="str">
        <f>HYPERLINK("http://slimages.macys.com/is/image/MCY/14886904 ")</f>
        <v xml:space="preserve">http://slimages.macys.com/is/image/MCY/14886904 </v>
      </c>
    </row>
    <row r="68" spans="1:13" ht="312" x14ac:dyDescent="0.25">
      <c r="A68" s="7" t="s">
        <v>13262</v>
      </c>
      <c r="B68" s="2" t="s">
        <v>3737</v>
      </c>
      <c r="C68" s="4">
        <v>1</v>
      </c>
      <c r="D68" s="5">
        <v>13.75</v>
      </c>
      <c r="E68" s="5">
        <v>39.99</v>
      </c>
      <c r="F68" s="4" t="s">
        <v>3738</v>
      </c>
      <c r="G68" s="2" t="s">
        <v>129</v>
      </c>
      <c r="H68" s="7" t="s">
        <v>42</v>
      </c>
      <c r="I68" s="2" t="s">
        <v>92</v>
      </c>
      <c r="J68" s="2" t="s">
        <v>239</v>
      </c>
      <c r="K68" s="2" t="s">
        <v>304</v>
      </c>
      <c r="L68" s="2" t="s">
        <v>3739</v>
      </c>
      <c r="M68" s="8" t="str">
        <f>HYPERLINK("http://slimages.macys.com/is/image/MCY/14886904 ")</f>
        <v xml:space="preserve">http://slimages.macys.com/is/image/MCY/14886904 </v>
      </c>
    </row>
    <row r="69" spans="1:13" ht="312" x14ac:dyDescent="0.25">
      <c r="A69" s="7" t="s">
        <v>13549</v>
      </c>
      <c r="B69" s="2" t="s">
        <v>3737</v>
      </c>
      <c r="C69" s="4">
        <v>2</v>
      </c>
      <c r="D69" s="5">
        <v>13.75</v>
      </c>
      <c r="E69" s="5">
        <v>39.99</v>
      </c>
      <c r="F69" s="4" t="s">
        <v>3738</v>
      </c>
      <c r="G69" s="2" t="s">
        <v>129</v>
      </c>
      <c r="H69" s="7" t="s">
        <v>442</v>
      </c>
      <c r="I69" s="2" t="s">
        <v>92</v>
      </c>
      <c r="J69" s="2" t="s">
        <v>239</v>
      </c>
      <c r="K69" s="2" t="s">
        <v>304</v>
      </c>
      <c r="L69" s="2" t="s">
        <v>3739</v>
      </c>
      <c r="M69" s="8" t="str">
        <f>HYPERLINK("http://slimages.macys.com/is/image/MCY/14886904 ")</f>
        <v xml:space="preserve">http://slimages.macys.com/is/image/MCY/14886904 </v>
      </c>
    </row>
    <row r="70" spans="1:13" ht="96" x14ac:dyDescent="0.25">
      <c r="A70" s="7" t="s">
        <v>3726</v>
      </c>
      <c r="B70" s="2" t="s">
        <v>3727</v>
      </c>
      <c r="C70" s="4">
        <v>2</v>
      </c>
      <c r="D70" s="5">
        <v>13.75</v>
      </c>
      <c r="E70" s="5">
        <v>39.99</v>
      </c>
      <c r="F70" s="4" t="s">
        <v>3728</v>
      </c>
      <c r="G70" s="2" t="s">
        <v>62</v>
      </c>
      <c r="H70" s="7" t="s">
        <v>91</v>
      </c>
      <c r="I70" s="2" t="s">
        <v>92</v>
      </c>
      <c r="J70" s="2" t="s">
        <v>239</v>
      </c>
      <c r="K70" s="2" t="s">
        <v>304</v>
      </c>
      <c r="L70" s="2" t="s">
        <v>1516</v>
      </c>
      <c r="M70" s="8" t="str">
        <f>HYPERLINK("http://slimages.macys.com/is/image/MCY/14989330 ")</f>
        <v xml:space="preserve">http://slimages.macys.com/is/image/MCY/14989330 </v>
      </c>
    </row>
    <row r="71" spans="1:13" ht="144" x14ac:dyDescent="0.25">
      <c r="A71" s="7" t="s">
        <v>13550</v>
      </c>
      <c r="B71" s="2" t="s">
        <v>2493</v>
      </c>
      <c r="C71" s="4">
        <v>1</v>
      </c>
      <c r="D71" s="5">
        <v>13.75</v>
      </c>
      <c r="E71" s="5">
        <v>39.99</v>
      </c>
      <c r="F71" s="4" t="s">
        <v>2494</v>
      </c>
      <c r="G71" s="2" t="s">
        <v>752</v>
      </c>
      <c r="H71" s="7" t="s">
        <v>91</v>
      </c>
      <c r="I71" s="2" t="s">
        <v>92</v>
      </c>
      <c r="J71" s="2" t="s">
        <v>239</v>
      </c>
      <c r="K71" s="2" t="s">
        <v>304</v>
      </c>
      <c r="L71" s="2" t="s">
        <v>2495</v>
      </c>
      <c r="M71" s="8" t="str">
        <f>HYPERLINK("http://slimages.macys.com/is/image/MCY/14886820 ")</f>
        <v xml:space="preserve">http://slimages.macys.com/is/image/MCY/14886820 </v>
      </c>
    </row>
    <row r="72" spans="1:13" ht="312" x14ac:dyDescent="0.25">
      <c r="A72" s="7" t="s">
        <v>13256</v>
      </c>
      <c r="B72" s="2" t="s">
        <v>3737</v>
      </c>
      <c r="C72" s="4">
        <v>1</v>
      </c>
      <c r="D72" s="5">
        <v>13.75</v>
      </c>
      <c r="E72" s="5">
        <v>39.99</v>
      </c>
      <c r="F72" s="4" t="s">
        <v>3738</v>
      </c>
      <c r="G72" s="2" t="s">
        <v>129</v>
      </c>
      <c r="H72" s="7" t="s">
        <v>149</v>
      </c>
      <c r="I72" s="2" t="s">
        <v>92</v>
      </c>
      <c r="J72" s="2" t="s">
        <v>239</v>
      </c>
      <c r="K72" s="2" t="s">
        <v>304</v>
      </c>
      <c r="L72" s="2" t="s">
        <v>3739</v>
      </c>
      <c r="M72" s="8" t="str">
        <f>HYPERLINK("http://slimages.macys.com/is/image/MCY/14886904 ")</f>
        <v xml:space="preserve">http://slimages.macys.com/is/image/MCY/14886904 </v>
      </c>
    </row>
    <row r="73" spans="1:13" ht="96" x14ac:dyDescent="0.25">
      <c r="A73" s="7" t="s">
        <v>13551</v>
      </c>
      <c r="B73" s="2" t="s">
        <v>3727</v>
      </c>
      <c r="C73" s="4">
        <v>1</v>
      </c>
      <c r="D73" s="5">
        <v>13.75</v>
      </c>
      <c r="E73" s="5">
        <v>39.99</v>
      </c>
      <c r="F73" s="4" t="s">
        <v>3728</v>
      </c>
      <c r="G73" s="2" t="s">
        <v>62</v>
      </c>
      <c r="H73" s="7" t="s">
        <v>590</v>
      </c>
      <c r="I73" s="2" t="s">
        <v>92</v>
      </c>
      <c r="J73" s="2" t="s">
        <v>239</v>
      </c>
      <c r="K73" s="2" t="s">
        <v>304</v>
      </c>
      <c r="L73" s="2" t="s">
        <v>1516</v>
      </c>
      <c r="M73" s="8" t="str">
        <f>HYPERLINK("http://slimages.macys.com/is/image/MCY/14989330 ")</f>
        <v xml:space="preserve">http://slimages.macys.com/is/image/MCY/14989330 </v>
      </c>
    </row>
    <row r="74" spans="1:13" ht="204" x14ac:dyDescent="0.25">
      <c r="A74" s="7" t="s">
        <v>3017</v>
      </c>
      <c r="B74" s="2" t="s">
        <v>152</v>
      </c>
      <c r="C74" s="4">
        <v>1</v>
      </c>
      <c r="D74" s="5">
        <v>13.5</v>
      </c>
      <c r="E74" s="5">
        <v>30.7</v>
      </c>
      <c r="F74" s="4">
        <v>19320310</v>
      </c>
      <c r="G74" s="2"/>
      <c r="H74" s="7" t="s">
        <v>482</v>
      </c>
      <c r="I74" s="2" t="s">
        <v>153</v>
      </c>
      <c r="J74" s="2" t="s">
        <v>154</v>
      </c>
      <c r="K74" s="2" t="s">
        <v>304</v>
      </c>
      <c r="L74" s="2" t="s">
        <v>155</v>
      </c>
      <c r="M74" s="8" t="str">
        <f>HYPERLINK("http://slimages.macys.com/is/image/MCY/14608313 ")</f>
        <v xml:space="preserve">http://slimages.macys.com/is/image/MCY/14608313 </v>
      </c>
    </row>
    <row r="75" spans="1:13" ht="204" x14ac:dyDescent="0.25">
      <c r="A75" s="7" t="s">
        <v>5212</v>
      </c>
      <c r="B75" s="2" t="s">
        <v>152</v>
      </c>
      <c r="C75" s="4">
        <v>2</v>
      </c>
      <c r="D75" s="5">
        <v>13.5</v>
      </c>
      <c r="E75" s="5">
        <v>30.7</v>
      </c>
      <c r="F75" s="4">
        <v>19320310</v>
      </c>
      <c r="G75" s="2"/>
      <c r="H75" s="7" t="s">
        <v>675</v>
      </c>
      <c r="I75" s="2" t="s">
        <v>153</v>
      </c>
      <c r="J75" s="2" t="s">
        <v>154</v>
      </c>
      <c r="K75" s="2" t="s">
        <v>304</v>
      </c>
      <c r="L75" s="2" t="s">
        <v>155</v>
      </c>
      <c r="M75" s="8" t="str">
        <f>HYPERLINK("http://slimages.macys.com/is/image/MCY/14608313 ")</f>
        <v xml:space="preserve">http://slimages.macys.com/is/image/MCY/14608313 </v>
      </c>
    </row>
    <row r="76" spans="1:13" ht="216" x14ac:dyDescent="0.25">
      <c r="A76" s="7" t="s">
        <v>757</v>
      </c>
      <c r="B76" s="2" t="s">
        <v>758</v>
      </c>
      <c r="C76" s="4">
        <v>1</v>
      </c>
      <c r="D76" s="5">
        <v>13.5</v>
      </c>
      <c r="E76" s="5">
        <v>34.99</v>
      </c>
      <c r="F76" s="4" t="s">
        <v>759</v>
      </c>
      <c r="G76" s="2" t="s">
        <v>752</v>
      </c>
      <c r="H76" s="7" t="s">
        <v>442</v>
      </c>
      <c r="I76" s="2" t="s">
        <v>92</v>
      </c>
      <c r="J76" s="2" t="s">
        <v>65</v>
      </c>
      <c r="K76" s="2" t="s">
        <v>304</v>
      </c>
      <c r="L76" s="2" t="s">
        <v>760</v>
      </c>
      <c r="M76" s="8" t="str">
        <f>HYPERLINK("http://slimages.macys.com/is/image/MCY/14815593 ")</f>
        <v xml:space="preserve">http://slimages.macys.com/is/image/MCY/14815593 </v>
      </c>
    </row>
    <row r="77" spans="1:13" ht="216" x14ac:dyDescent="0.25">
      <c r="A77" s="7" t="s">
        <v>13552</v>
      </c>
      <c r="B77" s="2" t="s">
        <v>147</v>
      </c>
      <c r="C77" s="4">
        <v>1</v>
      </c>
      <c r="D77" s="5">
        <v>13.5</v>
      </c>
      <c r="E77" s="5">
        <v>34.99</v>
      </c>
      <c r="F77" s="4" t="s">
        <v>148</v>
      </c>
      <c r="G77" s="2" t="s">
        <v>107</v>
      </c>
      <c r="H77" s="7" t="s">
        <v>442</v>
      </c>
      <c r="I77" s="2" t="s">
        <v>92</v>
      </c>
      <c r="J77" s="2" t="s">
        <v>65</v>
      </c>
      <c r="K77" s="2" t="s">
        <v>304</v>
      </c>
      <c r="L77" s="2" t="s">
        <v>150</v>
      </c>
      <c r="M77" s="8" t="str">
        <f>HYPERLINK("http://slimages.macys.com/is/image/MCY/14815597 ")</f>
        <v xml:space="preserve">http://slimages.macys.com/is/image/MCY/14815597 </v>
      </c>
    </row>
    <row r="78" spans="1:13" ht="60" x14ac:dyDescent="0.25">
      <c r="A78" s="7" t="s">
        <v>13553</v>
      </c>
      <c r="B78" s="2" t="s">
        <v>13554</v>
      </c>
      <c r="C78" s="4">
        <v>1</v>
      </c>
      <c r="D78" s="5">
        <v>13.44</v>
      </c>
      <c r="E78" s="5">
        <v>32</v>
      </c>
      <c r="F78" s="4" t="s">
        <v>13555</v>
      </c>
      <c r="G78" s="2"/>
      <c r="H78" s="7" t="s">
        <v>213</v>
      </c>
      <c r="I78" s="2" t="s">
        <v>73</v>
      </c>
      <c r="J78" s="2" t="s">
        <v>74</v>
      </c>
      <c r="K78" s="2" t="s">
        <v>304</v>
      </c>
      <c r="L78" s="2" t="s">
        <v>75</v>
      </c>
      <c r="M78" s="8" t="str">
        <f>HYPERLINK("http://slimages.macys.com/is/image/MCY/13700161 ")</f>
        <v xml:space="preserve">http://slimages.macys.com/is/image/MCY/13700161 </v>
      </c>
    </row>
    <row r="79" spans="1:13" ht="60" x14ac:dyDescent="0.25">
      <c r="A79" s="7" t="s">
        <v>1532</v>
      </c>
      <c r="B79" s="2" t="s">
        <v>1533</v>
      </c>
      <c r="C79" s="4">
        <v>1</v>
      </c>
      <c r="D79" s="5">
        <v>13.35</v>
      </c>
      <c r="E79" s="5">
        <v>26.99</v>
      </c>
      <c r="F79" s="4" t="s">
        <v>1534</v>
      </c>
      <c r="G79" s="2" t="s">
        <v>165</v>
      </c>
      <c r="H79" s="7" t="s">
        <v>159</v>
      </c>
      <c r="I79" s="2" t="s">
        <v>80</v>
      </c>
      <c r="J79" s="2" t="s">
        <v>160</v>
      </c>
      <c r="K79" s="2" t="s">
        <v>304</v>
      </c>
      <c r="L79" s="2" t="s">
        <v>125</v>
      </c>
      <c r="M79" s="8" t="str">
        <f>HYPERLINK("http://slimages.macys.com/is/image/MCY/15177038 ")</f>
        <v xml:space="preserve">http://slimages.macys.com/is/image/MCY/15177038 </v>
      </c>
    </row>
    <row r="80" spans="1:13" ht="168" x14ac:dyDescent="0.25">
      <c r="A80" s="7" t="s">
        <v>13556</v>
      </c>
      <c r="B80" s="2" t="s">
        <v>11313</v>
      </c>
      <c r="C80" s="4">
        <v>1</v>
      </c>
      <c r="D80" s="5">
        <v>13.35</v>
      </c>
      <c r="E80" s="5">
        <v>31.05</v>
      </c>
      <c r="F80" s="4">
        <v>19266310</v>
      </c>
      <c r="G80" s="2" t="s">
        <v>41</v>
      </c>
      <c r="H80" s="7" t="s">
        <v>91</v>
      </c>
      <c r="I80" s="2" t="s">
        <v>153</v>
      </c>
      <c r="J80" s="2" t="s">
        <v>154</v>
      </c>
      <c r="K80" s="2" t="s">
        <v>304</v>
      </c>
      <c r="L80" s="2" t="s">
        <v>1538</v>
      </c>
      <c r="M80" s="8" t="str">
        <f>HYPERLINK("http://slimages.macys.com/is/image/MCY/14662000 ")</f>
        <v xml:space="preserve">http://slimages.macys.com/is/image/MCY/14662000 </v>
      </c>
    </row>
    <row r="81" spans="1:13" ht="60" x14ac:dyDescent="0.25">
      <c r="A81" s="7" t="s">
        <v>13557</v>
      </c>
      <c r="B81" s="2" t="s">
        <v>13558</v>
      </c>
      <c r="C81" s="4">
        <v>1</v>
      </c>
      <c r="D81" s="5">
        <v>13.28</v>
      </c>
      <c r="E81" s="5">
        <v>29.5</v>
      </c>
      <c r="F81" s="4">
        <v>323755284001</v>
      </c>
      <c r="G81" s="2" t="s">
        <v>657</v>
      </c>
      <c r="H81" s="7" t="s">
        <v>228</v>
      </c>
      <c r="I81" s="2" t="s">
        <v>204</v>
      </c>
      <c r="J81" s="2" t="s">
        <v>205</v>
      </c>
      <c r="K81" s="2" t="s">
        <v>304</v>
      </c>
      <c r="L81" s="2" t="s">
        <v>206</v>
      </c>
      <c r="M81" s="8" t="str">
        <f>HYPERLINK("http://slimages.macys.com/is/image/MCY/14197650 ")</f>
        <v xml:space="preserve">http://slimages.macys.com/is/image/MCY/14197650 </v>
      </c>
    </row>
    <row r="82" spans="1:13" ht="60" x14ac:dyDescent="0.25">
      <c r="A82" s="7" t="s">
        <v>13274</v>
      </c>
      <c r="B82" s="2" t="s">
        <v>13275</v>
      </c>
      <c r="C82" s="4">
        <v>1</v>
      </c>
      <c r="D82" s="5">
        <v>13.13</v>
      </c>
      <c r="E82" s="5">
        <v>30</v>
      </c>
      <c r="F82" s="4" t="s">
        <v>13276</v>
      </c>
      <c r="G82" s="2" t="s">
        <v>41</v>
      </c>
      <c r="H82" s="7" t="s">
        <v>42</v>
      </c>
      <c r="I82" s="2" t="s">
        <v>92</v>
      </c>
      <c r="J82" s="2" t="s">
        <v>187</v>
      </c>
      <c r="K82" s="2" t="s">
        <v>304</v>
      </c>
      <c r="L82" s="2" t="s">
        <v>38</v>
      </c>
      <c r="M82" s="8" t="str">
        <f>HYPERLINK("http://slimages.macys.com/is/image/MCY/15240489 ")</f>
        <v xml:space="preserve">http://slimages.macys.com/is/image/MCY/15240489 </v>
      </c>
    </row>
    <row r="83" spans="1:13" ht="60" x14ac:dyDescent="0.25">
      <c r="A83" s="7" t="s">
        <v>13559</v>
      </c>
      <c r="B83" s="2" t="s">
        <v>13275</v>
      </c>
      <c r="C83" s="4">
        <v>1</v>
      </c>
      <c r="D83" s="5">
        <v>13.13</v>
      </c>
      <c r="E83" s="5">
        <v>30</v>
      </c>
      <c r="F83" s="4" t="s">
        <v>13276</v>
      </c>
      <c r="G83" s="2" t="s">
        <v>41</v>
      </c>
      <c r="H83" s="7" t="s">
        <v>442</v>
      </c>
      <c r="I83" s="2" t="s">
        <v>92</v>
      </c>
      <c r="J83" s="2" t="s">
        <v>187</v>
      </c>
      <c r="K83" s="2" t="s">
        <v>304</v>
      </c>
      <c r="L83" s="2" t="s">
        <v>38</v>
      </c>
      <c r="M83" s="8" t="str">
        <f>HYPERLINK("http://slimages.macys.com/is/image/MCY/15240489 ")</f>
        <v xml:space="preserve">http://slimages.macys.com/is/image/MCY/15240489 </v>
      </c>
    </row>
    <row r="84" spans="1:13" ht="60" x14ac:dyDescent="0.25">
      <c r="A84" s="7" t="s">
        <v>13277</v>
      </c>
      <c r="B84" s="2" t="s">
        <v>13275</v>
      </c>
      <c r="C84" s="4">
        <v>2</v>
      </c>
      <c r="D84" s="5">
        <v>13.13</v>
      </c>
      <c r="E84" s="5">
        <v>30</v>
      </c>
      <c r="F84" s="4" t="s">
        <v>13276</v>
      </c>
      <c r="G84" s="2" t="s">
        <v>41</v>
      </c>
      <c r="H84" s="7" t="s">
        <v>149</v>
      </c>
      <c r="I84" s="2" t="s">
        <v>92</v>
      </c>
      <c r="J84" s="2" t="s">
        <v>187</v>
      </c>
      <c r="K84" s="2" t="s">
        <v>304</v>
      </c>
      <c r="L84" s="2" t="s">
        <v>38</v>
      </c>
      <c r="M84" s="8" t="str">
        <f>HYPERLINK("http://slimages.macys.com/is/image/MCY/15240489 ")</f>
        <v xml:space="preserve">http://slimages.macys.com/is/image/MCY/15240489 </v>
      </c>
    </row>
    <row r="85" spans="1:13" ht="84" x14ac:dyDescent="0.25">
      <c r="A85" s="7" t="s">
        <v>13560</v>
      </c>
      <c r="B85" s="2" t="s">
        <v>13561</v>
      </c>
      <c r="C85" s="4">
        <v>1</v>
      </c>
      <c r="D85" s="5">
        <v>13</v>
      </c>
      <c r="E85" s="5">
        <v>26.99</v>
      </c>
      <c r="F85" s="4" t="s">
        <v>13562</v>
      </c>
      <c r="G85" s="2" t="s">
        <v>171</v>
      </c>
      <c r="H85" s="7"/>
      <c r="I85" s="2" t="s">
        <v>173</v>
      </c>
      <c r="J85" s="2" t="s">
        <v>174</v>
      </c>
      <c r="K85" s="2" t="s">
        <v>304</v>
      </c>
      <c r="L85" s="2" t="s">
        <v>13563</v>
      </c>
      <c r="M85" s="8" t="str">
        <f>HYPERLINK("http://slimages.macys.com/is/image/MCY/8688729 ")</f>
        <v xml:space="preserve">http://slimages.macys.com/is/image/MCY/8688729 </v>
      </c>
    </row>
    <row r="86" spans="1:13" ht="72" x14ac:dyDescent="0.25">
      <c r="A86" s="7" t="s">
        <v>13564</v>
      </c>
      <c r="B86" s="2" t="s">
        <v>13565</v>
      </c>
      <c r="C86" s="4">
        <v>1</v>
      </c>
      <c r="D86" s="5">
        <v>13</v>
      </c>
      <c r="E86" s="5">
        <v>26.99</v>
      </c>
      <c r="F86" s="4" t="s">
        <v>13566</v>
      </c>
      <c r="G86" s="2" t="s">
        <v>171</v>
      </c>
      <c r="H86" s="7" t="s">
        <v>179</v>
      </c>
      <c r="I86" s="2" t="s">
        <v>173</v>
      </c>
      <c r="J86" s="2" t="s">
        <v>174</v>
      </c>
      <c r="K86" s="2" t="s">
        <v>304</v>
      </c>
      <c r="L86" s="2" t="s">
        <v>175</v>
      </c>
      <c r="M86" s="8" t="str">
        <f>HYPERLINK("http://slimages.macys.com/is/image/MCY/9907886 ")</f>
        <v xml:space="preserve">http://slimages.macys.com/is/image/MCY/9907886 </v>
      </c>
    </row>
    <row r="87" spans="1:13" ht="144" x14ac:dyDescent="0.25">
      <c r="A87" s="7" t="s">
        <v>13567</v>
      </c>
      <c r="B87" s="2" t="s">
        <v>3038</v>
      </c>
      <c r="C87" s="4">
        <v>1</v>
      </c>
      <c r="D87" s="5">
        <v>13</v>
      </c>
      <c r="E87" s="5">
        <v>29.57</v>
      </c>
      <c r="F87" s="4">
        <v>19319910</v>
      </c>
      <c r="G87" s="2"/>
      <c r="H87" s="7" t="s">
        <v>42</v>
      </c>
      <c r="I87" s="2" t="s">
        <v>153</v>
      </c>
      <c r="J87" s="2" t="s">
        <v>154</v>
      </c>
      <c r="K87" s="2" t="s">
        <v>304</v>
      </c>
      <c r="L87" s="2" t="s">
        <v>3039</v>
      </c>
      <c r="M87" s="8" t="str">
        <f>HYPERLINK("http://slimages.macys.com/is/image/MCY/14608320 ")</f>
        <v xml:space="preserve">http://slimages.macys.com/is/image/MCY/14608320 </v>
      </c>
    </row>
    <row r="88" spans="1:13" ht="72" x14ac:dyDescent="0.25">
      <c r="A88" s="7" t="s">
        <v>13568</v>
      </c>
      <c r="B88" s="2" t="s">
        <v>2508</v>
      </c>
      <c r="C88" s="4">
        <v>1</v>
      </c>
      <c r="D88" s="5">
        <v>13</v>
      </c>
      <c r="E88" s="5">
        <v>26.99</v>
      </c>
      <c r="F88" s="4" t="s">
        <v>2509</v>
      </c>
      <c r="G88" s="2" t="s">
        <v>262</v>
      </c>
      <c r="H88" s="7" t="s">
        <v>166</v>
      </c>
      <c r="I88" s="2" t="s">
        <v>173</v>
      </c>
      <c r="J88" s="2" t="s">
        <v>174</v>
      </c>
      <c r="K88" s="2" t="s">
        <v>304</v>
      </c>
      <c r="L88" s="2" t="s">
        <v>175</v>
      </c>
      <c r="M88" s="8" t="str">
        <f>HYPERLINK("http://slimages.macys.com/is/image/MCY/9357107 ")</f>
        <v xml:space="preserve">http://slimages.macys.com/is/image/MCY/9357107 </v>
      </c>
    </row>
    <row r="89" spans="1:13" ht="60" x14ac:dyDescent="0.25">
      <c r="A89" s="7" t="s">
        <v>184</v>
      </c>
      <c r="B89" s="2" t="s">
        <v>185</v>
      </c>
      <c r="C89" s="4">
        <v>4</v>
      </c>
      <c r="D89" s="5">
        <v>12.75</v>
      </c>
      <c r="E89" s="5">
        <v>30</v>
      </c>
      <c r="F89" s="4" t="s">
        <v>186</v>
      </c>
      <c r="G89" s="2" t="s">
        <v>28</v>
      </c>
      <c r="H89" s="7" t="s">
        <v>91</v>
      </c>
      <c r="I89" s="2" t="s">
        <v>92</v>
      </c>
      <c r="J89" s="2" t="s">
        <v>187</v>
      </c>
      <c r="K89" s="2" t="s">
        <v>304</v>
      </c>
      <c r="L89" s="2" t="s">
        <v>38</v>
      </c>
      <c r="M89" s="8" t="str">
        <f>HYPERLINK("http://slimages.macys.com/is/image/MCY/15240490 ")</f>
        <v xml:space="preserve">http://slimages.macys.com/is/image/MCY/15240490 </v>
      </c>
    </row>
    <row r="90" spans="1:13" ht="60" x14ac:dyDescent="0.25">
      <c r="A90" s="7" t="s">
        <v>13279</v>
      </c>
      <c r="B90" s="2" t="s">
        <v>185</v>
      </c>
      <c r="C90" s="4">
        <v>2</v>
      </c>
      <c r="D90" s="5">
        <v>12.75</v>
      </c>
      <c r="E90" s="5">
        <v>30</v>
      </c>
      <c r="F90" s="4" t="s">
        <v>186</v>
      </c>
      <c r="G90" s="2" t="s">
        <v>28</v>
      </c>
      <c r="H90" s="7" t="s">
        <v>590</v>
      </c>
      <c r="I90" s="2" t="s">
        <v>92</v>
      </c>
      <c r="J90" s="2" t="s">
        <v>187</v>
      </c>
      <c r="K90" s="2" t="s">
        <v>304</v>
      </c>
      <c r="L90" s="2" t="s">
        <v>38</v>
      </c>
      <c r="M90" s="8" t="str">
        <f>HYPERLINK("http://slimages.macys.com/is/image/MCY/15240490 ")</f>
        <v xml:space="preserve">http://slimages.macys.com/is/image/MCY/15240490 </v>
      </c>
    </row>
    <row r="91" spans="1:13" ht="60" x14ac:dyDescent="0.25">
      <c r="A91" s="7" t="s">
        <v>3768</v>
      </c>
      <c r="B91" s="2" t="s">
        <v>185</v>
      </c>
      <c r="C91" s="4">
        <v>3</v>
      </c>
      <c r="D91" s="5">
        <v>12.75</v>
      </c>
      <c r="E91" s="5">
        <v>30</v>
      </c>
      <c r="F91" s="4" t="s">
        <v>186</v>
      </c>
      <c r="G91" s="2" t="s">
        <v>28</v>
      </c>
      <c r="H91" s="7" t="s">
        <v>42</v>
      </c>
      <c r="I91" s="2" t="s">
        <v>92</v>
      </c>
      <c r="J91" s="2" t="s">
        <v>187</v>
      </c>
      <c r="K91" s="2" t="s">
        <v>304</v>
      </c>
      <c r="L91" s="2" t="s">
        <v>38</v>
      </c>
      <c r="M91" s="8" t="str">
        <f>HYPERLINK("http://slimages.macys.com/is/image/MCY/15240490 ")</f>
        <v xml:space="preserve">http://slimages.macys.com/is/image/MCY/15240490 </v>
      </c>
    </row>
    <row r="92" spans="1:13" ht="60" x14ac:dyDescent="0.25">
      <c r="A92" s="7" t="s">
        <v>13280</v>
      </c>
      <c r="B92" s="2" t="s">
        <v>185</v>
      </c>
      <c r="C92" s="4">
        <v>1</v>
      </c>
      <c r="D92" s="5">
        <v>12.75</v>
      </c>
      <c r="E92" s="5">
        <v>30</v>
      </c>
      <c r="F92" s="4" t="s">
        <v>186</v>
      </c>
      <c r="G92" s="2" t="s">
        <v>28</v>
      </c>
      <c r="H92" s="7" t="s">
        <v>149</v>
      </c>
      <c r="I92" s="2" t="s">
        <v>92</v>
      </c>
      <c r="J92" s="2" t="s">
        <v>187</v>
      </c>
      <c r="K92" s="2" t="s">
        <v>304</v>
      </c>
      <c r="L92" s="2" t="s">
        <v>38</v>
      </c>
      <c r="M92" s="8" t="str">
        <f>HYPERLINK("http://slimages.macys.com/is/image/MCY/15240490 ")</f>
        <v xml:space="preserve">http://slimages.macys.com/is/image/MCY/15240490 </v>
      </c>
    </row>
    <row r="93" spans="1:13" ht="60" x14ac:dyDescent="0.25">
      <c r="A93" s="7" t="s">
        <v>13281</v>
      </c>
      <c r="B93" s="2" t="s">
        <v>185</v>
      </c>
      <c r="C93" s="4">
        <v>2</v>
      </c>
      <c r="D93" s="5">
        <v>12.75</v>
      </c>
      <c r="E93" s="5">
        <v>30</v>
      </c>
      <c r="F93" s="4" t="s">
        <v>186</v>
      </c>
      <c r="G93" s="2" t="s">
        <v>28</v>
      </c>
      <c r="H93" s="7" t="s">
        <v>442</v>
      </c>
      <c r="I93" s="2" t="s">
        <v>92</v>
      </c>
      <c r="J93" s="2" t="s">
        <v>187</v>
      </c>
      <c r="K93" s="2" t="s">
        <v>304</v>
      </c>
      <c r="L93" s="2" t="s">
        <v>38</v>
      </c>
      <c r="M93" s="8" t="str">
        <f>HYPERLINK("http://slimages.macys.com/is/image/MCY/15240490 ")</f>
        <v xml:space="preserve">http://slimages.macys.com/is/image/MCY/15240490 </v>
      </c>
    </row>
    <row r="94" spans="1:13" ht="120" x14ac:dyDescent="0.25">
      <c r="A94" s="7" t="s">
        <v>13569</v>
      </c>
      <c r="B94" s="2" t="s">
        <v>13570</v>
      </c>
      <c r="C94" s="4">
        <v>1</v>
      </c>
      <c r="D94" s="5">
        <v>12.5</v>
      </c>
      <c r="E94" s="5">
        <v>29.99</v>
      </c>
      <c r="F94" s="4" t="s">
        <v>13571</v>
      </c>
      <c r="G94" s="2" t="s">
        <v>582</v>
      </c>
      <c r="H94" s="7" t="s">
        <v>42</v>
      </c>
      <c r="I94" s="2" t="s">
        <v>92</v>
      </c>
      <c r="J94" s="2" t="s">
        <v>65</v>
      </c>
      <c r="K94" s="2" t="s">
        <v>304</v>
      </c>
      <c r="L94" s="2" t="s">
        <v>13572</v>
      </c>
      <c r="M94" s="8" t="str">
        <f>HYPERLINK("http://slimages.macys.com/is/image/MCY/15240517 ")</f>
        <v xml:space="preserve">http://slimages.macys.com/is/image/MCY/15240517 </v>
      </c>
    </row>
    <row r="95" spans="1:13" ht="180" x14ac:dyDescent="0.25">
      <c r="A95" s="7" t="s">
        <v>3769</v>
      </c>
      <c r="B95" s="2" t="s">
        <v>3057</v>
      </c>
      <c r="C95" s="4">
        <v>1</v>
      </c>
      <c r="D95" s="5">
        <v>12.5</v>
      </c>
      <c r="E95" s="5">
        <v>34.99</v>
      </c>
      <c r="F95" s="4" t="s">
        <v>3058</v>
      </c>
      <c r="G95" s="2" t="s">
        <v>41</v>
      </c>
      <c r="H95" s="7" t="s">
        <v>42</v>
      </c>
      <c r="I95" s="2" t="s">
        <v>92</v>
      </c>
      <c r="J95" s="2" t="s">
        <v>65</v>
      </c>
      <c r="K95" s="2" t="s">
        <v>304</v>
      </c>
      <c r="L95" s="2" t="s">
        <v>3059</v>
      </c>
      <c r="M95" s="8" t="str">
        <f>HYPERLINK("http://slimages.macys.com/is/image/MCY/14815481 ")</f>
        <v xml:space="preserve">http://slimages.macys.com/is/image/MCY/14815481 </v>
      </c>
    </row>
    <row r="96" spans="1:13" ht="120" x14ac:dyDescent="0.25">
      <c r="A96" s="7" t="s">
        <v>4810</v>
      </c>
      <c r="B96" s="2" t="s">
        <v>3053</v>
      </c>
      <c r="C96" s="4">
        <v>2</v>
      </c>
      <c r="D96" s="5">
        <v>12.5</v>
      </c>
      <c r="E96" s="5">
        <v>34.99</v>
      </c>
      <c r="F96" s="4" t="s">
        <v>3054</v>
      </c>
      <c r="G96" s="2" t="s">
        <v>62</v>
      </c>
      <c r="H96" s="7" t="s">
        <v>442</v>
      </c>
      <c r="I96" s="2" t="s">
        <v>92</v>
      </c>
      <c r="J96" s="2" t="s">
        <v>65</v>
      </c>
      <c r="K96" s="2" t="s">
        <v>304</v>
      </c>
      <c r="L96" s="2" t="s">
        <v>3055</v>
      </c>
      <c r="M96" s="8" t="str">
        <f>HYPERLINK("http://slimages.macys.com/is/image/MCY/14815658 ")</f>
        <v xml:space="preserve">http://slimages.macys.com/is/image/MCY/14815658 </v>
      </c>
    </row>
    <row r="97" spans="1:13" ht="120" x14ac:dyDescent="0.25">
      <c r="A97" s="7" t="s">
        <v>3052</v>
      </c>
      <c r="B97" s="2" t="s">
        <v>3053</v>
      </c>
      <c r="C97" s="4">
        <v>1</v>
      </c>
      <c r="D97" s="5">
        <v>12.5</v>
      </c>
      <c r="E97" s="5">
        <v>34.99</v>
      </c>
      <c r="F97" s="4" t="s">
        <v>3054</v>
      </c>
      <c r="G97" s="2" t="s">
        <v>62</v>
      </c>
      <c r="H97" s="7" t="s">
        <v>149</v>
      </c>
      <c r="I97" s="2" t="s">
        <v>92</v>
      </c>
      <c r="J97" s="2" t="s">
        <v>65</v>
      </c>
      <c r="K97" s="2" t="s">
        <v>304</v>
      </c>
      <c r="L97" s="2" t="s">
        <v>3055</v>
      </c>
      <c r="M97" s="8" t="str">
        <f>HYPERLINK("http://slimages.macys.com/is/image/MCY/14815658 ")</f>
        <v xml:space="preserve">http://slimages.macys.com/is/image/MCY/14815658 </v>
      </c>
    </row>
    <row r="98" spans="1:13" ht="156" x14ac:dyDescent="0.25">
      <c r="A98" s="7" t="s">
        <v>13573</v>
      </c>
      <c r="B98" s="2" t="s">
        <v>3771</v>
      </c>
      <c r="C98" s="4">
        <v>1</v>
      </c>
      <c r="D98" s="5">
        <v>12.5</v>
      </c>
      <c r="E98" s="5">
        <v>34.99</v>
      </c>
      <c r="F98" s="4" t="s">
        <v>3772</v>
      </c>
      <c r="G98" s="2" t="s">
        <v>129</v>
      </c>
      <c r="H98" s="7" t="s">
        <v>590</v>
      </c>
      <c r="I98" s="2" t="s">
        <v>92</v>
      </c>
      <c r="J98" s="2" t="s">
        <v>65</v>
      </c>
      <c r="K98" s="2" t="s">
        <v>304</v>
      </c>
      <c r="L98" s="2" t="s">
        <v>3773</v>
      </c>
      <c r="M98" s="8" t="str">
        <f>HYPERLINK("http://slimages.macys.com/is/image/MCY/14815615 ")</f>
        <v xml:space="preserve">http://slimages.macys.com/is/image/MCY/14815615 </v>
      </c>
    </row>
    <row r="99" spans="1:13" ht="120" x14ac:dyDescent="0.25">
      <c r="A99" s="7" t="s">
        <v>13574</v>
      </c>
      <c r="B99" s="2" t="s">
        <v>3053</v>
      </c>
      <c r="C99" s="4">
        <v>2</v>
      </c>
      <c r="D99" s="5">
        <v>12.5</v>
      </c>
      <c r="E99" s="5">
        <v>34.99</v>
      </c>
      <c r="F99" s="4" t="s">
        <v>3054</v>
      </c>
      <c r="G99" s="2" t="s">
        <v>62</v>
      </c>
      <c r="H99" s="7" t="s">
        <v>590</v>
      </c>
      <c r="I99" s="2" t="s">
        <v>92</v>
      </c>
      <c r="J99" s="2" t="s">
        <v>65</v>
      </c>
      <c r="K99" s="2" t="s">
        <v>304</v>
      </c>
      <c r="L99" s="2" t="s">
        <v>3055</v>
      </c>
      <c r="M99" s="8" t="str">
        <f>HYPERLINK("http://slimages.macys.com/is/image/MCY/14815658 ")</f>
        <v xml:space="preserve">http://slimages.macys.com/is/image/MCY/14815658 </v>
      </c>
    </row>
    <row r="100" spans="1:13" ht="180" x14ac:dyDescent="0.25">
      <c r="A100" s="7" t="s">
        <v>5236</v>
      </c>
      <c r="B100" s="2" t="s">
        <v>3057</v>
      </c>
      <c r="C100" s="4">
        <v>2</v>
      </c>
      <c r="D100" s="5">
        <v>12.5</v>
      </c>
      <c r="E100" s="5">
        <v>34.99</v>
      </c>
      <c r="F100" s="4" t="s">
        <v>3058</v>
      </c>
      <c r="G100" s="2" t="s">
        <v>41</v>
      </c>
      <c r="H100" s="7" t="s">
        <v>91</v>
      </c>
      <c r="I100" s="2" t="s">
        <v>92</v>
      </c>
      <c r="J100" s="2" t="s">
        <v>65</v>
      </c>
      <c r="K100" s="2" t="s">
        <v>304</v>
      </c>
      <c r="L100" s="2" t="s">
        <v>3059</v>
      </c>
      <c r="M100" s="8" t="str">
        <f>HYPERLINK("http://slimages.macys.com/is/image/MCY/14815481 ")</f>
        <v xml:space="preserve">http://slimages.macys.com/is/image/MCY/14815481 </v>
      </c>
    </row>
    <row r="101" spans="1:13" ht="204" x14ac:dyDescent="0.25">
      <c r="A101" s="7" t="s">
        <v>13285</v>
      </c>
      <c r="B101" s="2" t="s">
        <v>1558</v>
      </c>
      <c r="C101" s="4">
        <v>1</v>
      </c>
      <c r="D101" s="5">
        <v>12.5</v>
      </c>
      <c r="E101" s="5">
        <v>34.99</v>
      </c>
      <c r="F101" s="4" t="s">
        <v>1559</v>
      </c>
      <c r="G101" s="2" t="s">
        <v>129</v>
      </c>
      <c r="H101" s="7" t="s">
        <v>442</v>
      </c>
      <c r="I101" s="2" t="s">
        <v>92</v>
      </c>
      <c r="J101" s="2" t="s">
        <v>65</v>
      </c>
      <c r="K101" s="2" t="s">
        <v>304</v>
      </c>
      <c r="L101" s="2" t="s">
        <v>1560</v>
      </c>
      <c r="M101" s="8" t="str">
        <f>HYPERLINK("http://slimages.macys.com/is/image/MCY/14815688 ")</f>
        <v xml:space="preserve">http://slimages.macys.com/is/image/MCY/14815688 </v>
      </c>
    </row>
    <row r="102" spans="1:13" ht="180" x14ac:dyDescent="0.25">
      <c r="A102" s="7" t="s">
        <v>3781</v>
      </c>
      <c r="B102" s="2" t="s">
        <v>3057</v>
      </c>
      <c r="C102" s="4">
        <v>1</v>
      </c>
      <c r="D102" s="5">
        <v>12.5</v>
      </c>
      <c r="E102" s="5">
        <v>34.99</v>
      </c>
      <c r="F102" s="4" t="s">
        <v>3058</v>
      </c>
      <c r="G102" s="2" t="s">
        <v>41</v>
      </c>
      <c r="H102" s="7" t="s">
        <v>442</v>
      </c>
      <c r="I102" s="2" t="s">
        <v>92</v>
      </c>
      <c r="J102" s="2" t="s">
        <v>65</v>
      </c>
      <c r="K102" s="2" t="s">
        <v>304</v>
      </c>
      <c r="L102" s="2" t="s">
        <v>3059</v>
      </c>
      <c r="M102" s="8" t="str">
        <f>HYPERLINK("http://slimages.macys.com/is/image/MCY/14815481 ")</f>
        <v xml:space="preserve">http://slimages.macys.com/is/image/MCY/14815481 </v>
      </c>
    </row>
    <row r="103" spans="1:13" ht="180" x14ac:dyDescent="0.25">
      <c r="A103" s="7" t="s">
        <v>13575</v>
      </c>
      <c r="B103" s="2" t="s">
        <v>9340</v>
      </c>
      <c r="C103" s="4">
        <v>1</v>
      </c>
      <c r="D103" s="5">
        <v>12.5</v>
      </c>
      <c r="E103" s="5">
        <v>32.99</v>
      </c>
      <c r="F103" s="4" t="s">
        <v>9341</v>
      </c>
      <c r="G103" s="2" t="s">
        <v>353</v>
      </c>
      <c r="H103" s="7" t="s">
        <v>91</v>
      </c>
      <c r="I103" s="2" t="s">
        <v>92</v>
      </c>
      <c r="J103" s="2" t="s">
        <v>65</v>
      </c>
      <c r="K103" s="2" t="s">
        <v>304</v>
      </c>
      <c r="L103" s="2" t="s">
        <v>9342</v>
      </c>
      <c r="M103" s="8" t="str">
        <f>HYPERLINK("http://slimages.macys.com/is/image/MCY/13782960 ")</f>
        <v xml:space="preserve">http://slimages.macys.com/is/image/MCY/13782960 </v>
      </c>
    </row>
    <row r="104" spans="1:13" ht="180" x14ac:dyDescent="0.25">
      <c r="A104" s="7" t="s">
        <v>9346</v>
      </c>
      <c r="B104" s="2" t="s">
        <v>9340</v>
      </c>
      <c r="C104" s="4">
        <v>1</v>
      </c>
      <c r="D104" s="5">
        <v>12.5</v>
      </c>
      <c r="E104" s="5">
        <v>32.99</v>
      </c>
      <c r="F104" s="4" t="s">
        <v>9341</v>
      </c>
      <c r="G104" s="2" t="s">
        <v>353</v>
      </c>
      <c r="H104" s="7" t="s">
        <v>442</v>
      </c>
      <c r="I104" s="2" t="s">
        <v>92</v>
      </c>
      <c r="J104" s="2" t="s">
        <v>65</v>
      </c>
      <c r="K104" s="2" t="s">
        <v>304</v>
      </c>
      <c r="L104" s="2" t="s">
        <v>9342</v>
      </c>
      <c r="M104" s="8" t="str">
        <f>HYPERLINK("http://slimages.macys.com/is/image/MCY/13782960 ")</f>
        <v xml:space="preserve">http://slimages.macys.com/is/image/MCY/13782960 </v>
      </c>
    </row>
    <row r="105" spans="1:13" ht="204" x14ac:dyDescent="0.25">
      <c r="A105" s="7" t="s">
        <v>13576</v>
      </c>
      <c r="B105" s="2" t="s">
        <v>1558</v>
      </c>
      <c r="C105" s="4">
        <v>1</v>
      </c>
      <c r="D105" s="5">
        <v>12.5</v>
      </c>
      <c r="E105" s="5">
        <v>34.99</v>
      </c>
      <c r="F105" s="4" t="s">
        <v>1559</v>
      </c>
      <c r="G105" s="2" t="s">
        <v>129</v>
      </c>
      <c r="H105" s="7" t="s">
        <v>42</v>
      </c>
      <c r="I105" s="2" t="s">
        <v>92</v>
      </c>
      <c r="J105" s="2" t="s">
        <v>65</v>
      </c>
      <c r="K105" s="2" t="s">
        <v>304</v>
      </c>
      <c r="L105" s="2" t="s">
        <v>1560</v>
      </c>
      <c r="M105" s="8" t="str">
        <f>HYPERLINK("http://slimages.macys.com/is/image/MCY/14815688 ")</f>
        <v xml:space="preserve">http://slimages.macys.com/is/image/MCY/14815688 </v>
      </c>
    </row>
    <row r="106" spans="1:13" ht="144" x14ac:dyDescent="0.25">
      <c r="A106" s="7" t="s">
        <v>13577</v>
      </c>
      <c r="B106" s="2" t="s">
        <v>3775</v>
      </c>
      <c r="C106" s="4">
        <v>1</v>
      </c>
      <c r="D106" s="5">
        <v>12.5</v>
      </c>
      <c r="E106" s="5">
        <v>34.99</v>
      </c>
      <c r="F106" s="4" t="s">
        <v>3776</v>
      </c>
      <c r="G106" s="2" t="s">
        <v>752</v>
      </c>
      <c r="H106" s="7" t="s">
        <v>590</v>
      </c>
      <c r="I106" s="2" t="s">
        <v>92</v>
      </c>
      <c r="J106" s="2" t="s">
        <v>65</v>
      </c>
      <c r="K106" s="2" t="s">
        <v>304</v>
      </c>
      <c r="L106" s="2" t="s">
        <v>3777</v>
      </c>
      <c r="M106" s="8" t="str">
        <f>HYPERLINK("http://slimages.macys.com/is/image/MCY/15240491 ")</f>
        <v xml:space="preserve">http://slimages.macys.com/is/image/MCY/15240491 </v>
      </c>
    </row>
    <row r="107" spans="1:13" ht="132" x14ac:dyDescent="0.25">
      <c r="A107" s="7" t="s">
        <v>13578</v>
      </c>
      <c r="B107" s="2" t="s">
        <v>8687</v>
      </c>
      <c r="C107" s="4">
        <v>1</v>
      </c>
      <c r="D107" s="5">
        <v>12.5</v>
      </c>
      <c r="E107" s="5">
        <v>29.99</v>
      </c>
      <c r="F107" s="4" t="s">
        <v>8688</v>
      </c>
      <c r="G107" s="2" t="s">
        <v>86</v>
      </c>
      <c r="H107" s="7" t="s">
        <v>442</v>
      </c>
      <c r="I107" s="2" t="s">
        <v>135</v>
      </c>
      <c r="J107" s="2" t="s">
        <v>258</v>
      </c>
      <c r="K107" s="2" t="s">
        <v>304</v>
      </c>
      <c r="L107" s="2" t="s">
        <v>8689</v>
      </c>
      <c r="M107" s="8" t="str">
        <f>HYPERLINK("http://slimages.macys.com/is/image/MCY/11859047 ")</f>
        <v xml:space="preserve">http://slimages.macys.com/is/image/MCY/11859047 </v>
      </c>
    </row>
    <row r="108" spans="1:13" ht="180" x14ac:dyDescent="0.25">
      <c r="A108" s="7" t="s">
        <v>3056</v>
      </c>
      <c r="B108" s="2" t="s">
        <v>3057</v>
      </c>
      <c r="C108" s="4">
        <v>1</v>
      </c>
      <c r="D108" s="5">
        <v>12.5</v>
      </c>
      <c r="E108" s="5">
        <v>34.99</v>
      </c>
      <c r="F108" s="4" t="s">
        <v>3058</v>
      </c>
      <c r="G108" s="2" t="s">
        <v>41</v>
      </c>
      <c r="H108" s="7" t="s">
        <v>590</v>
      </c>
      <c r="I108" s="2" t="s">
        <v>92</v>
      </c>
      <c r="J108" s="2" t="s">
        <v>65</v>
      </c>
      <c r="K108" s="2" t="s">
        <v>304</v>
      </c>
      <c r="L108" s="2" t="s">
        <v>3059</v>
      </c>
      <c r="M108" s="8" t="str">
        <f>HYPERLINK("http://slimages.macys.com/is/image/MCY/14815481 ")</f>
        <v xml:space="preserve">http://slimages.macys.com/is/image/MCY/14815481 </v>
      </c>
    </row>
    <row r="109" spans="1:13" ht="168" x14ac:dyDescent="0.25">
      <c r="A109" s="7" t="s">
        <v>13283</v>
      </c>
      <c r="B109" s="2" t="s">
        <v>189</v>
      </c>
      <c r="C109" s="4">
        <v>1</v>
      </c>
      <c r="D109" s="5">
        <v>12.5</v>
      </c>
      <c r="E109" s="5">
        <v>34.99</v>
      </c>
      <c r="F109" s="4" t="s">
        <v>190</v>
      </c>
      <c r="G109" s="2" t="s">
        <v>129</v>
      </c>
      <c r="H109" s="7" t="s">
        <v>442</v>
      </c>
      <c r="I109" s="2" t="s">
        <v>92</v>
      </c>
      <c r="J109" s="2" t="s">
        <v>65</v>
      </c>
      <c r="K109" s="2" t="s">
        <v>304</v>
      </c>
      <c r="L109" s="2" t="s">
        <v>191</v>
      </c>
      <c r="M109" s="8" t="str">
        <f>HYPERLINK("http://slimages.macys.com/is/image/MCY/14815686 ")</f>
        <v xml:space="preserve">http://slimages.macys.com/is/image/MCY/14815686 </v>
      </c>
    </row>
    <row r="110" spans="1:13" ht="168" x14ac:dyDescent="0.25">
      <c r="A110" s="7" t="s">
        <v>188</v>
      </c>
      <c r="B110" s="2" t="s">
        <v>189</v>
      </c>
      <c r="C110" s="4">
        <v>1</v>
      </c>
      <c r="D110" s="5">
        <v>12.5</v>
      </c>
      <c r="E110" s="5">
        <v>34.99</v>
      </c>
      <c r="F110" s="4" t="s">
        <v>190</v>
      </c>
      <c r="G110" s="2" t="s">
        <v>129</v>
      </c>
      <c r="H110" s="7" t="s">
        <v>149</v>
      </c>
      <c r="I110" s="2" t="s">
        <v>92</v>
      </c>
      <c r="J110" s="2" t="s">
        <v>65</v>
      </c>
      <c r="K110" s="2" t="s">
        <v>304</v>
      </c>
      <c r="L110" s="2" t="s">
        <v>191</v>
      </c>
      <c r="M110" s="8" t="str">
        <f>HYPERLINK("http://slimages.macys.com/is/image/MCY/14815686 ")</f>
        <v xml:space="preserve">http://slimages.macys.com/is/image/MCY/14815686 </v>
      </c>
    </row>
    <row r="111" spans="1:13" ht="168" x14ac:dyDescent="0.25">
      <c r="A111" s="7" t="s">
        <v>3074</v>
      </c>
      <c r="B111" s="2" t="s">
        <v>189</v>
      </c>
      <c r="C111" s="4">
        <v>1</v>
      </c>
      <c r="D111" s="5">
        <v>12.5</v>
      </c>
      <c r="E111" s="5">
        <v>34.99</v>
      </c>
      <c r="F111" s="4" t="s">
        <v>190</v>
      </c>
      <c r="G111" s="2" t="s">
        <v>129</v>
      </c>
      <c r="H111" s="7" t="s">
        <v>91</v>
      </c>
      <c r="I111" s="2" t="s">
        <v>92</v>
      </c>
      <c r="J111" s="2" t="s">
        <v>65</v>
      </c>
      <c r="K111" s="2" t="s">
        <v>304</v>
      </c>
      <c r="L111" s="2" t="s">
        <v>191</v>
      </c>
      <c r="M111" s="8" t="str">
        <f>HYPERLINK("http://slimages.macys.com/is/image/MCY/14815686 ")</f>
        <v xml:space="preserve">http://slimages.macys.com/is/image/MCY/14815686 </v>
      </c>
    </row>
    <row r="112" spans="1:13" ht="168" x14ac:dyDescent="0.25">
      <c r="A112" s="7" t="s">
        <v>2510</v>
      </c>
      <c r="B112" s="2" t="s">
        <v>189</v>
      </c>
      <c r="C112" s="4">
        <v>4</v>
      </c>
      <c r="D112" s="5">
        <v>12.5</v>
      </c>
      <c r="E112" s="5">
        <v>34.99</v>
      </c>
      <c r="F112" s="4" t="s">
        <v>190</v>
      </c>
      <c r="G112" s="2" t="s">
        <v>129</v>
      </c>
      <c r="H112" s="7" t="s">
        <v>42</v>
      </c>
      <c r="I112" s="2" t="s">
        <v>92</v>
      </c>
      <c r="J112" s="2" t="s">
        <v>65</v>
      </c>
      <c r="K112" s="2" t="s">
        <v>304</v>
      </c>
      <c r="L112" s="2" t="s">
        <v>191</v>
      </c>
      <c r="M112" s="8" t="str">
        <f>HYPERLINK("http://slimages.macys.com/is/image/MCY/14815686 ")</f>
        <v xml:space="preserve">http://slimages.macys.com/is/image/MCY/14815686 </v>
      </c>
    </row>
    <row r="113" spans="1:13" ht="60" x14ac:dyDescent="0.25">
      <c r="A113" s="7" t="s">
        <v>197</v>
      </c>
      <c r="B113" s="2" t="s">
        <v>198</v>
      </c>
      <c r="C113" s="4">
        <v>15</v>
      </c>
      <c r="D113" s="5">
        <v>12.39</v>
      </c>
      <c r="E113" s="5">
        <v>29.5</v>
      </c>
      <c r="F113" s="4" t="s">
        <v>199</v>
      </c>
      <c r="G113" s="2" t="s">
        <v>200</v>
      </c>
      <c r="H113" s="7" t="s">
        <v>91</v>
      </c>
      <c r="I113" s="2" t="s">
        <v>135</v>
      </c>
      <c r="J113" s="2" t="s">
        <v>201</v>
      </c>
      <c r="K113" s="2" t="s">
        <v>304</v>
      </c>
      <c r="L113" s="2" t="s">
        <v>87</v>
      </c>
      <c r="M113" s="8" t="str">
        <f>HYPERLINK("http://slimages.macys.com/is/image/MCY/1477012 ")</f>
        <v xml:space="preserve">http://slimages.macys.com/is/image/MCY/1477012 </v>
      </c>
    </row>
    <row r="114" spans="1:13" ht="60" x14ac:dyDescent="0.25">
      <c r="A114" s="7" t="s">
        <v>779</v>
      </c>
      <c r="B114" s="2" t="s">
        <v>198</v>
      </c>
      <c r="C114" s="4">
        <v>50</v>
      </c>
      <c r="D114" s="5">
        <v>12.39</v>
      </c>
      <c r="E114" s="5">
        <v>29.5</v>
      </c>
      <c r="F114" s="4" t="s">
        <v>199</v>
      </c>
      <c r="G114" s="2" t="s">
        <v>200</v>
      </c>
      <c r="H114" s="7" t="s">
        <v>442</v>
      </c>
      <c r="I114" s="2" t="s">
        <v>135</v>
      </c>
      <c r="J114" s="2" t="s">
        <v>201</v>
      </c>
      <c r="K114" s="2" t="s">
        <v>304</v>
      </c>
      <c r="L114" s="2" t="s">
        <v>87</v>
      </c>
      <c r="M114" s="8" t="str">
        <f>HYPERLINK("http://slimages.macys.com/is/image/MCY/1477012 ")</f>
        <v xml:space="preserve">http://slimages.macys.com/is/image/MCY/1477012 </v>
      </c>
    </row>
    <row r="115" spans="1:13" ht="60" x14ac:dyDescent="0.25">
      <c r="A115" s="7" t="s">
        <v>2511</v>
      </c>
      <c r="B115" s="2" t="s">
        <v>198</v>
      </c>
      <c r="C115" s="4">
        <v>74</v>
      </c>
      <c r="D115" s="5">
        <v>12.39</v>
      </c>
      <c r="E115" s="5">
        <v>29.5</v>
      </c>
      <c r="F115" s="4" t="s">
        <v>199</v>
      </c>
      <c r="G115" s="2" t="s">
        <v>200</v>
      </c>
      <c r="H115" s="7" t="s">
        <v>42</v>
      </c>
      <c r="I115" s="2" t="s">
        <v>135</v>
      </c>
      <c r="J115" s="2" t="s">
        <v>201</v>
      </c>
      <c r="K115" s="2" t="s">
        <v>304</v>
      </c>
      <c r="L115" s="2" t="s">
        <v>87</v>
      </c>
      <c r="M115" s="8" t="str">
        <f>HYPERLINK("http://slimages.macys.com/is/image/MCY/1477012 ")</f>
        <v xml:space="preserve">http://slimages.macys.com/is/image/MCY/1477012 </v>
      </c>
    </row>
    <row r="116" spans="1:13" ht="60" x14ac:dyDescent="0.25">
      <c r="A116" s="7" t="s">
        <v>13579</v>
      </c>
      <c r="B116" s="2" t="s">
        <v>3084</v>
      </c>
      <c r="C116" s="4">
        <v>3</v>
      </c>
      <c r="D116" s="5">
        <v>12</v>
      </c>
      <c r="E116" s="5">
        <v>31.99</v>
      </c>
      <c r="F116" s="4" t="s">
        <v>3085</v>
      </c>
      <c r="G116" s="2" t="s">
        <v>310</v>
      </c>
      <c r="H116" s="7" t="s">
        <v>91</v>
      </c>
      <c r="I116" s="2" t="s">
        <v>92</v>
      </c>
      <c r="J116" s="2" t="s">
        <v>3086</v>
      </c>
      <c r="K116" s="2" t="s">
        <v>304</v>
      </c>
      <c r="L116" s="2" t="s">
        <v>3087</v>
      </c>
      <c r="M116" s="8" t="str">
        <f>HYPERLINK("http://slimages.macys.com/is/image/MCY/14812314 ")</f>
        <v xml:space="preserve">http://slimages.macys.com/is/image/MCY/14812314 </v>
      </c>
    </row>
    <row r="117" spans="1:13" ht="60" x14ac:dyDescent="0.25">
      <c r="A117" s="7" t="s">
        <v>3088</v>
      </c>
      <c r="B117" s="2" t="s">
        <v>3084</v>
      </c>
      <c r="C117" s="4">
        <v>2</v>
      </c>
      <c r="D117" s="5">
        <v>12</v>
      </c>
      <c r="E117" s="5">
        <v>31.99</v>
      </c>
      <c r="F117" s="4" t="s">
        <v>3085</v>
      </c>
      <c r="G117" s="2" t="s">
        <v>310</v>
      </c>
      <c r="H117" s="7" t="s">
        <v>42</v>
      </c>
      <c r="I117" s="2" t="s">
        <v>92</v>
      </c>
      <c r="J117" s="2" t="s">
        <v>3086</v>
      </c>
      <c r="K117" s="2" t="s">
        <v>304</v>
      </c>
      <c r="L117" s="2" t="s">
        <v>3087</v>
      </c>
      <c r="M117" s="8" t="str">
        <f>HYPERLINK("http://slimages.macys.com/is/image/MCY/14812314 ")</f>
        <v xml:space="preserve">http://slimages.macys.com/is/image/MCY/14812314 </v>
      </c>
    </row>
    <row r="118" spans="1:13" ht="144" x14ac:dyDescent="0.25">
      <c r="A118" s="7" t="s">
        <v>13580</v>
      </c>
      <c r="B118" s="2" t="s">
        <v>3797</v>
      </c>
      <c r="C118" s="4">
        <v>1</v>
      </c>
      <c r="D118" s="5">
        <v>12</v>
      </c>
      <c r="E118" s="5">
        <v>32.99</v>
      </c>
      <c r="F118" s="4" t="s">
        <v>3798</v>
      </c>
      <c r="G118" s="2" t="s">
        <v>28</v>
      </c>
      <c r="H118" s="7" t="s">
        <v>442</v>
      </c>
      <c r="I118" s="2" t="s">
        <v>92</v>
      </c>
      <c r="J118" s="2" t="s">
        <v>65</v>
      </c>
      <c r="K118" s="2" t="s">
        <v>304</v>
      </c>
      <c r="L118" s="2" t="s">
        <v>3799</v>
      </c>
      <c r="M118" s="8" t="str">
        <f>HYPERLINK("http://slimages.macys.com/is/image/MCY/13782953 ")</f>
        <v xml:space="preserve">http://slimages.macys.com/is/image/MCY/13782953 </v>
      </c>
    </row>
    <row r="119" spans="1:13" ht="60" x14ac:dyDescent="0.25">
      <c r="A119" s="7" t="s">
        <v>3800</v>
      </c>
      <c r="B119" s="2" t="s">
        <v>3084</v>
      </c>
      <c r="C119" s="4">
        <v>1</v>
      </c>
      <c r="D119" s="5">
        <v>12</v>
      </c>
      <c r="E119" s="5">
        <v>31.99</v>
      </c>
      <c r="F119" s="4" t="s">
        <v>3085</v>
      </c>
      <c r="G119" s="2" t="s">
        <v>310</v>
      </c>
      <c r="H119" s="7" t="s">
        <v>442</v>
      </c>
      <c r="I119" s="2" t="s">
        <v>92</v>
      </c>
      <c r="J119" s="2" t="s">
        <v>3086</v>
      </c>
      <c r="K119" s="2" t="s">
        <v>304</v>
      </c>
      <c r="L119" s="2" t="s">
        <v>3087</v>
      </c>
      <c r="M119" s="8" t="str">
        <f>HYPERLINK("http://slimages.macys.com/is/image/MCY/14812314 ")</f>
        <v xml:space="preserve">http://slimages.macys.com/is/image/MCY/14812314 </v>
      </c>
    </row>
    <row r="120" spans="1:13" ht="60" x14ac:dyDescent="0.25">
      <c r="A120" s="7" t="s">
        <v>13581</v>
      </c>
      <c r="B120" s="2" t="s">
        <v>211</v>
      </c>
      <c r="C120" s="4">
        <v>1</v>
      </c>
      <c r="D120" s="5">
        <v>11.76</v>
      </c>
      <c r="E120" s="5">
        <v>28</v>
      </c>
      <c r="F120" s="4" t="s">
        <v>212</v>
      </c>
      <c r="G120" s="2" t="s">
        <v>62</v>
      </c>
      <c r="H120" s="7" t="s">
        <v>72</v>
      </c>
      <c r="I120" s="2" t="s">
        <v>73</v>
      </c>
      <c r="J120" s="2" t="s">
        <v>74</v>
      </c>
      <c r="K120" s="2" t="s">
        <v>304</v>
      </c>
      <c r="L120" s="2" t="s">
        <v>87</v>
      </c>
      <c r="M120" s="8" t="str">
        <f>HYPERLINK("http://slimages.macys.com/is/image/MCY/13941644 ")</f>
        <v xml:space="preserve">http://slimages.macys.com/is/image/MCY/13941644 </v>
      </c>
    </row>
    <row r="121" spans="1:13" ht="60" x14ac:dyDescent="0.25">
      <c r="A121" s="7" t="s">
        <v>9879</v>
      </c>
      <c r="B121" s="2" t="s">
        <v>4824</v>
      </c>
      <c r="C121" s="4">
        <v>1</v>
      </c>
      <c r="D121" s="5">
        <v>11.75</v>
      </c>
      <c r="E121" s="5">
        <v>28.99</v>
      </c>
      <c r="F121" s="4" t="s">
        <v>4825</v>
      </c>
      <c r="G121" s="2" t="s">
        <v>129</v>
      </c>
      <c r="H121" s="7" t="s">
        <v>228</v>
      </c>
      <c r="I121" s="2" t="s">
        <v>321</v>
      </c>
      <c r="J121" s="2" t="s">
        <v>3099</v>
      </c>
      <c r="K121" s="2" t="s">
        <v>304</v>
      </c>
      <c r="L121" s="2" t="s">
        <v>125</v>
      </c>
      <c r="M121" s="8" t="str">
        <f>HYPERLINK("http://slimages.macys.com/is/image/MCY/11641256 ")</f>
        <v xml:space="preserve">http://slimages.macys.com/is/image/MCY/11641256 </v>
      </c>
    </row>
    <row r="122" spans="1:13" ht="60" x14ac:dyDescent="0.25">
      <c r="A122" s="7" t="s">
        <v>11877</v>
      </c>
      <c r="B122" s="2" t="s">
        <v>9365</v>
      </c>
      <c r="C122" s="4">
        <v>1</v>
      </c>
      <c r="D122" s="5">
        <v>11.75</v>
      </c>
      <c r="E122" s="5">
        <v>28.99</v>
      </c>
      <c r="F122" s="4" t="s">
        <v>9366</v>
      </c>
      <c r="G122" s="2" t="s">
        <v>28</v>
      </c>
      <c r="H122" s="7" t="s">
        <v>284</v>
      </c>
      <c r="I122" s="2" t="s">
        <v>321</v>
      </c>
      <c r="J122" s="2" t="s">
        <v>3099</v>
      </c>
      <c r="K122" s="2" t="s">
        <v>304</v>
      </c>
      <c r="L122" s="2" t="s">
        <v>125</v>
      </c>
      <c r="M122" s="8" t="str">
        <f>HYPERLINK("http://slimages.macys.com/is/image/MCY/11641226 ")</f>
        <v xml:space="preserve">http://slimages.macys.com/is/image/MCY/11641226 </v>
      </c>
    </row>
    <row r="123" spans="1:13" ht="60" x14ac:dyDescent="0.25">
      <c r="A123" s="7" t="s">
        <v>3096</v>
      </c>
      <c r="B123" s="2" t="s">
        <v>3097</v>
      </c>
      <c r="C123" s="4">
        <v>1</v>
      </c>
      <c r="D123" s="5">
        <v>11.75</v>
      </c>
      <c r="E123" s="5">
        <v>28.99</v>
      </c>
      <c r="F123" s="4" t="s">
        <v>3098</v>
      </c>
      <c r="G123" s="2" t="s">
        <v>1747</v>
      </c>
      <c r="H123" s="7" t="s">
        <v>228</v>
      </c>
      <c r="I123" s="2" t="s">
        <v>321</v>
      </c>
      <c r="J123" s="2" t="s">
        <v>3099</v>
      </c>
      <c r="K123" s="2" t="s">
        <v>304</v>
      </c>
      <c r="L123" s="2" t="s">
        <v>125</v>
      </c>
      <c r="M123" s="8" t="str">
        <f>HYPERLINK("http://slimages.macys.com/is/image/MCY/11641610 ")</f>
        <v xml:space="preserve">http://slimages.macys.com/is/image/MCY/11641610 </v>
      </c>
    </row>
    <row r="124" spans="1:13" ht="60" x14ac:dyDescent="0.25">
      <c r="A124" s="7" t="s">
        <v>9880</v>
      </c>
      <c r="B124" s="2" t="s">
        <v>3097</v>
      </c>
      <c r="C124" s="4">
        <v>1</v>
      </c>
      <c r="D124" s="5">
        <v>11.75</v>
      </c>
      <c r="E124" s="5">
        <v>28.99</v>
      </c>
      <c r="F124" s="4" t="s">
        <v>3098</v>
      </c>
      <c r="G124" s="2" t="s">
        <v>1747</v>
      </c>
      <c r="H124" s="7" t="s">
        <v>159</v>
      </c>
      <c r="I124" s="2" t="s">
        <v>321</v>
      </c>
      <c r="J124" s="2" t="s">
        <v>3099</v>
      </c>
      <c r="K124" s="2" t="s">
        <v>304</v>
      </c>
      <c r="L124" s="2" t="s">
        <v>125</v>
      </c>
      <c r="M124" s="8" t="str">
        <f>HYPERLINK("http://slimages.macys.com/is/image/MCY/11641610 ")</f>
        <v xml:space="preserve">http://slimages.macys.com/is/image/MCY/11641610 </v>
      </c>
    </row>
    <row r="125" spans="1:13" ht="60" x14ac:dyDescent="0.25">
      <c r="A125" s="7" t="s">
        <v>11876</v>
      </c>
      <c r="B125" s="2" t="s">
        <v>9365</v>
      </c>
      <c r="C125" s="4">
        <v>1</v>
      </c>
      <c r="D125" s="5">
        <v>11.75</v>
      </c>
      <c r="E125" s="5">
        <v>28.99</v>
      </c>
      <c r="F125" s="4" t="s">
        <v>9366</v>
      </c>
      <c r="G125" s="2"/>
      <c r="H125" s="7" t="s">
        <v>159</v>
      </c>
      <c r="I125" s="2" t="s">
        <v>321</v>
      </c>
      <c r="J125" s="2" t="s">
        <v>3099</v>
      </c>
      <c r="K125" s="2" t="s">
        <v>304</v>
      </c>
      <c r="L125" s="2" t="s">
        <v>125</v>
      </c>
      <c r="M125" s="8" t="str">
        <f>HYPERLINK("http://slimages.macys.com/is/image/MCY/11641226 ")</f>
        <v xml:space="preserve">http://slimages.macys.com/is/image/MCY/11641226 </v>
      </c>
    </row>
    <row r="126" spans="1:13" ht="60" x14ac:dyDescent="0.25">
      <c r="A126" s="7" t="s">
        <v>12417</v>
      </c>
      <c r="B126" s="2" t="s">
        <v>9365</v>
      </c>
      <c r="C126" s="4">
        <v>1</v>
      </c>
      <c r="D126" s="5">
        <v>11.75</v>
      </c>
      <c r="E126" s="5">
        <v>28.99</v>
      </c>
      <c r="F126" s="4" t="s">
        <v>9366</v>
      </c>
      <c r="G126" s="2" t="s">
        <v>28</v>
      </c>
      <c r="H126" s="7" t="s">
        <v>159</v>
      </c>
      <c r="I126" s="2" t="s">
        <v>321</v>
      </c>
      <c r="J126" s="2" t="s">
        <v>3099</v>
      </c>
      <c r="K126" s="2" t="s">
        <v>304</v>
      </c>
      <c r="L126" s="2" t="s">
        <v>125</v>
      </c>
      <c r="M126" s="8" t="str">
        <f>HYPERLINK("http://slimages.macys.com/is/image/MCY/11641226 ")</f>
        <v xml:space="preserve">http://slimages.macys.com/is/image/MCY/11641226 </v>
      </c>
    </row>
    <row r="127" spans="1:13" ht="60" x14ac:dyDescent="0.25">
      <c r="A127" s="7" t="s">
        <v>3801</v>
      </c>
      <c r="B127" s="2" t="s">
        <v>1491</v>
      </c>
      <c r="C127" s="4">
        <v>1</v>
      </c>
      <c r="D127" s="5">
        <v>11.7</v>
      </c>
      <c r="E127" s="5">
        <v>32.5</v>
      </c>
      <c r="F127" s="4" t="s">
        <v>3802</v>
      </c>
      <c r="G127" s="2" t="s">
        <v>800</v>
      </c>
      <c r="H127" s="7" t="s">
        <v>91</v>
      </c>
      <c r="I127" s="2" t="s">
        <v>92</v>
      </c>
      <c r="J127" s="2" t="s">
        <v>3633</v>
      </c>
      <c r="K127" s="2" t="s">
        <v>304</v>
      </c>
      <c r="L127" s="2" t="s">
        <v>119</v>
      </c>
      <c r="M127" s="8" t="str">
        <f>HYPERLINK("http://slimages.macys.com/is/image/MCY/13859676 ")</f>
        <v xml:space="preserve">http://slimages.macys.com/is/image/MCY/13859676 </v>
      </c>
    </row>
    <row r="128" spans="1:13" ht="60" x14ac:dyDescent="0.25">
      <c r="A128" s="7" t="s">
        <v>3803</v>
      </c>
      <c r="B128" s="2" t="s">
        <v>1491</v>
      </c>
      <c r="C128" s="4">
        <v>1</v>
      </c>
      <c r="D128" s="5">
        <v>11.7</v>
      </c>
      <c r="E128" s="5">
        <v>32.5</v>
      </c>
      <c r="F128" s="4" t="s">
        <v>3802</v>
      </c>
      <c r="G128" s="2" t="s">
        <v>800</v>
      </c>
      <c r="H128" s="7" t="s">
        <v>442</v>
      </c>
      <c r="I128" s="2" t="s">
        <v>92</v>
      </c>
      <c r="J128" s="2" t="s">
        <v>3633</v>
      </c>
      <c r="K128" s="2" t="s">
        <v>304</v>
      </c>
      <c r="L128" s="2" t="s">
        <v>119</v>
      </c>
      <c r="M128" s="8" t="str">
        <f>HYPERLINK("http://slimages.macys.com/is/image/MCY/13859676 ")</f>
        <v xml:space="preserve">http://slimages.macys.com/is/image/MCY/13859676 </v>
      </c>
    </row>
    <row r="129" spans="1:13" ht="60" x14ac:dyDescent="0.25">
      <c r="A129" s="7" t="s">
        <v>13582</v>
      </c>
      <c r="B129" s="2" t="s">
        <v>791</v>
      </c>
      <c r="C129" s="4">
        <v>3</v>
      </c>
      <c r="D129" s="5">
        <v>11.5</v>
      </c>
      <c r="E129" s="5">
        <v>25.99</v>
      </c>
      <c r="F129" s="4" t="s">
        <v>792</v>
      </c>
      <c r="G129" s="2" t="s">
        <v>793</v>
      </c>
      <c r="H129" s="7" t="s">
        <v>159</v>
      </c>
      <c r="I129" s="2" t="s">
        <v>73</v>
      </c>
      <c r="J129" s="2" t="s">
        <v>223</v>
      </c>
      <c r="K129" s="2" t="s">
        <v>304</v>
      </c>
      <c r="L129" s="2" t="s">
        <v>75</v>
      </c>
      <c r="M129" s="8" t="str">
        <f>HYPERLINK("http://slimages.macys.com/is/image/MCY/14430977 ")</f>
        <v xml:space="preserve">http://slimages.macys.com/is/image/MCY/14430977 </v>
      </c>
    </row>
    <row r="130" spans="1:13" ht="60" x14ac:dyDescent="0.25">
      <c r="A130" s="7" t="s">
        <v>13583</v>
      </c>
      <c r="B130" s="2" t="s">
        <v>791</v>
      </c>
      <c r="C130" s="4">
        <v>1</v>
      </c>
      <c r="D130" s="5">
        <v>11.5</v>
      </c>
      <c r="E130" s="5">
        <v>25.99</v>
      </c>
      <c r="F130" s="4" t="s">
        <v>792</v>
      </c>
      <c r="G130" s="2" t="s">
        <v>793</v>
      </c>
      <c r="H130" s="7" t="s">
        <v>284</v>
      </c>
      <c r="I130" s="2" t="s">
        <v>73</v>
      </c>
      <c r="J130" s="2" t="s">
        <v>223</v>
      </c>
      <c r="K130" s="2" t="s">
        <v>304</v>
      </c>
      <c r="L130" s="2" t="s">
        <v>75</v>
      </c>
      <c r="M130" s="8" t="str">
        <f>HYPERLINK("http://slimages.macys.com/is/image/MCY/14430977 ")</f>
        <v xml:space="preserve">http://slimages.macys.com/is/image/MCY/14430977 </v>
      </c>
    </row>
    <row r="131" spans="1:13" ht="96" x14ac:dyDescent="0.25">
      <c r="A131" s="7" t="s">
        <v>5243</v>
      </c>
      <c r="B131" s="2" t="s">
        <v>5244</v>
      </c>
      <c r="C131" s="4">
        <v>1</v>
      </c>
      <c r="D131" s="5">
        <v>11.5</v>
      </c>
      <c r="E131" s="5">
        <v>26.74</v>
      </c>
      <c r="F131" s="4">
        <v>16644510</v>
      </c>
      <c r="G131" s="2"/>
      <c r="H131" s="7" t="s">
        <v>482</v>
      </c>
      <c r="I131" s="2" t="s">
        <v>153</v>
      </c>
      <c r="J131" s="2" t="s">
        <v>154</v>
      </c>
      <c r="K131" s="2" t="s">
        <v>304</v>
      </c>
      <c r="L131" s="2" t="s">
        <v>5245</v>
      </c>
      <c r="M131" s="8" t="str">
        <f>HYPERLINK("http://slimages.macys.com/is/image/MCY/11631953 ")</f>
        <v xml:space="preserve">http://slimages.macys.com/is/image/MCY/11631953 </v>
      </c>
    </row>
    <row r="132" spans="1:13" ht="60" x14ac:dyDescent="0.25">
      <c r="A132" s="7" t="s">
        <v>13584</v>
      </c>
      <c r="B132" s="2" t="s">
        <v>9888</v>
      </c>
      <c r="C132" s="4">
        <v>1</v>
      </c>
      <c r="D132" s="5">
        <v>11.4</v>
      </c>
      <c r="E132" s="5">
        <v>27.99</v>
      </c>
      <c r="F132" s="4" t="s">
        <v>4832</v>
      </c>
      <c r="G132" s="2" t="s">
        <v>698</v>
      </c>
      <c r="H132" s="7" t="s">
        <v>217</v>
      </c>
      <c r="I132" s="2" t="s">
        <v>321</v>
      </c>
      <c r="J132" s="2" t="s">
        <v>4833</v>
      </c>
      <c r="K132" s="2" t="s">
        <v>304</v>
      </c>
      <c r="L132" s="2" t="s">
        <v>3634</v>
      </c>
      <c r="M132" s="8" t="str">
        <f>HYPERLINK("http://slimages.macys.com/is/image/MCY/10944802 ")</f>
        <v xml:space="preserve">http://slimages.macys.com/is/image/MCY/10944802 </v>
      </c>
    </row>
    <row r="133" spans="1:13" ht="60" x14ac:dyDescent="0.25">
      <c r="A133" s="7" t="s">
        <v>5863</v>
      </c>
      <c r="B133" s="2" t="s">
        <v>203</v>
      </c>
      <c r="C133" s="4">
        <v>1</v>
      </c>
      <c r="D133" s="5">
        <v>11.25</v>
      </c>
      <c r="E133" s="5">
        <v>25</v>
      </c>
      <c r="F133" s="4">
        <v>321753363001</v>
      </c>
      <c r="G133" s="2" t="s">
        <v>28</v>
      </c>
      <c r="H133" s="7" t="s">
        <v>68</v>
      </c>
      <c r="I133" s="2" t="s">
        <v>204</v>
      </c>
      <c r="J133" s="2" t="s">
        <v>205</v>
      </c>
      <c r="K133" s="2" t="s">
        <v>304</v>
      </c>
      <c r="L133" s="2" t="s">
        <v>206</v>
      </c>
      <c r="M133" s="8" t="str">
        <f>HYPERLINK("http://slimages.macys.com/is/image/MCY/14356741 ")</f>
        <v xml:space="preserve">http://slimages.macys.com/is/image/MCY/14356741 </v>
      </c>
    </row>
    <row r="134" spans="1:13" ht="60" x14ac:dyDescent="0.25">
      <c r="A134" s="7" t="s">
        <v>13585</v>
      </c>
      <c r="B134" s="2" t="s">
        <v>203</v>
      </c>
      <c r="C134" s="4">
        <v>1</v>
      </c>
      <c r="D134" s="5">
        <v>11.25</v>
      </c>
      <c r="E134" s="5">
        <v>25</v>
      </c>
      <c r="F134" s="4">
        <v>322753363001</v>
      </c>
      <c r="G134" s="2" t="s">
        <v>28</v>
      </c>
      <c r="H134" s="7" t="s">
        <v>311</v>
      </c>
      <c r="I134" s="2" t="s">
        <v>204</v>
      </c>
      <c r="J134" s="2" t="s">
        <v>205</v>
      </c>
      <c r="K134" s="2" t="s">
        <v>304</v>
      </c>
      <c r="L134" s="2" t="s">
        <v>206</v>
      </c>
      <c r="M134" s="8" t="str">
        <f>HYPERLINK("http://slimages.macys.com/is/image/MCY/14356741 ")</f>
        <v xml:space="preserve">http://slimages.macys.com/is/image/MCY/14356741 </v>
      </c>
    </row>
    <row r="135" spans="1:13" ht="60" x14ac:dyDescent="0.25">
      <c r="A135" s="7" t="s">
        <v>6169</v>
      </c>
      <c r="B135" s="2" t="s">
        <v>6170</v>
      </c>
      <c r="C135" s="4">
        <v>1</v>
      </c>
      <c r="D135" s="5">
        <v>11.25</v>
      </c>
      <c r="E135" s="5">
        <v>19.989999999999998</v>
      </c>
      <c r="F135" s="4" t="s">
        <v>6171</v>
      </c>
      <c r="G135" s="2" t="s">
        <v>48</v>
      </c>
      <c r="H135" s="7" t="s">
        <v>159</v>
      </c>
      <c r="I135" s="2" t="s">
        <v>153</v>
      </c>
      <c r="J135" s="2" t="s">
        <v>154</v>
      </c>
      <c r="K135" s="2" t="s">
        <v>304</v>
      </c>
      <c r="L135" s="2" t="s">
        <v>206</v>
      </c>
      <c r="M135" s="8" t="str">
        <f>HYPERLINK("http://slimages.macys.com/is/image/MCY/9644699 ")</f>
        <v xml:space="preserve">http://slimages.macys.com/is/image/MCY/9644699 </v>
      </c>
    </row>
    <row r="136" spans="1:13" ht="60" x14ac:dyDescent="0.25">
      <c r="A136" s="7" t="s">
        <v>13586</v>
      </c>
      <c r="B136" s="2" t="s">
        <v>3120</v>
      </c>
      <c r="C136" s="4">
        <v>1</v>
      </c>
      <c r="D136" s="5">
        <v>11.25</v>
      </c>
      <c r="E136" s="5">
        <v>25</v>
      </c>
      <c r="F136" s="4">
        <v>1341124</v>
      </c>
      <c r="G136" s="2" t="s">
        <v>195</v>
      </c>
      <c r="H136" s="7" t="s">
        <v>228</v>
      </c>
      <c r="I136" s="2" t="s">
        <v>73</v>
      </c>
      <c r="J136" s="2" t="s">
        <v>280</v>
      </c>
      <c r="K136" s="2" t="s">
        <v>304</v>
      </c>
      <c r="L136" s="2" t="s">
        <v>125</v>
      </c>
      <c r="M136" s="8" t="str">
        <f>HYPERLINK("http://slimages.macys.com/is/image/MCY/15867940 ")</f>
        <v xml:space="preserve">http://slimages.macys.com/is/image/MCY/15867940 </v>
      </c>
    </row>
    <row r="137" spans="1:13" ht="60" x14ac:dyDescent="0.25">
      <c r="A137" s="7" t="s">
        <v>13587</v>
      </c>
      <c r="B137" s="2" t="s">
        <v>9893</v>
      </c>
      <c r="C137" s="4">
        <v>1</v>
      </c>
      <c r="D137" s="5">
        <v>11.12</v>
      </c>
      <c r="E137" s="5">
        <v>22.99</v>
      </c>
      <c r="F137" s="4" t="s">
        <v>9894</v>
      </c>
      <c r="G137" s="2" t="s">
        <v>814</v>
      </c>
      <c r="H137" s="7" t="s">
        <v>217</v>
      </c>
      <c r="I137" s="2" t="s">
        <v>80</v>
      </c>
      <c r="J137" s="2" t="s">
        <v>160</v>
      </c>
      <c r="K137" s="2" t="s">
        <v>304</v>
      </c>
      <c r="L137" s="2" t="s">
        <v>125</v>
      </c>
      <c r="M137" s="8" t="str">
        <f>HYPERLINK("http://slimages.macys.com/is/image/MCY/12225579 ")</f>
        <v xml:space="preserve">http://slimages.macys.com/is/image/MCY/12225579 </v>
      </c>
    </row>
    <row r="138" spans="1:13" ht="60" x14ac:dyDescent="0.25">
      <c r="A138" s="7" t="s">
        <v>13588</v>
      </c>
      <c r="B138" s="2" t="s">
        <v>1580</v>
      </c>
      <c r="C138" s="4">
        <v>1</v>
      </c>
      <c r="D138" s="5">
        <v>11.12</v>
      </c>
      <c r="E138" s="5">
        <v>22.99</v>
      </c>
      <c r="F138" s="4" t="s">
        <v>1581</v>
      </c>
      <c r="G138" s="2" t="s">
        <v>388</v>
      </c>
      <c r="H138" s="7" t="s">
        <v>159</v>
      </c>
      <c r="I138" s="2" t="s">
        <v>73</v>
      </c>
      <c r="J138" s="2" t="s">
        <v>160</v>
      </c>
      <c r="K138" s="2" t="s">
        <v>304</v>
      </c>
      <c r="L138" s="2" t="s">
        <v>206</v>
      </c>
      <c r="M138" s="8" t="str">
        <f>HYPERLINK("http://slimages.macys.com/is/image/MCY/12337182 ")</f>
        <v xml:space="preserve">http://slimages.macys.com/is/image/MCY/12337182 </v>
      </c>
    </row>
    <row r="139" spans="1:13" ht="144" x14ac:dyDescent="0.25">
      <c r="A139" s="7" t="s">
        <v>13589</v>
      </c>
      <c r="B139" s="2" t="s">
        <v>152</v>
      </c>
      <c r="C139" s="4">
        <v>3</v>
      </c>
      <c r="D139" s="5">
        <v>11.1</v>
      </c>
      <c r="E139" s="5">
        <v>25.24</v>
      </c>
      <c r="F139" s="4">
        <v>19318310</v>
      </c>
      <c r="G139" s="2"/>
      <c r="H139" s="7" t="s">
        <v>675</v>
      </c>
      <c r="I139" s="2" t="s">
        <v>153</v>
      </c>
      <c r="J139" s="2" t="s">
        <v>154</v>
      </c>
      <c r="K139" s="2" t="s">
        <v>304</v>
      </c>
      <c r="L139" s="2" t="s">
        <v>234</v>
      </c>
      <c r="M139" s="8" t="str">
        <f>HYPERLINK("http://slimages.macys.com/is/image/MCY/14608343 ")</f>
        <v xml:space="preserve">http://slimages.macys.com/is/image/MCY/14608343 </v>
      </c>
    </row>
    <row r="140" spans="1:13" ht="144" x14ac:dyDescent="0.25">
      <c r="A140" s="7" t="s">
        <v>232</v>
      </c>
      <c r="B140" s="2" t="s">
        <v>152</v>
      </c>
      <c r="C140" s="4">
        <v>2</v>
      </c>
      <c r="D140" s="5">
        <v>11.1</v>
      </c>
      <c r="E140" s="5">
        <v>25.24</v>
      </c>
      <c r="F140" s="4">
        <v>19318310</v>
      </c>
      <c r="G140" s="2"/>
      <c r="H140" s="7" t="s">
        <v>233</v>
      </c>
      <c r="I140" s="2" t="s">
        <v>153</v>
      </c>
      <c r="J140" s="2" t="s">
        <v>154</v>
      </c>
      <c r="K140" s="2" t="s">
        <v>304</v>
      </c>
      <c r="L140" s="2" t="s">
        <v>234</v>
      </c>
      <c r="M140" s="8" t="str">
        <f>HYPERLINK("http://slimages.macys.com/is/image/MCY/14608343 ")</f>
        <v xml:space="preserve">http://slimages.macys.com/is/image/MCY/14608343 </v>
      </c>
    </row>
    <row r="141" spans="1:13" ht="144" x14ac:dyDescent="0.25">
      <c r="A141" s="7" t="s">
        <v>5253</v>
      </c>
      <c r="B141" s="2" t="s">
        <v>152</v>
      </c>
      <c r="C141" s="4">
        <v>6</v>
      </c>
      <c r="D141" s="5">
        <v>11.1</v>
      </c>
      <c r="E141" s="5">
        <v>25.24</v>
      </c>
      <c r="F141" s="4">
        <v>19318310</v>
      </c>
      <c r="G141" s="2"/>
      <c r="H141" s="7" t="s">
        <v>482</v>
      </c>
      <c r="I141" s="2" t="s">
        <v>153</v>
      </c>
      <c r="J141" s="2" t="s">
        <v>154</v>
      </c>
      <c r="K141" s="2" t="s">
        <v>304</v>
      </c>
      <c r="L141" s="2" t="s">
        <v>234</v>
      </c>
      <c r="M141" s="8" t="str">
        <f>HYPERLINK("http://slimages.macys.com/is/image/MCY/14608343 ")</f>
        <v xml:space="preserve">http://slimages.macys.com/is/image/MCY/14608343 </v>
      </c>
    </row>
    <row r="142" spans="1:13" ht="144" x14ac:dyDescent="0.25">
      <c r="A142" s="7" t="s">
        <v>3810</v>
      </c>
      <c r="B142" s="2" t="s">
        <v>152</v>
      </c>
      <c r="C142" s="4">
        <v>2</v>
      </c>
      <c r="D142" s="5">
        <v>11.1</v>
      </c>
      <c r="E142" s="5">
        <v>25.24</v>
      </c>
      <c r="F142" s="4">
        <v>19318310</v>
      </c>
      <c r="G142" s="2"/>
      <c r="H142" s="7" t="s">
        <v>91</v>
      </c>
      <c r="I142" s="2" t="s">
        <v>153</v>
      </c>
      <c r="J142" s="2" t="s">
        <v>154</v>
      </c>
      <c r="K142" s="2" t="s">
        <v>304</v>
      </c>
      <c r="L142" s="2" t="s">
        <v>234</v>
      </c>
      <c r="M142" s="8" t="str">
        <f>HYPERLINK("http://slimages.macys.com/is/image/MCY/14608343 ")</f>
        <v xml:space="preserve">http://slimages.macys.com/is/image/MCY/14608343 </v>
      </c>
    </row>
    <row r="143" spans="1:13" ht="144" x14ac:dyDescent="0.25">
      <c r="A143" s="7" t="s">
        <v>5252</v>
      </c>
      <c r="B143" s="2" t="s">
        <v>152</v>
      </c>
      <c r="C143" s="4">
        <v>5</v>
      </c>
      <c r="D143" s="5">
        <v>11.1</v>
      </c>
      <c r="E143" s="5">
        <v>25.24</v>
      </c>
      <c r="F143" s="4">
        <v>19318310</v>
      </c>
      <c r="G143" s="2"/>
      <c r="H143" s="7" t="s">
        <v>438</v>
      </c>
      <c r="I143" s="2" t="s">
        <v>153</v>
      </c>
      <c r="J143" s="2" t="s">
        <v>154</v>
      </c>
      <c r="K143" s="2" t="s">
        <v>304</v>
      </c>
      <c r="L143" s="2" t="s">
        <v>234</v>
      </c>
      <c r="M143" s="8" t="str">
        <f>HYPERLINK("http://slimages.macys.com/is/image/MCY/14608343 ")</f>
        <v xml:space="preserve">http://slimages.macys.com/is/image/MCY/14608343 </v>
      </c>
    </row>
    <row r="144" spans="1:13" ht="108" x14ac:dyDescent="0.25">
      <c r="A144" s="7" t="s">
        <v>13294</v>
      </c>
      <c r="B144" s="2" t="s">
        <v>13295</v>
      </c>
      <c r="C144" s="4">
        <v>1</v>
      </c>
      <c r="D144" s="5">
        <v>11</v>
      </c>
      <c r="E144" s="5">
        <v>29.99</v>
      </c>
      <c r="F144" s="4" t="s">
        <v>13296</v>
      </c>
      <c r="G144" s="2" t="s">
        <v>793</v>
      </c>
      <c r="H144" s="7" t="s">
        <v>590</v>
      </c>
      <c r="I144" s="2" t="s">
        <v>92</v>
      </c>
      <c r="J144" s="2" t="s">
        <v>239</v>
      </c>
      <c r="K144" s="2" t="s">
        <v>304</v>
      </c>
      <c r="L144" s="2" t="s">
        <v>13297</v>
      </c>
      <c r="M144" s="8" t="str">
        <f>HYPERLINK("http://slimages.macys.com/is/image/MCY/14989368 ")</f>
        <v xml:space="preserve">http://slimages.macys.com/is/image/MCY/14989368 </v>
      </c>
    </row>
    <row r="145" spans="1:13" ht="108" x14ac:dyDescent="0.25">
      <c r="A145" s="7" t="s">
        <v>13590</v>
      </c>
      <c r="B145" s="2" t="s">
        <v>13295</v>
      </c>
      <c r="C145" s="4">
        <v>1</v>
      </c>
      <c r="D145" s="5">
        <v>11</v>
      </c>
      <c r="E145" s="5">
        <v>29.99</v>
      </c>
      <c r="F145" s="4" t="s">
        <v>13296</v>
      </c>
      <c r="G145" s="2" t="s">
        <v>793</v>
      </c>
      <c r="H145" s="7" t="s">
        <v>91</v>
      </c>
      <c r="I145" s="2" t="s">
        <v>92</v>
      </c>
      <c r="J145" s="2" t="s">
        <v>239</v>
      </c>
      <c r="K145" s="2" t="s">
        <v>304</v>
      </c>
      <c r="L145" s="2" t="s">
        <v>13297</v>
      </c>
      <c r="M145" s="8" t="str">
        <f>HYPERLINK("http://slimages.macys.com/is/image/MCY/14989368 ")</f>
        <v xml:space="preserve">http://slimages.macys.com/is/image/MCY/14989368 </v>
      </c>
    </row>
    <row r="146" spans="1:13" ht="216" x14ac:dyDescent="0.25">
      <c r="A146" s="7" t="s">
        <v>13492</v>
      </c>
      <c r="B146" s="2" t="s">
        <v>242</v>
      </c>
      <c r="C146" s="4">
        <v>1</v>
      </c>
      <c r="D146" s="5">
        <v>11</v>
      </c>
      <c r="E146" s="5">
        <v>32.99</v>
      </c>
      <c r="F146" s="4" t="s">
        <v>243</v>
      </c>
      <c r="G146" s="2" t="s">
        <v>195</v>
      </c>
      <c r="H146" s="7" t="s">
        <v>590</v>
      </c>
      <c r="I146" s="2" t="s">
        <v>92</v>
      </c>
      <c r="J146" s="2" t="s">
        <v>239</v>
      </c>
      <c r="K146" s="2" t="s">
        <v>304</v>
      </c>
      <c r="L146" s="2" t="s">
        <v>244</v>
      </c>
      <c r="M146" s="8" t="str">
        <f>HYPERLINK("http://slimages.macys.com/is/image/MCY/14542923 ")</f>
        <v xml:space="preserve">http://slimages.macys.com/is/image/MCY/14542923 </v>
      </c>
    </row>
    <row r="147" spans="1:13" ht="192" x14ac:dyDescent="0.25">
      <c r="A147" s="7" t="s">
        <v>13591</v>
      </c>
      <c r="B147" s="2" t="s">
        <v>13592</v>
      </c>
      <c r="C147" s="4">
        <v>1</v>
      </c>
      <c r="D147" s="5">
        <v>11</v>
      </c>
      <c r="E147" s="5">
        <v>32.99</v>
      </c>
      <c r="F147" s="4" t="s">
        <v>13593</v>
      </c>
      <c r="G147" s="2" t="s">
        <v>793</v>
      </c>
      <c r="H147" s="7" t="s">
        <v>442</v>
      </c>
      <c r="I147" s="2" t="s">
        <v>92</v>
      </c>
      <c r="J147" s="2" t="s">
        <v>239</v>
      </c>
      <c r="K147" s="2" t="s">
        <v>304</v>
      </c>
      <c r="L147" s="2" t="s">
        <v>13594</v>
      </c>
      <c r="M147" s="8" t="str">
        <f>HYPERLINK("http://slimages.macys.com/is/image/MCY/14542908 ")</f>
        <v xml:space="preserve">http://slimages.macys.com/is/image/MCY/14542908 </v>
      </c>
    </row>
    <row r="148" spans="1:13" ht="216" x14ac:dyDescent="0.25">
      <c r="A148" s="7" t="s">
        <v>241</v>
      </c>
      <c r="B148" s="2" t="s">
        <v>242</v>
      </c>
      <c r="C148" s="4">
        <v>2</v>
      </c>
      <c r="D148" s="5">
        <v>11</v>
      </c>
      <c r="E148" s="5">
        <v>32.99</v>
      </c>
      <c r="F148" s="4" t="s">
        <v>243</v>
      </c>
      <c r="G148" s="2" t="s">
        <v>195</v>
      </c>
      <c r="H148" s="7" t="s">
        <v>149</v>
      </c>
      <c r="I148" s="2" t="s">
        <v>92</v>
      </c>
      <c r="J148" s="2" t="s">
        <v>239</v>
      </c>
      <c r="K148" s="2" t="s">
        <v>304</v>
      </c>
      <c r="L148" s="2" t="s">
        <v>244</v>
      </c>
      <c r="M148" s="8" t="str">
        <f>HYPERLINK("http://slimages.macys.com/is/image/MCY/14542923 ")</f>
        <v xml:space="preserve">http://slimages.macys.com/is/image/MCY/14542923 </v>
      </c>
    </row>
    <row r="149" spans="1:13" ht="192" x14ac:dyDescent="0.25">
      <c r="A149" s="7" t="s">
        <v>13595</v>
      </c>
      <c r="B149" s="2" t="s">
        <v>13592</v>
      </c>
      <c r="C149" s="4">
        <v>1</v>
      </c>
      <c r="D149" s="5">
        <v>11</v>
      </c>
      <c r="E149" s="5">
        <v>32.99</v>
      </c>
      <c r="F149" s="4" t="s">
        <v>13593</v>
      </c>
      <c r="G149" s="2" t="s">
        <v>793</v>
      </c>
      <c r="H149" s="7" t="s">
        <v>91</v>
      </c>
      <c r="I149" s="2" t="s">
        <v>92</v>
      </c>
      <c r="J149" s="2" t="s">
        <v>239</v>
      </c>
      <c r="K149" s="2" t="s">
        <v>304</v>
      </c>
      <c r="L149" s="2" t="s">
        <v>13594</v>
      </c>
      <c r="M149" s="8" t="str">
        <f>HYPERLINK("http://slimages.macys.com/is/image/MCY/14542908 ")</f>
        <v xml:space="preserve">http://slimages.macys.com/is/image/MCY/14542908 </v>
      </c>
    </row>
    <row r="150" spans="1:13" ht="192" x14ac:dyDescent="0.25">
      <c r="A150" s="7" t="s">
        <v>13596</v>
      </c>
      <c r="B150" s="2" t="s">
        <v>13592</v>
      </c>
      <c r="C150" s="4">
        <v>1</v>
      </c>
      <c r="D150" s="5">
        <v>11</v>
      </c>
      <c r="E150" s="5">
        <v>32.99</v>
      </c>
      <c r="F150" s="4" t="s">
        <v>13593</v>
      </c>
      <c r="G150" s="2" t="s">
        <v>793</v>
      </c>
      <c r="H150" s="7" t="s">
        <v>590</v>
      </c>
      <c r="I150" s="2" t="s">
        <v>92</v>
      </c>
      <c r="J150" s="2" t="s">
        <v>239</v>
      </c>
      <c r="K150" s="2" t="s">
        <v>304</v>
      </c>
      <c r="L150" s="2" t="s">
        <v>13594</v>
      </c>
      <c r="M150" s="8" t="str">
        <f>HYPERLINK("http://slimages.macys.com/is/image/MCY/14542908 ")</f>
        <v xml:space="preserve">http://slimages.macys.com/is/image/MCY/14542908 </v>
      </c>
    </row>
    <row r="151" spans="1:13" ht="180" x14ac:dyDescent="0.25">
      <c r="A151" s="7" t="s">
        <v>13597</v>
      </c>
      <c r="B151" s="2" t="s">
        <v>236</v>
      </c>
      <c r="C151" s="4">
        <v>1</v>
      </c>
      <c r="D151" s="5">
        <v>11</v>
      </c>
      <c r="E151" s="5">
        <v>32.99</v>
      </c>
      <c r="F151" s="4" t="s">
        <v>237</v>
      </c>
      <c r="G151" s="2" t="s">
        <v>238</v>
      </c>
      <c r="H151" s="7" t="s">
        <v>590</v>
      </c>
      <c r="I151" s="2" t="s">
        <v>92</v>
      </c>
      <c r="J151" s="2" t="s">
        <v>239</v>
      </c>
      <c r="K151" s="2" t="s">
        <v>304</v>
      </c>
      <c r="L151" s="2" t="s">
        <v>240</v>
      </c>
      <c r="M151" s="8" t="str">
        <f>HYPERLINK("http://slimages.macys.com/is/image/MCY/13933736 ")</f>
        <v xml:space="preserve">http://slimages.macys.com/is/image/MCY/13933736 </v>
      </c>
    </row>
    <row r="152" spans="1:13" ht="180" x14ac:dyDescent="0.25">
      <c r="A152" s="7" t="s">
        <v>235</v>
      </c>
      <c r="B152" s="2" t="s">
        <v>236</v>
      </c>
      <c r="C152" s="4">
        <v>2</v>
      </c>
      <c r="D152" s="5">
        <v>11</v>
      </c>
      <c r="E152" s="5">
        <v>32.99</v>
      </c>
      <c r="F152" s="4" t="s">
        <v>237</v>
      </c>
      <c r="G152" s="2" t="s">
        <v>238</v>
      </c>
      <c r="H152" s="7" t="s">
        <v>42</v>
      </c>
      <c r="I152" s="2" t="s">
        <v>92</v>
      </c>
      <c r="J152" s="2" t="s">
        <v>239</v>
      </c>
      <c r="K152" s="2" t="s">
        <v>304</v>
      </c>
      <c r="L152" s="2" t="s">
        <v>240</v>
      </c>
      <c r="M152" s="8" t="str">
        <f>HYPERLINK("http://slimages.macys.com/is/image/MCY/13933736 ")</f>
        <v xml:space="preserve">http://slimages.macys.com/is/image/MCY/13933736 </v>
      </c>
    </row>
    <row r="153" spans="1:13" ht="180" x14ac:dyDescent="0.25">
      <c r="A153" s="7" t="s">
        <v>13598</v>
      </c>
      <c r="B153" s="2" t="s">
        <v>236</v>
      </c>
      <c r="C153" s="4">
        <v>1</v>
      </c>
      <c r="D153" s="5">
        <v>11</v>
      </c>
      <c r="E153" s="5">
        <v>32.99</v>
      </c>
      <c r="F153" s="4" t="s">
        <v>237</v>
      </c>
      <c r="G153" s="2" t="s">
        <v>238</v>
      </c>
      <c r="H153" s="7" t="s">
        <v>442</v>
      </c>
      <c r="I153" s="2" t="s">
        <v>92</v>
      </c>
      <c r="J153" s="2" t="s">
        <v>239</v>
      </c>
      <c r="K153" s="2" t="s">
        <v>304</v>
      </c>
      <c r="L153" s="2" t="s">
        <v>240</v>
      </c>
      <c r="M153" s="8" t="str">
        <f>HYPERLINK("http://slimages.macys.com/is/image/MCY/13933736 ")</f>
        <v xml:space="preserve">http://slimages.macys.com/is/image/MCY/13933736 </v>
      </c>
    </row>
    <row r="154" spans="1:13" ht="180" x14ac:dyDescent="0.25">
      <c r="A154" s="7" t="s">
        <v>13599</v>
      </c>
      <c r="B154" s="2" t="s">
        <v>236</v>
      </c>
      <c r="C154" s="4">
        <v>1</v>
      </c>
      <c r="D154" s="5">
        <v>11</v>
      </c>
      <c r="E154" s="5">
        <v>32.99</v>
      </c>
      <c r="F154" s="4" t="s">
        <v>237</v>
      </c>
      <c r="G154" s="2" t="s">
        <v>238</v>
      </c>
      <c r="H154" s="7" t="s">
        <v>149</v>
      </c>
      <c r="I154" s="2" t="s">
        <v>92</v>
      </c>
      <c r="J154" s="2" t="s">
        <v>239</v>
      </c>
      <c r="K154" s="2" t="s">
        <v>304</v>
      </c>
      <c r="L154" s="2" t="s">
        <v>240</v>
      </c>
      <c r="M154" s="8" t="str">
        <f>HYPERLINK("http://slimages.macys.com/is/image/MCY/13933736 ")</f>
        <v xml:space="preserve">http://slimages.macys.com/is/image/MCY/13933736 </v>
      </c>
    </row>
    <row r="155" spans="1:13" ht="108" x14ac:dyDescent="0.25">
      <c r="A155" s="7" t="s">
        <v>13600</v>
      </c>
      <c r="B155" s="2" t="s">
        <v>2515</v>
      </c>
      <c r="C155" s="4">
        <v>1</v>
      </c>
      <c r="D155" s="5">
        <v>10.75</v>
      </c>
      <c r="E155" s="5">
        <v>27.99</v>
      </c>
      <c r="F155" s="4" t="s">
        <v>2516</v>
      </c>
      <c r="G155" s="2" t="s">
        <v>874</v>
      </c>
      <c r="H155" s="7" t="s">
        <v>144</v>
      </c>
      <c r="I155" s="2" t="s">
        <v>73</v>
      </c>
      <c r="J155" s="2" t="s">
        <v>778</v>
      </c>
      <c r="K155" s="2" t="s">
        <v>304</v>
      </c>
      <c r="L155" s="2" t="s">
        <v>2517</v>
      </c>
      <c r="M155" s="8" t="str">
        <f>HYPERLINK("http://slimages.macys.com/is/image/MCY/12793385 ")</f>
        <v xml:space="preserve">http://slimages.macys.com/is/image/MCY/12793385 </v>
      </c>
    </row>
    <row r="156" spans="1:13" ht="60" x14ac:dyDescent="0.25">
      <c r="A156" s="7" t="s">
        <v>4842</v>
      </c>
      <c r="B156" s="2" t="s">
        <v>1594</v>
      </c>
      <c r="C156" s="4">
        <v>1</v>
      </c>
      <c r="D156" s="5">
        <v>10.75</v>
      </c>
      <c r="E156" s="5">
        <v>24.99</v>
      </c>
      <c r="F156" s="4" t="s">
        <v>1595</v>
      </c>
      <c r="G156" s="2" t="s">
        <v>28</v>
      </c>
      <c r="H156" s="7" t="s">
        <v>228</v>
      </c>
      <c r="I156" s="2" t="s">
        <v>73</v>
      </c>
      <c r="J156" s="2" t="s">
        <v>223</v>
      </c>
      <c r="K156" s="2" t="s">
        <v>304</v>
      </c>
      <c r="L156" s="2" t="s">
        <v>87</v>
      </c>
      <c r="M156" s="8" t="str">
        <f>HYPERLINK("http://slimages.macys.com/is/image/MCY/14433360 ")</f>
        <v xml:space="preserve">http://slimages.macys.com/is/image/MCY/14433360 </v>
      </c>
    </row>
    <row r="157" spans="1:13" ht="108" x14ac:dyDescent="0.25">
      <c r="A157" s="7" t="s">
        <v>2514</v>
      </c>
      <c r="B157" s="2" t="s">
        <v>2515</v>
      </c>
      <c r="C157" s="4">
        <v>1</v>
      </c>
      <c r="D157" s="5">
        <v>10.75</v>
      </c>
      <c r="E157" s="5">
        <v>27.99</v>
      </c>
      <c r="F157" s="4" t="s">
        <v>2516</v>
      </c>
      <c r="G157" s="2" t="s">
        <v>165</v>
      </c>
      <c r="H157" s="7" t="s">
        <v>63</v>
      </c>
      <c r="I157" s="2" t="s">
        <v>73</v>
      </c>
      <c r="J157" s="2" t="s">
        <v>778</v>
      </c>
      <c r="K157" s="2" t="s">
        <v>304</v>
      </c>
      <c r="L157" s="2" t="s">
        <v>2517</v>
      </c>
      <c r="M157" s="8" t="str">
        <f>HYPERLINK("http://slimages.macys.com/is/image/MCY/12793385 ")</f>
        <v xml:space="preserve">http://slimages.macys.com/is/image/MCY/12793385 </v>
      </c>
    </row>
    <row r="158" spans="1:13" ht="60" x14ac:dyDescent="0.25">
      <c r="A158" s="7" t="s">
        <v>13601</v>
      </c>
      <c r="B158" s="2" t="s">
        <v>13602</v>
      </c>
      <c r="C158" s="4">
        <v>1</v>
      </c>
      <c r="D158" s="5">
        <v>10.75</v>
      </c>
      <c r="E158" s="5">
        <v>27.99</v>
      </c>
      <c r="F158" s="4" t="s">
        <v>13603</v>
      </c>
      <c r="G158" s="2" t="s">
        <v>79</v>
      </c>
      <c r="H158" s="7" t="s">
        <v>311</v>
      </c>
      <c r="I158" s="2" t="s">
        <v>73</v>
      </c>
      <c r="J158" s="2" t="s">
        <v>778</v>
      </c>
      <c r="K158" s="2" t="s">
        <v>304</v>
      </c>
      <c r="L158" s="2" t="s">
        <v>119</v>
      </c>
      <c r="M158" s="8" t="str">
        <f>HYPERLINK("http://slimages.macys.com/is/image/MCY/12280046 ")</f>
        <v xml:space="preserve">http://slimages.macys.com/is/image/MCY/12280046 </v>
      </c>
    </row>
    <row r="159" spans="1:13" ht="84" x14ac:dyDescent="0.25">
      <c r="A159" s="7" t="s">
        <v>5274</v>
      </c>
      <c r="B159" s="2" t="s">
        <v>809</v>
      </c>
      <c r="C159" s="4">
        <v>2</v>
      </c>
      <c r="D159" s="5">
        <v>10.5</v>
      </c>
      <c r="E159" s="5">
        <v>25.25</v>
      </c>
      <c r="F159" s="4">
        <v>19318710</v>
      </c>
      <c r="G159" s="2"/>
      <c r="H159" s="7" t="s">
        <v>442</v>
      </c>
      <c r="I159" s="2" t="s">
        <v>153</v>
      </c>
      <c r="J159" s="2" t="s">
        <v>154</v>
      </c>
      <c r="K159" s="2" t="s">
        <v>304</v>
      </c>
      <c r="L159" s="2" t="s">
        <v>810</v>
      </c>
      <c r="M159" s="8" t="str">
        <f>HYPERLINK("http://slimages.macys.com/is/image/MCY/14662007 ")</f>
        <v xml:space="preserve">http://slimages.macys.com/is/image/MCY/14662007 </v>
      </c>
    </row>
    <row r="160" spans="1:13" ht="108" x14ac:dyDescent="0.25">
      <c r="A160" s="7" t="s">
        <v>13604</v>
      </c>
      <c r="B160" s="2" t="s">
        <v>13605</v>
      </c>
      <c r="C160" s="4">
        <v>1</v>
      </c>
      <c r="D160" s="5">
        <v>10.5</v>
      </c>
      <c r="E160" s="5">
        <v>24.42</v>
      </c>
      <c r="F160" s="4">
        <v>16645210</v>
      </c>
      <c r="G160" s="2"/>
      <c r="H160" s="7" t="s">
        <v>675</v>
      </c>
      <c r="I160" s="2" t="s">
        <v>153</v>
      </c>
      <c r="J160" s="2" t="s">
        <v>154</v>
      </c>
      <c r="K160" s="2" t="s">
        <v>304</v>
      </c>
      <c r="L160" s="2" t="s">
        <v>13606</v>
      </c>
      <c r="M160" s="8" t="str">
        <f>HYPERLINK("http://slimages.macys.com/is/image/MCY/11671872 ")</f>
        <v xml:space="preserve">http://slimages.macys.com/is/image/MCY/11671872 </v>
      </c>
    </row>
    <row r="161" spans="1:13" ht="60" x14ac:dyDescent="0.25">
      <c r="A161" s="7" t="s">
        <v>13607</v>
      </c>
      <c r="B161" s="2" t="s">
        <v>3836</v>
      </c>
      <c r="C161" s="4">
        <v>2</v>
      </c>
      <c r="D161" s="5">
        <v>10.5</v>
      </c>
      <c r="E161" s="5">
        <v>23.88</v>
      </c>
      <c r="F161" s="4">
        <v>19317510</v>
      </c>
      <c r="G161" s="2" t="s">
        <v>892</v>
      </c>
      <c r="H161" s="7" t="s">
        <v>233</v>
      </c>
      <c r="I161" s="2" t="s">
        <v>153</v>
      </c>
      <c r="J161" s="2" t="s">
        <v>154</v>
      </c>
      <c r="K161" s="2" t="s">
        <v>304</v>
      </c>
      <c r="L161" s="2" t="s">
        <v>206</v>
      </c>
      <c r="M161" s="8" t="str">
        <f>HYPERLINK("http://slimages.macys.com/is/image/MCY/14661880 ")</f>
        <v xml:space="preserve">http://slimages.macys.com/is/image/MCY/14661880 </v>
      </c>
    </row>
    <row r="162" spans="1:13" ht="60" x14ac:dyDescent="0.25">
      <c r="A162" s="7" t="s">
        <v>3840</v>
      </c>
      <c r="B162" s="2" t="s">
        <v>3841</v>
      </c>
      <c r="C162" s="4">
        <v>2</v>
      </c>
      <c r="D162" s="5">
        <v>10.5</v>
      </c>
      <c r="E162" s="5">
        <v>25.25</v>
      </c>
      <c r="F162" s="4">
        <v>19320910</v>
      </c>
      <c r="G162" s="2"/>
      <c r="H162" s="7" t="s">
        <v>42</v>
      </c>
      <c r="I162" s="2" t="s">
        <v>153</v>
      </c>
      <c r="J162" s="2" t="s">
        <v>154</v>
      </c>
      <c r="K162" s="2" t="s">
        <v>304</v>
      </c>
      <c r="L162" s="2" t="s">
        <v>206</v>
      </c>
      <c r="M162" s="8" t="str">
        <f>HYPERLINK("http://slimages.macys.com/is/image/MCY/14608315 ")</f>
        <v xml:space="preserve">http://slimages.macys.com/is/image/MCY/14608315 </v>
      </c>
    </row>
    <row r="163" spans="1:13" ht="60" x14ac:dyDescent="0.25">
      <c r="A163" s="7" t="s">
        <v>265</v>
      </c>
      <c r="B163" s="2" t="s">
        <v>246</v>
      </c>
      <c r="C163" s="4">
        <v>2</v>
      </c>
      <c r="D163" s="5">
        <v>10.5</v>
      </c>
      <c r="E163" s="5">
        <v>21.99</v>
      </c>
      <c r="F163" s="4" t="s">
        <v>247</v>
      </c>
      <c r="G163" s="2" t="s">
        <v>165</v>
      </c>
      <c r="H163" s="7" t="s">
        <v>266</v>
      </c>
      <c r="I163" s="2" t="s">
        <v>73</v>
      </c>
      <c r="J163" s="2" t="s">
        <v>249</v>
      </c>
      <c r="K163" s="2" t="s">
        <v>304</v>
      </c>
      <c r="L163" s="2" t="s">
        <v>125</v>
      </c>
      <c r="M163" s="8" t="str">
        <f>HYPERLINK("http://slimages.macys.com/is/image/MCY/14661916 ")</f>
        <v xml:space="preserve">http://slimages.macys.com/is/image/MCY/14661916 </v>
      </c>
    </row>
    <row r="164" spans="1:13" ht="84" x14ac:dyDescent="0.25">
      <c r="A164" s="7" t="s">
        <v>2521</v>
      </c>
      <c r="B164" s="2" t="s">
        <v>809</v>
      </c>
      <c r="C164" s="4">
        <v>4</v>
      </c>
      <c r="D164" s="5">
        <v>10.5</v>
      </c>
      <c r="E164" s="5">
        <v>25.25</v>
      </c>
      <c r="F164" s="4">
        <v>19318710</v>
      </c>
      <c r="G164" s="2"/>
      <c r="H164" s="7" t="s">
        <v>438</v>
      </c>
      <c r="I164" s="2" t="s">
        <v>153</v>
      </c>
      <c r="J164" s="2" t="s">
        <v>154</v>
      </c>
      <c r="K164" s="2" t="s">
        <v>304</v>
      </c>
      <c r="L164" s="2" t="s">
        <v>810</v>
      </c>
      <c r="M164" s="8" t="str">
        <f>HYPERLINK("http://slimages.macys.com/is/image/MCY/14662007 ")</f>
        <v xml:space="preserve">http://slimages.macys.com/is/image/MCY/14662007 </v>
      </c>
    </row>
    <row r="165" spans="1:13" ht="60" x14ac:dyDescent="0.25">
      <c r="A165" s="7" t="s">
        <v>13608</v>
      </c>
      <c r="B165" s="2" t="s">
        <v>3836</v>
      </c>
      <c r="C165" s="4">
        <v>1</v>
      </c>
      <c r="D165" s="5">
        <v>10.5</v>
      </c>
      <c r="E165" s="5">
        <v>23.88</v>
      </c>
      <c r="F165" s="4">
        <v>19317510</v>
      </c>
      <c r="G165" s="2" t="s">
        <v>892</v>
      </c>
      <c r="H165" s="7" t="s">
        <v>675</v>
      </c>
      <c r="I165" s="2" t="s">
        <v>153</v>
      </c>
      <c r="J165" s="2" t="s">
        <v>154</v>
      </c>
      <c r="K165" s="2" t="s">
        <v>304</v>
      </c>
      <c r="L165" s="2" t="s">
        <v>206</v>
      </c>
      <c r="M165" s="8" t="str">
        <f>HYPERLINK("http://slimages.macys.com/is/image/MCY/14661880 ")</f>
        <v xml:space="preserve">http://slimages.macys.com/is/image/MCY/14661880 </v>
      </c>
    </row>
    <row r="166" spans="1:13" ht="60" x14ac:dyDescent="0.25">
      <c r="A166" s="7" t="s">
        <v>13609</v>
      </c>
      <c r="B166" s="2" t="s">
        <v>3836</v>
      </c>
      <c r="C166" s="4">
        <v>2</v>
      </c>
      <c r="D166" s="5">
        <v>10.5</v>
      </c>
      <c r="E166" s="5">
        <v>23.88</v>
      </c>
      <c r="F166" s="4">
        <v>19317510</v>
      </c>
      <c r="G166" s="2" t="s">
        <v>892</v>
      </c>
      <c r="H166" s="7" t="s">
        <v>91</v>
      </c>
      <c r="I166" s="2" t="s">
        <v>153</v>
      </c>
      <c r="J166" s="2" t="s">
        <v>154</v>
      </c>
      <c r="K166" s="2" t="s">
        <v>304</v>
      </c>
      <c r="L166" s="2" t="s">
        <v>206</v>
      </c>
      <c r="M166" s="8" t="str">
        <f>HYPERLINK("http://slimages.macys.com/is/image/MCY/14661880 ")</f>
        <v xml:space="preserve">http://slimages.macys.com/is/image/MCY/14661880 </v>
      </c>
    </row>
    <row r="167" spans="1:13" ht="84" x14ac:dyDescent="0.25">
      <c r="A167" s="7" t="s">
        <v>808</v>
      </c>
      <c r="B167" s="2" t="s">
        <v>809</v>
      </c>
      <c r="C167" s="4">
        <v>1</v>
      </c>
      <c r="D167" s="5">
        <v>10.5</v>
      </c>
      <c r="E167" s="5">
        <v>25.25</v>
      </c>
      <c r="F167" s="4">
        <v>19318710</v>
      </c>
      <c r="G167" s="2"/>
      <c r="H167" s="7" t="s">
        <v>91</v>
      </c>
      <c r="I167" s="2" t="s">
        <v>153</v>
      </c>
      <c r="J167" s="2" t="s">
        <v>154</v>
      </c>
      <c r="K167" s="2" t="s">
        <v>304</v>
      </c>
      <c r="L167" s="2" t="s">
        <v>810</v>
      </c>
      <c r="M167" s="8" t="str">
        <f>HYPERLINK("http://slimages.macys.com/is/image/MCY/14662007 ")</f>
        <v xml:space="preserve">http://slimages.macys.com/is/image/MCY/14662007 </v>
      </c>
    </row>
    <row r="168" spans="1:13" ht="60" x14ac:dyDescent="0.25">
      <c r="A168" s="7" t="s">
        <v>272</v>
      </c>
      <c r="B168" s="2" t="s">
        <v>246</v>
      </c>
      <c r="C168" s="4">
        <v>1</v>
      </c>
      <c r="D168" s="5">
        <v>10.5</v>
      </c>
      <c r="E168" s="5">
        <v>21.99</v>
      </c>
      <c r="F168" s="4" t="s">
        <v>247</v>
      </c>
      <c r="G168" s="2" t="s">
        <v>165</v>
      </c>
      <c r="H168" s="7" t="s">
        <v>172</v>
      </c>
      <c r="I168" s="2" t="s">
        <v>73</v>
      </c>
      <c r="J168" s="2" t="s">
        <v>249</v>
      </c>
      <c r="K168" s="2" t="s">
        <v>304</v>
      </c>
      <c r="L168" s="2" t="s">
        <v>125</v>
      </c>
      <c r="M168" s="8" t="str">
        <f>HYPERLINK("http://slimages.macys.com/is/image/MCY/14661916 ")</f>
        <v xml:space="preserve">http://slimages.macys.com/is/image/MCY/14661916 </v>
      </c>
    </row>
    <row r="169" spans="1:13" ht="84" x14ac:dyDescent="0.25">
      <c r="A169" s="7" t="s">
        <v>2523</v>
      </c>
      <c r="B169" s="2" t="s">
        <v>809</v>
      </c>
      <c r="C169" s="4">
        <v>4</v>
      </c>
      <c r="D169" s="5">
        <v>10.5</v>
      </c>
      <c r="E169" s="5">
        <v>25.25</v>
      </c>
      <c r="F169" s="4">
        <v>19318710</v>
      </c>
      <c r="G169" s="2"/>
      <c r="H169" s="7" t="s">
        <v>233</v>
      </c>
      <c r="I169" s="2" t="s">
        <v>153</v>
      </c>
      <c r="J169" s="2" t="s">
        <v>154</v>
      </c>
      <c r="K169" s="2" t="s">
        <v>304</v>
      </c>
      <c r="L169" s="2" t="s">
        <v>810</v>
      </c>
      <c r="M169" s="8" t="str">
        <f>HYPERLINK("http://slimages.macys.com/is/image/MCY/14662007 ")</f>
        <v xml:space="preserve">http://slimages.macys.com/is/image/MCY/14662007 </v>
      </c>
    </row>
    <row r="170" spans="1:13" ht="84" x14ac:dyDescent="0.25">
      <c r="A170" s="7" t="s">
        <v>5269</v>
      </c>
      <c r="B170" s="2" t="s">
        <v>809</v>
      </c>
      <c r="C170" s="4">
        <v>9</v>
      </c>
      <c r="D170" s="5">
        <v>10.5</v>
      </c>
      <c r="E170" s="5">
        <v>25.25</v>
      </c>
      <c r="F170" s="4">
        <v>19318710</v>
      </c>
      <c r="G170" s="2"/>
      <c r="H170" s="7" t="s">
        <v>482</v>
      </c>
      <c r="I170" s="2" t="s">
        <v>153</v>
      </c>
      <c r="J170" s="2" t="s">
        <v>154</v>
      </c>
      <c r="K170" s="2" t="s">
        <v>304</v>
      </c>
      <c r="L170" s="2" t="s">
        <v>810</v>
      </c>
      <c r="M170" s="8" t="str">
        <f>HYPERLINK("http://slimages.macys.com/is/image/MCY/14662007 ")</f>
        <v xml:space="preserve">http://slimages.macys.com/is/image/MCY/14662007 </v>
      </c>
    </row>
    <row r="171" spans="1:13" ht="84" x14ac:dyDescent="0.25">
      <c r="A171" s="7" t="s">
        <v>5275</v>
      </c>
      <c r="B171" s="2" t="s">
        <v>809</v>
      </c>
      <c r="C171" s="4">
        <v>2</v>
      </c>
      <c r="D171" s="5">
        <v>10.5</v>
      </c>
      <c r="E171" s="5">
        <v>25.25</v>
      </c>
      <c r="F171" s="4">
        <v>19318710</v>
      </c>
      <c r="G171" s="2"/>
      <c r="H171" s="7" t="s">
        <v>675</v>
      </c>
      <c r="I171" s="2" t="s">
        <v>153</v>
      </c>
      <c r="J171" s="2" t="s">
        <v>154</v>
      </c>
      <c r="K171" s="2" t="s">
        <v>304</v>
      </c>
      <c r="L171" s="2" t="s">
        <v>810</v>
      </c>
      <c r="M171" s="8" t="str">
        <f>HYPERLINK("http://slimages.macys.com/is/image/MCY/14662007 ")</f>
        <v xml:space="preserve">http://slimages.macys.com/is/image/MCY/14662007 </v>
      </c>
    </row>
    <row r="172" spans="1:13" ht="120" x14ac:dyDescent="0.25">
      <c r="A172" s="7" t="s">
        <v>5271</v>
      </c>
      <c r="B172" s="2" t="s">
        <v>268</v>
      </c>
      <c r="C172" s="4">
        <v>1</v>
      </c>
      <c r="D172" s="5">
        <v>10.5</v>
      </c>
      <c r="E172" s="5">
        <v>25.25</v>
      </c>
      <c r="F172" s="4">
        <v>19319310</v>
      </c>
      <c r="G172" s="2" t="s">
        <v>129</v>
      </c>
      <c r="H172" s="7" t="s">
        <v>438</v>
      </c>
      <c r="I172" s="2" t="s">
        <v>153</v>
      </c>
      <c r="J172" s="2" t="s">
        <v>154</v>
      </c>
      <c r="K172" s="2" t="s">
        <v>304</v>
      </c>
      <c r="L172" s="2" t="s">
        <v>269</v>
      </c>
      <c r="M172" s="8" t="str">
        <f>HYPERLINK("http://slimages.macys.com/is/image/MCY/14662011 ")</f>
        <v xml:space="preserve">http://slimages.macys.com/is/image/MCY/14662011 </v>
      </c>
    </row>
    <row r="173" spans="1:13" ht="144" x14ac:dyDescent="0.25">
      <c r="A173" s="7" t="s">
        <v>13610</v>
      </c>
      <c r="B173" s="2" t="s">
        <v>5279</v>
      </c>
      <c r="C173" s="4">
        <v>3</v>
      </c>
      <c r="D173" s="5">
        <v>10.5</v>
      </c>
      <c r="E173" s="5">
        <v>25.25</v>
      </c>
      <c r="F173" s="4">
        <v>19319510</v>
      </c>
      <c r="G173" s="2" t="s">
        <v>28</v>
      </c>
      <c r="H173" s="7" t="s">
        <v>442</v>
      </c>
      <c r="I173" s="2" t="s">
        <v>153</v>
      </c>
      <c r="J173" s="2" t="s">
        <v>154</v>
      </c>
      <c r="K173" s="2" t="s">
        <v>304</v>
      </c>
      <c r="L173" s="2" t="s">
        <v>5280</v>
      </c>
      <c r="M173" s="8" t="str">
        <f>HYPERLINK("http://slimages.macys.com/is/image/MCY/14661879 ")</f>
        <v xml:space="preserve">http://slimages.macys.com/is/image/MCY/14661879 </v>
      </c>
    </row>
    <row r="174" spans="1:13" ht="60" x14ac:dyDescent="0.25">
      <c r="A174" s="7" t="s">
        <v>270</v>
      </c>
      <c r="B174" s="2" t="s">
        <v>246</v>
      </c>
      <c r="C174" s="4">
        <v>1</v>
      </c>
      <c r="D174" s="5">
        <v>10.5</v>
      </c>
      <c r="E174" s="5">
        <v>21.99</v>
      </c>
      <c r="F174" s="4" t="s">
        <v>247</v>
      </c>
      <c r="G174" s="2" t="s">
        <v>165</v>
      </c>
      <c r="H174" s="7" t="s">
        <v>166</v>
      </c>
      <c r="I174" s="2" t="s">
        <v>73</v>
      </c>
      <c r="J174" s="2" t="s">
        <v>249</v>
      </c>
      <c r="K174" s="2" t="s">
        <v>304</v>
      </c>
      <c r="L174" s="2" t="s">
        <v>125</v>
      </c>
      <c r="M174" s="8" t="str">
        <f>HYPERLINK("http://slimages.macys.com/is/image/MCY/14661916 ")</f>
        <v xml:space="preserve">http://slimages.macys.com/is/image/MCY/14661916 </v>
      </c>
    </row>
    <row r="175" spans="1:13" ht="60" x14ac:dyDescent="0.25">
      <c r="A175" s="7" t="s">
        <v>13611</v>
      </c>
      <c r="B175" s="2" t="s">
        <v>3841</v>
      </c>
      <c r="C175" s="4">
        <v>1</v>
      </c>
      <c r="D175" s="5">
        <v>10.5</v>
      </c>
      <c r="E175" s="5">
        <v>25.25</v>
      </c>
      <c r="F175" s="4">
        <v>19320910</v>
      </c>
      <c r="G175" s="2"/>
      <c r="H175" s="7" t="s">
        <v>442</v>
      </c>
      <c r="I175" s="2" t="s">
        <v>153</v>
      </c>
      <c r="J175" s="2" t="s">
        <v>154</v>
      </c>
      <c r="K175" s="2" t="s">
        <v>304</v>
      </c>
      <c r="L175" s="2" t="s">
        <v>206</v>
      </c>
      <c r="M175" s="8" t="str">
        <f>HYPERLINK("http://slimages.macys.com/is/image/MCY/14608315 ")</f>
        <v xml:space="preserve">http://slimages.macys.com/is/image/MCY/14608315 </v>
      </c>
    </row>
    <row r="176" spans="1:13" ht="96" x14ac:dyDescent="0.25">
      <c r="A176" s="7" t="s">
        <v>13612</v>
      </c>
      <c r="B176" s="2" t="s">
        <v>13613</v>
      </c>
      <c r="C176" s="4">
        <v>1</v>
      </c>
      <c r="D176" s="5">
        <v>10.5</v>
      </c>
      <c r="E176" s="5">
        <v>25.25</v>
      </c>
      <c r="F176" s="4">
        <v>19318110</v>
      </c>
      <c r="G176" s="2" t="s">
        <v>41</v>
      </c>
      <c r="H176" s="7" t="s">
        <v>233</v>
      </c>
      <c r="I176" s="2" t="s">
        <v>153</v>
      </c>
      <c r="J176" s="2" t="s">
        <v>154</v>
      </c>
      <c r="K176" s="2" t="s">
        <v>304</v>
      </c>
      <c r="L176" s="2" t="s">
        <v>3839</v>
      </c>
      <c r="M176" s="8" t="str">
        <f>HYPERLINK("http://slimages.macys.com/is/image/MCY/14608296 ")</f>
        <v xml:space="preserve">http://slimages.macys.com/is/image/MCY/14608296 </v>
      </c>
    </row>
    <row r="177" spans="1:13" ht="60" x14ac:dyDescent="0.25">
      <c r="A177" s="7" t="s">
        <v>13614</v>
      </c>
      <c r="B177" s="2" t="s">
        <v>13615</v>
      </c>
      <c r="C177" s="4">
        <v>1</v>
      </c>
      <c r="D177" s="5">
        <v>10.4</v>
      </c>
      <c r="E177" s="5">
        <v>25.99</v>
      </c>
      <c r="F177" s="4" t="s">
        <v>13616</v>
      </c>
      <c r="G177" s="2" t="s">
        <v>455</v>
      </c>
      <c r="H177" s="7" t="s">
        <v>1411</v>
      </c>
      <c r="I177" s="2" t="s">
        <v>292</v>
      </c>
      <c r="J177" s="2" t="s">
        <v>293</v>
      </c>
      <c r="K177" s="2" t="s">
        <v>304</v>
      </c>
      <c r="L177" s="2" t="s">
        <v>100</v>
      </c>
      <c r="M177" s="8" t="str">
        <f>HYPERLINK("http://slimages.macys.com/is/image/MCY/11527687 ")</f>
        <v xml:space="preserve">http://slimages.macys.com/is/image/MCY/11527687 </v>
      </c>
    </row>
    <row r="178" spans="1:13" ht="60" x14ac:dyDescent="0.25">
      <c r="A178" s="7" t="s">
        <v>13617</v>
      </c>
      <c r="B178" s="2" t="s">
        <v>13618</v>
      </c>
      <c r="C178" s="4">
        <v>1</v>
      </c>
      <c r="D178" s="5">
        <v>10.33</v>
      </c>
      <c r="E178" s="5">
        <v>22.99</v>
      </c>
      <c r="F178" s="4" t="s">
        <v>13619</v>
      </c>
      <c r="G178" s="2" t="s">
        <v>653</v>
      </c>
      <c r="H178" s="7" t="s">
        <v>166</v>
      </c>
      <c r="I178" s="2" t="s">
        <v>73</v>
      </c>
      <c r="J178" s="2" t="s">
        <v>249</v>
      </c>
      <c r="K178" s="2" t="s">
        <v>304</v>
      </c>
      <c r="L178" s="2" t="s">
        <v>125</v>
      </c>
      <c r="M178" s="8" t="str">
        <f>HYPERLINK("http://slimages.macys.com/is/image/MCY/13330310 ")</f>
        <v xml:space="preserve">http://slimages.macys.com/is/image/MCY/13330310 </v>
      </c>
    </row>
    <row r="179" spans="1:13" ht="156" x14ac:dyDescent="0.25">
      <c r="A179" s="7" t="s">
        <v>13620</v>
      </c>
      <c r="B179" s="2" t="s">
        <v>3160</v>
      </c>
      <c r="C179" s="4">
        <v>1</v>
      </c>
      <c r="D179" s="5">
        <v>10</v>
      </c>
      <c r="E179" s="5">
        <v>29.99</v>
      </c>
      <c r="F179" s="4" t="s">
        <v>3161</v>
      </c>
      <c r="G179" s="2" t="s">
        <v>36</v>
      </c>
      <c r="H179" s="7" t="s">
        <v>590</v>
      </c>
      <c r="I179" s="2" t="s">
        <v>92</v>
      </c>
      <c r="J179" s="2" t="s">
        <v>239</v>
      </c>
      <c r="K179" s="2" t="s">
        <v>304</v>
      </c>
      <c r="L179" s="2" t="s">
        <v>3162</v>
      </c>
      <c r="M179" s="8" t="str">
        <f>HYPERLINK("http://slimages.macys.com/is/image/MCY/14542905 ")</f>
        <v xml:space="preserve">http://slimages.macys.com/is/image/MCY/14542905 </v>
      </c>
    </row>
    <row r="180" spans="1:13" ht="156" x14ac:dyDescent="0.25">
      <c r="A180" s="7" t="s">
        <v>13621</v>
      </c>
      <c r="B180" s="2" t="s">
        <v>3160</v>
      </c>
      <c r="C180" s="4">
        <v>1</v>
      </c>
      <c r="D180" s="5">
        <v>10</v>
      </c>
      <c r="E180" s="5">
        <v>29.99</v>
      </c>
      <c r="F180" s="4" t="s">
        <v>3161</v>
      </c>
      <c r="G180" s="2" t="s">
        <v>36</v>
      </c>
      <c r="H180" s="7" t="s">
        <v>42</v>
      </c>
      <c r="I180" s="2" t="s">
        <v>92</v>
      </c>
      <c r="J180" s="2" t="s">
        <v>239</v>
      </c>
      <c r="K180" s="2" t="s">
        <v>304</v>
      </c>
      <c r="L180" s="2" t="s">
        <v>3162</v>
      </c>
      <c r="M180" s="8" t="str">
        <f>HYPERLINK("http://slimages.macys.com/is/image/MCY/14542905 ")</f>
        <v xml:space="preserve">http://slimages.macys.com/is/image/MCY/14542905 </v>
      </c>
    </row>
    <row r="181" spans="1:13" ht="60" x14ac:dyDescent="0.25">
      <c r="A181" s="7" t="s">
        <v>13622</v>
      </c>
      <c r="B181" s="2" t="s">
        <v>1626</v>
      </c>
      <c r="C181" s="4">
        <v>1</v>
      </c>
      <c r="D181" s="5">
        <v>10</v>
      </c>
      <c r="E181" s="5">
        <v>22.99</v>
      </c>
      <c r="F181" s="4" t="s">
        <v>1627</v>
      </c>
      <c r="G181" s="2" t="s">
        <v>41</v>
      </c>
      <c r="H181" s="7" t="s">
        <v>228</v>
      </c>
      <c r="I181" s="2" t="s">
        <v>73</v>
      </c>
      <c r="J181" s="2" t="s">
        <v>223</v>
      </c>
      <c r="K181" s="2" t="s">
        <v>304</v>
      </c>
      <c r="L181" s="2" t="s">
        <v>87</v>
      </c>
      <c r="M181" s="8" t="str">
        <f>HYPERLINK("http://slimages.macys.com/is/image/MCY/13581150 ")</f>
        <v xml:space="preserve">http://slimages.macys.com/is/image/MCY/13581150 </v>
      </c>
    </row>
    <row r="182" spans="1:13" ht="60" x14ac:dyDescent="0.25">
      <c r="A182" s="7" t="s">
        <v>13623</v>
      </c>
      <c r="B182" s="2" t="s">
        <v>13624</v>
      </c>
      <c r="C182" s="4">
        <v>1</v>
      </c>
      <c r="D182" s="5">
        <v>10</v>
      </c>
      <c r="E182" s="5">
        <v>19.989999999999998</v>
      </c>
      <c r="F182" s="4" t="s">
        <v>13625</v>
      </c>
      <c r="G182" s="2" t="s">
        <v>134</v>
      </c>
      <c r="H182" s="7" t="s">
        <v>13626</v>
      </c>
      <c r="I182" s="2" t="s">
        <v>43</v>
      </c>
      <c r="J182" s="2" t="s">
        <v>3434</v>
      </c>
      <c r="K182" s="2" t="s">
        <v>304</v>
      </c>
      <c r="L182" s="2" t="s">
        <v>206</v>
      </c>
      <c r="M182" s="8" t="str">
        <f>HYPERLINK("http://slimages.macys.com/is/image/MCY/8511791 ")</f>
        <v xml:space="preserve">http://slimages.macys.com/is/image/MCY/8511791 </v>
      </c>
    </row>
    <row r="183" spans="1:13" ht="84" x14ac:dyDescent="0.25">
      <c r="A183" s="7" t="s">
        <v>13627</v>
      </c>
      <c r="B183" s="2" t="s">
        <v>9394</v>
      </c>
      <c r="C183" s="4">
        <v>1</v>
      </c>
      <c r="D183" s="5">
        <v>9.75</v>
      </c>
      <c r="E183" s="5">
        <v>24.99</v>
      </c>
      <c r="F183" s="4" t="s">
        <v>9395</v>
      </c>
      <c r="G183" s="2" t="s">
        <v>667</v>
      </c>
      <c r="H183" s="7" t="s">
        <v>166</v>
      </c>
      <c r="I183" s="2" t="s">
        <v>321</v>
      </c>
      <c r="J183" s="2" t="s">
        <v>8764</v>
      </c>
      <c r="K183" s="2" t="s">
        <v>304</v>
      </c>
      <c r="L183" s="2" t="s">
        <v>1117</v>
      </c>
      <c r="M183" s="8" t="str">
        <f>HYPERLINK("http://slimages.macys.com/is/image/MCY/11724596 ")</f>
        <v xml:space="preserve">http://slimages.macys.com/is/image/MCY/11724596 </v>
      </c>
    </row>
    <row r="184" spans="1:13" ht="84" x14ac:dyDescent="0.25">
      <c r="A184" s="7" t="s">
        <v>13628</v>
      </c>
      <c r="B184" s="2" t="s">
        <v>10914</v>
      </c>
      <c r="C184" s="4">
        <v>1</v>
      </c>
      <c r="D184" s="5">
        <v>9.75</v>
      </c>
      <c r="E184" s="5">
        <v>24.99</v>
      </c>
      <c r="F184" s="4" t="s">
        <v>10915</v>
      </c>
      <c r="G184" s="2" t="s">
        <v>667</v>
      </c>
      <c r="H184" s="7" t="s">
        <v>248</v>
      </c>
      <c r="I184" s="2" t="s">
        <v>321</v>
      </c>
      <c r="J184" s="2" t="s">
        <v>8764</v>
      </c>
      <c r="K184" s="2" t="s">
        <v>304</v>
      </c>
      <c r="L184" s="2" t="s">
        <v>1117</v>
      </c>
      <c r="M184" s="8" t="str">
        <f>HYPERLINK("http://slimages.macys.com/is/image/MCY/11724590 ")</f>
        <v xml:space="preserve">http://slimages.macys.com/is/image/MCY/11724590 </v>
      </c>
    </row>
    <row r="185" spans="1:13" ht="60" x14ac:dyDescent="0.25">
      <c r="A185" s="7" t="s">
        <v>3875</v>
      </c>
      <c r="B185" s="2" t="s">
        <v>3185</v>
      </c>
      <c r="C185" s="4">
        <v>2</v>
      </c>
      <c r="D185" s="5">
        <v>9.6</v>
      </c>
      <c r="E185" s="5">
        <v>23.99</v>
      </c>
      <c r="F185" s="4" t="s">
        <v>3186</v>
      </c>
      <c r="G185" s="2" t="s">
        <v>165</v>
      </c>
      <c r="H185" s="7"/>
      <c r="I185" s="2" t="s">
        <v>173</v>
      </c>
      <c r="J185" s="2" t="s">
        <v>174</v>
      </c>
      <c r="K185" s="2" t="s">
        <v>304</v>
      </c>
      <c r="L185" s="2" t="s">
        <v>206</v>
      </c>
      <c r="M185" s="8" t="str">
        <f>HYPERLINK("http://slimages.macys.com/is/image/MCY/9357303 ")</f>
        <v xml:space="preserve">http://slimages.macys.com/is/image/MCY/9357303 </v>
      </c>
    </row>
    <row r="186" spans="1:13" ht="60" x14ac:dyDescent="0.25">
      <c r="A186" s="7" t="s">
        <v>13629</v>
      </c>
      <c r="B186" s="2" t="s">
        <v>3185</v>
      </c>
      <c r="C186" s="4">
        <v>1</v>
      </c>
      <c r="D186" s="5">
        <v>9.6</v>
      </c>
      <c r="E186" s="5">
        <v>23.99</v>
      </c>
      <c r="F186" s="4" t="s">
        <v>3186</v>
      </c>
      <c r="G186" s="2" t="s">
        <v>165</v>
      </c>
      <c r="H186" s="7" t="s">
        <v>97</v>
      </c>
      <c r="I186" s="2" t="s">
        <v>173</v>
      </c>
      <c r="J186" s="2" t="s">
        <v>174</v>
      </c>
      <c r="K186" s="2" t="s">
        <v>304</v>
      </c>
      <c r="L186" s="2" t="s">
        <v>206</v>
      </c>
      <c r="M186" s="8" t="str">
        <f>HYPERLINK("http://slimages.macys.com/is/image/MCY/9357303 ")</f>
        <v xml:space="preserve">http://slimages.macys.com/is/image/MCY/9357303 </v>
      </c>
    </row>
    <row r="187" spans="1:13" ht="60" x14ac:dyDescent="0.25">
      <c r="A187" s="7" t="s">
        <v>12469</v>
      </c>
      <c r="B187" s="2" t="s">
        <v>7413</v>
      </c>
      <c r="C187" s="4">
        <v>1</v>
      </c>
      <c r="D187" s="5">
        <v>9.5</v>
      </c>
      <c r="E187" s="5">
        <v>21.99</v>
      </c>
      <c r="F187" s="4" t="s">
        <v>7414</v>
      </c>
      <c r="G187" s="2" t="s">
        <v>892</v>
      </c>
      <c r="H187" s="7"/>
      <c r="I187" s="2" t="s">
        <v>321</v>
      </c>
      <c r="J187" s="2" t="s">
        <v>1671</v>
      </c>
      <c r="K187" s="2" t="s">
        <v>304</v>
      </c>
      <c r="L187" s="2" t="s">
        <v>125</v>
      </c>
      <c r="M187" s="8" t="str">
        <f>HYPERLINK("http://slimages.macys.com/is/image/MCY/11647208 ")</f>
        <v xml:space="preserve">http://slimages.macys.com/is/image/MCY/11647208 </v>
      </c>
    </row>
    <row r="188" spans="1:13" ht="216" x14ac:dyDescent="0.25">
      <c r="A188" s="7" t="s">
        <v>13630</v>
      </c>
      <c r="B188" s="2" t="s">
        <v>13631</v>
      </c>
      <c r="C188" s="4">
        <v>1</v>
      </c>
      <c r="D188" s="5">
        <v>9.42</v>
      </c>
      <c r="E188" s="5">
        <v>33.99</v>
      </c>
      <c r="F188" s="4" t="s">
        <v>13632</v>
      </c>
      <c r="G188" s="2" t="s">
        <v>297</v>
      </c>
      <c r="H188" s="7" t="s">
        <v>149</v>
      </c>
      <c r="I188" s="2" t="s">
        <v>483</v>
      </c>
      <c r="J188" s="2" t="s">
        <v>536</v>
      </c>
      <c r="K188" s="2" t="s">
        <v>304</v>
      </c>
      <c r="L188" s="2" t="s">
        <v>13633</v>
      </c>
      <c r="M188" s="8" t="str">
        <f>HYPERLINK("http://slimages.macys.com/is/image/MCY/14385202 ")</f>
        <v xml:space="preserve">http://slimages.macys.com/is/image/MCY/14385202 </v>
      </c>
    </row>
    <row r="189" spans="1:13" ht="216" x14ac:dyDescent="0.25">
      <c r="A189" s="7" t="s">
        <v>13634</v>
      </c>
      <c r="B189" s="2" t="s">
        <v>13631</v>
      </c>
      <c r="C189" s="4">
        <v>1</v>
      </c>
      <c r="D189" s="5">
        <v>9.42</v>
      </c>
      <c r="E189" s="5">
        <v>33.99</v>
      </c>
      <c r="F189" s="4" t="s">
        <v>13632</v>
      </c>
      <c r="G189" s="2" t="s">
        <v>297</v>
      </c>
      <c r="H189" s="7" t="s">
        <v>91</v>
      </c>
      <c r="I189" s="2" t="s">
        <v>483</v>
      </c>
      <c r="J189" s="2" t="s">
        <v>536</v>
      </c>
      <c r="K189" s="2" t="s">
        <v>304</v>
      </c>
      <c r="L189" s="2" t="s">
        <v>13633</v>
      </c>
      <c r="M189" s="8" t="str">
        <f>HYPERLINK("http://slimages.macys.com/is/image/MCY/14385202 ")</f>
        <v xml:space="preserve">http://slimages.macys.com/is/image/MCY/14385202 </v>
      </c>
    </row>
    <row r="190" spans="1:13" ht="216" x14ac:dyDescent="0.25">
      <c r="A190" s="7" t="s">
        <v>13635</v>
      </c>
      <c r="B190" s="2" t="s">
        <v>13631</v>
      </c>
      <c r="C190" s="4">
        <v>1</v>
      </c>
      <c r="D190" s="5">
        <v>9.42</v>
      </c>
      <c r="E190" s="5">
        <v>33.99</v>
      </c>
      <c r="F190" s="4" t="s">
        <v>13632</v>
      </c>
      <c r="G190" s="2" t="s">
        <v>297</v>
      </c>
      <c r="H190" s="7" t="s">
        <v>590</v>
      </c>
      <c r="I190" s="2" t="s">
        <v>483</v>
      </c>
      <c r="J190" s="2" t="s">
        <v>536</v>
      </c>
      <c r="K190" s="2" t="s">
        <v>304</v>
      </c>
      <c r="L190" s="2" t="s">
        <v>13633</v>
      </c>
      <c r="M190" s="8" t="str">
        <f>HYPERLINK("http://slimages.macys.com/is/image/MCY/14385202 ")</f>
        <v xml:space="preserve">http://slimages.macys.com/is/image/MCY/14385202 </v>
      </c>
    </row>
    <row r="191" spans="1:13" ht="96" x14ac:dyDescent="0.25">
      <c r="A191" s="7" t="s">
        <v>3191</v>
      </c>
      <c r="B191" s="2" t="s">
        <v>3192</v>
      </c>
      <c r="C191" s="4">
        <v>1</v>
      </c>
      <c r="D191" s="5">
        <v>9.41</v>
      </c>
      <c r="E191" s="5">
        <v>22.99</v>
      </c>
      <c r="F191" s="4" t="s">
        <v>3193</v>
      </c>
      <c r="G191" s="2" t="s">
        <v>1091</v>
      </c>
      <c r="H191" s="7" t="s">
        <v>590</v>
      </c>
      <c r="I191" s="2" t="s">
        <v>483</v>
      </c>
      <c r="J191" s="2" t="s">
        <v>536</v>
      </c>
      <c r="K191" s="2" t="s">
        <v>304</v>
      </c>
      <c r="L191" s="2" t="s">
        <v>3194</v>
      </c>
      <c r="M191" s="8" t="str">
        <f>HYPERLINK("http://slimages.macys.com/is/image/MCY/14385247 ")</f>
        <v xml:space="preserve">http://slimages.macys.com/is/image/MCY/14385247 </v>
      </c>
    </row>
    <row r="192" spans="1:13" ht="60" x14ac:dyDescent="0.25">
      <c r="A192" s="7" t="s">
        <v>13636</v>
      </c>
      <c r="B192" s="2" t="s">
        <v>5307</v>
      </c>
      <c r="C192" s="4">
        <v>2</v>
      </c>
      <c r="D192" s="5">
        <v>9.35</v>
      </c>
      <c r="E192" s="5">
        <v>22.99</v>
      </c>
      <c r="F192" s="4">
        <v>848196</v>
      </c>
      <c r="G192" s="2" t="s">
        <v>195</v>
      </c>
      <c r="H192" s="7" t="s">
        <v>284</v>
      </c>
      <c r="I192" s="2" t="s">
        <v>73</v>
      </c>
      <c r="J192" s="2" t="s">
        <v>160</v>
      </c>
      <c r="K192" s="2" t="s">
        <v>304</v>
      </c>
      <c r="L192" s="2" t="s">
        <v>125</v>
      </c>
      <c r="M192" s="8" t="str">
        <f>HYPERLINK("http://slimages.macys.com/is/image/MCY/13860974 ")</f>
        <v xml:space="preserve">http://slimages.macys.com/is/image/MCY/13860974 </v>
      </c>
    </row>
    <row r="193" spans="1:13" ht="60" x14ac:dyDescent="0.25">
      <c r="A193" s="7" t="s">
        <v>13637</v>
      </c>
      <c r="B193" s="2" t="s">
        <v>5307</v>
      </c>
      <c r="C193" s="4">
        <v>1</v>
      </c>
      <c r="D193" s="5">
        <v>9.35</v>
      </c>
      <c r="E193" s="5">
        <v>22.99</v>
      </c>
      <c r="F193" s="4">
        <v>848196</v>
      </c>
      <c r="G193" s="2" t="s">
        <v>195</v>
      </c>
      <c r="H193" s="7" t="s">
        <v>228</v>
      </c>
      <c r="I193" s="2" t="s">
        <v>73</v>
      </c>
      <c r="J193" s="2" t="s">
        <v>160</v>
      </c>
      <c r="K193" s="2" t="s">
        <v>304</v>
      </c>
      <c r="L193" s="2" t="s">
        <v>125</v>
      </c>
      <c r="M193" s="8" t="str">
        <f>HYPERLINK("http://slimages.macys.com/is/image/MCY/13860974 ")</f>
        <v xml:space="preserve">http://slimages.macys.com/is/image/MCY/13860974 </v>
      </c>
    </row>
    <row r="194" spans="1:13" ht="60" x14ac:dyDescent="0.25">
      <c r="A194" s="7" t="s">
        <v>13638</v>
      </c>
      <c r="B194" s="2" t="s">
        <v>5307</v>
      </c>
      <c r="C194" s="4">
        <v>1</v>
      </c>
      <c r="D194" s="5">
        <v>9.35</v>
      </c>
      <c r="E194" s="5">
        <v>22.99</v>
      </c>
      <c r="F194" s="4">
        <v>848196</v>
      </c>
      <c r="G194" s="2" t="s">
        <v>195</v>
      </c>
      <c r="H194" s="7" t="s">
        <v>196</v>
      </c>
      <c r="I194" s="2" t="s">
        <v>73</v>
      </c>
      <c r="J194" s="2" t="s">
        <v>160</v>
      </c>
      <c r="K194" s="2" t="s">
        <v>304</v>
      </c>
      <c r="L194" s="2" t="s">
        <v>125</v>
      </c>
      <c r="M194" s="8" t="str">
        <f>HYPERLINK("http://slimages.macys.com/is/image/MCY/13860974 ")</f>
        <v xml:space="preserve">http://slimages.macys.com/is/image/MCY/13860974 </v>
      </c>
    </row>
    <row r="195" spans="1:13" ht="240" x14ac:dyDescent="0.25">
      <c r="A195" s="7" t="s">
        <v>3195</v>
      </c>
      <c r="B195" s="2" t="s">
        <v>3196</v>
      </c>
      <c r="C195" s="4">
        <v>1</v>
      </c>
      <c r="D195" s="5">
        <v>9.32</v>
      </c>
      <c r="E195" s="5">
        <v>33.99</v>
      </c>
      <c r="F195" s="4" t="s">
        <v>3197</v>
      </c>
      <c r="G195" s="2" t="s">
        <v>1091</v>
      </c>
      <c r="H195" s="7" t="s">
        <v>91</v>
      </c>
      <c r="I195" s="2" t="s">
        <v>483</v>
      </c>
      <c r="J195" s="2" t="s">
        <v>536</v>
      </c>
      <c r="K195" s="2" t="s">
        <v>304</v>
      </c>
      <c r="L195" s="2" t="s">
        <v>3198</v>
      </c>
      <c r="M195" s="8" t="str">
        <f>HYPERLINK("http://slimages.macys.com/is/image/MCY/16226458 ")</f>
        <v xml:space="preserve">http://slimages.macys.com/is/image/MCY/16226458 </v>
      </c>
    </row>
    <row r="196" spans="1:13" ht="240" x14ac:dyDescent="0.25">
      <c r="A196" s="7" t="s">
        <v>13639</v>
      </c>
      <c r="B196" s="2" t="s">
        <v>3196</v>
      </c>
      <c r="C196" s="4">
        <v>2</v>
      </c>
      <c r="D196" s="5">
        <v>9.32</v>
      </c>
      <c r="E196" s="5">
        <v>33.99</v>
      </c>
      <c r="F196" s="4" t="s">
        <v>3197</v>
      </c>
      <c r="G196" s="2" t="s">
        <v>1091</v>
      </c>
      <c r="H196" s="7" t="s">
        <v>442</v>
      </c>
      <c r="I196" s="2" t="s">
        <v>483</v>
      </c>
      <c r="J196" s="2" t="s">
        <v>536</v>
      </c>
      <c r="K196" s="2" t="s">
        <v>304</v>
      </c>
      <c r="L196" s="2" t="s">
        <v>3198</v>
      </c>
      <c r="M196" s="8" t="str">
        <f>HYPERLINK("http://slimages.macys.com/is/image/MCY/16226458 ")</f>
        <v xml:space="preserve">http://slimages.macys.com/is/image/MCY/16226458 </v>
      </c>
    </row>
    <row r="197" spans="1:13" ht="60" x14ac:dyDescent="0.25">
      <c r="A197" s="7" t="s">
        <v>372</v>
      </c>
      <c r="B197" s="2" t="s">
        <v>365</v>
      </c>
      <c r="C197" s="4">
        <v>3</v>
      </c>
      <c r="D197" s="5">
        <v>8.75</v>
      </c>
      <c r="E197" s="5">
        <v>18.989999999999998</v>
      </c>
      <c r="F197" s="4" t="s">
        <v>366</v>
      </c>
      <c r="G197" s="2" t="s">
        <v>134</v>
      </c>
      <c r="H197" s="7" t="s">
        <v>172</v>
      </c>
      <c r="I197" s="2" t="s">
        <v>73</v>
      </c>
      <c r="J197" s="2" t="s">
        <v>249</v>
      </c>
      <c r="K197" s="2" t="s">
        <v>304</v>
      </c>
      <c r="L197" s="2" t="s">
        <v>367</v>
      </c>
      <c r="M197" s="8" t="str">
        <f>HYPERLINK("http://slimages.macys.com/is/image/MCY/14601680 ")</f>
        <v xml:space="preserve">http://slimages.macys.com/is/image/MCY/14601680 </v>
      </c>
    </row>
    <row r="198" spans="1:13" ht="60" x14ac:dyDescent="0.25">
      <c r="A198" s="7" t="s">
        <v>3918</v>
      </c>
      <c r="B198" s="2" t="s">
        <v>374</v>
      </c>
      <c r="C198" s="4">
        <v>1</v>
      </c>
      <c r="D198" s="5">
        <v>8.75</v>
      </c>
      <c r="E198" s="5">
        <v>18.989999999999998</v>
      </c>
      <c r="F198" s="4" t="s">
        <v>375</v>
      </c>
      <c r="G198" s="2" t="s">
        <v>165</v>
      </c>
      <c r="H198" s="7" t="s">
        <v>166</v>
      </c>
      <c r="I198" s="2" t="s">
        <v>73</v>
      </c>
      <c r="J198" s="2" t="s">
        <v>249</v>
      </c>
      <c r="K198" s="2" t="s">
        <v>304</v>
      </c>
      <c r="L198" s="2" t="s">
        <v>358</v>
      </c>
      <c r="M198" s="8" t="str">
        <f>HYPERLINK("http://slimages.macys.com/is/image/MCY/14601682 ")</f>
        <v xml:space="preserve">http://slimages.macys.com/is/image/MCY/14601682 </v>
      </c>
    </row>
    <row r="199" spans="1:13" ht="60" x14ac:dyDescent="0.25">
      <c r="A199" s="7" t="s">
        <v>3917</v>
      </c>
      <c r="B199" s="2" t="s">
        <v>374</v>
      </c>
      <c r="C199" s="4">
        <v>1</v>
      </c>
      <c r="D199" s="5">
        <v>8.75</v>
      </c>
      <c r="E199" s="5">
        <v>18.989999999999998</v>
      </c>
      <c r="F199" s="4" t="s">
        <v>375</v>
      </c>
      <c r="G199" s="2" t="s">
        <v>165</v>
      </c>
      <c r="H199" s="7" t="s">
        <v>266</v>
      </c>
      <c r="I199" s="2" t="s">
        <v>73</v>
      </c>
      <c r="J199" s="2" t="s">
        <v>249</v>
      </c>
      <c r="K199" s="2" t="s">
        <v>304</v>
      </c>
      <c r="L199" s="2" t="s">
        <v>358</v>
      </c>
      <c r="M199" s="8" t="str">
        <f>HYPERLINK("http://slimages.macys.com/is/image/MCY/14601682 ")</f>
        <v xml:space="preserve">http://slimages.macys.com/is/image/MCY/14601682 </v>
      </c>
    </row>
    <row r="200" spans="1:13" ht="60" x14ac:dyDescent="0.25">
      <c r="A200" s="7" t="s">
        <v>13320</v>
      </c>
      <c r="B200" s="2" t="s">
        <v>374</v>
      </c>
      <c r="C200" s="4">
        <v>2</v>
      </c>
      <c r="D200" s="5">
        <v>8.75</v>
      </c>
      <c r="E200" s="5">
        <v>18.989999999999998</v>
      </c>
      <c r="F200" s="4" t="s">
        <v>375</v>
      </c>
      <c r="G200" s="2" t="s">
        <v>165</v>
      </c>
      <c r="H200" s="7" t="s">
        <v>248</v>
      </c>
      <c r="I200" s="2" t="s">
        <v>73</v>
      </c>
      <c r="J200" s="2" t="s">
        <v>249</v>
      </c>
      <c r="K200" s="2" t="s">
        <v>304</v>
      </c>
      <c r="L200" s="2" t="s">
        <v>358</v>
      </c>
      <c r="M200" s="8" t="str">
        <f>HYPERLINK("http://slimages.macys.com/is/image/MCY/14601682 ")</f>
        <v xml:space="preserve">http://slimages.macys.com/is/image/MCY/14601682 </v>
      </c>
    </row>
    <row r="201" spans="1:13" ht="84" x14ac:dyDescent="0.25">
      <c r="A201" s="7" t="s">
        <v>13640</v>
      </c>
      <c r="B201" s="2" t="s">
        <v>2551</v>
      </c>
      <c r="C201" s="4">
        <v>1</v>
      </c>
      <c r="D201" s="5">
        <v>8.65</v>
      </c>
      <c r="E201" s="5">
        <v>21.99</v>
      </c>
      <c r="F201" s="4">
        <v>36567910</v>
      </c>
      <c r="G201" s="2"/>
      <c r="H201" s="7" t="s">
        <v>179</v>
      </c>
      <c r="I201" s="2" t="s">
        <v>321</v>
      </c>
      <c r="J201" s="2" t="s">
        <v>2552</v>
      </c>
      <c r="K201" s="2" t="s">
        <v>304</v>
      </c>
      <c r="L201" s="2" t="s">
        <v>2553</v>
      </c>
      <c r="M201" s="8" t="str">
        <f>HYPERLINK("http://slimages.macys.com/is/image/MCY/10943983 ")</f>
        <v xml:space="preserve">http://slimages.macys.com/is/image/MCY/10943983 </v>
      </c>
    </row>
    <row r="202" spans="1:13" ht="60" x14ac:dyDescent="0.25">
      <c r="A202" s="7" t="s">
        <v>13641</v>
      </c>
      <c r="B202" s="2" t="s">
        <v>5352</v>
      </c>
      <c r="C202" s="4">
        <v>1</v>
      </c>
      <c r="D202" s="5">
        <v>8.65</v>
      </c>
      <c r="E202" s="5">
        <v>22.99</v>
      </c>
      <c r="F202" s="4">
        <v>103389</v>
      </c>
      <c r="G202" s="2"/>
      <c r="H202" s="7" t="s">
        <v>177</v>
      </c>
      <c r="I202" s="2" t="s">
        <v>321</v>
      </c>
      <c r="J202" s="2" t="s">
        <v>322</v>
      </c>
      <c r="K202" s="2" t="s">
        <v>304</v>
      </c>
      <c r="L202" s="2" t="s">
        <v>323</v>
      </c>
      <c r="M202" s="8" t="str">
        <f>HYPERLINK("http://slimages.macys.com/is/image/MCY/10628314 ")</f>
        <v xml:space="preserve">http://slimages.macys.com/is/image/MCY/10628314 </v>
      </c>
    </row>
    <row r="203" spans="1:13" ht="60" x14ac:dyDescent="0.25">
      <c r="A203" s="7" t="s">
        <v>3921</v>
      </c>
      <c r="B203" s="2" t="s">
        <v>3922</v>
      </c>
      <c r="C203" s="4">
        <v>1</v>
      </c>
      <c r="D203" s="5">
        <v>8.6</v>
      </c>
      <c r="E203" s="5">
        <v>22.99</v>
      </c>
      <c r="F203" s="4" t="s">
        <v>3923</v>
      </c>
      <c r="G203" s="2" t="s">
        <v>171</v>
      </c>
      <c r="H203" s="7" t="s">
        <v>144</v>
      </c>
      <c r="I203" s="2" t="s">
        <v>380</v>
      </c>
      <c r="J203" s="2" t="s">
        <v>258</v>
      </c>
      <c r="K203" s="2" t="s">
        <v>304</v>
      </c>
      <c r="L203" s="2" t="s">
        <v>206</v>
      </c>
      <c r="M203" s="8" t="str">
        <f>HYPERLINK("http://slimages.macys.com/is/image/MCY/11723087 ")</f>
        <v xml:space="preserve">http://slimages.macys.com/is/image/MCY/11723087 </v>
      </c>
    </row>
    <row r="204" spans="1:13" ht="108" x14ac:dyDescent="0.25">
      <c r="A204" s="7" t="s">
        <v>13642</v>
      </c>
      <c r="B204" s="2" t="s">
        <v>13643</v>
      </c>
      <c r="C204" s="4">
        <v>1</v>
      </c>
      <c r="D204" s="5">
        <v>8.5</v>
      </c>
      <c r="E204" s="5">
        <v>22.5</v>
      </c>
      <c r="F204" s="4" t="s">
        <v>13644</v>
      </c>
      <c r="G204" s="2" t="s">
        <v>310</v>
      </c>
      <c r="H204" s="7" t="s">
        <v>68</v>
      </c>
      <c r="I204" s="2" t="s">
        <v>380</v>
      </c>
      <c r="J204" s="2" t="s">
        <v>99</v>
      </c>
      <c r="K204" s="2" t="s">
        <v>304</v>
      </c>
      <c r="L204" s="2" t="s">
        <v>13645</v>
      </c>
      <c r="M204" s="8" t="str">
        <f>HYPERLINK("http://slimages.macys.com/is/image/MCY/12227897 ")</f>
        <v xml:space="preserve">http://slimages.macys.com/is/image/MCY/12227897 </v>
      </c>
    </row>
    <row r="205" spans="1:13" ht="60" x14ac:dyDescent="0.25">
      <c r="A205" s="7" t="s">
        <v>13646</v>
      </c>
      <c r="B205" s="2" t="s">
        <v>10002</v>
      </c>
      <c r="C205" s="4">
        <v>1</v>
      </c>
      <c r="D205" s="5">
        <v>8.5</v>
      </c>
      <c r="E205" s="5">
        <v>21.99</v>
      </c>
      <c r="F205" s="4" t="s">
        <v>10003</v>
      </c>
      <c r="G205" s="2" t="s">
        <v>892</v>
      </c>
      <c r="H205" s="7"/>
      <c r="I205" s="2" t="s">
        <v>321</v>
      </c>
      <c r="J205" s="2" t="s">
        <v>1671</v>
      </c>
      <c r="K205" s="2" t="s">
        <v>304</v>
      </c>
      <c r="L205" s="2" t="s">
        <v>125</v>
      </c>
      <c r="M205" s="8" t="str">
        <f>HYPERLINK("http://slimages.macys.com/is/image/MCY/11647215 ")</f>
        <v xml:space="preserve">http://slimages.macys.com/is/image/MCY/11647215 </v>
      </c>
    </row>
    <row r="206" spans="1:13" ht="60" x14ac:dyDescent="0.25">
      <c r="A206" s="7" t="s">
        <v>2563</v>
      </c>
      <c r="B206" s="2" t="s">
        <v>2564</v>
      </c>
      <c r="C206" s="4">
        <v>3</v>
      </c>
      <c r="D206" s="5">
        <v>8.25</v>
      </c>
      <c r="E206" s="5">
        <v>22.99</v>
      </c>
      <c r="F206" s="4" t="s">
        <v>2565</v>
      </c>
      <c r="G206" s="2" t="s">
        <v>62</v>
      </c>
      <c r="H206" s="7" t="s">
        <v>159</v>
      </c>
      <c r="I206" s="2" t="s">
        <v>468</v>
      </c>
      <c r="J206" s="2" t="s">
        <v>544</v>
      </c>
      <c r="K206" s="2" t="s">
        <v>304</v>
      </c>
      <c r="L206" s="2" t="s">
        <v>119</v>
      </c>
      <c r="M206" s="8" t="str">
        <f>HYPERLINK("http://slimages.macys.com/is/image/MCY/15447987 ")</f>
        <v xml:space="preserve">http://slimages.macys.com/is/image/MCY/15447987 </v>
      </c>
    </row>
    <row r="207" spans="1:13" ht="60" x14ac:dyDescent="0.25">
      <c r="A207" s="7" t="s">
        <v>13647</v>
      </c>
      <c r="B207" s="2" t="s">
        <v>2564</v>
      </c>
      <c r="C207" s="4">
        <v>1</v>
      </c>
      <c r="D207" s="5">
        <v>8.25</v>
      </c>
      <c r="E207" s="5">
        <v>22.99</v>
      </c>
      <c r="F207" s="4" t="s">
        <v>2565</v>
      </c>
      <c r="G207" s="2" t="s">
        <v>62</v>
      </c>
      <c r="H207" s="7" t="s">
        <v>284</v>
      </c>
      <c r="I207" s="2" t="s">
        <v>468</v>
      </c>
      <c r="J207" s="2" t="s">
        <v>544</v>
      </c>
      <c r="K207" s="2" t="s">
        <v>304</v>
      </c>
      <c r="L207" s="2" t="s">
        <v>119</v>
      </c>
      <c r="M207" s="8" t="str">
        <f>HYPERLINK("http://slimages.macys.com/is/image/MCY/15447987 ")</f>
        <v xml:space="preserve">http://slimages.macys.com/is/image/MCY/15447987 </v>
      </c>
    </row>
    <row r="208" spans="1:13" ht="60" x14ac:dyDescent="0.25">
      <c r="A208" s="7" t="s">
        <v>13648</v>
      </c>
      <c r="B208" s="2" t="s">
        <v>2564</v>
      </c>
      <c r="C208" s="4">
        <v>1</v>
      </c>
      <c r="D208" s="5">
        <v>8.25</v>
      </c>
      <c r="E208" s="5">
        <v>22.99</v>
      </c>
      <c r="F208" s="4" t="s">
        <v>2565</v>
      </c>
      <c r="G208" s="2" t="s">
        <v>62</v>
      </c>
      <c r="H208" s="7" t="s">
        <v>228</v>
      </c>
      <c r="I208" s="2" t="s">
        <v>468</v>
      </c>
      <c r="J208" s="2" t="s">
        <v>544</v>
      </c>
      <c r="K208" s="2" t="s">
        <v>304</v>
      </c>
      <c r="L208" s="2" t="s">
        <v>119</v>
      </c>
      <c r="M208" s="8" t="str">
        <f>HYPERLINK("http://slimages.macys.com/is/image/MCY/15447987 ")</f>
        <v xml:space="preserve">http://slimages.macys.com/is/image/MCY/15447987 </v>
      </c>
    </row>
    <row r="209" spans="1:13" ht="60" x14ac:dyDescent="0.25">
      <c r="A209" s="7" t="s">
        <v>8832</v>
      </c>
      <c r="B209" s="2" t="s">
        <v>1694</v>
      </c>
      <c r="C209" s="4">
        <v>1</v>
      </c>
      <c r="D209" s="5">
        <v>8.02</v>
      </c>
      <c r="E209" s="5">
        <v>21.99</v>
      </c>
      <c r="F209" s="4" t="s">
        <v>1695</v>
      </c>
      <c r="G209" s="2" t="s">
        <v>62</v>
      </c>
      <c r="H209" s="7" t="s">
        <v>284</v>
      </c>
      <c r="I209" s="2" t="s">
        <v>515</v>
      </c>
      <c r="J209" s="2" t="s">
        <v>827</v>
      </c>
      <c r="K209" s="2" t="s">
        <v>304</v>
      </c>
      <c r="L209" s="2" t="s">
        <v>125</v>
      </c>
      <c r="M209" s="8" t="str">
        <f>HYPERLINK("http://slimages.macys.com/is/image/MCY/12052339 ")</f>
        <v xml:space="preserve">http://slimages.macys.com/is/image/MCY/12052339 </v>
      </c>
    </row>
    <row r="210" spans="1:13" ht="60" x14ac:dyDescent="0.25">
      <c r="A210" s="7" t="s">
        <v>5377</v>
      </c>
      <c r="B210" s="2" t="s">
        <v>402</v>
      </c>
      <c r="C210" s="4">
        <v>1</v>
      </c>
      <c r="D210" s="5">
        <v>8.01</v>
      </c>
      <c r="E210" s="5">
        <v>17.989999999999998</v>
      </c>
      <c r="F210" s="4" t="s">
        <v>403</v>
      </c>
      <c r="G210" s="2" t="s">
        <v>41</v>
      </c>
      <c r="H210" s="7" t="s">
        <v>284</v>
      </c>
      <c r="I210" s="2" t="s">
        <v>80</v>
      </c>
      <c r="J210" s="2" t="s">
        <v>160</v>
      </c>
      <c r="K210" s="2" t="s">
        <v>304</v>
      </c>
      <c r="L210" s="2" t="s">
        <v>206</v>
      </c>
      <c r="M210" s="8" t="str">
        <f>HYPERLINK("http://slimages.macys.com/is/image/MCY/14716448 ")</f>
        <v xml:space="preserve">http://slimages.macys.com/is/image/MCY/14716448 </v>
      </c>
    </row>
    <row r="211" spans="1:13" ht="60" x14ac:dyDescent="0.25">
      <c r="A211" s="7" t="s">
        <v>1709</v>
      </c>
      <c r="B211" s="2" t="s">
        <v>1704</v>
      </c>
      <c r="C211" s="4">
        <v>1</v>
      </c>
      <c r="D211" s="5">
        <v>8.01</v>
      </c>
      <c r="E211" s="5">
        <v>19</v>
      </c>
      <c r="F211" s="4" t="s">
        <v>1705</v>
      </c>
      <c r="G211" s="2" t="s">
        <v>41</v>
      </c>
      <c r="H211" s="7" t="s">
        <v>196</v>
      </c>
      <c r="I211" s="2" t="s">
        <v>73</v>
      </c>
      <c r="J211" s="2" t="s">
        <v>160</v>
      </c>
      <c r="K211" s="2" t="s">
        <v>304</v>
      </c>
      <c r="L211" s="2" t="s">
        <v>38</v>
      </c>
      <c r="M211" s="8" t="str">
        <f>HYPERLINK("http://slimages.macys.com/is/image/MCY/14630831 ")</f>
        <v xml:space="preserve">http://slimages.macys.com/is/image/MCY/14630831 </v>
      </c>
    </row>
    <row r="212" spans="1:13" ht="60" x14ac:dyDescent="0.25">
      <c r="A212" s="7" t="s">
        <v>400</v>
      </c>
      <c r="B212" s="2" t="s">
        <v>397</v>
      </c>
      <c r="C212" s="4">
        <v>1</v>
      </c>
      <c r="D212" s="5">
        <v>8.01</v>
      </c>
      <c r="E212" s="5">
        <v>19</v>
      </c>
      <c r="F212" s="4" t="s">
        <v>398</v>
      </c>
      <c r="G212" s="2" t="s">
        <v>41</v>
      </c>
      <c r="H212" s="7" t="s">
        <v>228</v>
      </c>
      <c r="I212" s="2" t="s">
        <v>73</v>
      </c>
      <c r="J212" s="2" t="s">
        <v>160</v>
      </c>
      <c r="K212" s="2" t="s">
        <v>304</v>
      </c>
      <c r="L212" s="2" t="s">
        <v>206</v>
      </c>
      <c r="M212" s="8" t="str">
        <f>HYPERLINK("http://slimages.macys.com/is/image/MCY/14724089 ")</f>
        <v xml:space="preserve">http://slimages.macys.com/is/image/MCY/14724089 </v>
      </c>
    </row>
    <row r="213" spans="1:13" ht="60" x14ac:dyDescent="0.25">
      <c r="A213" s="7" t="s">
        <v>13649</v>
      </c>
      <c r="B213" s="2" t="s">
        <v>13650</v>
      </c>
      <c r="C213" s="4">
        <v>1</v>
      </c>
      <c r="D213" s="5">
        <v>7.99</v>
      </c>
      <c r="E213" s="5">
        <v>16.989999999999998</v>
      </c>
      <c r="F213" s="4" t="s">
        <v>13651</v>
      </c>
      <c r="G213" s="2" t="s">
        <v>28</v>
      </c>
      <c r="H213" s="7" t="s">
        <v>1151</v>
      </c>
      <c r="I213" s="2" t="s">
        <v>292</v>
      </c>
      <c r="J213" s="2" t="s">
        <v>354</v>
      </c>
      <c r="K213" s="2" t="s">
        <v>304</v>
      </c>
      <c r="L213" s="2" t="s">
        <v>100</v>
      </c>
      <c r="M213" s="8" t="str">
        <f>HYPERLINK("http://slimages.macys.com/is/image/MCY/12952296 ")</f>
        <v xml:space="preserve">http://slimages.macys.com/is/image/MCY/12952296 </v>
      </c>
    </row>
    <row r="214" spans="1:13" ht="60" x14ac:dyDescent="0.25">
      <c r="A214" s="7" t="s">
        <v>910</v>
      </c>
      <c r="B214" s="2" t="s">
        <v>911</v>
      </c>
      <c r="C214" s="4">
        <v>1</v>
      </c>
      <c r="D214" s="5">
        <v>7.75</v>
      </c>
      <c r="E214" s="5">
        <v>19.989999999999998</v>
      </c>
      <c r="F214" s="4" t="s">
        <v>912</v>
      </c>
      <c r="G214" s="2" t="s">
        <v>582</v>
      </c>
      <c r="H214" s="7" t="s">
        <v>42</v>
      </c>
      <c r="I214" s="2" t="s">
        <v>92</v>
      </c>
      <c r="J214" s="2" t="s">
        <v>65</v>
      </c>
      <c r="K214" s="2" t="s">
        <v>304</v>
      </c>
      <c r="L214" s="2" t="s">
        <v>913</v>
      </c>
      <c r="M214" s="8" t="str">
        <f>HYPERLINK("http://slimages.macys.com/is/image/MCY/14803585 ")</f>
        <v xml:space="preserve">http://slimages.macys.com/is/image/MCY/14803585 </v>
      </c>
    </row>
    <row r="215" spans="1:13" ht="60" x14ac:dyDescent="0.25">
      <c r="A215" s="7" t="s">
        <v>13652</v>
      </c>
      <c r="B215" s="2" t="s">
        <v>911</v>
      </c>
      <c r="C215" s="4">
        <v>1</v>
      </c>
      <c r="D215" s="5">
        <v>7.75</v>
      </c>
      <c r="E215" s="5">
        <v>19.989999999999998</v>
      </c>
      <c r="F215" s="4" t="s">
        <v>912</v>
      </c>
      <c r="G215" s="2" t="s">
        <v>582</v>
      </c>
      <c r="H215" s="7" t="s">
        <v>91</v>
      </c>
      <c r="I215" s="2" t="s">
        <v>92</v>
      </c>
      <c r="J215" s="2" t="s">
        <v>65</v>
      </c>
      <c r="K215" s="2" t="s">
        <v>304</v>
      </c>
      <c r="L215" s="2" t="s">
        <v>913</v>
      </c>
      <c r="M215" s="8" t="str">
        <f>HYPERLINK("http://slimages.macys.com/is/image/MCY/14803585 ")</f>
        <v xml:space="preserve">http://slimages.macys.com/is/image/MCY/14803585 </v>
      </c>
    </row>
    <row r="216" spans="1:13" ht="60" x14ac:dyDescent="0.25">
      <c r="A216" s="7" t="s">
        <v>13653</v>
      </c>
      <c r="B216" s="2" t="s">
        <v>911</v>
      </c>
      <c r="C216" s="4">
        <v>1</v>
      </c>
      <c r="D216" s="5">
        <v>7.75</v>
      </c>
      <c r="E216" s="5">
        <v>19.989999999999998</v>
      </c>
      <c r="F216" s="4" t="s">
        <v>912</v>
      </c>
      <c r="G216" s="2" t="s">
        <v>582</v>
      </c>
      <c r="H216" s="7" t="s">
        <v>590</v>
      </c>
      <c r="I216" s="2" t="s">
        <v>92</v>
      </c>
      <c r="J216" s="2" t="s">
        <v>65</v>
      </c>
      <c r="K216" s="2" t="s">
        <v>304</v>
      </c>
      <c r="L216" s="2" t="s">
        <v>913</v>
      </c>
      <c r="M216" s="8" t="str">
        <f>HYPERLINK("http://slimages.macys.com/is/image/MCY/14803585 ")</f>
        <v xml:space="preserve">http://slimages.macys.com/is/image/MCY/14803585 </v>
      </c>
    </row>
    <row r="217" spans="1:13" ht="60" x14ac:dyDescent="0.25">
      <c r="A217" s="7" t="s">
        <v>13654</v>
      </c>
      <c r="B217" s="2" t="s">
        <v>911</v>
      </c>
      <c r="C217" s="4">
        <v>1</v>
      </c>
      <c r="D217" s="5">
        <v>7.75</v>
      </c>
      <c r="E217" s="5">
        <v>19.989999999999998</v>
      </c>
      <c r="F217" s="4" t="s">
        <v>912</v>
      </c>
      <c r="G217" s="2" t="s">
        <v>582</v>
      </c>
      <c r="H217" s="7" t="s">
        <v>149</v>
      </c>
      <c r="I217" s="2" t="s">
        <v>92</v>
      </c>
      <c r="J217" s="2" t="s">
        <v>65</v>
      </c>
      <c r="K217" s="2" t="s">
        <v>304</v>
      </c>
      <c r="L217" s="2" t="s">
        <v>913</v>
      </c>
      <c r="M217" s="8" t="str">
        <f>HYPERLINK("http://slimages.macys.com/is/image/MCY/14803585 ")</f>
        <v xml:space="preserve">http://slimages.macys.com/is/image/MCY/14803585 </v>
      </c>
    </row>
    <row r="218" spans="1:13" ht="60" x14ac:dyDescent="0.25">
      <c r="A218" s="7" t="s">
        <v>11973</v>
      </c>
      <c r="B218" s="2" t="s">
        <v>996</v>
      </c>
      <c r="C218" s="4">
        <v>1</v>
      </c>
      <c r="D218" s="5">
        <v>7.63</v>
      </c>
      <c r="E218" s="5">
        <v>16.989999999999998</v>
      </c>
      <c r="F218" s="4" t="s">
        <v>9489</v>
      </c>
      <c r="G218" s="2" t="s">
        <v>62</v>
      </c>
      <c r="H218" s="7" t="s">
        <v>196</v>
      </c>
      <c r="I218" s="2" t="s">
        <v>515</v>
      </c>
      <c r="J218" s="2" t="s">
        <v>827</v>
      </c>
      <c r="K218" s="2" t="s">
        <v>304</v>
      </c>
      <c r="L218" s="2" t="s">
        <v>358</v>
      </c>
      <c r="M218" s="8" t="str">
        <f>HYPERLINK("http://slimages.macys.com/is/image/MCY/12687335 ")</f>
        <v xml:space="preserve">http://slimages.macys.com/is/image/MCY/12687335 </v>
      </c>
    </row>
    <row r="219" spans="1:13" ht="60" x14ac:dyDescent="0.25">
      <c r="A219" s="7" t="s">
        <v>13655</v>
      </c>
      <c r="B219" s="2" t="s">
        <v>13656</v>
      </c>
      <c r="C219" s="4">
        <v>1</v>
      </c>
      <c r="D219" s="5">
        <v>7.6</v>
      </c>
      <c r="E219" s="5">
        <v>17.28</v>
      </c>
      <c r="F219" s="4">
        <v>17877610</v>
      </c>
      <c r="G219" s="2"/>
      <c r="H219" s="7" t="s">
        <v>233</v>
      </c>
      <c r="I219" s="2" t="s">
        <v>153</v>
      </c>
      <c r="J219" s="2" t="s">
        <v>154</v>
      </c>
      <c r="K219" s="2" t="s">
        <v>304</v>
      </c>
      <c r="L219" s="2" t="s">
        <v>38</v>
      </c>
      <c r="M219" s="8" t="str">
        <f>HYPERLINK("http://slimages.macys.com/is/image/MCY/13853156 ")</f>
        <v xml:space="preserve">http://slimages.macys.com/is/image/MCY/13853156 </v>
      </c>
    </row>
    <row r="220" spans="1:13" ht="60" x14ac:dyDescent="0.25">
      <c r="A220" s="7" t="s">
        <v>1723</v>
      </c>
      <c r="B220" s="2" t="s">
        <v>1724</v>
      </c>
      <c r="C220" s="4">
        <v>1</v>
      </c>
      <c r="D220" s="5">
        <v>7.6</v>
      </c>
      <c r="E220" s="5">
        <v>17.28</v>
      </c>
      <c r="F220" s="4">
        <v>18385510</v>
      </c>
      <c r="G220" s="2" t="s">
        <v>28</v>
      </c>
      <c r="H220" s="7" t="s">
        <v>675</v>
      </c>
      <c r="I220" s="2" t="s">
        <v>153</v>
      </c>
      <c r="J220" s="2" t="s">
        <v>154</v>
      </c>
      <c r="K220" s="2" t="s">
        <v>304</v>
      </c>
      <c r="L220" s="2" t="s">
        <v>38</v>
      </c>
      <c r="M220" s="8" t="str">
        <f>HYPERLINK("http://slimages.macys.com/is/image/MCY/14608274 ")</f>
        <v xml:space="preserve">http://slimages.macys.com/is/image/MCY/14608274 </v>
      </c>
    </row>
    <row r="221" spans="1:13" ht="168" x14ac:dyDescent="0.25">
      <c r="A221" s="7" t="s">
        <v>13657</v>
      </c>
      <c r="B221" s="2" t="s">
        <v>3997</v>
      </c>
      <c r="C221" s="4">
        <v>1</v>
      </c>
      <c r="D221" s="5">
        <v>7.6</v>
      </c>
      <c r="E221" s="5">
        <v>17.28</v>
      </c>
      <c r="F221" s="4">
        <v>18374410</v>
      </c>
      <c r="G221" s="2" t="s">
        <v>62</v>
      </c>
      <c r="H221" s="7" t="s">
        <v>91</v>
      </c>
      <c r="I221" s="2" t="s">
        <v>153</v>
      </c>
      <c r="J221" s="2" t="s">
        <v>154</v>
      </c>
      <c r="K221" s="2" t="s">
        <v>304</v>
      </c>
      <c r="L221" s="2" t="s">
        <v>3998</v>
      </c>
      <c r="M221" s="8" t="str">
        <f>HYPERLINK("http://slimages.macys.com/is/image/MCY/14662110 ")</f>
        <v xml:space="preserve">http://slimages.macys.com/is/image/MCY/14662110 </v>
      </c>
    </row>
    <row r="222" spans="1:13" ht="60" x14ac:dyDescent="0.25">
      <c r="A222" s="7" t="s">
        <v>11975</v>
      </c>
      <c r="B222" s="2" t="s">
        <v>1724</v>
      </c>
      <c r="C222" s="4">
        <v>1</v>
      </c>
      <c r="D222" s="5">
        <v>7.6</v>
      </c>
      <c r="E222" s="5">
        <v>17.28</v>
      </c>
      <c r="F222" s="4">
        <v>18385510</v>
      </c>
      <c r="G222" s="2" t="s">
        <v>28</v>
      </c>
      <c r="H222" s="7" t="s">
        <v>438</v>
      </c>
      <c r="I222" s="2" t="s">
        <v>153</v>
      </c>
      <c r="J222" s="2" t="s">
        <v>154</v>
      </c>
      <c r="K222" s="2" t="s">
        <v>304</v>
      </c>
      <c r="L222" s="2" t="s">
        <v>38</v>
      </c>
      <c r="M222" s="8" t="str">
        <f>HYPERLINK("http://slimages.macys.com/is/image/MCY/14608274 ")</f>
        <v xml:space="preserve">http://slimages.macys.com/is/image/MCY/14608274 </v>
      </c>
    </row>
    <row r="223" spans="1:13" ht="168" x14ac:dyDescent="0.25">
      <c r="A223" s="7" t="s">
        <v>13658</v>
      </c>
      <c r="B223" s="2" t="s">
        <v>3997</v>
      </c>
      <c r="C223" s="4">
        <v>1</v>
      </c>
      <c r="D223" s="5">
        <v>7.6</v>
      </c>
      <c r="E223" s="5">
        <v>17.28</v>
      </c>
      <c r="F223" s="4">
        <v>18374410</v>
      </c>
      <c r="G223" s="2" t="s">
        <v>62</v>
      </c>
      <c r="H223" s="7" t="s">
        <v>438</v>
      </c>
      <c r="I223" s="2" t="s">
        <v>153</v>
      </c>
      <c r="J223" s="2" t="s">
        <v>154</v>
      </c>
      <c r="K223" s="2" t="s">
        <v>304</v>
      </c>
      <c r="L223" s="2" t="s">
        <v>3998</v>
      </c>
      <c r="M223" s="8" t="str">
        <f>HYPERLINK("http://slimages.macys.com/is/image/MCY/14662110 ")</f>
        <v xml:space="preserve">http://slimages.macys.com/is/image/MCY/14662110 </v>
      </c>
    </row>
    <row r="224" spans="1:13" ht="60" x14ac:dyDescent="0.25">
      <c r="A224" s="7" t="s">
        <v>8240</v>
      </c>
      <c r="B224" s="2" t="s">
        <v>1724</v>
      </c>
      <c r="C224" s="4">
        <v>1</v>
      </c>
      <c r="D224" s="5">
        <v>7.6</v>
      </c>
      <c r="E224" s="5">
        <v>17.28</v>
      </c>
      <c r="F224" s="4">
        <v>18385510</v>
      </c>
      <c r="G224" s="2" t="s">
        <v>28</v>
      </c>
      <c r="H224" s="7" t="s">
        <v>42</v>
      </c>
      <c r="I224" s="2" t="s">
        <v>153</v>
      </c>
      <c r="J224" s="2" t="s">
        <v>154</v>
      </c>
      <c r="K224" s="2" t="s">
        <v>304</v>
      </c>
      <c r="L224" s="2" t="s">
        <v>38</v>
      </c>
      <c r="M224" s="8" t="str">
        <f>HYPERLINK("http://slimages.macys.com/is/image/MCY/14608274 ")</f>
        <v xml:space="preserve">http://slimages.macys.com/is/image/MCY/14608274 </v>
      </c>
    </row>
    <row r="225" spans="1:13" ht="120" x14ac:dyDescent="0.25">
      <c r="A225" s="7" t="s">
        <v>13659</v>
      </c>
      <c r="B225" s="2" t="s">
        <v>2573</v>
      </c>
      <c r="C225" s="4">
        <v>1</v>
      </c>
      <c r="D225" s="5">
        <v>7.5</v>
      </c>
      <c r="E225" s="5">
        <v>17.05</v>
      </c>
      <c r="F225" s="4">
        <v>18658610</v>
      </c>
      <c r="G225" s="2"/>
      <c r="H225" s="7" t="s">
        <v>233</v>
      </c>
      <c r="I225" s="2" t="s">
        <v>153</v>
      </c>
      <c r="J225" s="2" t="s">
        <v>154</v>
      </c>
      <c r="K225" s="2" t="s">
        <v>304</v>
      </c>
      <c r="L225" s="2" t="s">
        <v>2574</v>
      </c>
      <c r="M225" s="8" t="str">
        <f>HYPERLINK("http://slimages.macys.com/is/image/MCY/14662046 ")</f>
        <v xml:space="preserve">http://slimages.macys.com/is/image/MCY/14662046 </v>
      </c>
    </row>
    <row r="226" spans="1:13" ht="72" x14ac:dyDescent="0.25">
      <c r="A226" s="7" t="s">
        <v>8259</v>
      </c>
      <c r="B226" s="2" t="s">
        <v>4017</v>
      </c>
      <c r="C226" s="4">
        <v>3</v>
      </c>
      <c r="D226" s="5">
        <v>7.29</v>
      </c>
      <c r="E226" s="5">
        <v>18</v>
      </c>
      <c r="F226" s="4" t="s">
        <v>4018</v>
      </c>
      <c r="G226" s="2" t="s">
        <v>4019</v>
      </c>
      <c r="H226" s="7" t="s">
        <v>72</v>
      </c>
      <c r="I226" s="2" t="s">
        <v>523</v>
      </c>
      <c r="J226" s="2" t="s">
        <v>1042</v>
      </c>
      <c r="K226" s="2" t="s">
        <v>304</v>
      </c>
      <c r="L226" s="2" t="s">
        <v>4020</v>
      </c>
      <c r="M226" s="8" t="str">
        <f>HYPERLINK("http://slimages.macys.com/is/image/MCY/10428877 ")</f>
        <v xml:space="preserve">http://slimages.macys.com/is/image/MCY/10428877 </v>
      </c>
    </row>
    <row r="227" spans="1:13" ht="72" x14ac:dyDescent="0.25">
      <c r="A227" s="7" t="s">
        <v>4016</v>
      </c>
      <c r="B227" s="2" t="s">
        <v>4017</v>
      </c>
      <c r="C227" s="4">
        <v>2</v>
      </c>
      <c r="D227" s="5">
        <v>7.29</v>
      </c>
      <c r="E227" s="5">
        <v>18</v>
      </c>
      <c r="F227" s="4" t="s">
        <v>4018</v>
      </c>
      <c r="G227" s="2" t="s">
        <v>4019</v>
      </c>
      <c r="H227" s="7" t="s">
        <v>789</v>
      </c>
      <c r="I227" s="2" t="s">
        <v>523</v>
      </c>
      <c r="J227" s="2" t="s">
        <v>1042</v>
      </c>
      <c r="K227" s="2" t="s">
        <v>304</v>
      </c>
      <c r="L227" s="2" t="s">
        <v>4020</v>
      </c>
      <c r="M227" s="8" t="str">
        <f>HYPERLINK("http://slimages.macys.com/is/image/MCY/10428877 ")</f>
        <v xml:space="preserve">http://slimages.macys.com/is/image/MCY/10428877 </v>
      </c>
    </row>
    <row r="228" spans="1:13" ht="60" x14ac:dyDescent="0.25">
      <c r="A228" s="7" t="s">
        <v>10049</v>
      </c>
      <c r="B228" s="2" t="s">
        <v>1738</v>
      </c>
      <c r="C228" s="4">
        <v>1</v>
      </c>
      <c r="D228" s="5">
        <v>7.12</v>
      </c>
      <c r="E228" s="5">
        <v>16.989999999999998</v>
      </c>
      <c r="F228" s="4" t="s">
        <v>1739</v>
      </c>
      <c r="G228" s="2" t="s">
        <v>171</v>
      </c>
      <c r="H228" s="7" t="s">
        <v>217</v>
      </c>
      <c r="I228" s="2" t="s">
        <v>218</v>
      </c>
      <c r="J228" s="2" t="s">
        <v>1740</v>
      </c>
      <c r="K228" s="2" t="s">
        <v>304</v>
      </c>
      <c r="L228" s="2" t="s">
        <v>125</v>
      </c>
      <c r="M228" s="8" t="str">
        <f>HYPERLINK("http://slimages.macys.com/is/image/MCY/12235404 ")</f>
        <v xml:space="preserve">http://slimages.macys.com/is/image/MCY/12235404 </v>
      </c>
    </row>
    <row r="229" spans="1:13" ht="60" x14ac:dyDescent="0.25">
      <c r="A229" s="7" t="s">
        <v>7533</v>
      </c>
      <c r="B229" s="2" t="s">
        <v>7534</v>
      </c>
      <c r="C229" s="4">
        <v>1</v>
      </c>
      <c r="D229" s="5">
        <v>7.12</v>
      </c>
      <c r="E229" s="5">
        <v>15.99</v>
      </c>
      <c r="F229" s="4" t="s">
        <v>7535</v>
      </c>
      <c r="G229" s="2" t="s">
        <v>28</v>
      </c>
      <c r="H229" s="7" t="s">
        <v>159</v>
      </c>
      <c r="I229" s="2" t="s">
        <v>218</v>
      </c>
      <c r="J229" s="2" t="s">
        <v>219</v>
      </c>
      <c r="K229" s="2" t="s">
        <v>304</v>
      </c>
      <c r="L229" s="2" t="s">
        <v>3629</v>
      </c>
      <c r="M229" s="8" t="str">
        <f>HYPERLINK("http://slimages.macys.com/is/image/MCY/12340610 ")</f>
        <v xml:space="preserve">http://slimages.macys.com/is/image/MCY/12340610 </v>
      </c>
    </row>
    <row r="230" spans="1:13" ht="60" x14ac:dyDescent="0.25">
      <c r="A230" s="7" t="s">
        <v>13342</v>
      </c>
      <c r="B230" s="2" t="s">
        <v>13343</v>
      </c>
      <c r="C230" s="4">
        <v>1</v>
      </c>
      <c r="D230" s="5">
        <v>7.05</v>
      </c>
      <c r="E230" s="5">
        <v>12.99</v>
      </c>
      <c r="F230" s="4" t="s">
        <v>13344</v>
      </c>
      <c r="G230" s="2" t="s">
        <v>262</v>
      </c>
      <c r="H230" s="7"/>
      <c r="I230" s="2" t="s">
        <v>153</v>
      </c>
      <c r="J230" s="2" t="s">
        <v>154</v>
      </c>
      <c r="K230" s="2" t="s">
        <v>304</v>
      </c>
      <c r="L230" s="2" t="s">
        <v>206</v>
      </c>
      <c r="M230" s="8" t="str">
        <f>HYPERLINK("http://slimages.macys.com/is/image/MCY/9644636 ")</f>
        <v xml:space="preserve">http://slimages.macys.com/is/image/MCY/9644636 </v>
      </c>
    </row>
    <row r="231" spans="1:13" ht="60" x14ac:dyDescent="0.25">
      <c r="A231" s="7" t="s">
        <v>7540</v>
      </c>
      <c r="B231" s="2" t="s">
        <v>7541</v>
      </c>
      <c r="C231" s="4">
        <v>1</v>
      </c>
      <c r="D231" s="5">
        <v>7.05</v>
      </c>
      <c r="E231" s="5">
        <v>11.99</v>
      </c>
      <c r="F231" s="4">
        <v>16627710</v>
      </c>
      <c r="G231" s="2"/>
      <c r="H231" s="7" t="s">
        <v>233</v>
      </c>
      <c r="I231" s="2" t="s">
        <v>153</v>
      </c>
      <c r="J231" s="2" t="s">
        <v>154</v>
      </c>
      <c r="K231" s="2" t="s">
        <v>304</v>
      </c>
      <c r="L231" s="2" t="s">
        <v>38</v>
      </c>
      <c r="M231" s="8" t="str">
        <f>HYPERLINK("http://slimages.macys.com/is/image/MCY/11186546 ")</f>
        <v xml:space="preserve">http://slimages.macys.com/is/image/MCY/11186546 </v>
      </c>
    </row>
    <row r="232" spans="1:13" ht="60" x14ac:dyDescent="0.25">
      <c r="A232" s="7" t="s">
        <v>7542</v>
      </c>
      <c r="B232" s="2" t="s">
        <v>1742</v>
      </c>
      <c r="C232" s="4">
        <v>1</v>
      </c>
      <c r="D232" s="5">
        <v>7.05</v>
      </c>
      <c r="E232" s="5">
        <v>16.989999999999998</v>
      </c>
      <c r="F232" s="4" t="s">
        <v>1743</v>
      </c>
      <c r="G232" s="2" t="s">
        <v>36</v>
      </c>
      <c r="H232" s="7" t="s">
        <v>228</v>
      </c>
      <c r="I232" s="2" t="s">
        <v>515</v>
      </c>
      <c r="J232" s="2" t="s">
        <v>827</v>
      </c>
      <c r="K232" s="2" t="s">
        <v>304</v>
      </c>
      <c r="L232" s="2" t="s">
        <v>358</v>
      </c>
      <c r="M232" s="8" t="str">
        <f>HYPERLINK("http://slimages.macys.com/is/image/MCY/12507572 ")</f>
        <v xml:space="preserve">http://slimages.macys.com/is/image/MCY/12507572 </v>
      </c>
    </row>
    <row r="233" spans="1:13" ht="60" x14ac:dyDescent="0.25">
      <c r="A233" s="7" t="s">
        <v>13660</v>
      </c>
      <c r="B233" s="2" t="s">
        <v>13661</v>
      </c>
      <c r="C233" s="4">
        <v>1</v>
      </c>
      <c r="D233" s="5">
        <v>7.02</v>
      </c>
      <c r="E233" s="5">
        <v>19.5</v>
      </c>
      <c r="F233" s="4" t="s">
        <v>13662</v>
      </c>
      <c r="G233" s="2" t="s">
        <v>79</v>
      </c>
      <c r="H233" s="7" t="s">
        <v>209</v>
      </c>
      <c r="I233" s="2" t="s">
        <v>880</v>
      </c>
      <c r="J233" s="2" t="s">
        <v>881</v>
      </c>
      <c r="K233" s="2" t="s">
        <v>304</v>
      </c>
      <c r="L233" s="2" t="s">
        <v>38</v>
      </c>
      <c r="M233" s="8" t="str">
        <f>HYPERLINK("http://slimages.macys.com/is/image/MCY/13892249 ")</f>
        <v xml:space="preserve">http://slimages.macys.com/is/image/MCY/13892249 </v>
      </c>
    </row>
    <row r="234" spans="1:13" ht="60" x14ac:dyDescent="0.25">
      <c r="A234" s="7" t="s">
        <v>13663</v>
      </c>
      <c r="B234" s="2" t="s">
        <v>13664</v>
      </c>
      <c r="C234" s="4">
        <v>1</v>
      </c>
      <c r="D234" s="5">
        <v>7</v>
      </c>
      <c r="E234" s="5">
        <v>14</v>
      </c>
      <c r="F234" s="4" t="s">
        <v>13665</v>
      </c>
      <c r="G234" s="2" t="s">
        <v>698</v>
      </c>
      <c r="H234" s="7" t="s">
        <v>13666</v>
      </c>
      <c r="I234" s="2" t="s">
        <v>30</v>
      </c>
      <c r="J234" s="2" t="s">
        <v>348</v>
      </c>
      <c r="K234" s="2" t="s">
        <v>304</v>
      </c>
      <c r="L234" s="2" t="s">
        <v>4809</v>
      </c>
      <c r="M234" s="8" t="str">
        <f>HYPERLINK("http://slimages.macys.com/is/image/MCY/13914363 ")</f>
        <v xml:space="preserve">http://slimages.macys.com/is/image/MCY/13914363 </v>
      </c>
    </row>
    <row r="235" spans="1:13" ht="60" x14ac:dyDescent="0.25">
      <c r="A235" s="7" t="s">
        <v>9540</v>
      </c>
      <c r="B235" s="2" t="s">
        <v>5416</v>
      </c>
      <c r="C235" s="4">
        <v>1</v>
      </c>
      <c r="D235" s="5">
        <v>6.84</v>
      </c>
      <c r="E235" s="5">
        <v>14.99</v>
      </c>
      <c r="F235" s="4" t="s">
        <v>5417</v>
      </c>
      <c r="G235" s="2" t="s">
        <v>28</v>
      </c>
      <c r="H235" s="7" t="s">
        <v>379</v>
      </c>
      <c r="I235" s="2" t="s">
        <v>292</v>
      </c>
      <c r="J235" s="2" t="s">
        <v>354</v>
      </c>
      <c r="K235" s="2" t="s">
        <v>304</v>
      </c>
      <c r="L235" s="2" t="s">
        <v>100</v>
      </c>
      <c r="M235" s="8" t="str">
        <f>HYPERLINK("http://slimages.macys.com/is/image/MCY/13893127 ")</f>
        <v xml:space="preserve">http://slimages.macys.com/is/image/MCY/13893127 </v>
      </c>
    </row>
    <row r="236" spans="1:13" ht="60" x14ac:dyDescent="0.25">
      <c r="A236" s="7" t="s">
        <v>13667</v>
      </c>
      <c r="B236" s="2" t="s">
        <v>4070</v>
      </c>
      <c r="C236" s="4">
        <v>1</v>
      </c>
      <c r="D236" s="5">
        <v>6.79</v>
      </c>
      <c r="E236" s="5">
        <v>16.989999999999998</v>
      </c>
      <c r="F236" s="4" t="s">
        <v>4071</v>
      </c>
      <c r="G236" s="2" t="s">
        <v>262</v>
      </c>
      <c r="H236" s="7" t="s">
        <v>149</v>
      </c>
      <c r="I236" s="2" t="s">
        <v>483</v>
      </c>
      <c r="J236" s="2" t="s">
        <v>536</v>
      </c>
      <c r="K236" s="2" t="s">
        <v>304</v>
      </c>
      <c r="L236" s="2" t="s">
        <v>38</v>
      </c>
      <c r="M236" s="8" t="str">
        <f>HYPERLINK("http://slimages.macys.com/is/image/MCY/14385171 ")</f>
        <v xml:space="preserve">http://slimages.macys.com/is/image/MCY/14385171 </v>
      </c>
    </row>
    <row r="237" spans="1:13" ht="60" x14ac:dyDescent="0.25">
      <c r="A237" s="7" t="s">
        <v>5423</v>
      </c>
      <c r="B237" s="2" t="s">
        <v>4070</v>
      </c>
      <c r="C237" s="4">
        <v>1</v>
      </c>
      <c r="D237" s="5">
        <v>6.79</v>
      </c>
      <c r="E237" s="5">
        <v>16.989999999999998</v>
      </c>
      <c r="F237" s="4" t="s">
        <v>4071</v>
      </c>
      <c r="G237" s="2" t="s">
        <v>262</v>
      </c>
      <c r="H237" s="7" t="s">
        <v>42</v>
      </c>
      <c r="I237" s="2" t="s">
        <v>483</v>
      </c>
      <c r="J237" s="2" t="s">
        <v>536</v>
      </c>
      <c r="K237" s="2" t="s">
        <v>304</v>
      </c>
      <c r="L237" s="2" t="s">
        <v>38</v>
      </c>
      <c r="M237" s="8" t="str">
        <f>HYPERLINK("http://slimages.macys.com/is/image/MCY/14385171 ")</f>
        <v xml:space="preserve">http://slimages.macys.com/is/image/MCY/14385171 </v>
      </c>
    </row>
    <row r="238" spans="1:13" ht="60" x14ac:dyDescent="0.25">
      <c r="A238" s="7" t="s">
        <v>5426</v>
      </c>
      <c r="B238" s="2" t="s">
        <v>1002</v>
      </c>
      <c r="C238" s="4">
        <v>2</v>
      </c>
      <c r="D238" s="5">
        <v>6.75</v>
      </c>
      <c r="E238" s="5">
        <v>16.989999999999998</v>
      </c>
      <c r="F238" s="4" t="s">
        <v>1003</v>
      </c>
      <c r="G238" s="2" t="s">
        <v>107</v>
      </c>
      <c r="H238" s="7" t="s">
        <v>590</v>
      </c>
      <c r="I238" s="2" t="s">
        <v>92</v>
      </c>
      <c r="J238" s="2" t="s">
        <v>65</v>
      </c>
      <c r="K238" s="2" t="s">
        <v>304</v>
      </c>
      <c r="L238" s="2" t="s">
        <v>1004</v>
      </c>
      <c r="M238" s="8" t="str">
        <f>HYPERLINK("http://slimages.macys.com/is/image/MCY/14803429 ")</f>
        <v xml:space="preserve">http://slimages.macys.com/is/image/MCY/14803429 </v>
      </c>
    </row>
    <row r="239" spans="1:13" ht="60" x14ac:dyDescent="0.25">
      <c r="A239" s="7" t="s">
        <v>1001</v>
      </c>
      <c r="B239" s="2" t="s">
        <v>1002</v>
      </c>
      <c r="C239" s="4">
        <v>2</v>
      </c>
      <c r="D239" s="5">
        <v>6.75</v>
      </c>
      <c r="E239" s="5">
        <v>16.989999999999998</v>
      </c>
      <c r="F239" s="4" t="s">
        <v>1003</v>
      </c>
      <c r="G239" s="2" t="s">
        <v>107</v>
      </c>
      <c r="H239" s="7" t="s">
        <v>91</v>
      </c>
      <c r="I239" s="2" t="s">
        <v>92</v>
      </c>
      <c r="J239" s="2" t="s">
        <v>65</v>
      </c>
      <c r="K239" s="2" t="s">
        <v>304</v>
      </c>
      <c r="L239" s="2" t="s">
        <v>1004</v>
      </c>
      <c r="M239" s="8" t="str">
        <f>HYPERLINK("http://slimages.macys.com/is/image/MCY/14803429 ")</f>
        <v xml:space="preserve">http://slimages.macys.com/is/image/MCY/14803429 </v>
      </c>
    </row>
    <row r="240" spans="1:13" ht="60" x14ac:dyDescent="0.25">
      <c r="A240" s="7" t="s">
        <v>2598</v>
      </c>
      <c r="B240" s="2" t="s">
        <v>2592</v>
      </c>
      <c r="C240" s="4">
        <v>1</v>
      </c>
      <c r="D240" s="5">
        <v>6.75</v>
      </c>
      <c r="E240" s="5">
        <v>16.989999999999998</v>
      </c>
      <c r="F240" s="4" t="s">
        <v>2593</v>
      </c>
      <c r="G240" s="2" t="s">
        <v>129</v>
      </c>
      <c r="H240" s="7" t="s">
        <v>144</v>
      </c>
      <c r="I240" s="2" t="s">
        <v>135</v>
      </c>
      <c r="J240" s="2" t="s">
        <v>1076</v>
      </c>
      <c r="K240" s="2" t="s">
        <v>304</v>
      </c>
      <c r="L240" s="2" t="s">
        <v>125</v>
      </c>
      <c r="M240" s="8" t="str">
        <f>HYPERLINK("http://slimages.macys.com/is/image/MCY/15654559 ")</f>
        <v xml:space="preserve">http://slimages.macys.com/is/image/MCY/15654559 </v>
      </c>
    </row>
    <row r="241" spans="1:13" ht="60" x14ac:dyDescent="0.25">
      <c r="A241" s="7" t="s">
        <v>4090</v>
      </c>
      <c r="B241" s="2" t="s">
        <v>2592</v>
      </c>
      <c r="C241" s="4">
        <v>1</v>
      </c>
      <c r="D241" s="5">
        <v>6.75</v>
      </c>
      <c r="E241" s="5">
        <v>16.989999999999998</v>
      </c>
      <c r="F241" s="4" t="s">
        <v>2593</v>
      </c>
      <c r="G241" s="2" t="s">
        <v>129</v>
      </c>
      <c r="H241" s="7"/>
      <c r="I241" s="2" t="s">
        <v>135</v>
      </c>
      <c r="J241" s="2" t="s">
        <v>1076</v>
      </c>
      <c r="K241" s="2" t="s">
        <v>304</v>
      </c>
      <c r="L241" s="2" t="s">
        <v>125</v>
      </c>
      <c r="M241" s="8" t="str">
        <f>HYPERLINK("http://slimages.macys.com/is/image/MCY/15654559 ")</f>
        <v xml:space="preserve">http://slimages.macys.com/is/image/MCY/15654559 </v>
      </c>
    </row>
    <row r="242" spans="1:13" ht="60" x14ac:dyDescent="0.25">
      <c r="A242" s="7" t="s">
        <v>2591</v>
      </c>
      <c r="B242" s="2" t="s">
        <v>2592</v>
      </c>
      <c r="C242" s="4">
        <v>2</v>
      </c>
      <c r="D242" s="5">
        <v>6.75</v>
      </c>
      <c r="E242" s="5">
        <v>16.989999999999998</v>
      </c>
      <c r="F242" s="4" t="s">
        <v>2593</v>
      </c>
      <c r="G242" s="2" t="s">
        <v>129</v>
      </c>
      <c r="H242" s="7" t="s">
        <v>68</v>
      </c>
      <c r="I242" s="2" t="s">
        <v>135</v>
      </c>
      <c r="J242" s="2" t="s">
        <v>1076</v>
      </c>
      <c r="K242" s="2" t="s">
        <v>304</v>
      </c>
      <c r="L242" s="2" t="s">
        <v>125</v>
      </c>
      <c r="M242" s="8" t="str">
        <f>HYPERLINK("http://slimages.macys.com/is/image/MCY/15654559 ")</f>
        <v xml:space="preserve">http://slimages.macys.com/is/image/MCY/15654559 </v>
      </c>
    </row>
    <row r="243" spans="1:13" ht="60" x14ac:dyDescent="0.25">
      <c r="A243" s="7" t="s">
        <v>3339</v>
      </c>
      <c r="B243" s="2" t="s">
        <v>1002</v>
      </c>
      <c r="C243" s="4">
        <v>2</v>
      </c>
      <c r="D243" s="5">
        <v>6.75</v>
      </c>
      <c r="E243" s="5">
        <v>16.989999999999998</v>
      </c>
      <c r="F243" s="4" t="s">
        <v>1003</v>
      </c>
      <c r="G243" s="2" t="s">
        <v>107</v>
      </c>
      <c r="H243" s="7" t="s">
        <v>42</v>
      </c>
      <c r="I243" s="2" t="s">
        <v>92</v>
      </c>
      <c r="J243" s="2" t="s">
        <v>65</v>
      </c>
      <c r="K243" s="2" t="s">
        <v>304</v>
      </c>
      <c r="L243" s="2" t="s">
        <v>1004</v>
      </c>
      <c r="M243" s="8" t="str">
        <f>HYPERLINK("http://slimages.macys.com/is/image/MCY/14803429 ")</f>
        <v xml:space="preserve">http://slimages.macys.com/is/image/MCY/14803429 </v>
      </c>
    </row>
    <row r="244" spans="1:13" ht="60" x14ac:dyDescent="0.25">
      <c r="A244" s="7" t="s">
        <v>5425</v>
      </c>
      <c r="B244" s="2" t="s">
        <v>1002</v>
      </c>
      <c r="C244" s="4">
        <v>1</v>
      </c>
      <c r="D244" s="5">
        <v>6.75</v>
      </c>
      <c r="E244" s="5">
        <v>16.989999999999998</v>
      </c>
      <c r="F244" s="4" t="s">
        <v>1003</v>
      </c>
      <c r="G244" s="2" t="s">
        <v>107</v>
      </c>
      <c r="H244" s="7" t="s">
        <v>149</v>
      </c>
      <c r="I244" s="2" t="s">
        <v>92</v>
      </c>
      <c r="J244" s="2" t="s">
        <v>65</v>
      </c>
      <c r="K244" s="2" t="s">
        <v>304</v>
      </c>
      <c r="L244" s="2" t="s">
        <v>1004</v>
      </c>
      <c r="M244" s="8" t="str">
        <f>HYPERLINK("http://slimages.macys.com/is/image/MCY/14803429 ")</f>
        <v xml:space="preserve">http://slimages.macys.com/is/image/MCY/14803429 </v>
      </c>
    </row>
    <row r="245" spans="1:13" ht="60" x14ac:dyDescent="0.25">
      <c r="A245" s="7" t="s">
        <v>13668</v>
      </c>
      <c r="B245" s="2" t="s">
        <v>1002</v>
      </c>
      <c r="C245" s="4">
        <v>2</v>
      </c>
      <c r="D245" s="5">
        <v>6.75</v>
      </c>
      <c r="E245" s="5">
        <v>16.989999999999998</v>
      </c>
      <c r="F245" s="4" t="s">
        <v>1003</v>
      </c>
      <c r="G245" s="2" t="s">
        <v>107</v>
      </c>
      <c r="H245" s="7" t="s">
        <v>442</v>
      </c>
      <c r="I245" s="2" t="s">
        <v>92</v>
      </c>
      <c r="J245" s="2" t="s">
        <v>65</v>
      </c>
      <c r="K245" s="2" t="s">
        <v>304</v>
      </c>
      <c r="L245" s="2" t="s">
        <v>1004</v>
      </c>
      <c r="M245" s="8" t="str">
        <f>HYPERLINK("http://slimages.macys.com/is/image/MCY/14803429 ")</f>
        <v xml:space="preserve">http://slimages.macys.com/is/image/MCY/14803429 </v>
      </c>
    </row>
    <row r="246" spans="1:13" ht="60" x14ac:dyDescent="0.25">
      <c r="A246" s="7" t="s">
        <v>2602</v>
      </c>
      <c r="B246" s="2" t="s">
        <v>1025</v>
      </c>
      <c r="C246" s="4">
        <v>1</v>
      </c>
      <c r="D246" s="5">
        <v>6.67</v>
      </c>
      <c r="E246" s="5">
        <v>16.989999999999998</v>
      </c>
      <c r="F246" s="4" t="s">
        <v>1804</v>
      </c>
      <c r="G246" s="2" t="s">
        <v>62</v>
      </c>
      <c r="H246" s="7" t="s">
        <v>159</v>
      </c>
      <c r="I246" s="2" t="s">
        <v>515</v>
      </c>
      <c r="J246" s="2" t="s">
        <v>827</v>
      </c>
      <c r="K246" s="2" t="s">
        <v>304</v>
      </c>
      <c r="L246" s="2" t="s">
        <v>358</v>
      </c>
      <c r="M246" s="8" t="str">
        <f>HYPERLINK("http://slimages.macys.com/is/image/MCY/12687279 ")</f>
        <v xml:space="preserve">http://slimages.macys.com/is/image/MCY/12687279 </v>
      </c>
    </row>
    <row r="247" spans="1:13" ht="60" x14ac:dyDescent="0.25">
      <c r="A247" s="7" t="s">
        <v>13669</v>
      </c>
      <c r="B247" s="2" t="s">
        <v>13670</v>
      </c>
      <c r="C247" s="4">
        <v>1</v>
      </c>
      <c r="D247" s="5">
        <v>6.63</v>
      </c>
      <c r="E247" s="5">
        <v>17.989999999999998</v>
      </c>
      <c r="F247" s="4" t="s">
        <v>13671</v>
      </c>
      <c r="G247" s="2" t="s">
        <v>297</v>
      </c>
      <c r="H247" s="7" t="s">
        <v>42</v>
      </c>
      <c r="I247" s="2" t="s">
        <v>483</v>
      </c>
      <c r="J247" s="2" t="s">
        <v>536</v>
      </c>
      <c r="K247" s="2" t="s">
        <v>304</v>
      </c>
      <c r="L247" s="2" t="s">
        <v>119</v>
      </c>
      <c r="M247" s="8" t="str">
        <f>HYPERLINK("http://slimages.macys.com/is/image/MCY/12465712 ")</f>
        <v xml:space="preserve">http://slimages.macys.com/is/image/MCY/12465712 </v>
      </c>
    </row>
    <row r="248" spans="1:13" ht="60" x14ac:dyDescent="0.25">
      <c r="A248" s="7" t="s">
        <v>6300</v>
      </c>
      <c r="B248" s="2" t="s">
        <v>4952</v>
      </c>
      <c r="C248" s="4">
        <v>1</v>
      </c>
      <c r="D248" s="5">
        <v>6.35</v>
      </c>
      <c r="E248" s="5">
        <v>14.44</v>
      </c>
      <c r="F248" s="4">
        <v>18638410</v>
      </c>
      <c r="G248" s="2" t="s">
        <v>41</v>
      </c>
      <c r="H248" s="7" t="s">
        <v>42</v>
      </c>
      <c r="I248" s="2" t="s">
        <v>153</v>
      </c>
      <c r="J248" s="2" t="s">
        <v>154</v>
      </c>
      <c r="K248" s="2" t="s">
        <v>304</v>
      </c>
      <c r="L248" s="2" t="s">
        <v>125</v>
      </c>
      <c r="M248" s="8" t="str">
        <f>HYPERLINK("http://slimages.macys.com/is/image/MCY/14608365 ")</f>
        <v xml:space="preserve">http://slimages.macys.com/is/image/MCY/14608365 </v>
      </c>
    </row>
    <row r="249" spans="1:13" ht="60" x14ac:dyDescent="0.25">
      <c r="A249" s="7" t="s">
        <v>13672</v>
      </c>
      <c r="B249" s="2" t="s">
        <v>3382</v>
      </c>
      <c r="C249" s="4">
        <v>1</v>
      </c>
      <c r="D249" s="5">
        <v>6.3</v>
      </c>
      <c r="E249" s="5">
        <v>10.99</v>
      </c>
      <c r="F249" s="4" t="s">
        <v>13673</v>
      </c>
      <c r="G249" s="2" t="s">
        <v>134</v>
      </c>
      <c r="H249" s="7" t="s">
        <v>159</v>
      </c>
      <c r="I249" s="2" t="s">
        <v>80</v>
      </c>
      <c r="J249" s="2" t="s">
        <v>1917</v>
      </c>
      <c r="K249" s="2" t="s">
        <v>304</v>
      </c>
      <c r="L249" s="2" t="s">
        <v>119</v>
      </c>
      <c r="M249" s="8" t="str">
        <f>HYPERLINK("http://slimages.macys.com/is/image/MCY/12742372 ")</f>
        <v xml:space="preserve">http://slimages.macys.com/is/image/MCY/12742372 </v>
      </c>
    </row>
    <row r="250" spans="1:13" ht="60" x14ac:dyDescent="0.25">
      <c r="A250" s="7" t="s">
        <v>13674</v>
      </c>
      <c r="B250" s="2" t="s">
        <v>480</v>
      </c>
      <c r="C250" s="4">
        <v>1</v>
      </c>
      <c r="D250" s="5">
        <v>6.25</v>
      </c>
      <c r="E250" s="5">
        <v>11.99</v>
      </c>
      <c r="F250" s="4" t="s">
        <v>481</v>
      </c>
      <c r="G250" s="2" t="s">
        <v>62</v>
      </c>
      <c r="H250" s="7" t="s">
        <v>590</v>
      </c>
      <c r="I250" s="2" t="s">
        <v>483</v>
      </c>
      <c r="J250" s="2" t="s">
        <v>484</v>
      </c>
      <c r="K250" s="2" t="s">
        <v>304</v>
      </c>
      <c r="L250" s="2" t="s">
        <v>206</v>
      </c>
      <c r="M250" s="8" t="str">
        <f>HYPERLINK("http://slimages.macys.com/is/image/MCY/8550083 ")</f>
        <v xml:space="preserve">http://slimages.macys.com/is/image/MCY/8550083 </v>
      </c>
    </row>
    <row r="251" spans="1:13" ht="60" x14ac:dyDescent="0.25">
      <c r="A251" s="7" t="s">
        <v>1830</v>
      </c>
      <c r="B251" s="2" t="s">
        <v>480</v>
      </c>
      <c r="C251" s="4">
        <v>1</v>
      </c>
      <c r="D251" s="5">
        <v>6.25</v>
      </c>
      <c r="E251" s="5">
        <v>11.99</v>
      </c>
      <c r="F251" s="4" t="s">
        <v>481</v>
      </c>
      <c r="G251" s="2" t="s">
        <v>62</v>
      </c>
      <c r="H251" s="7"/>
      <c r="I251" s="2" t="s">
        <v>483</v>
      </c>
      <c r="J251" s="2" t="s">
        <v>484</v>
      </c>
      <c r="K251" s="2" t="s">
        <v>304</v>
      </c>
      <c r="L251" s="2" t="s">
        <v>206</v>
      </c>
      <c r="M251" s="8" t="str">
        <f>HYPERLINK("http://slimages.macys.com/is/image/MCY/8550083 ")</f>
        <v xml:space="preserve">http://slimages.macys.com/is/image/MCY/8550083 </v>
      </c>
    </row>
    <row r="252" spans="1:13" ht="60" x14ac:dyDescent="0.25">
      <c r="A252" s="7" t="s">
        <v>3376</v>
      </c>
      <c r="B252" s="2" t="s">
        <v>480</v>
      </c>
      <c r="C252" s="4">
        <v>1</v>
      </c>
      <c r="D252" s="5">
        <v>6.25</v>
      </c>
      <c r="E252" s="5">
        <v>11.99</v>
      </c>
      <c r="F252" s="4" t="s">
        <v>481</v>
      </c>
      <c r="G252" s="2" t="s">
        <v>62</v>
      </c>
      <c r="H252" s="7" t="s">
        <v>149</v>
      </c>
      <c r="I252" s="2" t="s">
        <v>483</v>
      </c>
      <c r="J252" s="2" t="s">
        <v>484</v>
      </c>
      <c r="K252" s="2" t="s">
        <v>304</v>
      </c>
      <c r="L252" s="2" t="s">
        <v>206</v>
      </c>
      <c r="M252" s="8" t="str">
        <f>HYPERLINK("http://slimages.macys.com/is/image/MCY/8550083 ")</f>
        <v xml:space="preserve">http://slimages.macys.com/is/image/MCY/8550083 </v>
      </c>
    </row>
    <row r="253" spans="1:13" ht="84" x14ac:dyDescent="0.25">
      <c r="A253" s="7" t="s">
        <v>13675</v>
      </c>
      <c r="B253" s="2" t="s">
        <v>2600</v>
      </c>
      <c r="C253" s="4">
        <v>1</v>
      </c>
      <c r="D253" s="5">
        <v>6.18</v>
      </c>
      <c r="E253" s="5">
        <v>14.99</v>
      </c>
      <c r="F253" s="4" t="s">
        <v>7633</v>
      </c>
      <c r="G253" s="2" t="s">
        <v>28</v>
      </c>
      <c r="H253" s="7" t="s">
        <v>514</v>
      </c>
      <c r="I253" s="2" t="s">
        <v>515</v>
      </c>
      <c r="J253" s="2" t="s">
        <v>516</v>
      </c>
      <c r="K253" s="2" t="s">
        <v>304</v>
      </c>
      <c r="L253" s="2" t="s">
        <v>1117</v>
      </c>
      <c r="M253" s="8" t="str">
        <f>HYPERLINK("http://slimages.macys.com/is/image/MCY/11606072 ")</f>
        <v xml:space="preserve">http://slimages.macys.com/is/image/MCY/11606072 </v>
      </c>
    </row>
    <row r="254" spans="1:13" ht="60" x14ac:dyDescent="0.25">
      <c r="A254" s="7" t="s">
        <v>13676</v>
      </c>
      <c r="B254" s="2" t="s">
        <v>7655</v>
      </c>
      <c r="C254" s="4">
        <v>2</v>
      </c>
      <c r="D254" s="5">
        <v>6.07</v>
      </c>
      <c r="E254" s="5">
        <v>17.989999999999998</v>
      </c>
      <c r="F254" s="4" t="s">
        <v>10117</v>
      </c>
      <c r="G254" s="2" t="s">
        <v>171</v>
      </c>
      <c r="H254" s="7" t="s">
        <v>42</v>
      </c>
      <c r="I254" s="2" t="s">
        <v>483</v>
      </c>
      <c r="J254" s="2" t="s">
        <v>536</v>
      </c>
      <c r="K254" s="2" t="s">
        <v>304</v>
      </c>
      <c r="L254" s="2" t="s">
        <v>119</v>
      </c>
      <c r="M254" s="8" t="str">
        <f>HYPERLINK("http://slimages.macys.com/is/image/MCY/12465871 ")</f>
        <v xml:space="preserve">http://slimages.macys.com/is/image/MCY/12465871 </v>
      </c>
    </row>
    <row r="255" spans="1:13" ht="96" x14ac:dyDescent="0.25">
      <c r="A255" s="7" t="s">
        <v>1865</v>
      </c>
      <c r="B255" s="2" t="s">
        <v>1862</v>
      </c>
      <c r="C255" s="4">
        <v>1</v>
      </c>
      <c r="D255" s="5">
        <v>6</v>
      </c>
      <c r="E255" s="5">
        <v>14.99</v>
      </c>
      <c r="F255" s="4" t="s">
        <v>1863</v>
      </c>
      <c r="G255" s="2" t="s">
        <v>195</v>
      </c>
      <c r="H255" s="7" t="s">
        <v>68</v>
      </c>
      <c r="I255" s="2" t="s">
        <v>73</v>
      </c>
      <c r="J255" s="2" t="s">
        <v>778</v>
      </c>
      <c r="K255" s="2" t="s">
        <v>304</v>
      </c>
      <c r="L255" s="2" t="s">
        <v>1864</v>
      </c>
      <c r="M255" s="8" t="str">
        <f>HYPERLINK("http://slimages.macys.com/is/image/MCY/15296484 ")</f>
        <v xml:space="preserve">http://slimages.macys.com/is/image/MCY/15296484 </v>
      </c>
    </row>
    <row r="256" spans="1:13" ht="60" x14ac:dyDescent="0.25">
      <c r="A256" s="7" t="s">
        <v>11092</v>
      </c>
      <c r="B256" s="2" t="s">
        <v>10119</v>
      </c>
      <c r="C256" s="4">
        <v>1</v>
      </c>
      <c r="D256" s="5">
        <v>6</v>
      </c>
      <c r="E256" s="5">
        <v>15.99</v>
      </c>
      <c r="F256" s="4" t="s">
        <v>10120</v>
      </c>
      <c r="G256" s="2" t="s">
        <v>28</v>
      </c>
      <c r="H256" s="7"/>
      <c r="I256" s="2" t="s">
        <v>321</v>
      </c>
      <c r="J256" s="2" t="s">
        <v>492</v>
      </c>
      <c r="K256" s="2" t="s">
        <v>304</v>
      </c>
      <c r="L256" s="2" t="s">
        <v>493</v>
      </c>
      <c r="M256" s="8" t="str">
        <f>HYPERLINK("http://slimages.macys.com/is/image/MCY/10924254 ")</f>
        <v xml:space="preserve">http://slimages.macys.com/is/image/MCY/10924254 </v>
      </c>
    </row>
    <row r="257" spans="1:13" ht="60" x14ac:dyDescent="0.25">
      <c r="A257" s="7" t="s">
        <v>11082</v>
      </c>
      <c r="B257" s="2" t="s">
        <v>1859</v>
      </c>
      <c r="C257" s="4">
        <v>1</v>
      </c>
      <c r="D257" s="5">
        <v>6</v>
      </c>
      <c r="E257" s="5">
        <v>15.99</v>
      </c>
      <c r="F257" s="4" t="s">
        <v>1860</v>
      </c>
      <c r="G257" s="2" t="s">
        <v>657</v>
      </c>
      <c r="H257" s="7"/>
      <c r="I257" s="2" t="s">
        <v>321</v>
      </c>
      <c r="J257" s="2" t="s">
        <v>492</v>
      </c>
      <c r="K257" s="2" t="s">
        <v>304</v>
      </c>
      <c r="L257" s="2" t="s">
        <v>125</v>
      </c>
      <c r="M257" s="8" t="str">
        <f>HYPERLINK("http://slimages.macys.com/is/image/MCY/10924234 ")</f>
        <v xml:space="preserve">http://slimages.macys.com/is/image/MCY/10924234 </v>
      </c>
    </row>
    <row r="258" spans="1:13" ht="60" x14ac:dyDescent="0.25">
      <c r="A258" s="7" t="s">
        <v>10130</v>
      </c>
      <c r="B258" s="2" t="s">
        <v>10131</v>
      </c>
      <c r="C258" s="4">
        <v>1</v>
      </c>
      <c r="D258" s="5">
        <v>6</v>
      </c>
      <c r="E258" s="5">
        <v>15.99</v>
      </c>
      <c r="F258" s="4" t="s">
        <v>10132</v>
      </c>
      <c r="G258" s="2" t="s">
        <v>698</v>
      </c>
      <c r="H258" s="7"/>
      <c r="I258" s="2" t="s">
        <v>321</v>
      </c>
      <c r="J258" s="2" t="s">
        <v>492</v>
      </c>
      <c r="K258" s="2" t="s">
        <v>304</v>
      </c>
      <c r="L258" s="2" t="s">
        <v>493</v>
      </c>
      <c r="M258" s="8" t="str">
        <f>HYPERLINK("http://slimages.macys.com/is/image/MCY/11539256 ")</f>
        <v xml:space="preserve">http://slimages.macys.com/is/image/MCY/11539256 </v>
      </c>
    </row>
    <row r="259" spans="1:13" ht="60" x14ac:dyDescent="0.25">
      <c r="A259" s="7" t="s">
        <v>10118</v>
      </c>
      <c r="B259" s="2" t="s">
        <v>10119</v>
      </c>
      <c r="C259" s="4">
        <v>1</v>
      </c>
      <c r="D259" s="5">
        <v>6</v>
      </c>
      <c r="E259" s="5">
        <v>15.99</v>
      </c>
      <c r="F259" s="4" t="s">
        <v>10120</v>
      </c>
      <c r="G259" s="2" t="s">
        <v>28</v>
      </c>
      <c r="H259" s="7"/>
      <c r="I259" s="2" t="s">
        <v>321</v>
      </c>
      <c r="J259" s="2" t="s">
        <v>492</v>
      </c>
      <c r="K259" s="2" t="s">
        <v>304</v>
      </c>
      <c r="L259" s="2" t="s">
        <v>493</v>
      </c>
      <c r="M259" s="8" t="str">
        <f>HYPERLINK("http://slimages.macys.com/is/image/MCY/10924254 ")</f>
        <v xml:space="preserve">http://slimages.macys.com/is/image/MCY/10924254 </v>
      </c>
    </row>
    <row r="260" spans="1:13" ht="72" x14ac:dyDescent="0.25">
      <c r="A260" s="7" t="s">
        <v>13677</v>
      </c>
      <c r="B260" s="2" t="s">
        <v>3378</v>
      </c>
      <c r="C260" s="4">
        <v>1</v>
      </c>
      <c r="D260" s="5">
        <v>6</v>
      </c>
      <c r="E260" s="5">
        <v>11.98</v>
      </c>
      <c r="F260" s="4" t="s">
        <v>3379</v>
      </c>
      <c r="G260" s="2" t="s">
        <v>41</v>
      </c>
      <c r="H260" s="7" t="s">
        <v>233</v>
      </c>
      <c r="I260" s="2" t="s">
        <v>43</v>
      </c>
      <c r="J260" s="2" t="s">
        <v>497</v>
      </c>
      <c r="K260" s="2" t="s">
        <v>304</v>
      </c>
      <c r="L260" s="2" t="s">
        <v>3380</v>
      </c>
      <c r="M260" s="8" t="str">
        <f>HYPERLINK("http://slimages.macys.com/is/image/MCY/2946656 ")</f>
        <v xml:space="preserve">http://slimages.macys.com/is/image/MCY/2946656 </v>
      </c>
    </row>
    <row r="261" spans="1:13" ht="60" x14ac:dyDescent="0.25">
      <c r="A261" s="7" t="s">
        <v>4120</v>
      </c>
      <c r="B261" s="2" t="s">
        <v>4121</v>
      </c>
      <c r="C261" s="4">
        <v>1</v>
      </c>
      <c r="D261" s="5">
        <v>5.95</v>
      </c>
      <c r="E261" s="5">
        <v>16.8</v>
      </c>
      <c r="F261" s="4" t="s">
        <v>4122</v>
      </c>
      <c r="G261" s="2" t="s">
        <v>86</v>
      </c>
      <c r="H261" s="7"/>
      <c r="I261" s="2" t="s">
        <v>483</v>
      </c>
      <c r="J261" s="2" t="s">
        <v>536</v>
      </c>
      <c r="K261" s="2" t="s">
        <v>304</v>
      </c>
      <c r="L261" s="2" t="s">
        <v>4123</v>
      </c>
      <c r="M261" s="8" t="str">
        <f>HYPERLINK("http://slimages.macys.com/is/image/MCY/13061384 ")</f>
        <v xml:space="preserve">http://slimages.macys.com/is/image/MCY/13061384 </v>
      </c>
    </row>
    <row r="262" spans="1:13" ht="60" x14ac:dyDescent="0.25">
      <c r="A262" s="7" t="s">
        <v>4124</v>
      </c>
      <c r="B262" s="2" t="s">
        <v>4121</v>
      </c>
      <c r="C262" s="4">
        <v>1</v>
      </c>
      <c r="D262" s="5">
        <v>5.95</v>
      </c>
      <c r="E262" s="5">
        <v>16.8</v>
      </c>
      <c r="F262" s="4" t="s">
        <v>4122</v>
      </c>
      <c r="G262" s="2" t="s">
        <v>86</v>
      </c>
      <c r="H262" s="7" t="s">
        <v>590</v>
      </c>
      <c r="I262" s="2" t="s">
        <v>483</v>
      </c>
      <c r="J262" s="2" t="s">
        <v>536</v>
      </c>
      <c r="K262" s="2" t="s">
        <v>304</v>
      </c>
      <c r="L262" s="2" t="s">
        <v>4123</v>
      </c>
      <c r="M262" s="8" t="str">
        <f>HYPERLINK("http://slimages.macys.com/is/image/MCY/13061384 ")</f>
        <v xml:space="preserve">http://slimages.macys.com/is/image/MCY/13061384 </v>
      </c>
    </row>
    <row r="263" spans="1:13" ht="60" x14ac:dyDescent="0.25">
      <c r="A263" s="7" t="s">
        <v>13678</v>
      </c>
      <c r="B263" s="2" t="s">
        <v>4121</v>
      </c>
      <c r="C263" s="4">
        <v>1</v>
      </c>
      <c r="D263" s="5">
        <v>5.95</v>
      </c>
      <c r="E263" s="5">
        <v>16.8</v>
      </c>
      <c r="F263" s="4" t="s">
        <v>4122</v>
      </c>
      <c r="G263" s="2" t="s">
        <v>86</v>
      </c>
      <c r="H263" s="7" t="s">
        <v>149</v>
      </c>
      <c r="I263" s="2" t="s">
        <v>483</v>
      </c>
      <c r="J263" s="2" t="s">
        <v>536</v>
      </c>
      <c r="K263" s="2" t="s">
        <v>304</v>
      </c>
      <c r="L263" s="2" t="s">
        <v>4123</v>
      </c>
      <c r="M263" s="8" t="str">
        <f>HYPERLINK("http://slimages.macys.com/is/image/MCY/13061384 ")</f>
        <v xml:space="preserve">http://slimages.macys.com/is/image/MCY/13061384 </v>
      </c>
    </row>
    <row r="264" spans="1:13" ht="60" x14ac:dyDescent="0.25">
      <c r="A264" s="7" t="s">
        <v>13679</v>
      </c>
      <c r="B264" s="2" t="s">
        <v>4121</v>
      </c>
      <c r="C264" s="4">
        <v>1</v>
      </c>
      <c r="D264" s="5">
        <v>5.95</v>
      </c>
      <c r="E264" s="5">
        <v>16.8</v>
      </c>
      <c r="F264" s="4" t="s">
        <v>4122</v>
      </c>
      <c r="G264" s="2" t="s">
        <v>86</v>
      </c>
      <c r="H264" s="7" t="s">
        <v>42</v>
      </c>
      <c r="I264" s="2" t="s">
        <v>483</v>
      </c>
      <c r="J264" s="2" t="s">
        <v>536</v>
      </c>
      <c r="K264" s="2" t="s">
        <v>304</v>
      </c>
      <c r="L264" s="2" t="s">
        <v>4123</v>
      </c>
      <c r="M264" s="8" t="str">
        <f>HYPERLINK("http://slimages.macys.com/is/image/MCY/13061384 ")</f>
        <v xml:space="preserve">http://slimages.macys.com/is/image/MCY/13061384 </v>
      </c>
    </row>
    <row r="265" spans="1:13" ht="60" x14ac:dyDescent="0.25">
      <c r="A265" s="7" t="s">
        <v>13680</v>
      </c>
      <c r="B265" s="2" t="s">
        <v>13661</v>
      </c>
      <c r="C265" s="4">
        <v>1</v>
      </c>
      <c r="D265" s="5">
        <v>5.94</v>
      </c>
      <c r="E265" s="5">
        <v>16.5</v>
      </c>
      <c r="F265" s="4" t="s">
        <v>13681</v>
      </c>
      <c r="G265" s="2" t="s">
        <v>79</v>
      </c>
      <c r="H265" s="7" t="s">
        <v>91</v>
      </c>
      <c r="I265" s="2" t="s">
        <v>92</v>
      </c>
      <c r="J265" s="2" t="s">
        <v>3633</v>
      </c>
      <c r="K265" s="2" t="s">
        <v>304</v>
      </c>
      <c r="L265" s="2" t="s">
        <v>38</v>
      </c>
      <c r="M265" s="8" t="str">
        <f>HYPERLINK("http://slimages.macys.com/is/image/MCY/13892249 ")</f>
        <v xml:space="preserve">http://slimages.macys.com/is/image/MCY/13892249 </v>
      </c>
    </row>
    <row r="266" spans="1:13" ht="60" x14ac:dyDescent="0.25">
      <c r="A266" s="7" t="s">
        <v>13682</v>
      </c>
      <c r="B266" s="2" t="s">
        <v>13661</v>
      </c>
      <c r="C266" s="4">
        <v>1</v>
      </c>
      <c r="D266" s="5">
        <v>5.94</v>
      </c>
      <c r="E266" s="5">
        <v>16.5</v>
      </c>
      <c r="F266" s="4" t="s">
        <v>13681</v>
      </c>
      <c r="G266" s="2" t="s">
        <v>79</v>
      </c>
      <c r="H266" s="7" t="s">
        <v>42</v>
      </c>
      <c r="I266" s="2" t="s">
        <v>92</v>
      </c>
      <c r="J266" s="2" t="s">
        <v>3633</v>
      </c>
      <c r="K266" s="2" t="s">
        <v>304</v>
      </c>
      <c r="L266" s="2" t="s">
        <v>38</v>
      </c>
      <c r="M266" s="8" t="str">
        <f>HYPERLINK("http://slimages.macys.com/is/image/MCY/13892249 ")</f>
        <v xml:space="preserve">http://slimages.macys.com/is/image/MCY/13892249 </v>
      </c>
    </row>
    <row r="267" spans="1:13" ht="60" x14ac:dyDescent="0.25">
      <c r="A267" s="7" t="s">
        <v>13683</v>
      </c>
      <c r="B267" s="2" t="s">
        <v>13684</v>
      </c>
      <c r="C267" s="4">
        <v>1</v>
      </c>
      <c r="D267" s="5">
        <v>5.85</v>
      </c>
      <c r="E267" s="5">
        <v>12.99</v>
      </c>
      <c r="F267" s="4" t="s">
        <v>13685</v>
      </c>
      <c r="G267" s="2" t="s">
        <v>41</v>
      </c>
      <c r="H267" s="7" t="s">
        <v>68</v>
      </c>
      <c r="I267" s="2" t="s">
        <v>80</v>
      </c>
      <c r="J267" s="2" t="s">
        <v>167</v>
      </c>
      <c r="K267" s="2" t="s">
        <v>304</v>
      </c>
      <c r="L267" s="2" t="s">
        <v>206</v>
      </c>
      <c r="M267" s="8" t="str">
        <f>HYPERLINK("http://slimages.macys.com/is/image/MCY/12793811 ")</f>
        <v xml:space="preserve">http://slimages.macys.com/is/image/MCY/12793811 </v>
      </c>
    </row>
    <row r="268" spans="1:13" ht="60" x14ac:dyDescent="0.25">
      <c r="A268" s="7" t="s">
        <v>13686</v>
      </c>
      <c r="B268" s="2" t="s">
        <v>503</v>
      </c>
      <c r="C268" s="4">
        <v>1</v>
      </c>
      <c r="D268" s="5">
        <v>5.85</v>
      </c>
      <c r="E268" s="5">
        <v>12.99</v>
      </c>
      <c r="F268" s="4" t="s">
        <v>504</v>
      </c>
      <c r="G268" s="2" t="s">
        <v>165</v>
      </c>
      <c r="H268" s="7" t="s">
        <v>166</v>
      </c>
      <c r="I268" s="2" t="s">
        <v>80</v>
      </c>
      <c r="J268" s="2" t="s">
        <v>167</v>
      </c>
      <c r="K268" s="2" t="s">
        <v>304</v>
      </c>
      <c r="L268" s="2" t="s">
        <v>206</v>
      </c>
      <c r="M268" s="8" t="str">
        <f>HYPERLINK("http://slimages.macys.com/is/image/MCY/13534181 ")</f>
        <v xml:space="preserve">http://slimages.macys.com/is/image/MCY/13534181 </v>
      </c>
    </row>
    <row r="269" spans="1:13" ht="60" x14ac:dyDescent="0.25">
      <c r="A269" s="7" t="s">
        <v>13687</v>
      </c>
      <c r="B269" s="2" t="s">
        <v>11594</v>
      </c>
      <c r="C269" s="4">
        <v>1</v>
      </c>
      <c r="D269" s="5">
        <v>5.8</v>
      </c>
      <c r="E269" s="5">
        <v>13.19</v>
      </c>
      <c r="F269" s="4">
        <v>17892810</v>
      </c>
      <c r="G269" s="2" t="s">
        <v>455</v>
      </c>
      <c r="H269" s="7" t="s">
        <v>482</v>
      </c>
      <c r="I269" s="2" t="s">
        <v>153</v>
      </c>
      <c r="J269" s="2" t="s">
        <v>154</v>
      </c>
      <c r="K269" s="2" t="s">
        <v>304</v>
      </c>
      <c r="L269" s="2" t="s">
        <v>119</v>
      </c>
      <c r="M269" s="8" t="str">
        <f>HYPERLINK("http://slimages.macys.com/is/image/MCY/13341355 ")</f>
        <v xml:space="preserve">http://slimages.macys.com/is/image/MCY/13341355 </v>
      </c>
    </row>
    <row r="270" spans="1:13" ht="60" x14ac:dyDescent="0.25">
      <c r="A270" s="7" t="s">
        <v>13688</v>
      </c>
      <c r="B270" s="2" t="s">
        <v>3391</v>
      </c>
      <c r="C270" s="4">
        <v>1</v>
      </c>
      <c r="D270" s="5">
        <v>5.8</v>
      </c>
      <c r="E270" s="5">
        <v>13.19</v>
      </c>
      <c r="F270" s="4">
        <v>17893010</v>
      </c>
      <c r="G270" s="2" t="s">
        <v>262</v>
      </c>
      <c r="H270" s="7" t="s">
        <v>482</v>
      </c>
      <c r="I270" s="2" t="s">
        <v>153</v>
      </c>
      <c r="J270" s="2" t="s">
        <v>154</v>
      </c>
      <c r="K270" s="2" t="s">
        <v>304</v>
      </c>
      <c r="L270" s="2" t="s">
        <v>38</v>
      </c>
      <c r="M270" s="8" t="str">
        <f>HYPERLINK("http://slimages.macys.com/is/image/MCY/13341153 ")</f>
        <v xml:space="preserve">http://slimages.macys.com/is/image/MCY/13341153 </v>
      </c>
    </row>
    <row r="271" spans="1:13" ht="60" x14ac:dyDescent="0.25">
      <c r="A271" s="7" t="s">
        <v>3394</v>
      </c>
      <c r="B271" s="2" t="s">
        <v>3389</v>
      </c>
      <c r="C271" s="4">
        <v>1</v>
      </c>
      <c r="D271" s="5">
        <v>5.8</v>
      </c>
      <c r="E271" s="5">
        <v>13.19</v>
      </c>
      <c r="F271" s="4">
        <v>17892410</v>
      </c>
      <c r="G271" s="2" t="s">
        <v>48</v>
      </c>
      <c r="H271" s="7" t="s">
        <v>438</v>
      </c>
      <c r="I271" s="2" t="s">
        <v>153</v>
      </c>
      <c r="J271" s="2" t="s">
        <v>154</v>
      </c>
      <c r="K271" s="2" t="s">
        <v>304</v>
      </c>
      <c r="L271" s="2" t="s">
        <v>38</v>
      </c>
      <c r="M271" s="8" t="str">
        <f>HYPERLINK("http://slimages.macys.com/is/image/MCY/13341369 ")</f>
        <v xml:space="preserve">http://slimages.macys.com/is/image/MCY/13341369 </v>
      </c>
    </row>
    <row r="272" spans="1:13" ht="60" x14ac:dyDescent="0.25">
      <c r="A272" s="7" t="s">
        <v>13689</v>
      </c>
      <c r="B272" s="2" t="s">
        <v>13690</v>
      </c>
      <c r="C272" s="4">
        <v>1</v>
      </c>
      <c r="D272" s="5">
        <v>5.8</v>
      </c>
      <c r="E272" s="5">
        <v>13.19</v>
      </c>
      <c r="F272" s="4">
        <v>17893410</v>
      </c>
      <c r="G272" s="2" t="s">
        <v>36</v>
      </c>
      <c r="H272" s="7" t="s">
        <v>482</v>
      </c>
      <c r="I272" s="2" t="s">
        <v>153</v>
      </c>
      <c r="J272" s="2" t="s">
        <v>154</v>
      </c>
      <c r="K272" s="2" t="s">
        <v>304</v>
      </c>
      <c r="L272" s="2" t="s">
        <v>38</v>
      </c>
      <c r="M272" s="8" t="str">
        <f>HYPERLINK("http://slimages.macys.com/is/image/MCY/13852868 ")</f>
        <v xml:space="preserve">http://slimages.macys.com/is/image/MCY/13852868 </v>
      </c>
    </row>
    <row r="273" spans="1:13" ht="60" x14ac:dyDescent="0.25">
      <c r="A273" s="7" t="s">
        <v>12056</v>
      </c>
      <c r="B273" s="2" t="s">
        <v>5961</v>
      </c>
      <c r="C273" s="4">
        <v>1</v>
      </c>
      <c r="D273" s="5">
        <v>5.8</v>
      </c>
      <c r="E273" s="5">
        <v>13.19</v>
      </c>
      <c r="F273" s="4">
        <v>17893810</v>
      </c>
      <c r="G273" s="2" t="s">
        <v>28</v>
      </c>
      <c r="H273" s="7" t="s">
        <v>482</v>
      </c>
      <c r="I273" s="2" t="s">
        <v>153</v>
      </c>
      <c r="J273" s="2" t="s">
        <v>154</v>
      </c>
      <c r="K273" s="2" t="s">
        <v>304</v>
      </c>
      <c r="L273" s="2" t="s">
        <v>38</v>
      </c>
      <c r="M273" s="8" t="str">
        <f>HYPERLINK("http://slimages.macys.com/is/image/MCY/13852866 ")</f>
        <v xml:space="preserve">http://slimages.macys.com/is/image/MCY/13852866 </v>
      </c>
    </row>
    <row r="274" spans="1:13" ht="60" x14ac:dyDescent="0.25">
      <c r="A274" s="7" t="s">
        <v>13691</v>
      </c>
      <c r="B274" s="2" t="s">
        <v>3404</v>
      </c>
      <c r="C274" s="4">
        <v>1</v>
      </c>
      <c r="D274" s="5">
        <v>5.75</v>
      </c>
      <c r="E274" s="5">
        <v>11.5</v>
      </c>
      <c r="F274" s="4">
        <v>27876010</v>
      </c>
      <c r="G274" s="2"/>
      <c r="H274" s="7" t="s">
        <v>144</v>
      </c>
      <c r="I274" s="2" t="s">
        <v>487</v>
      </c>
      <c r="J274" s="2" t="s">
        <v>488</v>
      </c>
      <c r="K274" s="2" t="s">
        <v>304</v>
      </c>
      <c r="L274" s="2" t="s">
        <v>119</v>
      </c>
      <c r="M274" s="8" t="str">
        <f>HYPERLINK("http://slimages.macys.com/is/image/MCY/13852783 ")</f>
        <v xml:space="preserve">http://slimages.macys.com/is/image/MCY/13852783 </v>
      </c>
    </row>
    <row r="275" spans="1:13" ht="60" x14ac:dyDescent="0.25">
      <c r="A275" s="7" t="s">
        <v>13692</v>
      </c>
      <c r="B275" s="2" t="s">
        <v>13693</v>
      </c>
      <c r="C275" s="4">
        <v>1</v>
      </c>
      <c r="D275" s="5">
        <v>5.75</v>
      </c>
      <c r="E275" s="5">
        <v>11.5</v>
      </c>
      <c r="F275" s="4">
        <v>37895410</v>
      </c>
      <c r="G275" s="2" t="s">
        <v>653</v>
      </c>
      <c r="H275" s="7"/>
      <c r="I275" s="2" t="s">
        <v>487</v>
      </c>
      <c r="J275" s="2" t="s">
        <v>488</v>
      </c>
      <c r="K275" s="2" t="s">
        <v>304</v>
      </c>
      <c r="L275" s="2" t="s">
        <v>38</v>
      </c>
      <c r="M275" s="8" t="str">
        <f>HYPERLINK("http://slimages.macys.com/is/image/MCY/13852900 ")</f>
        <v xml:space="preserve">http://slimages.macys.com/is/image/MCY/13852900 </v>
      </c>
    </row>
    <row r="276" spans="1:13" ht="60" x14ac:dyDescent="0.25">
      <c r="A276" s="7" t="s">
        <v>13694</v>
      </c>
      <c r="B276" s="2" t="s">
        <v>13693</v>
      </c>
      <c r="C276" s="4">
        <v>2</v>
      </c>
      <c r="D276" s="5">
        <v>5.75</v>
      </c>
      <c r="E276" s="5">
        <v>11.5</v>
      </c>
      <c r="F276" s="4">
        <v>37895410</v>
      </c>
      <c r="G276" s="2" t="s">
        <v>653</v>
      </c>
      <c r="H276" s="7" t="s">
        <v>166</v>
      </c>
      <c r="I276" s="2" t="s">
        <v>487</v>
      </c>
      <c r="J276" s="2" t="s">
        <v>488</v>
      </c>
      <c r="K276" s="2" t="s">
        <v>304</v>
      </c>
      <c r="L276" s="2" t="s">
        <v>38</v>
      </c>
      <c r="M276" s="8" t="str">
        <f>HYPERLINK("http://slimages.macys.com/is/image/MCY/13852900 ")</f>
        <v xml:space="preserve">http://slimages.macys.com/is/image/MCY/13852900 </v>
      </c>
    </row>
    <row r="277" spans="1:13" ht="60" x14ac:dyDescent="0.25">
      <c r="A277" s="7" t="s">
        <v>13695</v>
      </c>
      <c r="B277" s="2" t="s">
        <v>13693</v>
      </c>
      <c r="C277" s="4">
        <v>1</v>
      </c>
      <c r="D277" s="5">
        <v>5.75</v>
      </c>
      <c r="E277" s="5">
        <v>11.5</v>
      </c>
      <c r="F277" s="4">
        <v>37895410</v>
      </c>
      <c r="G277" s="2" t="s">
        <v>653</v>
      </c>
      <c r="H277" s="7" t="s">
        <v>123</v>
      </c>
      <c r="I277" s="2" t="s">
        <v>487</v>
      </c>
      <c r="J277" s="2" t="s">
        <v>488</v>
      </c>
      <c r="K277" s="2" t="s">
        <v>304</v>
      </c>
      <c r="L277" s="2" t="s">
        <v>38</v>
      </c>
      <c r="M277" s="8" t="str">
        <f>HYPERLINK("http://slimages.macys.com/is/image/MCY/13852900 ")</f>
        <v xml:space="preserve">http://slimages.macys.com/is/image/MCY/13852900 </v>
      </c>
    </row>
    <row r="278" spans="1:13" ht="60" x14ac:dyDescent="0.25">
      <c r="A278" s="7" t="s">
        <v>13696</v>
      </c>
      <c r="B278" s="2" t="s">
        <v>3402</v>
      </c>
      <c r="C278" s="4">
        <v>1</v>
      </c>
      <c r="D278" s="5">
        <v>5.75</v>
      </c>
      <c r="E278" s="5">
        <v>11.5</v>
      </c>
      <c r="F278" s="4">
        <v>38822910</v>
      </c>
      <c r="G278" s="2" t="s">
        <v>2107</v>
      </c>
      <c r="H278" s="7" t="s">
        <v>179</v>
      </c>
      <c r="I278" s="2" t="s">
        <v>487</v>
      </c>
      <c r="J278" s="2" t="s">
        <v>488</v>
      </c>
      <c r="K278" s="2" t="s">
        <v>304</v>
      </c>
      <c r="L278" s="2" t="s">
        <v>119</v>
      </c>
      <c r="M278" s="8" t="str">
        <f>HYPERLINK("http://slimages.macys.com/is/image/MCY/13852877 ")</f>
        <v xml:space="preserve">http://slimages.macys.com/is/image/MCY/13852877 </v>
      </c>
    </row>
    <row r="279" spans="1:13" ht="60" x14ac:dyDescent="0.25">
      <c r="A279" s="7" t="s">
        <v>3403</v>
      </c>
      <c r="B279" s="2" t="s">
        <v>3404</v>
      </c>
      <c r="C279" s="4">
        <v>1</v>
      </c>
      <c r="D279" s="5">
        <v>5.75</v>
      </c>
      <c r="E279" s="5">
        <v>11.5</v>
      </c>
      <c r="F279" s="4">
        <v>27876010</v>
      </c>
      <c r="G279" s="2"/>
      <c r="H279" s="7"/>
      <c r="I279" s="2" t="s">
        <v>487</v>
      </c>
      <c r="J279" s="2" t="s">
        <v>488</v>
      </c>
      <c r="K279" s="2" t="s">
        <v>304</v>
      </c>
      <c r="L279" s="2" t="s">
        <v>119</v>
      </c>
      <c r="M279" s="8" t="str">
        <f>HYPERLINK("http://slimages.macys.com/is/image/MCY/13852783 ")</f>
        <v xml:space="preserve">http://slimages.macys.com/is/image/MCY/13852783 </v>
      </c>
    </row>
    <row r="280" spans="1:13" ht="96" x14ac:dyDescent="0.25">
      <c r="A280" s="7" t="s">
        <v>4156</v>
      </c>
      <c r="B280" s="2" t="s">
        <v>4152</v>
      </c>
      <c r="C280" s="4">
        <v>1</v>
      </c>
      <c r="D280" s="5">
        <v>5.67</v>
      </c>
      <c r="E280" s="5">
        <v>14.99</v>
      </c>
      <c r="F280" s="4" t="s">
        <v>4153</v>
      </c>
      <c r="G280" s="2" t="s">
        <v>41</v>
      </c>
      <c r="H280" s="7" t="s">
        <v>149</v>
      </c>
      <c r="I280" s="2" t="s">
        <v>483</v>
      </c>
      <c r="J280" s="2" t="s">
        <v>536</v>
      </c>
      <c r="K280" s="2" t="s">
        <v>304</v>
      </c>
      <c r="L280" s="2" t="s">
        <v>4154</v>
      </c>
      <c r="M280" s="8" t="str">
        <f>HYPERLINK("http://slimages.macys.com/is/image/MCY/14384813 ")</f>
        <v xml:space="preserve">http://slimages.macys.com/is/image/MCY/14384813 </v>
      </c>
    </row>
    <row r="281" spans="1:13" ht="96" x14ac:dyDescent="0.25">
      <c r="A281" s="7" t="s">
        <v>4151</v>
      </c>
      <c r="B281" s="2" t="s">
        <v>4152</v>
      </c>
      <c r="C281" s="4">
        <v>1</v>
      </c>
      <c r="D281" s="5">
        <v>5.67</v>
      </c>
      <c r="E281" s="5">
        <v>14.99</v>
      </c>
      <c r="F281" s="4" t="s">
        <v>4153</v>
      </c>
      <c r="G281" s="2" t="s">
        <v>41</v>
      </c>
      <c r="H281" s="7" t="s">
        <v>91</v>
      </c>
      <c r="I281" s="2" t="s">
        <v>483</v>
      </c>
      <c r="J281" s="2" t="s">
        <v>536</v>
      </c>
      <c r="K281" s="2" t="s">
        <v>304</v>
      </c>
      <c r="L281" s="2" t="s">
        <v>4154</v>
      </c>
      <c r="M281" s="8" t="str">
        <f>HYPERLINK("http://slimages.macys.com/is/image/MCY/14384813 ")</f>
        <v xml:space="preserve">http://slimages.macys.com/is/image/MCY/14384813 </v>
      </c>
    </row>
    <row r="282" spans="1:13" ht="96" x14ac:dyDescent="0.25">
      <c r="A282" s="7" t="s">
        <v>4155</v>
      </c>
      <c r="B282" s="2" t="s">
        <v>4152</v>
      </c>
      <c r="C282" s="4">
        <v>2</v>
      </c>
      <c r="D282" s="5">
        <v>5.67</v>
      </c>
      <c r="E282" s="5">
        <v>14.99</v>
      </c>
      <c r="F282" s="4" t="s">
        <v>4153</v>
      </c>
      <c r="G282" s="2" t="s">
        <v>41</v>
      </c>
      <c r="H282" s="7" t="s">
        <v>42</v>
      </c>
      <c r="I282" s="2" t="s">
        <v>483</v>
      </c>
      <c r="J282" s="2" t="s">
        <v>536</v>
      </c>
      <c r="K282" s="2" t="s">
        <v>304</v>
      </c>
      <c r="L282" s="2" t="s">
        <v>4154</v>
      </c>
      <c r="M282" s="8" t="str">
        <f>HYPERLINK("http://slimages.macys.com/is/image/MCY/14384813 ")</f>
        <v xml:space="preserve">http://slimages.macys.com/is/image/MCY/14384813 </v>
      </c>
    </row>
    <row r="283" spans="1:13" ht="96" x14ac:dyDescent="0.25">
      <c r="A283" s="7" t="s">
        <v>4157</v>
      </c>
      <c r="B283" s="2" t="s">
        <v>4152</v>
      </c>
      <c r="C283" s="4">
        <v>3</v>
      </c>
      <c r="D283" s="5">
        <v>5.67</v>
      </c>
      <c r="E283" s="5">
        <v>14.99</v>
      </c>
      <c r="F283" s="4" t="s">
        <v>4153</v>
      </c>
      <c r="G283" s="2" t="s">
        <v>41</v>
      </c>
      <c r="H283" s="7" t="s">
        <v>442</v>
      </c>
      <c r="I283" s="2" t="s">
        <v>483</v>
      </c>
      <c r="J283" s="2" t="s">
        <v>536</v>
      </c>
      <c r="K283" s="2" t="s">
        <v>304</v>
      </c>
      <c r="L283" s="2" t="s">
        <v>4154</v>
      </c>
      <c r="M283" s="8" t="str">
        <f>HYPERLINK("http://slimages.macys.com/is/image/MCY/14384813 ")</f>
        <v xml:space="preserve">http://slimages.macys.com/is/image/MCY/14384813 </v>
      </c>
    </row>
    <row r="284" spans="1:13" ht="60" x14ac:dyDescent="0.25">
      <c r="A284" s="7" t="s">
        <v>2641</v>
      </c>
      <c r="B284" s="2" t="s">
        <v>2639</v>
      </c>
      <c r="C284" s="4">
        <v>1</v>
      </c>
      <c r="D284" s="5">
        <v>5.6</v>
      </c>
      <c r="E284" s="5">
        <v>13.99</v>
      </c>
      <c r="F284" s="4" t="s">
        <v>2640</v>
      </c>
      <c r="G284" s="2" t="s">
        <v>874</v>
      </c>
      <c r="H284" s="7" t="s">
        <v>42</v>
      </c>
      <c r="I284" s="2" t="s">
        <v>483</v>
      </c>
      <c r="J284" s="2" t="s">
        <v>536</v>
      </c>
      <c r="K284" s="2" t="s">
        <v>304</v>
      </c>
      <c r="L284" s="2" t="s">
        <v>125</v>
      </c>
      <c r="M284" s="8" t="str">
        <f>HYPERLINK("http://slimages.macys.com/is/image/MCY/14446785 ")</f>
        <v xml:space="preserve">http://slimages.macys.com/is/image/MCY/14446785 </v>
      </c>
    </row>
    <row r="285" spans="1:13" ht="60" x14ac:dyDescent="0.25">
      <c r="A285" s="7" t="s">
        <v>13697</v>
      </c>
      <c r="B285" s="2" t="s">
        <v>2639</v>
      </c>
      <c r="C285" s="4">
        <v>1</v>
      </c>
      <c r="D285" s="5">
        <v>5.6</v>
      </c>
      <c r="E285" s="5">
        <v>13.99</v>
      </c>
      <c r="F285" s="4" t="s">
        <v>2640</v>
      </c>
      <c r="G285" s="2" t="s">
        <v>874</v>
      </c>
      <c r="H285" s="7" t="s">
        <v>149</v>
      </c>
      <c r="I285" s="2" t="s">
        <v>483</v>
      </c>
      <c r="J285" s="2" t="s">
        <v>536</v>
      </c>
      <c r="K285" s="2" t="s">
        <v>304</v>
      </c>
      <c r="L285" s="2" t="s">
        <v>125</v>
      </c>
      <c r="M285" s="8" t="str">
        <f>HYPERLINK("http://slimages.macys.com/is/image/MCY/14446785 ")</f>
        <v xml:space="preserve">http://slimages.macys.com/is/image/MCY/14446785 </v>
      </c>
    </row>
    <row r="286" spans="1:13" ht="60" x14ac:dyDescent="0.25">
      <c r="A286" s="7" t="s">
        <v>2642</v>
      </c>
      <c r="B286" s="2" t="s">
        <v>2639</v>
      </c>
      <c r="C286" s="4">
        <v>1</v>
      </c>
      <c r="D286" s="5">
        <v>5.6</v>
      </c>
      <c r="E286" s="5">
        <v>13.99</v>
      </c>
      <c r="F286" s="4" t="s">
        <v>2640</v>
      </c>
      <c r="G286" s="2" t="s">
        <v>874</v>
      </c>
      <c r="H286" s="7" t="s">
        <v>442</v>
      </c>
      <c r="I286" s="2" t="s">
        <v>483</v>
      </c>
      <c r="J286" s="2" t="s">
        <v>536</v>
      </c>
      <c r="K286" s="2" t="s">
        <v>304</v>
      </c>
      <c r="L286" s="2" t="s">
        <v>125</v>
      </c>
      <c r="M286" s="8" t="str">
        <f>HYPERLINK("http://slimages.macys.com/is/image/MCY/14446785 ")</f>
        <v xml:space="preserve">http://slimages.macys.com/is/image/MCY/14446785 </v>
      </c>
    </row>
    <row r="287" spans="1:13" ht="60" x14ac:dyDescent="0.25">
      <c r="A287" s="7" t="s">
        <v>3405</v>
      </c>
      <c r="B287" s="2" t="s">
        <v>2639</v>
      </c>
      <c r="C287" s="4">
        <v>1</v>
      </c>
      <c r="D287" s="5">
        <v>5.6</v>
      </c>
      <c r="E287" s="5">
        <v>13.99</v>
      </c>
      <c r="F287" s="4" t="s">
        <v>2640</v>
      </c>
      <c r="G287" s="2" t="s">
        <v>874</v>
      </c>
      <c r="H287" s="7" t="s">
        <v>590</v>
      </c>
      <c r="I287" s="2" t="s">
        <v>483</v>
      </c>
      <c r="J287" s="2" t="s">
        <v>536</v>
      </c>
      <c r="K287" s="2" t="s">
        <v>304</v>
      </c>
      <c r="L287" s="2" t="s">
        <v>125</v>
      </c>
      <c r="M287" s="8" t="str">
        <f>HYPERLINK("http://slimages.macys.com/is/image/MCY/14446785 ")</f>
        <v xml:space="preserve">http://slimages.macys.com/is/image/MCY/14446785 </v>
      </c>
    </row>
    <row r="288" spans="1:13" ht="60" x14ac:dyDescent="0.25">
      <c r="A288" s="7" t="s">
        <v>4162</v>
      </c>
      <c r="B288" s="2" t="s">
        <v>4163</v>
      </c>
      <c r="C288" s="4">
        <v>6</v>
      </c>
      <c r="D288" s="5">
        <v>5.55</v>
      </c>
      <c r="E288" s="5">
        <v>11.1</v>
      </c>
      <c r="F288" s="4">
        <v>28441514</v>
      </c>
      <c r="G288" s="2" t="s">
        <v>62</v>
      </c>
      <c r="H288" s="7" t="s">
        <v>144</v>
      </c>
      <c r="I288" s="2" t="s">
        <v>487</v>
      </c>
      <c r="J288" s="2" t="s">
        <v>2424</v>
      </c>
      <c r="K288" s="2" t="s">
        <v>304</v>
      </c>
      <c r="L288" s="2" t="s">
        <v>206</v>
      </c>
      <c r="M288" s="8" t="str">
        <f>HYPERLINK("http://slimages.macys.com/is/image/MCY/14661874 ")</f>
        <v xml:space="preserve">http://slimages.macys.com/is/image/MCY/14661874 </v>
      </c>
    </row>
    <row r="289" spans="1:13" ht="60" x14ac:dyDescent="0.25">
      <c r="A289" s="7" t="s">
        <v>13698</v>
      </c>
      <c r="B289" s="2" t="s">
        <v>4160</v>
      </c>
      <c r="C289" s="4">
        <v>1</v>
      </c>
      <c r="D289" s="5">
        <v>5.55</v>
      </c>
      <c r="E289" s="5">
        <v>13.5</v>
      </c>
      <c r="F289" s="4">
        <v>18345419</v>
      </c>
      <c r="G289" s="2"/>
      <c r="H289" s="7" t="s">
        <v>442</v>
      </c>
      <c r="I289" s="2" t="s">
        <v>153</v>
      </c>
      <c r="J289" s="2" t="s">
        <v>3580</v>
      </c>
      <c r="K289" s="2" t="s">
        <v>304</v>
      </c>
      <c r="L289" s="2" t="s">
        <v>206</v>
      </c>
      <c r="M289" s="8" t="str">
        <f>HYPERLINK("http://slimages.macys.com/is/image/MCY/14888873 ")</f>
        <v xml:space="preserve">http://slimages.macys.com/is/image/MCY/14888873 </v>
      </c>
    </row>
    <row r="290" spans="1:13" ht="60" x14ac:dyDescent="0.25">
      <c r="A290" s="7" t="s">
        <v>13378</v>
      </c>
      <c r="B290" s="2" t="s">
        <v>4163</v>
      </c>
      <c r="C290" s="4">
        <v>1</v>
      </c>
      <c r="D290" s="5">
        <v>5.55</v>
      </c>
      <c r="E290" s="5">
        <v>11.1</v>
      </c>
      <c r="F290" s="4">
        <v>28441514</v>
      </c>
      <c r="G290" s="2" t="s">
        <v>62</v>
      </c>
      <c r="H290" s="7" t="s">
        <v>209</v>
      </c>
      <c r="I290" s="2" t="s">
        <v>487</v>
      </c>
      <c r="J290" s="2" t="s">
        <v>2424</v>
      </c>
      <c r="K290" s="2" t="s">
        <v>304</v>
      </c>
      <c r="L290" s="2" t="s">
        <v>206</v>
      </c>
      <c r="M290" s="8" t="str">
        <f>HYPERLINK("http://slimages.macys.com/is/image/MCY/14661874 ")</f>
        <v xml:space="preserve">http://slimages.macys.com/is/image/MCY/14661874 </v>
      </c>
    </row>
    <row r="291" spans="1:13" ht="60" x14ac:dyDescent="0.25">
      <c r="A291" s="7" t="s">
        <v>4164</v>
      </c>
      <c r="B291" s="2" t="s">
        <v>3410</v>
      </c>
      <c r="C291" s="4">
        <v>1</v>
      </c>
      <c r="D291" s="5">
        <v>5.52</v>
      </c>
      <c r="E291" s="5">
        <v>13.99</v>
      </c>
      <c r="F291" s="4" t="s">
        <v>3411</v>
      </c>
      <c r="G291" s="2" t="s">
        <v>62</v>
      </c>
      <c r="H291" s="7" t="s">
        <v>42</v>
      </c>
      <c r="I291" s="2" t="s">
        <v>483</v>
      </c>
      <c r="J291" s="2" t="s">
        <v>536</v>
      </c>
      <c r="K291" s="2" t="s">
        <v>304</v>
      </c>
      <c r="L291" s="2" t="s">
        <v>596</v>
      </c>
      <c r="M291" s="8" t="str">
        <f>HYPERLINK("http://slimages.macys.com/is/image/MCY/14630640 ")</f>
        <v xml:space="preserve">http://slimages.macys.com/is/image/MCY/14630640 </v>
      </c>
    </row>
    <row r="292" spans="1:13" ht="60" x14ac:dyDescent="0.25">
      <c r="A292" s="7" t="s">
        <v>13699</v>
      </c>
      <c r="B292" s="2" t="s">
        <v>3410</v>
      </c>
      <c r="C292" s="4">
        <v>2</v>
      </c>
      <c r="D292" s="5">
        <v>5.52</v>
      </c>
      <c r="E292" s="5">
        <v>13.99</v>
      </c>
      <c r="F292" s="4" t="s">
        <v>3411</v>
      </c>
      <c r="G292" s="2" t="s">
        <v>62</v>
      </c>
      <c r="H292" s="7" t="s">
        <v>442</v>
      </c>
      <c r="I292" s="2" t="s">
        <v>483</v>
      </c>
      <c r="J292" s="2" t="s">
        <v>536</v>
      </c>
      <c r="K292" s="2" t="s">
        <v>304</v>
      </c>
      <c r="L292" s="2" t="s">
        <v>596</v>
      </c>
      <c r="M292" s="8" t="str">
        <f>HYPERLINK("http://slimages.macys.com/is/image/MCY/14630640 ")</f>
        <v xml:space="preserve">http://slimages.macys.com/is/image/MCY/14630640 </v>
      </c>
    </row>
    <row r="293" spans="1:13" ht="60" x14ac:dyDescent="0.25">
      <c r="A293" s="7" t="s">
        <v>4165</v>
      </c>
      <c r="B293" s="2" t="s">
        <v>3410</v>
      </c>
      <c r="C293" s="4">
        <v>2</v>
      </c>
      <c r="D293" s="5">
        <v>5.52</v>
      </c>
      <c r="E293" s="5">
        <v>13.99</v>
      </c>
      <c r="F293" s="4" t="s">
        <v>3411</v>
      </c>
      <c r="G293" s="2" t="s">
        <v>62</v>
      </c>
      <c r="H293" s="7" t="s">
        <v>590</v>
      </c>
      <c r="I293" s="2" t="s">
        <v>483</v>
      </c>
      <c r="J293" s="2" t="s">
        <v>536</v>
      </c>
      <c r="K293" s="2" t="s">
        <v>304</v>
      </c>
      <c r="L293" s="2" t="s">
        <v>596</v>
      </c>
      <c r="M293" s="8" t="str">
        <f>HYPERLINK("http://slimages.macys.com/is/image/MCY/14630640 ")</f>
        <v xml:space="preserve">http://slimages.macys.com/is/image/MCY/14630640 </v>
      </c>
    </row>
    <row r="294" spans="1:13" ht="60" x14ac:dyDescent="0.25">
      <c r="A294" s="7" t="s">
        <v>3409</v>
      </c>
      <c r="B294" s="2" t="s">
        <v>3410</v>
      </c>
      <c r="C294" s="4">
        <v>3</v>
      </c>
      <c r="D294" s="5">
        <v>5.52</v>
      </c>
      <c r="E294" s="5">
        <v>13.99</v>
      </c>
      <c r="F294" s="4" t="s">
        <v>3411</v>
      </c>
      <c r="G294" s="2" t="s">
        <v>62</v>
      </c>
      <c r="H294" s="7" t="s">
        <v>149</v>
      </c>
      <c r="I294" s="2" t="s">
        <v>483</v>
      </c>
      <c r="J294" s="2" t="s">
        <v>536</v>
      </c>
      <c r="K294" s="2" t="s">
        <v>304</v>
      </c>
      <c r="L294" s="2" t="s">
        <v>596</v>
      </c>
      <c r="M294" s="8" t="str">
        <f>HYPERLINK("http://slimages.macys.com/is/image/MCY/14630640 ")</f>
        <v xml:space="preserve">http://slimages.macys.com/is/image/MCY/14630640 </v>
      </c>
    </row>
    <row r="295" spans="1:13" ht="60" x14ac:dyDescent="0.25">
      <c r="A295" s="7" t="s">
        <v>5493</v>
      </c>
      <c r="B295" s="2" t="s">
        <v>3410</v>
      </c>
      <c r="C295" s="4">
        <v>2</v>
      </c>
      <c r="D295" s="5">
        <v>5.52</v>
      </c>
      <c r="E295" s="5">
        <v>13.99</v>
      </c>
      <c r="F295" s="4" t="s">
        <v>3411</v>
      </c>
      <c r="G295" s="2" t="s">
        <v>62</v>
      </c>
      <c r="H295" s="7" t="s">
        <v>91</v>
      </c>
      <c r="I295" s="2" t="s">
        <v>483</v>
      </c>
      <c r="J295" s="2" t="s">
        <v>536</v>
      </c>
      <c r="K295" s="2" t="s">
        <v>304</v>
      </c>
      <c r="L295" s="2" t="s">
        <v>596</v>
      </c>
      <c r="M295" s="8" t="str">
        <f>HYPERLINK("http://slimages.macys.com/is/image/MCY/14630640 ")</f>
        <v xml:space="preserve">http://slimages.macys.com/is/image/MCY/14630640 </v>
      </c>
    </row>
    <row r="296" spans="1:13" ht="192" x14ac:dyDescent="0.25">
      <c r="A296" s="7" t="s">
        <v>5494</v>
      </c>
      <c r="B296" s="2" t="s">
        <v>4167</v>
      </c>
      <c r="C296" s="4">
        <v>1</v>
      </c>
      <c r="D296" s="5">
        <v>5.5</v>
      </c>
      <c r="E296" s="5">
        <v>12.99</v>
      </c>
      <c r="F296" s="4" t="s">
        <v>4168</v>
      </c>
      <c r="G296" s="2" t="s">
        <v>28</v>
      </c>
      <c r="H296" s="7" t="s">
        <v>442</v>
      </c>
      <c r="I296" s="2" t="s">
        <v>92</v>
      </c>
      <c r="J296" s="2" t="s">
        <v>1076</v>
      </c>
      <c r="K296" s="2" t="s">
        <v>304</v>
      </c>
      <c r="L296" s="2" t="s">
        <v>2647</v>
      </c>
      <c r="M296" s="8" t="str">
        <f>HYPERLINK("http://slimages.macys.com/is/image/MCY/15654443 ")</f>
        <v xml:space="preserve">http://slimages.macys.com/is/image/MCY/15654443 </v>
      </c>
    </row>
    <row r="297" spans="1:13" ht="84" x14ac:dyDescent="0.25">
      <c r="A297" s="7" t="s">
        <v>4180</v>
      </c>
      <c r="B297" s="2" t="s">
        <v>4174</v>
      </c>
      <c r="C297" s="4">
        <v>3</v>
      </c>
      <c r="D297" s="5">
        <v>5.44</v>
      </c>
      <c r="E297" s="5">
        <v>14.99</v>
      </c>
      <c r="F297" s="4" t="s">
        <v>4175</v>
      </c>
      <c r="G297" s="2" t="s">
        <v>195</v>
      </c>
      <c r="H297" s="7" t="s">
        <v>91</v>
      </c>
      <c r="I297" s="2" t="s">
        <v>483</v>
      </c>
      <c r="J297" s="2" t="s">
        <v>4176</v>
      </c>
      <c r="K297" s="2" t="s">
        <v>304</v>
      </c>
      <c r="L297" s="2" t="s">
        <v>4177</v>
      </c>
      <c r="M297" s="8" t="str">
        <f>HYPERLINK("http://slimages.macys.com/is/image/MCY/14601081 ")</f>
        <v xml:space="preserve">http://slimages.macys.com/is/image/MCY/14601081 </v>
      </c>
    </row>
    <row r="298" spans="1:13" ht="84" x14ac:dyDescent="0.25">
      <c r="A298" s="7" t="s">
        <v>4179</v>
      </c>
      <c r="B298" s="2" t="s">
        <v>4174</v>
      </c>
      <c r="C298" s="4">
        <v>5</v>
      </c>
      <c r="D298" s="5">
        <v>5.44</v>
      </c>
      <c r="E298" s="5">
        <v>14.99</v>
      </c>
      <c r="F298" s="4" t="s">
        <v>4175</v>
      </c>
      <c r="G298" s="2" t="s">
        <v>195</v>
      </c>
      <c r="H298" s="7" t="s">
        <v>442</v>
      </c>
      <c r="I298" s="2" t="s">
        <v>483</v>
      </c>
      <c r="J298" s="2" t="s">
        <v>4176</v>
      </c>
      <c r="K298" s="2" t="s">
        <v>304</v>
      </c>
      <c r="L298" s="2" t="s">
        <v>4177</v>
      </c>
      <c r="M298" s="8" t="str">
        <f>HYPERLINK("http://slimages.macys.com/is/image/MCY/14601081 ")</f>
        <v xml:space="preserve">http://slimages.macys.com/is/image/MCY/14601081 </v>
      </c>
    </row>
    <row r="299" spans="1:13" ht="84" x14ac:dyDescent="0.25">
      <c r="A299" s="7" t="s">
        <v>4178</v>
      </c>
      <c r="B299" s="2" t="s">
        <v>4174</v>
      </c>
      <c r="C299" s="4">
        <v>2</v>
      </c>
      <c r="D299" s="5">
        <v>5.44</v>
      </c>
      <c r="E299" s="5">
        <v>14.99</v>
      </c>
      <c r="F299" s="4" t="s">
        <v>4175</v>
      </c>
      <c r="G299" s="2" t="s">
        <v>195</v>
      </c>
      <c r="H299" s="7" t="s">
        <v>590</v>
      </c>
      <c r="I299" s="2" t="s">
        <v>483</v>
      </c>
      <c r="J299" s="2" t="s">
        <v>4176</v>
      </c>
      <c r="K299" s="2" t="s">
        <v>304</v>
      </c>
      <c r="L299" s="2" t="s">
        <v>4177</v>
      </c>
      <c r="M299" s="8" t="str">
        <f>HYPERLINK("http://slimages.macys.com/is/image/MCY/14601081 ")</f>
        <v xml:space="preserve">http://slimages.macys.com/is/image/MCY/14601081 </v>
      </c>
    </row>
    <row r="300" spans="1:13" ht="84" x14ac:dyDescent="0.25">
      <c r="A300" s="7" t="s">
        <v>4173</v>
      </c>
      <c r="B300" s="2" t="s">
        <v>4174</v>
      </c>
      <c r="C300" s="4">
        <v>2</v>
      </c>
      <c r="D300" s="5">
        <v>5.44</v>
      </c>
      <c r="E300" s="5">
        <v>14.99</v>
      </c>
      <c r="F300" s="4" t="s">
        <v>4175</v>
      </c>
      <c r="G300" s="2" t="s">
        <v>195</v>
      </c>
      <c r="H300" s="7" t="s">
        <v>149</v>
      </c>
      <c r="I300" s="2" t="s">
        <v>483</v>
      </c>
      <c r="J300" s="2" t="s">
        <v>4176</v>
      </c>
      <c r="K300" s="2" t="s">
        <v>304</v>
      </c>
      <c r="L300" s="2" t="s">
        <v>4177</v>
      </c>
      <c r="M300" s="8" t="str">
        <f>HYPERLINK("http://slimages.macys.com/is/image/MCY/14601081 ")</f>
        <v xml:space="preserve">http://slimages.macys.com/is/image/MCY/14601081 </v>
      </c>
    </row>
    <row r="301" spans="1:13" ht="60" x14ac:dyDescent="0.25">
      <c r="A301" s="7" t="s">
        <v>1080</v>
      </c>
      <c r="B301" s="2" t="s">
        <v>1081</v>
      </c>
      <c r="C301" s="4">
        <v>2</v>
      </c>
      <c r="D301" s="5">
        <v>5.35</v>
      </c>
      <c r="E301" s="5">
        <v>13.99</v>
      </c>
      <c r="F301" s="4" t="s">
        <v>1082</v>
      </c>
      <c r="G301" s="2" t="s">
        <v>41</v>
      </c>
      <c r="H301" s="7" t="s">
        <v>590</v>
      </c>
      <c r="I301" s="2" t="s">
        <v>483</v>
      </c>
      <c r="J301" s="2" t="s">
        <v>536</v>
      </c>
      <c r="K301" s="2" t="s">
        <v>304</v>
      </c>
      <c r="L301" s="2" t="s">
        <v>125</v>
      </c>
      <c r="M301" s="8" t="str">
        <f>HYPERLINK("http://slimages.macys.com/is/image/MCY/14447244 ")</f>
        <v xml:space="preserve">http://slimages.macys.com/is/image/MCY/14447244 </v>
      </c>
    </row>
    <row r="302" spans="1:13" ht="60" x14ac:dyDescent="0.25">
      <c r="A302" s="7" t="s">
        <v>13700</v>
      </c>
      <c r="B302" s="2" t="s">
        <v>1081</v>
      </c>
      <c r="C302" s="4">
        <v>1</v>
      </c>
      <c r="D302" s="5">
        <v>5.35</v>
      </c>
      <c r="E302" s="5">
        <v>13.99</v>
      </c>
      <c r="F302" s="4" t="s">
        <v>1082</v>
      </c>
      <c r="G302" s="2" t="s">
        <v>41</v>
      </c>
      <c r="H302" s="7" t="s">
        <v>442</v>
      </c>
      <c r="I302" s="2" t="s">
        <v>483</v>
      </c>
      <c r="J302" s="2" t="s">
        <v>536</v>
      </c>
      <c r="K302" s="2" t="s">
        <v>304</v>
      </c>
      <c r="L302" s="2" t="s">
        <v>125</v>
      </c>
      <c r="M302" s="8" t="str">
        <f>HYPERLINK("http://slimages.macys.com/is/image/MCY/14447244 ")</f>
        <v xml:space="preserve">http://slimages.macys.com/is/image/MCY/14447244 </v>
      </c>
    </row>
    <row r="303" spans="1:13" ht="60" x14ac:dyDescent="0.25">
      <c r="A303" s="7" t="s">
        <v>4182</v>
      </c>
      <c r="B303" s="2" t="s">
        <v>1081</v>
      </c>
      <c r="C303" s="4">
        <v>1</v>
      </c>
      <c r="D303" s="5">
        <v>5.35</v>
      </c>
      <c r="E303" s="5">
        <v>13.99</v>
      </c>
      <c r="F303" s="4" t="s">
        <v>1082</v>
      </c>
      <c r="G303" s="2" t="s">
        <v>41</v>
      </c>
      <c r="H303" s="7" t="s">
        <v>42</v>
      </c>
      <c r="I303" s="2" t="s">
        <v>483</v>
      </c>
      <c r="J303" s="2" t="s">
        <v>536</v>
      </c>
      <c r="K303" s="2" t="s">
        <v>304</v>
      </c>
      <c r="L303" s="2" t="s">
        <v>125</v>
      </c>
      <c r="M303" s="8" t="str">
        <f>HYPERLINK("http://slimages.macys.com/is/image/MCY/14447244 ")</f>
        <v xml:space="preserve">http://slimages.macys.com/is/image/MCY/14447244 </v>
      </c>
    </row>
    <row r="304" spans="1:13" ht="60" x14ac:dyDescent="0.25">
      <c r="A304" s="7" t="s">
        <v>4181</v>
      </c>
      <c r="B304" s="2" t="s">
        <v>1081</v>
      </c>
      <c r="C304" s="4">
        <v>2</v>
      </c>
      <c r="D304" s="5">
        <v>5.35</v>
      </c>
      <c r="E304" s="5">
        <v>13.99</v>
      </c>
      <c r="F304" s="4" t="s">
        <v>1082</v>
      </c>
      <c r="G304" s="2" t="s">
        <v>41</v>
      </c>
      <c r="H304" s="7" t="s">
        <v>91</v>
      </c>
      <c r="I304" s="2" t="s">
        <v>483</v>
      </c>
      <c r="J304" s="2" t="s">
        <v>536</v>
      </c>
      <c r="K304" s="2" t="s">
        <v>304</v>
      </c>
      <c r="L304" s="2" t="s">
        <v>125</v>
      </c>
      <c r="M304" s="8" t="str">
        <f>HYPERLINK("http://slimages.macys.com/is/image/MCY/14447244 ")</f>
        <v xml:space="preserve">http://slimages.macys.com/is/image/MCY/14447244 </v>
      </c>
    </row>
    <row r="305" spans="1:13" ht="60" x14ac:dyDescent="0.25">
      <c r="A305" s="7" t="s">
        <v>13701</v>
      </c>
      <c r="B305" s="2" t="s">
        <v>13702</v>
      </c>
      <c r="C305" s="4">
        <v>1</v>
      </c>
      <c r="D305" s="5">
        <v>5.25</v>
      </c>
      <c r="E305" s="5">
        <v>10.5</v>
      </c>
      <c r="F305" s="4">
        <v>27854210</v>
      </c>
      <c r="G305" s="2" t="s">
        <v>41</v>
      </c>
      <c r="H305" s="7" t="s">
        <v>144</v>
      </c>
      <c r="I305" s="2" t="s">
        <v>487</v>
      </c>
      <c r="J305" s="2" t="s">
        <v>488</v>
      </c>
      <c r="K305" s="2" t="s">
        <v>304</v>
      </c>
      <c r="L305" s="2" t="s">
        <v>38</v>
      </c>
      <c r="M305" s="8" t="str">
        <f>HYPERLINK("http://slimages.macys.com/is/image/MCY/13852912 ")</f>
        <v xml:space="preserve">http://slimages.macys.com/is/image/MCY/13852912 </v>
      </c>
    </row>
    <row r="306" spans="1:13" ht="60" x14ac:dyDescent="0.25">
      <c r="A306" s="7" t="s">
        <v>13703</v>
      </c>
      <c r="B306" s="2" t="s">
        <v>13704</v>
      </c>
      <c r="C306" s="4">
        <v>1</v>
      </c>
      <c r="D306" s="5">
        <v>5.25</v>
      </c>
      <c r="E306" s="5">
        <v>10.5</v>
      </c>
      <c r="F306" s="4">
        <v>27854010</v>
      </c>
      <c r="G306" s="2" t="s">
        <v>653</v>
      </c>
      <c r="H306" s="7" t="s">
        <v>144</v>
      </c>
      <c r="I306" s="2" t="s">
        <v>487</v>
      </c>
      <c r="J306" s="2" t="s">
        <v>488</v>
      </c>
      <c r="K306" s="2" t="s">
        <v>304</v>
      </c>
      <c r="L306" s="2" t="s">
        <v>38</v>
      </c>
      <c r="M306" s="8" t="str">
        <f>HYPERLINK("http://slimages.macys.com/is/image/MCY/13852902 ")</f>
        <v xml:space="preserve">http://slimages.macys.com/is/image/MCY/13852902 </v>
      </c>
    </row>
    <row r="307" spans="1:13" ht="96" x14ac:dyDescent="0.25">
      <c r="A307" s="7" t="s">
        <v>13386</v>
      </c>
      <c r="B307" s="2" t="s">
        <v>13381</v>
      </c>
      <c r="C307" s="4">
        <v>1</v>
      </c>
      <c r="D307" s="5">
        <v>5.25</v>
      </c>
      <c r="E307" s="5">
        <v>14.99</v>
      </c>
      <c r="F307" s="4" t="s">
        <v>13382</v>
      </c>
      <c r="G307" s="2" t="s">
        <v>129</v>
      </c>
      <c r="H307" s="7" t="s">
        <v>442</v>
      </c>
      <c r="I307" s="2" t="s">
        <v>135</v>
      </c>
      <c r="J307" s="2" t="s">
        <v>1076</v>
      </c>
      <c r="K307" s="2" t="s">
        <v>304</v>
      </c>
      <c r="L307" s="2" t="s">
        <v>1948</v>
      </c>
      <c r="M307" s="8" t="str">
        <f>HYPERLINK("http://slimages.macys.com/is/image/MCY/15654539 ")</f>
        <v xml:space="preserve">http://slimages.macys.com/is/image/MCY/15654539 </v>
      </c>
    </row>
    <row r="308" spans="1:13" ht="96" x14ac:dyDescent="0.25">
      <c r="A308" s="7" t="s">
        <v>13383</v>
      </c>
      <c r="B308" s="2" t="s">
        <v>13381</v>
      </c>
      <c r="C308" s="4">
        <v>1</v>
      </c>
      <c r="D308" s="5">
        <v>5.25</v>
      </c>
      <c r="E308" s="5">
        <v>14.99</v>
      </c>
      <c r="F308" s="4" t="s">
        <v>13382</v>
      </c>
      <c r="G308" s="2" t="s">
        <v>129</v>
      </c>
      <c r="H308" s="7" t="s">
        <v>42</v>
      </c>
      <c r="I308" s="2" t="s">
        <v>135</v>
      </c>
      <c r="J308" s="2" t="s">
        <v>1076</v>
      </c>
      <c r="K308" s="2" t="s">
        <v>304</v>
      </c>
      <c r="L308" s="2" t="s">
        <v>1948</v>
      </c>
      <c r="M308" s="8" t="str">
        <f>HYPERLINK("http://slimages.macys.com/is/image/MCY/15654539 ")</f>
        <v xml:space="preserve">http://slimages.macys.com/is/image/MCY/15654539 </v>
      </c>
    </row>
    <row r="309" spans="1:13" ht="96" x14ac:dyDescent="0.25">
      <c r="A309" s="7" t="s">
        <v>2653</v>
      </c>
      <c r="B309" s="2" t="s">
        <v>2654</v>
      </c>
      <c r="C309" s="4">
        <v>2</v>
      </c>
      <c r="D309" s="5">
        <v>5.25</v>
      </c>
      <c r="E309" s="5">
        <v>14.99</v>
      </c>
      <c r="F309" s="4" t="s">
        <v>2655</v>
      </c>
      <c r="G309" s="2" t="s">
        <v>48</v>
      </c>
      <c r="H309" s="7" t="s">
        <v>42</v>
      </c>
      <c r="I309" s="2" t="s">
        <v>135</v>
      </c>
      <c r="J309" s="2" t="s">
        <v>1076</v>
      </c>
      <c r="K309" s="2" t="s">
        <v>304</v>
      </c>
      <c r="L309" s="2" t="s">
        <v>1948</v>
      </c>
      <c r="M309" s="8" t="str">
        <f>HYPERLINK("http://slimages.macys.com/is/image/MCY/15654520 ")</f>
        <v xml:space="preserve">http://slimages.macys.com/is/image/MCY/15654520 </v>
      </c>
    </row>
    <row r="310" spans="1:13" ht="96" x14ac:dyDescent="0.25">
      <c r="A310" s="7" t="s">
        <v>13705</v>
      </c>
      <c r="B310" s="2" t="s">
        <v>4186</v>
      </c>
      <c r="C310" s="4">
        <v>1</v>
      </c>
      <c r="D310" s="5">
        <v>5.25</v>
      </c>
      <c r="E310" s="5">
        <v>14.99</v>
      </c>
      <c r="F310" s="4" t="s">
        <v>4187</v>
      </c>
      <c r="G310" s="2" t="s">
        <v>28</v>
      </c>
      <c r="H310" s="7" t="s">
        <v>442</v>
      </c>
      <c r="I310" s="2" t="s">
        <v>135</v>
      </c>
      <c r="J310" s="2" t="s">
        <v>1076</v>
      </c>
      <c r="K310" s="2" t="s">
        <v>304</v>
      </c>
      <c r="L310" s="2" t="s">
        <v>1948</v>
      </c>
      <c r="M310" s="8" t="str">
        <f>HYPERLINK("http://slimages.macys.com/is/image/MCY/15654516 ")</f>
        <v xml:space="preserve">http://slimages.macys.com/is/image/MCY/15654516 </v>
      </c>
    </row>
    <row r="311" spans="1:13" ht="96" x14ac:dyDescent="0.25">
      <c r="A311" s="7" t="s">
        <v>13706</v>
      </c>
      <c r="B311" s="2" t="s">
        <v>2649</v>
      </c>
      <c r="C311" s="4">
        <v>1</v>
      </c>
      <c r="D311" s="5">
        <v>5.25</v>
      </c>
      <c r="E311" s="5">
        <v>14.99</v>
      </c>
      <c r="F311" s="4" t="s">
        <v>2650</v>
      </c>
      <c r="G311" s="2" t="s">
        <v>48</v>
      </c>
      <c r="H311" s="7" t="s">
        <v>144</v>
      </c>
      <c r="I311" s="2" t="s">
        <v>135</v>
      </c>
      <c r="J311" s="2" t="s">
        <v>1076</v>
      </c>
      <c r="K311" s="2" t="s">
        <v>304</v>
      </c>
      <c r="L311" s="2" t="s">
        <v>1948</v>
      </c>
      <c r="M311" s="8" t="str">
        <f>HYPERLINK("http://slimages.macys.com/is/image/MCY/15367969 ")</f>
        <v xml:space="preserve">http://slimages.macys.com/is/image/MCY/15367969 </v>
      </c>
    </row>
    <row r="312" spans="1:13" ht="96" x14ac:dyDescent="0.25">
      <c r="A312" s="7" t="s">
        <v>13707</v>
      </c>
      <c r="B312" s="2" t="s">
        <v>2649</v>
      </c>
      <c r="C312" s="4">
        <v>1</v>
      </c>
      <c r="D312" s="5">
        <v>5.25</v>
      </c>
      <c r="E312" s="5">
        <v>14.99</v>
      </c>
      <c r="F312" s="4" t="s">
        <v>2650</v>
      </c>
      <c r="G312" s="2" t="s">
        <v>48</v>
      </c>
      <c r="H312" s="7" t="s">
        <v>42</v>
      </c>
      <c r="I312" s="2" t="s">
        <v>135</v>
      </c>
      <c r="J312" s="2" t="s">
        <v>1076</v>
      </c>
      <c r="K312" s="2" t="s">
        <v>304</v>
      </c>
      <c r="L312" s="2" t="s">
        <v>1948</v>
      </c>
      <c r="M312" s="8" t="str">
        <f>HYPERLINK("http://slimages.macys.com/is/image/MCY/15367911 ")</f>
        <v xml:space="preserve">http://slimages.macys.com/is/image/MCY/15367911 </v>
      </c>
    </row>
    <row r="313" spans="1:13" ht="60" x14ac:dyDescent="0.25">
      <c r="A313" s="7" t="s">
        <v>3416</v>
      </c>
      <c r="B313" s="2" t="s">
        <v>534</v>
      </c>
      <c r="C313" s="4">
        <v>1</v>
      </c>
      <c r="D313" s="5">
        <v>5.0999999999999996</v>
      </c>
      <c r="E313" s="5">
        <v>13.5</v>
      </c>
      <c r="F313" s="4" t="s">
        <v>535</v>
      </c>
      <c r="G313" s="2" t="s">
        <v>297</v>
      </c>
      <c r="H313" s="7"/>
      <c r="I313" s="2" t="s">
        <v>483</v>
      </c>
      <c r="J313" s="2" t="s">
        <v>536</v>
      </c>
      <c r="K313" s="2" t="s">
        <v>304</v>
      </c>
      <c r="L313" s="2" t="s">
        <v>537</v>
      </c>
      <c r="M313" s="8" t="str">
        <f>HYPERLINK("http://slimages.macys.com/is/image/MCY/9157948 ")</f>
        <v xml:space="preserve">http://slimages.macys.com/is/image/MCY/9157948 </v>
      </c>
    </row>
    <row r="314" spans="1:13" ht="60" x14ac:dyDescent="0.25">
      <c r="A314" s="7" t="s">
        <v>4188</v>
      </c>
      <c r="B314" s="2" t="s">
        <v>534</v>
      </c>
      <c r="C314" s="4">
        <v>3</v>
      </c>
      <c r="D314" s="5">
        <v>5.0999999999999996</v>
      </c>
      <c r="E314" s="5">
        <v>13.5</v>
      </c>
      <c r="F314" s="4">
        <v>100006338</v>
      </c>
      <c r="G314" s="2" t="s">
        <v>86</v>
      </c>
      <c r="H314" s="7"/>
      <c r="I314" s="2" t="s">
        <v>483</v>
      </c>
      <c r="J314" s="2" t="s">
        <v>536</v>
      </c>
      <c r="K314" s="2" t="s">
        <v>304</v>
      </c>
      <c r="L314" s="2" t="s">
        <v>537</v>
      </c>
      <c r="M314" s="8" t="str">
        <f>HYPERLINK("http://slimages.macys.com/is/image/MCY/9157948 ")</f>
        <v xml:space="preserve">http://slimages.macys.com/is/image/MCY/9157948 </v>
      </c>
    </row>
    <row r="315" spans="1:13" ht="60" x14ac:dyDescent="0.25">
      <c r="A315" s="7" t="s">
        <v>2656</v>
      </c>
      <c r="B315" s="2" t="s">
        <v>534</v>
      </c>
      <c r="C315" s="4">
        <v>1</v>
      </c>
      <c r="D315" s="5">
        <v>5.0999999999999996</v>
      </c>
      <c r="E315" s="5">
        <v>13.5</v>
      </c>
      <c r="F315" s="4" t="s">
        <v>535</v>
      </c>
      <c r="G315" s="2" t="s">
        <v>86</v>
      </c>
      <c r="H315" s="7" t="s">
        <v>442</v>
      </c>
      <c r="I315" s="2" t="s">
        <v>483</v>
      </c>
      <c r="J315" s="2" t="s">
        <v>536</v>
      </c>
      <c r="K315" s="2" t="s">
        <v>304</v>
      </c>
      <c r="L315" s="2" t="s">
        <v>537</v>
      </c>
      <c r="M315" s="8" t="str">
        <f>HYPERLINK("http://slimages.macys.com/is/image/MCY/9157948 ")</f>
        <v xml:space="preserve">http://slimages.macys.com/is/image/MCY/9157948 </v>
      </c>
    </row>
    <row r="316" spans="1:13" ht="60" x14ac:dyDescent="0.25">
      <c r="A316" s="7" t="s">
        <v>3419</v>
      </c>
      <c r="B316" s="2" t="s">
        <v>3420</v>
      </c>
      <c r="C316" s="4">
        <v>1</v>
      </c>
      <c r="D316" s="5">
        <v>5.0999999999999996</v>
      </c>
      <c r="E316" s="5">
        <v>10.199999999999999</v>
      </c>
      <c r="F316" s="4">
        <v>28379610</v>
      </c>
      <c r="G316" s="2" t="s">
        <v>643</v>
      </c>
      <c r="H316" s="7" t="s">
        <v>144</v>
      </c>
      <c r="I316" s="2" t="s">
        <v>487</v>
      </c>
      <c r="J316" s="2" t="s">
        <v>488</v>
      </c>
      <c r="K316" s="2" t="s">
        <v>304</v>
      </c>
      <c r="L316" s="2" t="s">
        <v>206</v>
      </c>
      <c r="M316" s="8" t="str">
        <f>HYPERLINK("http://slimages.macys.com/is/image/MCY/13743113 ")</f>
        <v xml:space="preserve">http://slimages.macys.com/is/image/MCY/13743113 </v>
      </c>
    </row>
    <row r="317" spans="1:13" ht="60" x14ac:dyDescent="0.25">
      <c r="A317" s="7" t="s">
        <v>3425</v>
      </c>
      <c r="B317" s="2" t="s">
        <v>534</v>
      </c>
      <c r="C317" s="4">
        <v>1</v>
      </c>
      <c r="D317" s="5">
        <v>5.0999999999999996</v>
      </c>
      <c r="E317" s="5">
        <v>13.5</v>
      </c>
      <c r="F317" s="4" t="s">
        <v>535</v>
      </c>
      <c r="G317" s="2" t="s">
        <v>297</v>
      </c>
      <c r="H317" s="7" t="s">
        <v>149</v>
      </c>
      <c r="I317" s="2" t="s">
        <v>483</v>
      </c>
      <c r="J317" s="2" t="s">
        <v>536</v>
      </c>
      <c r="K317" s="2" t="s">
        <v>304</v>
      </c>
      <c r="L317" s="2" t="s">
        <v>537</v>
      </c>
      <c r="M317" s="8" t="str">
        <f t="shared" ref="M317:M326" si="0">HYPERLINK("http://slimages.macys.com/is/image/MCY/9157948 ")</f>
        <v xml:space="preserve">http://slimages.macys.com/is/image/MCY/9157948 </v>
      </c>
    </row>
    <row r="318" spans="1:13" ht="60" x14ac:dyDescent="0.25">
      <c r="A318" s="7" t="s">
        <v>13708</v>
      </c>
      <c r="B318" s="2" t="s">
        <v>534</v>
      </c>
      <c r="C318" s="4">
        <v>1</v>
      </c>
      <c r="D318" s="5">
        <v>5.0999999999999996</v>
      </c>
      <c r="E318" s="5">
        <v>13.5</v>
      </c>
      <c r="F318" s="4">
        <v>100006338</v>
      </c>
      <c r="G318" s="2" t="s">
        <v>297</v>
      </c>
      <c r="H318" s="7" t="s">
        <v>442</v>
      </c>
      <c r="I318" s="2" t="s">
        <v>483</v>
      </c>
      <c r="J318" s="2" t="s">
        <v>536</v>
      </c>
      <c r="K318" s="2" t="s">
        <v>304</v>
      </c>
      <c r="L318" s="2" t="s">
        <v>537</v>
      </c>
      <c r="M318" s="8" t="str">
        <f t="shared" si="0"/>
        <v xml:space="preserve">http://slimages.macys.com/is/image/MCY/9157948 </v>
      </c>
    </row>
    <row r="319" spans="1:13" ht="60" x14ac:dyDescent="0.25">
      <c r="A319" s="7" t="s">
        <v>13709</v>
      </c>
      <c r="B319" s="2" t="s">
        <v>534</v>
      </c>
      <c r="C319" s="4">
        <v>3</v>
      </c>
      <c r="D319" s="5">
        <v>5.0999999999999996</v>
      </c>
      <c r="E319" s="5">
        <v>13.5</v>
      </c>
      <c r="F319" s="4">
        <v>100006338</v>
      </c>
      <c r="G319" s="2" t="s">
        <v>297</v>
      </c>
      <c r="H319" s="7" t="s">
        <v>91</v>
      </c>
      <c r="I319" s="2" t="s">
        <v>483</v>
      </c>
      <c r="J319" s="2" t="s">
        <v>536</v>
      </c>
      <c r="K319" s="2" t="s">
        <v>304</v>
      </c>
      <c r="L319" s="2" t="s">
        <v>537</v>
      </c>
      <c r="M319" s="8" t="str">
        <f t="shared" si="0"/>
        <v xml:space="preserve">http://slimages.macys.com/is/image/MCY/9157948 </v>
      </c>
    </row>
    <row r="320" spans="1:13" ht="60" x14ac:dyDescent="0.25">
      <c r="A320" s="7" t="s">
        <v>13710</v>
      </c>
      <c r="B320" s="2" t="s">
        <v>534</v>
      </c>
      <c r="C320" s="4">
        <v>1</v>
      </c>
      <c r="D320" s="5">
        <v>5.0999999999999996</v>
      </c>
      <c r="E320" s="5">
        <v>13.5</v>
      </c>
      <c r="F320" s="4">
        <v>100006338</v>
      </c>
      <c r="G320" s="2" t="s">
        <v>86</v>
      </c>
      <c r="H320" s="7" t="s">
        <v>42</v>
      </c>
      <c r="I320" s="2" t="s">
        <v>483</v>
      </c>
      <c r="J320" s="2" t="s">
        <v>536</v>
      </c>
      <c r="K320" s="2" t="s">
        <v>304</v>
      </c>
      <c r="L320" s="2" t="s">
        <v>537</v>
      </c>
      <c r="M320" s="8" t="str">
        <f t="shared" si="0"/>
        <v xml:space="preserve">http://slimages.macys.com/is/image/MCY/9157948 </v>
      </c>
    </row>
    <row r="321" spans="1:13" ht="60" x14ac:dyDescent="0.25">
      <c r="A321" s="7" t="s">
        <v>3418</v>
      </c>
      <c r="B321" s="2" t="s">
        <v>534</v>
      </c>
      <c r="C321" s="4">
        <v>1</v>
      </c>
      <c r="D321" s="5">
        <v>5.0999999999999996</v>
      </c>
      <c r="E321" s="5">
        <v>13.5</v>
      </c>
      <c r="F321" s="4">
        <v>100006338</v>
      </c>
      <c r="G321" s="2" t="s">
        <v>86</v>
      </c>
      <c r="H321" s="7" t="s">
        <v>590</v>
      </c>
      <c r="I321" s="2" t="s">
        <v>483</v>
      </c>
      <c r="J321" s="2" t="s">
        <v>536</v>
      </c>
      <c r="K321" s="2" t="s">
        <v>304</v>
      </c>
      <c r="L321" s="2" t="s">
        <v>537</v>
      </c>
      <c r="M321" s="8" t="str">
        <f t="shared" si="0"/>
        <v xml:space="preserve">http://slimages.macys.com/is/image/MCY/9157948 </v>
      </c>
    </row>
    <row r="322" spans="1:13" ht="60" x14ac:dyDescent="0.25">
      <c r="A322" s="7" t="s">
        <v>4189</v>
      </c>
      <c r="B322" s="2" t="s">
        <v>534</v>
      </c>
      <c r="C322" s="4">
        <v>10</v>
      </c>
      <c r="D322" s="5">
        <v>5.0999999999999996</v>
      </c>
      <c r="E322" s="5">
        <v>13.5</v>
      </c>
      <c r="F322" s="4" t="s">
        <v>535</v>
      </c>
      <c r="G322" s="2" t="s">
        <v>86</v>
      </c>
      <c r="H322" s="7" t="s">
        <v>149</v>
      </c>
      <c r="I322" s="2" t="s">
        <v>483</v>
      </c>
      <c r="J322" s="2" t="s">
        <v>536</v>
      </c>
      <c r="K322" s="2" t="s">
        <v>304</v>
      </c>
      <c r="L322" s="2" t="s">
        <v>537</v>
      </c>
      <c r="M322" s="8" t="str">
        <f t="shared" si="0"/>
        <v xml:space="preserve">http://slimages.macys.com/is/image/MCY/9157948 </v>
      </c>
    </row>
    <row r="323" spans="1:13" ht="60" x14ac:dyDescent="0.25">
      <c r="A323" s="7" t="s">
        <v>533</v>
      </c>
      <c r="B323" s="2" t="s">
        <v>534</v>
      </c>
      <c r="C323" s="4">
        <v>9</v>
      </c>
      <c r="D323" s="5">
        <v>5.0999999999999996</v>
      </c>
      <c r="E323" s="5">
        <v>13.5</v>
      </c>
      <c r="F323" s="4" t="s">
        <v>535</v>
      </c>
      <c r="G323" s="2" t="s">
        <v>86</v>
      </c>
      <c r="H323" s="7"/>
      <c r="I323" s="2" t="s">
        <v>483</v>
      </c>
      <c r="J323" s="2" t="s">
        <v>536</v>
      </c>
      <c r="K323" s="2" t="s">
        <v>304</v>
      </c>
      <c r="L323" s="2" t="s">
        <v>537</v>
      </c>
      <c r="M323" s="8" t="str">
        <f t="shared" si="0"/>
        <v xml:space="preserve">http://slimages.macys.com/is/image/MCY/9157948 </v>
      </c>
    </row>
    <row r="324" spans="1:13" ht="60" x14ac:dyDescent="0.25">
      <c r="A324" s="7" t="s">
        <v>3417</v>
      </c>
      <c r="B324" s="2" t="s">
        <v>534</v>
      </c>
      <c r="C324" s="4">
        <v>1</v>
      </c>
      <c r="D324" s="5">
        <v>5.0999999999999996</v>
      </c>
      <c r="E324" s="5">
        <v>13.5</v>
      </c>
      <c r="F324" s="4">
        <v>100006338</v>
      </c>
      <c r="G324" s="2" t="s">
        <v>297</v>
      </c>
      <c r="H324" s="7" t="s">
        <v>590</v>
      </c>
      <c r="I324" s="2" t="s">
        <v>483</v>
      </c>
      <c r="J324" s="2" t="s">
        <v>536</v>
      </c>
      <c r="K324" s="2" t="s">
        <v>304</v>
      </c>
      <c r="L324" s="2" t="s">
        <v>537</v>
      </c>
      <c r="M324" s="8" t="str">
        <f t="shared" si="0"/>
        <v xml:space="preserve">http://slimages.macys.com/is/image/MCY/9157948 </v>
      </c>
    </row>
    <row r="325" spans="1:13" ht="60" x14ac:dyDescent="0.25">
      <c r="A325" s="7" t="s">
        <v>3424</v>
      </c>
      <c r="B325" s="2" t="s">
        <v>534</v>
      </c>
      <c r="C325" s="4">
        <v>1</v>
      </c>
      <c r="D325" s="5">
        <v>5.0999999999999996</v>
      </c>
      <c r="E325" s="5">
        <v>13.5</v>
      </c>
      <c r="F325" s="4">
        <v>100006338</v>
      </c>
      <c r="G325" s="2" t="s">
        <v>86</v>
      </c>
      <c r="H325" s="7" t="s">
        <v>442</v>
      </c>
      <c r="I325" s="2" t="s">
        <v>483</v>
      </c>
      <c r="J325" s="2" t="s">
        <v>536</v>
      </c>
      <c r="K325" s="2" t="s">
        <v>304</v>
      </c>
      <c r="L325" s="2" t="s">
        <v>537</v>
      </c>
      <c r="M325" s="8" t="str">
        <f t="shared" si="0"/>
        <v xml:space="preserve">http://slimages.macys.com/is/image/MCY/9157948 </v>
      </c>
    </row>
    <row r="326" spans="1:13" ht="60" x14ac:dyDescent="0.25">
      <c r="A326" s="7" t="s">
        <v>3423</v>
      </c>
      <c r="B326" s="2" t="s">
        <v>534</v>
      </c>
      <c r="C326" s="4">
        <v>3</v>
      </c>
      <c r="D326" s="5">
        <v>5.0999999999999996</v>
      </c>
      <c r="E326" s="5">
        <v>13.5</v>
      </c>
      <c r="F326" s="4" t="s">
        <v>535</v>
      </c>
      <c r="G326" s="2" t="s">
        <v>86</v>
      </c>
      <c r="H326" s="7" t="s">
        <v>590</v>
      </c>
      <c r="I326" s="2" t="s">
        <v>483</v>
      </c>
      <c r="J326" s="2" t="s">
        <v>536</v>
      </c>
      <c r="K326" s="2" t="s">
        <v>304</v>
      </c>
      <c r="L326" s="2" t="s">
        <v>537</v>
      </c>
      <c r="M326" s="8" t="str">
        <f t="shared" si="0"/>
        <v xml:space="preserve">http://slimages.macys.com/is/image/MCY/9157948 </v>
      </c>
    </row>
    <row r="327" spans="1:13" ht="60" x14ac:dyDescent="0.25">
      <c r="A327" s="7" t="s">
        <v>13390</v>
      </c>
      <c r="B327" s="2" t="s">
        <v>13389</v>
      </c>
      <c r="C327" s="4">
        <v>1</v>
      </c>
      <c r="D327" s="5">
        <v>5</v>
      </c>
      <c r="E327" s="5">
        <v>11.37</v>
      </c>
      <c r="F327" s="4">
        <v>18486110</v>
      </c>
      <c r="G327" s="2" t="s">
        <v>28</v>
      </c>
      <c r="H327" s="7" t="s">
        <v>675</v>
      </c>
      <c r="I327" s="2" t="s">
        <v>153</v>
      </c>
      <c r="J327" s="2" t="s">
        <v>154</v>
      </c>
      <c r="K327" s="2" t="s">
        <v>304</v>
      </c>
      <c r="L327" s="2" t="s">
        <v>206</v>
      </c>
      <c r="M327" s="8" t="str">
        <f>HYPERLINK("http://slimages.macys.com/is/image/MCY/14888738 ")</f>
        <v xml:space="preserve">http://slimages.macys.com/is/image/MCY/14888738 </v>
      </c>
    </row>
    <row r="328" spans="1:13" ht="60" x14ac:dyDescent="0.25">
      <c r="A328" s="7" t="s">
        <v>13388</v>
      </c>
      <c r="B328" s="2" t="s">
        <v>13389</v>
      </c>
      <c r="C328" s="4">
        <v>1</v>
      </c>
      <c r="D328" s="5">
        <v>5</v>
      </c>
      <c r="E328" s="5">
        <v>11.37</v>
      </c>
      <c r="F328" s="4">
        <v>18486110</v>
      </c>
      <c r="G328" s="2" t="s">
        <v>28</v>
      </c>
      <c r="H328" s="7" t="s">
        <v>438</v>
      </c>
      <c r="I328" s="2" t="s">
        <v>153</v>
      </c>
      <c r="J328" s="2" t="s">
        <v>154</v>
      </c>
      <c r="K328" s="2" t="s">
        <v>304</v>
      </c>
      <c r="L328" s="2" t="s">
        <v>206</v>
      </c>
      <c r="M328" s="8" t="str">
        <f>HYPERLINK("http://slimages.macys.com/is/image/MCY/14888738 ")</f>
        <v xml:space="preserve">http://slimages.macys.com/is/image/MCY/14888738 </v>
      </c>
    </row>
    <row r="329" spans="1:13" ht="60" x14ac:dyDescent="0.25">
      <c r="A329" s="7" t="s">
        <v>13711</v>
      </c>
      <c r="B329" s="2" t="s">
        <v>6367</v>
      </c>
      <c r="C329" s="4">
        <v>1</v>
      </c>
      <c r="D329" s="5">
        <v>4.93</v>
      </c>
      <c r="E329" s="5">
        <v>12.99</v>
      </c>
      <c r="F329" s="4" t="s">
        <v>13712</v>
      </c>
      <c r="G329" s="2" t="s">
        <v>48</v>
      </c>
      <c r="H329" s="7" t="s">
        <v>228</v>
      </c>
      <c r="I329" s="2" t="s">
        <v>515</v>
      </c>
      <c r="J329" s="2" t="s">
        <v>1971</v>
      </c>
      <c r="K329" s="2" t="s">
        <v>304</v>
      </c>
      <c r="L329" s="2" t="s">
        <v>119</v>
      </c>
      <c r="M329" s="8" t="str">
        <f>HYPERLINK("http://slimages.macys.com/is/image/MCY/13121065 ")</f>
        <v xml:space="preserve">http://slimages.macys.com/is/image/MCY/13121065 </v>
      </c>
    </row>
    <row r="330" spans="1:13" ht="60" x14ac:dyDescent="0.25">
      <c r="A330" s="7" t="s">
        <v>5515</v>
      </c>
      <c r="B330" s="2" t="s">
        <v>5516</v>
      </c>
      <c r="C330" s="4">
        <v>1</v>
      </c>
      <c r="D330" s="5">
        <v>4.88</v>
      </c>
      <c r="E330" s="5">
        <v>12.99</v>
      </c>
      <c r="F330" s="4" t="s">
        <v>5517</v>
      </c>
      <c r="G330" s="2" t="s">
        <v>86</v>
      </c>
      <c r="H330" s="7" t="s">
        <v>590</v>
      </c>
      <c r="I330" s="2" t="s">
        <v>483</v>
      </c>
      <c r="J330" s="2" t="s">
        <v>536</v>
      </c>
      <c r="K330" s="2" t="s">
        <v>304</v>
      </c>
      <c r="L330" s="2" t="s">
        <v>206</v>
      </c>
      <c r="M330" s="8" t="str">
        <f>HYPERLINK("http://slimages.macys.com/is/image/MCY/14446383 ")</f>
        <v xml:space="preserve">http://slimages.macys.com/is/image/MCY/14446383 </v>
      </c>
    </row>
    <row r="331" spans="1:13" ht="60" x14ac:dyDescent="0.25">
      <c r="A331" s="7" t="s">
        <v>13713</v>
      </c>
      <c r="B331" s="2" t="s">
        <v>5516</v>
      </c>
      <c r="C331" s="4">
        <v>1</v>
      </c>
      <c r="D331" s="5">
        <v>4.88</v>
      </c>
      <c r="E331" s="5">
        <v>12.99</v>
      </c>
      <c r="F331" s="4" t="s">
        <v>5517</v>
      </c>
      <c r="G331" s="2" t="s">
        <v>86</v>
      </c>
      <c r="H331" s="7" t="s">
        <v>42</v>
      </c>
      <c r="I331" s="2" t="s">
        <v>483</v>
      </c>
      <c r="J331" s="2" t="s">
        <v>536</v>
      </c>
      <c r="K331" s="2" t="s">
        <v>304</v>
      </c>
      <c r="L331" s="2" t="s">
        <v>206</v>
      </c>
      <c r="M331" s="8" t="str">
        <f>HYPERLINK("http://slimages.macys.com/is/image/MCY/14446383 ")</f>
        <v xml:space="preserve">http://slimages.macys.com/is/image/MCY/14446383 </v>
      </c>
    </row>
    <row r="332" spans="1:13" ht="60" x14ac:dyDescent="0.25">
      <c r="A332" s="7" t="s">
        <v>2663</v>
      </c>
      <c r="B332" s="2" t="s">
        <v>2661</v>
      </c>
      <c r="C332" s="4">
        <v>1</v>
      </c>
      <c r="D332" s="5">
        <v>4.88</v>
      </c>
      <c r="E332" s="5">
        <v>12.99</v>
      </c>
      <c r="F332" s="4" t="s">
        <v>2662</v>
      </c>
      <c r="G332" s="2" t="s">
        <v>134</v>
      </c>
      <c r="H332" s="7" t="s">
        <v>590</v>
      </c>
      <c r="I332" s="2" t="s">
        <v>483</v>
      </c>
      <c r="J332" s="2" t="s">
        <v>536</v>
      </c>
      <c r="K332" s="2" t="s">
        <v>304</v>
      </c>
      <c r="L332" s="2" t="s">
        <v>38</v>
      </c>
      <c r="M332" s="8" t="str">
        <f>HYPERLINK("http://slimages.macys.com/is/image/MCY/14517553 ")</f>
        <v xml:space="preserve">http://slimages.macys.com/is/image/MCY/14517553 </v>
      </c>
    </row>
    <row r="333" spans="1:13" ht="60" x14ac:dyDescent="0.25">
      <c r="A333" s="7" t="s">
        <v>5041</v>
      </c>
      <c r="B333" s="2" t="s">
        <v>2661</v>
      </c>
      <c r="C333" s="4">
        <v>2</v>
      </c>
      <c r="D333" s="5">
        <v>4.88</v>
      </c>
      <c r="E333" s="5">
        <v>12.99</v>
      </c>
      <c r="F333" s="4" t="s">
        <v>2662</v>
      </c>
      <c r="G333" s="2" t="s">
        <v>134</v>
      </c>
      <c r="H333" s="7" t="s">
        <v>149</v>
      </c>
      <c r="I333" s="2" t="s">
        <v>483</v>
      </c>
      <c r="J333" s="2" t="s">
        <v>536</v>
      </c>
      <c r="K333" s="2" t="s">
        <v>304</v>
      </c>
      <c r="L333" s="2" t="s">
        <v>38</v>
      </c>
      <c r="M333" s="8" t="str">
        <f>HYPERLINK("http://slimages.macys.com/is/image/MCY/14517553 ")</f>
        <v xml:space="preserve">http://slimages.macys.com/is/image/MCY/14517553 </v>
      </c>
    </row>
    <row r="334" spans="1:13" ht="60" x14ac:dyDescent="0.25">
      <c r="A334" s="7" t="s">
        <v>3440</v>
      </c>
      <c r="B334" s="2" t="s">
        <v>2661</v>
      </c>
      <c r="C334" s="4">
        <v>2</v>
      </c>
      <c r="D334" s="5">
        <v>4.88</v>
      </c>
      <c r="E334" s="5">
        <v>12.99</v>
      </c>
      <c r="F334" s="4" t="s">
        <v>2662</v>
      </c>
      <c r="G334" s="2" t="s">
        <v>134</v>
      </c>
      <c r="H334" s="7" t="s">
        <v>442</v>
      </c>
      <c r="I334" s="2" t="s">
        <v>483</v>
      </c>
      <c r="J334" s="2" t="s">
        <v>536</v>
      </c>
      <c r="K334" s="2" t="s">
        <v>304</v>
      </c>
      <c r="L334" s="2" t="s">
        <v>38</v>
      </c>
      <c r="M334" s="8" t="str">
        <f>HYPERLINK("http://slimages.macys.com/is/image/MCY/14517553 ")</f>
        <v xml:space="preserve">http://slimages.macys.com/is/image/MCY/14517553 </v>
      </c>
    </row>
    <row r="335" spans="1:13" ht="60" x14ac:dyDescent="0.25">
      <c r="A335" s="7" t="s">
        <v>13714</v>
      </c>
      <c r="B335" s="2" t="s">
        <v>1983</v>
      </c>
      <c r="C335" s="4">
        <v>5</v>
      </c>
      <c r="D335" s="5">
        <v>4.82</v>
      </c>
      <c r="E335" s="5">
        <v>12.99</v>
      </c>
      <c r="F335" s="4" t="s">
        <v>1984</v>
      </c>
      <c r="G335" s="2" t="s">
        <v>297</v>
      </c>
      <c r="H335" s="7" t="s">
        <v>590</v>
      </c>
      <c r="I335" s="2" t="s">
        <v>483</v>
      </c>
      <c r="J335" s="2" t="s">
        <v>536</v>
      </c>
      <c r="K335" s="2" t="s">
        <v>304</v>
      </c>
      <c r="L335" s="2" t="s">
        <v>38</v>
      </c>
      <c r="M335" s="8" t="str">
        <f>HYPERLINK("http://slimages.macys.com/is/image/MCY/14384811 ")</f>
        <v xml:space="preserve">http://slimages.macys.com/is/image/MCY/14384811 </v>
      </c>
    </row>
    <row r="336" spans="1:13" ht="60" x14ac:dyDescent="0.25">
      <c r="A336" s="7" t="s">
        <v>13715</v>
      </c>
      <c r="B336" s="2" t="s">
        <v>1983</v>
      </c>
      <c r="C336" s="4">
        <v>4</v>
      </c>
      <c r="D336" s="5">
        <v>4.82</v>
      </c>
      <c r="E336" s="5">
        <v>12.99</v>
      </c>
      <c r="F336" s="4" t="s">
        <v>1984</v>
      </c>
      <c r="G336" s="2" t="s">
        <v>297</v>
      </c>
      <c r="H336" s="7" t="s">
        <v>442</v>
      </c>
      <c r="I336" s="2" t="s">
        <v>483</v>
      </c>
      <c r="J336" s="2" t="s">
        <v>536</v>
      </c>
      <c r="K336" s="2" t="s">
        <v>304</v>
      </c>
      <c r="L336" s="2" t="s">
        <v>38</v>
      </c>
      <c r="M336" s="8" t="str">
        <f>HYPERLINK("http://slimages.macys.com/is/image/MCY/14384811 ")</f>
        <v xml:space="preserve">http://slimages.macys.com/is/image/MCY/14384811 </v>
      </c>
    </row>
    <row r="337" spans="1:13" ht="60" x14ac:dyDescent="0.25">
      <c r="A337" s="7" t="s">
        <v>1982</v>
      </c>
      <c r="B337" s="2" t="s">
        <v>1983</v>
      </c>
      <c r="C337" s="4">
        <v>1</v>
      </c>
      <c r="D337" s="5">
        <v>4.82</v>
      </c>
      <c r="E337" s="5">
        <v>12.99</v>
      </c>
      <c r="F337" s="4" t="s">
        <v>1984</v>
      </c>
      <c r="G337" s="2" t="s">
        <v>297</v>
      </c>
      <c r="H337" s="7" t="s">
        <v>42</v>
      </c>
      <c r="I337" s="2" t="s">
        <v>483</v>
      </c>
      <c r="J337" s="2" t="s">
        <v>536</v>
      </c>
      <c r="K337" s="2" t="s">
        <v>304</v>
      </c>
      <c r="L337" s="2" t="s">
        <v>38</v>
      </c>
      <c r="M337" s="8" t="str">
        <f>HYPERLINK("http://slimages.macys.com/is/image/MCY/14384811 ")</f>
        <v xml:space="preserve">http://slimages.macys.com/is/image/MCY/14384811 </v>
      </c>
    </row>
    <row r="338" spans="1:13" ht="60" x14ac:dyDescent="0.25">
      <c r="A338" s="7" t="s">
        <v>13716</v>
      </c>
      <c r="B338" s="2" t="s">
        <v>539</v>
      </c>
      <c r="C338" s="4">
        <v>1</v>
      </c>
      <c r="D338" s="5">
        <v>4.76</v>
      </c>
      <c r="E338" s="5">
        <v>12.99</v>
      </c>
      <c r="F338" s="4" t="s">
        <v>540</v>
      </c>
      <c r="G338" s="2" t="s">
        <v>62</v>
      </c>
      <c r="H338" s="7" t="s">
        <v>442</v>
      </c>
      <c r="I338" s="2" t="s">
        <v>483</v>
      </c>
      <c r="J338" s="2" t="s">
        <v>536</v>
      </c>
      <c r="K338" s="2" t="s">
        <v>304</v>
      </c>
      <c r="L338" s="2" t="s">
        <v>38</v>
      </c>
      <c r="M338" s="8" t="str">
        <f>HYPERLINK("http://slimages.macys.com/is/image/MCY/14385161 ")</f>
        <v xml:space="preserve">http://slimages.macys.com/is/image/MCY/14385161 </v>
      </c>
    </row>
    <row r="339" spans="1:13" ht="60" x14ac:dyDescent="0.25">
      <c r="A339" s="7" t="s">
        <v>13717</v>
      </c>
      <c r="B339" s="2" t="s">
        <v>13718</v>
      </c>
      <c r="C339" s="4">
        <v>1</v>
      </c>
      <c r="D339" s="5">
        <v>4.75</v>
      </c>
      <c r="E339" s="5">
        <v>9.99</v>
      </c>
      <c r="F339" s="4" t="s">
        <v>13719</v>
      </c>
      <c r="G339" s="2" t="s">
        <v>28</v>
      </c>
      <c r="H339" s="7" t="s">
        <v>196</v>
      </c>
      <c r="I339" s="2" t="s">
        <v>523</v>
      </c>
      <c r="J339" s="2" t="s">
        <v>13720</v>
      </c>
      <c r="K339" s="2" t="s">
        <v>304</v>
      </c>
      <c r="L339" s="2" t="s">
        <v>323</v>
      </c>
      <c r="M339" s="8" t="str">
        <f>HYPERLINK("http://slimages.macys.com/is/image/MCY/2568984 ")</f>
        <v xml:space="preserve">http://slimages.macys.com/is/image/MCY/2568984 </v>
      </c>
    </row>
    <row r="340" spans="1:13" ht="108" x14ac:dyDescent="0.25">
      <c r="A340" s="7" t="s">
        <v>1995</v>
      </c>
      <c r="B340" s="2" t="s">
        <v>1996</v>
      </c>
      <c r="C340" s="4">
        <v>3</v>
      </c>
      <c r="D340" s="5">
        <v>4.67</v>
      </c>
      <c r="E340" s="5">
        <v>12</v>
      </c>
      <c r="F340" s="4" t="s">
        <v>1997</v>
      </c>
      <c r="G340" s="2" t="s">
        <v>437</v>
      </c>
      <c r="H340" s="7" t="s">
        <v>149</v>
      </c>
      <c r="I340" s="2" t="s">
        <v>483</v>
      </c>
      <c r="J340" s="2" t="s">
        <v>536</v>
      </c>
      <c r="K340" s="2" t="s">
        <v>304</v>
      </c>
      <c r="L340" s="2" t="s">
        <v>1998</v>
      </c>
      <c r="M340" s="8" t="str">
        <f>HYPERLINK("http://slimages.macys.com/is/image/MCY/12466268 ")</f>
        <v xml:space="preserve">http://slimages.macys.com/is/image/MCY/12466268 </v>
      </c>
    </row>
    <row r="341" spans="1:13" ht="60" x14ac:dyDescent="0.25">
      <c r="A341" s="7" t="s">
        <v>2001</v>
      </c>
      <c r="B341" s="2" t="s">
        <v>2002</v>
      </c>
      <c r="C341" s="4">
        <v>1</v>
      </c>
      <c r="D341" s="5">
        <v>4.6500000000000004</v>
      </c>
      <c r="E341" s="5">
        <v>14.99</v>
      </c>
      <c r="F341" s="4" t="s">
        <v>2003</v>
      </c>
      <c r="G341" s="2" t="s">
        <v>657</v>
      </c>
      <c r="H341" s="7" t="s">
        <v>123</v>
      </c>
      <c r="I341" s="2" t="s">
        <v>292</v>
      </c>
      <c r="J341" s="2" t="s">
        <v>354</v>
      </c>
      <c r="K341" s="2" t="s">
        <v>304</v>
      </c>
      <c r="L341" s="2" t="s">
        <v>125</v>
      </c>
      <c r="M341" s="8" t="str">
        <f>HYPERLINK("http://slimages.macys.com/is/image/MCY/13893167 ")</f>
        <v xml:space="preserve">http://slimages.macys.com/is/image/MCY/13893167 </v>
      </c>
    </row>
    <row r="342" spans="1:13" ht="60" x14ac:dyDescent="0.25">
      <c r="A342" s="7" t="s">
        <v>13721</v>
      </c>
      <c r="B342" s="2" t="s">
        <v>7743</v>
      </c>
      <c r="C342" s="4">
        <v>1</v>
      </c>
      <c r="D342" s="5">
        <v>4.6500000000000004</v>
      </c>
      <c r="E342" s="5">
        <v>12.99</v>
      </c>
      <c r="F342" s="4" t="s">
        <v>7744</v>
      </c>
      <c r="G342" s="2" t="s">
        <v>297</v>
      </c>
      <c r="H342" s="7" t="s">
        <v>159</v>
      </c>
      <c r="I342" s="2" t="s">
        <v>218</v>
      </c>
      <c r="J342" s="2" t="s">
        <v>1740</v>
      </c>
      <c r="K342" s="2" t="s">
        <v>304</v>
      </c>
      <c r="L342" s="2" t="s">
        <v>119</v>
      </c>
      <c r="M342" s="8" t="str">
        <f>HYPERLINK("http://slimages.macys.com/is/image/MCY/11952741 ")</f>
        <v xml:space="preserve">http://slimages.macys.com/is/image/MCY/11952741 </v>
      </c>
    </row>
    <row r="343" spans="1:13" ht="84" x14ac:dyDescent="0.25">
      <c r="A343" s="7" t="s">
        <v>1114</v>
      </c>
      <c r="B343" s="2" t="s">
        <v>1115</v>
      </c>
      <c r="C343" s="4">
        <v>1</v>
      </c>
      <c r="D343" s="5">
        <v>4.59</v>
      </c>
      <c r="E343" s="5">
        <v>12.99</v>
      </c>
      <c r="F343" s="4" t="s">
        <v>1116</v>
      </c>
      <c r="G343" s="2" t="s">
        <v>28</v>
      </c>
      <c r="H343" s="7" t="s">
        <v>196</v>
      </c>
      <c r="I343" s="2" t="s">
        <v>515</v>
      </c>
      <c r="J343" s="2" t="s">
        <v>827</v>
      </c>
      <c r="K343" s="2" t="s">
        <v>304</v>
      </c>
      <c r="L343" s="2" t="s">
        <v>1117</v>
      </c>
      <c r="M343" s="8" t="str">
        <f>HYPERLINK("http://slimages.macys.com/is/image/MCY/11606022 ")</f>
        <v xml:space="preserve">http://slimages.macys.com/is/image/MCY/11606022 </v>
      </c>
    </row>
    <row r="344" spans="1:13" ht="60" x14ac:dyDescent="0.25">
      <c r="A344" s="7" t="s">
        <v>12819</v>
      </c>
      <c r="B344" s="2" t="s">
        <v>6356</v>
      </c>
      <c r="C344" s="4">
        <v>1</v>
      </c>
      <c r="D344" s="5">
        <v>4.54</v>
      </c>
      <c r="E344" s="5">
        <v>10.99</v>
      </c>
      <c r="F344" s="4" t="s">
        <v>6357</v>
      </c>
      <c r="G344" s="2" t="s">
        <v>62</v>
      </c>
      <c r="H344" s="7" t="s">
        <v>311</v>
      </c>
      <c r="I344" s="2" t="s">
        <v>218</v>
      </c>
      <c r="J344" s="2" t="s">
        <v>2008</v>
      </c>
      <c r="K344" s="2" t="s">
        <v>304</v>
      </c>
      <c r="L344" s="2" t="s">
        <v>358</v>
      </c>
      <c r="M344" s="8" t="str">
        <f>HYPERLINK("http://slimages.macys.com/is/image/MCY/12684315 ")</f>
        <v xml:space="preserve">http://slimages.macys.com/is/image/MCY/12684315 </v>
      </c>
    </row>
    <row r="345" spans="1:13" ht="60" x14ac:dyDescent="0.25">
      <c r="A345" s="7" t="s">
        <v>13722</v>
      </c>
      <c r="B345" s="2" t="s">
        <v>13723</v>
      </c>
      <c r="C345" s="4">
        <v>1</v>
      </c>
      <c r="D345" s="5">
        <v>4.49</v>
      </c>
      <c r="E345" s="5">
        <v>10.99</v>
      </c>
      <c r="F345" s="4" t="s">
        <v>13724</v>
      </c>
      <c r="G345" s="2" t="s">
        <v>86</v>
      </c>
      <c r="H345" s="7" t="s">
        <v>123</v>
      </c>
      <c r="I345" s="2" t="s">
        <v>1689</v>
      </c>
      <c r="J345" s="2" t="s">
        <v>354</v>
      </c>
      <c r="K345" s="2" t="s">
        <v>304</v>
      </c>
      <c r="L345" s="2" t="s">
        <v>358</v>
      </c>
      <c r="M345" s="8" t="str">
        <f>HYPERLINK("http://slimages.macys.com/is/image/MCY/12507240 ")</f>
        <v xml:space="preserve">http://slimages.macys.com/is/image/MCY/12507240 </v>
      </c>
    </row>
    <row r="346" spans="1:13" ht="60" x14ac:dyDescent="0.25">
      <c r="A346" s="7" t="s">
        <v>2022</v>
      </c>
      <c r="B346" s="2" t="s">
        <v>2023</v>
      </c>
      <c r="C346" s="4">
        <v>1</v>
      </c>
      <c r="D346" s="5">
        <v>4.46</v>
      </c>
      <c r="E346" s="5">
        <v>12</v>
      </c>
      <c r="F346" s="4" t="s">
        <v>2024</v>
      </c>
      <c r="G346" s="2" t="s">
        <v>437</v>
      </c>
      <c r="H346" s="7" t="s">
        <v>586</v>
      </c>
      <c r="I346" s="2" t="s">
        <v>483</v>
      </c>
      <c r="J346" s="2" t="s">
        <v>536</v>
      </c>
      <c r="K346" s="2" t="s">
        <v>304</v>
      </c>
      <c r="L346" s="2" t="s">
        <v>1207</v>
      </c>
      <c r="M346" s="8" t="str">
        <f>HYPERLINK("http://slimages.macys.com/is/image/MCY/12466266 ")</f>
        <v xml:space="preserve">http://slimages.macys.com/is/image/MCY/12466266 </v>
      </c>
    </row>
    <row r="347" spans="1:13" ht="60" x14ac:dyDescent="0.25">
      <c r="A347" s="7" t="s">
        <v>13725</v>
      </c>
      <c r="B347" s="2" t="s">
        <v>4257</v>
      </c>
      <c r="C347" s="4">
        <v>1</v>
      </c>
      <c r="D347" s="5">
        <v>4.05</v>
      </c>
      <c r="E347" s="5">
        <v>8.1</v>
      </c>
      <c r="F347" s="4">
        <v>27852410</v>
      </c>
      <c r="G347" s="2"/>
      <c r="H347" s="7" t="s">
        <v>144</v>
      </c>
      <c r="I347" s="2" t="s">
        <v>487</v>
      </c>
      <c r="J347" s="2" t="s">
        <v>488</v>
      </c>
      <c r="K347" s="2" t="s">
        <v>304</v>
      </c>
      <c r="L347" s="2" t="s">
        <v>75</v>
      </c>
      <c r="M347" s="8" t="str">
        <f>HYPERLINK("http://slimages.macys.com/is/image/MCY/13852879 ")</f>
        <v xml:space="preserve">http://slimages.macys.com/is/image/MCY/13852879 </v>
      </c>
    </row>
    <row r="348" spans="1:13" ht="72" x14ac:dyDescent="0.25">
      <c r="A348" s="7" t="s">
        <v>13726</v>
      </c>
      <c r="B348" s="2" t="s">
        <v>6015</v>
      </c>
      <c r="C348" s="4">
        <v>1</v>
      </c>
      <c r="D348" s="5">
        <v>3.83</v>
      </c>
      <c r="E348" s="5">
        <v>9.99</v>
      </c>
      <c r="F348" s="4" t="s">
        <v>6016</v>
      </c>
      <c r="G348" s="2" t="s">
        <v>103</v>
      </c>
      <c r="H348" s="7" t="s">
        <v>123</v>
      </c>
      <c r="I348" s="2" t="s">
        <v>515</v>
      </c>
      <c r="J348" s="2" t="s">
        <v>875</v>
      </c>
      <c r="K348" s="2" t="s">
        <v>304</v>
      </c>
      <c r="L348" s="2" t="s">
        <v>6017</v>
      </c>
      <c r="M348" s="8" t="str">
        <f>HYPERLINK("http://slimages.macys.com/is/image/MCY/12387472 ")</f>
        <v xml:space="preserve">http://slimages.macys.com/is/image/MCY/12387472 </v>
      </c>
    </row>
    <row r="349" spans="1:13" ht="60" x14ac:dyDescent="0.25">
      <c r="A349" s="7" t="s">
        <v>11199</v>
      </c>
      <c r="B349" s="2" t="s">
        <v>2105</v>
      </c>
      <c r="C349" s="4">
        <v>1</v>
      </c>
      <c r="D349" s="5">
        <v>3.71</v>
      </c>
      <c r="E349" s="5">
        <v>9.99</v>
      </c>
      <c r="F349" s="4" t="s">
        <v>2106</v>
      </c>
      <c r="G349" s="2" t="s">
        <v>2107</v>
      </c>
      <c r="H349" s="7" t="s">
        <v>149</v>
      </c>
      <c r="I349" s="2" t="s">
        <v>483</v>
      </c>
      <c r="J349" s="2" t="s">
        <v>536</v>
      </c>
      <c r="K349" s="2" t="s">
        <v>304</v>
      </c>
      <c r="L349" s="2" t="s">
        <v>2108</v>
      </c>
      <c r="M349" s="8" t="str">
        <f>HYPERLINK("http://slimages.macys.com/is/image/MCY/11547262 ")</f>
        <v xml:space="preserve">http://slimages.macys.com/is/image/MCY/11547262 </v>
      </c>
    </row>
    <row r="350" spans="1:13" ht="60" x14ac:dyDescent="0.25">
      <c r="A350" s="7" t="s">
        <v>2115</v>
      </c>
      <c r="B350" s="2" t="s">
        <v>2113</v>
      </c>
      <c r="C350" s="4">
        <v>1</v>
      </c>
      <c r="D350" s="5">
        <v>3.58</v>
      </c>
      <c r="E350" s="5">
        <v>8.99</v>
      </c>
      <c r="F350" s="4" t="s">
        <v>2114</v>
      </c>
      <c r="G350" s="2" t="s">
        <v>297</v>
      </c>
      <c r="H350" s="7" t="s">
        <v>149</v>
      </c>
      <c r="I350" s="2" t="s">
        <v>483</v>
      </c>
      <c r="J350" s="2" t="s">
        <v>536</v>
      </c>
      <c r="K350" s="2" t="s">
        <v>304</v>
      </c>
      <c r="L350" s="2" t="s">
        <v>119</v>
      </c>
      <c r="M350" s="8" t="str">
        <f>HYPERLINK("http://slimages.macys.com/is/image/MCY/13987501 ")</f>
        <v xml:space="preserve">http://slimages.macys.com/is/image/MCY/13987501 </v>
      </c>
    </row>
    <row r="351" spans="1:13" ht="60" x14ac:dyDescent="0.25">
      <c r="A351" s="7" t="s">
        <v>2118</v>
      </c>
      <c r="B351" s="2" t="s">
        <v>2117</v>
      </c>
      <c r="C351" s="4">
        <v>1</v>
      </c>
      <c r="D351" s="5">
        <v>3.51</v>
      </c>
      <c r="E351" s="5">
        <v>8.99</v>
      </c>
      <c r="F351" s="4">
        <v>10006320100</v>
      </c>
      <c r="G351" s="2" t="s">
        <v>134</v>
      </c>
      <c r="H351" s="7" t="s">
        <v>590</v>
      </c>
      <c r="I351" s="2" t="s">
        <v>483</v>
      </c>
      <c r="J351" s="2" t="s">
        <v>536</v>
      </c>
      <c r="K351" s="2" t="s">
        <v>304</v>
      </c>
      <c r="L351" s="2" t="s">
        <v>38</v>
      </c>
      <c r="M351" s="8" t="str">
        <f>HYPERLINK("http://slimages.macys.com/is/image/MCY/13987499 ")</f>
        <v xml:space="preserve">http://slimages.macys.com/is/image/MCY/13987499 </v>
      </c>
    </row>
    <row r="352" spans="1:13" ht="60" x14ac:dyDescent="0.25">
      <c r="A352" s="7" t="s">
        <v>13727</v>
      </c>
      <c r="B352" s="2" t="s">
        <v>8377</v>
      </c>
      <c r="C352" s="4">
        <v>1</v>
      </c>
      <c r="D352" s="5">
        <v>3.5</v>
      </c>
      <c r="E352" s="5">
        <v>8.14</v>
      </c>
      <c r="F352" s="4">
        <v>18494710</v>
      </c>
      <c r="G352" s="2" t="s">
        <v>62</v>
      </c>
      <c r="H352" s="7" t="s">
        <v>233</v>
      </c>
      <c r="I352" s="2" t="s">
        <v>153</v>
      </c>
      <c r="J352" s="2" t="s">
        <v>154</v>
      </c>
      <c r="K352" s="2" t="s">
        <v>304</v>
      </c>
      <c r="L352" s="2" t="s">
        <v>206</v>
      </c>
      <c r="M352" s="8" t="str">
        <f>HYPERLINK("http://slimages.macys.com/is/image/MCY/14661922 ")</f>
        <v xml:space="preserve">http://slimages.macys.com/is/image/MCY/14661922 </v>
      </c>
    </row>
    <row r="353" spans="1:13" ht="60" x14ac:dyDescent="0.25">
      <c r="A353" s="7" t="s">
        <v>13728</v>
      </c>
      <c r="B353" s="2" t="s">
        <v>8377</v>
      </c>
      <c r="C353" s="4">
        <v>1</v>
      </c>
      <c r="D353" s="5">
        <v>3.5</v>
      </c>
      <c r="E353" s="5">
        <v>8.14</v>
      </c>
      <c r="F353" s="4">
        <v>18494710</v>
      </c>
      <c r="G353" s="2" t="s">
        <v>62</v>
      </c>
      <c r="H353" s="7" t="s">
        <v>482</v>
      </c>
      <c r="I353" s="2" t="s">
        <v>153</v>
      </c>
      <c r="J353" s="2" t="s">
        <v>154</v>
      </c>
      <c r="K353" s="2" t="s">
        <v>304</v>
      </c>
      <c r="L353" s="2" t="s">
        <v>206</v>
      </c>
      <c r="M353" s="8" t="str">
        <f>HYPERLINK("http://slimages.macys.com/is/image/MCY/14661922 ")</f>
        <v xml:space="preserve">http://slimages.macys.com/is/image/MCY/14661922 </v>
      </c>
    </row>
    <row r="354" spans="1:13" ht="60" x14ac:dyDescent="0.25">
      <c r="A354" s="7" t="s">
        <v>13729</v>
      </c>
      <c r="B354" s="2" t="s">
        <v>13509</v>
      </c>
      <c r="C354" s="4">
        <v>1</v>
      </c>
      <c r="D354" s="5">
        <v>3.48</v>
      </c>
      <c r="E354" s="5">
        <v>5.99</v>
      </c>
      <c r="F354" s="4" t="s">
        <v>5063</v>
      </c>
      <c r="G354" s="2" t="s">
        <v>793</v>
      </c>
      <c r="H354" s="7" t="s">
        <v>317</v>
      </c>
      <c r="I354" s="2" t="s">
        <v>80</v>
      </c>
      <c r="J354" s="2" t="s">
        <v>1857</v>
      </c>
      <c r="K354" s="2" t="s">
        <v>304</v>
      </c>
      <c r="L354" s="2" t="s">
        <v>125</v>
      </c>
      <c r="M354" s="8" t="str">
        <f>HYPERLINK("http://slimages.macys.com/is/image/MCY/2581838 ")</f>
        <v xml:space="preserve">http://slimages.macys.com/is/image/MCY/2581838 </v>
      </c>
    </row>
    <row r="355" spans="1:13" ht="84" x14ac:dyDescent="0.25">
      <c r="A355" s="7" t="s">
        <v>1166</v>
      </c>
      <c r="B355" s="2" t="s">
        <v>1167</v>
      </c>
      <c r="C355" s="4">
        <v>1</v>
      </c>
      <c r="D355" s="5">
        <v>3.46</v>
      </c>
      <c r="E355" s="5">
        <v>8.99</v>
      </c>
      <c r="F355" s="4" t="s">
        <v>1168</v>
      </c>
      <c r="G355" s="2" t="s">
        <v>793</v>
      </c>
      <c r="H355" s="7" t="s">
        <v>531</v>
      </c>
      <c r="I355" s="2" t="s">
        <v>483</v>
      </c>
      <c r="J355" s="2" t="s">
        <v>484</v>
      </c>
      <c r="K355" s="2" t="s">
        <v>304</v>
      </c>
      <c r="L355" s="2" t="s">
        <v>532</v>
      </c>
      <c r="M355" s="8" t="str">
        <f>HYPERLINK("http://slimages.macys.com/is/image/MCY/8549849 ")</f>
        <v xml:space="preserve">http://slimages.macys.com/is/image/MCY/8549849 </v>
      </c>
    </row>
    <row r="356" spans="1:13" ht="60" x14ac:dyDescent="0.25">
      <c r="A356" s="7" t="s">
        <v>562</v>
      </c>
      <c r="B356" s="2" t="s">
        <v>563</v>
      </c>
      <c r="C356" s="4">
        <v>16</v>
      </c>
      <c r="D356" s="5">
        <v>3.46</v>
      </c>
      <c r="E356" s="5">
        <v>8.99</v>
      </c>
      <c r="F356" s="4">
        <v>100007426</v>
      </c>
      <c r="G356" s="2" t="s">
        <v>41</v>
      </c>
      <c r="H356" s="7" t="s">
        <v>531</v>
      </c>
      <c r="I356" s="2" t="s">
        <v>483</v>
      </c>
      <c r="J356" s="2" t="s">
        <v>484</v>
      </c>
      <c r="K356" s="2" t="s">
        <v>304</v>
      </c>
      <c r="L356" s="2" t="s">
        <v>119</v>
      </c>
      <c r="M356" s="8" t="str">
        <f>HYPERLINK("http://slimages.macys.com/is/image/MCY/9157888 ")</f>
        <v xml:space="preserve">http://slimages.macys.com/is/image/MCY/9157888 </v>
      </c>
    </row>
    <row r="357" spans="1:13" ht="84" x14ac:dyDescent="0.25">
      <c r="A357" s="7" t="s">
        <v>1169</v>
      </c>
      <c r="B357" s="2" t="s">
        <v>1170</v>
      </c>
      <c r="C357" s="4">
        <v>1</v>
      </c>
      <c r="D357" s="5">
        <v>3.46</v>
      </c>
      <c r="E357" s="5">
        <v>8.99</v>
      </c>
      <c r="F357" s="4" t="s">
        <v>1171</v>
      </c>
      <c r="G357" s="2" t="s">
        <v>41</v>
      </c>
      <c r="H357" s="7" t="s">
        <v>531</v>
      </c>
      <c r="I357" s="2" t="s">
        <v>483</v>
      </c>
      <c r="J357" s="2" t="s">
        <v>484</v>
      </c>
      <c r="K357" s="2" t="s">
        <v>304</v>
      </c>
      <c r="L357" s="2" t="s">
        <v>532</v>
      </c>
      <c r="M357" s="8" t="str">
        <f>HYPERLINK("http://slimages.macys.com/is/image/MCY/8484391 ")</f>
        <v xml:space="preserve">http://slimages.macys.com/is/image/MCY/8484391 </v>
      </c>
    </row>
    <row r="358" spans="1:13" ht="60" x14ac:dyDescent="0.25">
      <c r="A358" s="7" t="s">
        <v>13730</v>
      </c>
      <c r="B358" s="2" t="s">
        <v>3506</v>
      </c>
      <c r="C358" s="4">
        <v>1</v>
      </c>
      <c r="D358" s="5">
        <v>3.36</v>
      </c>
      <c r="E358" s="5">
        <v>7.99</v>
      </c>
      <c r="F358" s="4" t="s">
        <v>3507</v>
      </c>
      <c r="G358" s="2" t="s">
        <v>582</v>
      </c>
      <c r="H358" s="7" t="s">
        <v>1151</v>
      </c>
      <c r="I358" s="2" t="s">
        <v>1689</v>
      </c>
      <c r="J358" s="2" t="s">
        <v>354</v>
      </c>
      <c r="K358" s="2" t="s">
        <v>304</v>
      </c>
      <c r="L358" s="2" t="s">
        <v>596</v>
      </c>
      <c r="M358" s="8" t="str">
        <f>HYPERLINK("http://slimages.macys.com/is/image/MCY/11498760 ")</f>
        <v xml:space="preserve">http://slimages.macys.com/is/image/MCY/11498760 </v>
      </c>
    </row>
    <row r="359" spans="1:13" ht="60" x14ac:dyDescent="0.25">
      <c r="A359" s="7" t="s">
        <v>12182</v>
      </c>
      <c r="B359" s="2" t="s">
        <v>4357</v>
      </c>
      <c r="C359" s="4">
        <v>1</v>
      </c>
      <c r="D359" s="5">
        <v>3.29</v>
      </c>
      <c r="E359" s="5">
        <v>7.99</v>
      </c>
      <c r="F359" s="4" t="s">
        <v>4358</v>
      </c>
      <c r="G359" s="2" t="s">
        <v>86</v>
      </c>
      <c r="H359" s="7" t="s">
        <v>123</v>
      </c>
      <c r="I359" s="2" t="s">
        <v>1689</v>
      </c>
      <c r="J359" s="2" t="s">
        <v>354</v>
      </c>
      <c r="K359" s="2" t="s">
        <v>304</v>
      </c>
      <c r="L359" s="2" t="s">
        <v>119</v>
      </c>
      <c r="M359" s="8" t="str">
        <f>HYPERLINK("http://slimages.macys.com/is/image/MCY/11499070 ")</f>
        <v xml:space="preserve">http://slimages.macys.com/is/image/MCY/11499070 </v>
      </c>
    </row>
    <row r="360" spans="1:13" ht="60" x14ac:dyDescent="0.25">
      <c r="A360" s="7" t="s">
        <v>4371</v>
      </c>
      <c r="B360" s="2" t="s">
        <v>2160</v>
      </c>
      <c r="C360" s="4">
        <v>1</v>
      </c>
      <c r="D360" s="5">
        <v>3.15</v>
      </c>
      <c r="E360" s="5">
        <v>7.99</v>
      </c>
      <c r="F360" s="4" t="s">
        <v>2161</v>
      </c>
      <c r="G360" s="2" t="s">
        <v>657</v>
      </c>
      <c r="H360" s="7" t="s">
        <v>514</v>
      </c>
      <c r="I360" s="2" t="s">
        <v>483</v>
      </c>
      <c r="J360" s="2" t="s">
        <v>536</v>
      </c>
      <c r="K360" s="2" t="s">
        <v>304</v>
      </c>
      <c r="L360" s="2" t="s">
        <v>119</v>
      </c>
      <c r="M360" s="8" t="str">
        <f>HYPERLINK("http://slimages.macys.com/is/image/MCY/12644604 ")</f>
        <v xml:space="preserve">http://slimages.macys.com/is/image/MCY/12644604 </v>
      </c>
    </row>
    <row r="361" spans="1:13" ht="60" x14ac:dyDescent="0.25">
      <c r="A361" s="7" t="s">
        <v>8411</v>
      </c>
      <c r="B361" s="2" t="s">
        <v>585</v>
      </c>
      <c r="C361" s="4">
        <v>1</v>
      </c>
      <c r="D361" s="5">
        <v>3.14</v>
      </c>
      <c r="E361" s="5">
        <v>7.99</v>
      </c>
      <c r="F361" s="4">
        <v>10004192500</v>
      </c>
      <c r="G361" s="2" t="s">
        <v>171</v>
      </c>
      <c r="H361" s="7" t="s">
        <v>604</v>
      </c>
      <c r="I361" s="2" t="s">
        <v>483</v>
      </c>
      <c r="J361" s="2" t="s">
        <v>536</v>
      </c>
      <c r="K361" s="2" t="s">
        <v>304</v>
      </c>
      <c r="L361" s="2" t="s">
        <v>75</v>
      </c>
      <c r="M361" s="8" t="str">
        <f>HYPERLINK("http://slimages.macys.com/is/image/MCY/11519409 ")</f>
        <v xml:space="preserve">http://slimages.macys.com/is/image/MCY/11519409 </v>
      </c>
    </row>
    <row r="362" spans="1:13" ht="60" x14ac:dyDescent="0.25">
      <c r="A362" s="7" t="s">
        <v>4392</v>
      </c>
      <c r="B362" s="2" t="s">
        <v>4390</v>
      </c>
      <c r="C362" s="4">
        <v>3</v>
      </c>
      <c r="D362" s="5">
        <v>2.98</v>
      </c>
      <c r="E362" s="5">
        <v>6.99</v>
      </c>
      <c r="F362" s="4" t="s">
        <v>4391</v>
      </c>
      <c r="G362" s="2" t="s">
        <v>86</v>
      </c>
      <c r="H362" s="7" t="s">
        <v>590</v>
      </c>
      <c r="I362" s="2" t="s">
        <v>483</v>
      </c>
      <c r="J362" s="2" t="s">
        <v>536</v>
      </c>
      <c r="K362" s="2" t="s">
        <v>304</v>
      </c>
      <c r="L362" s="2" t="s">
        <v>119</v>
      </c>
      <c r="M362" s="8" t="str">
        <f>HYPERLINK("http://slimages.macys.com/is/image/MCY/14448381 ")</f>
        <v xml:space="preserve">http://slimages.macys.com/is/image/MCY/14448381 </v>
      </c>
    </row>
    <row r="363" spans="1:13" ht="60" x14ac:dyDescent="0.25">
      <c r="A363" s="7" t="s">
        <v>13731</v>
      </c>
      <c r="B363" s="2" t="s">
        <v>4390</v>
      </c>
      <c r="C363" s="4">
        <v>1</v>
      </c>
      <c r="D363" s="5">
        <v>2.98</v>
      </c>
      <c r="E363" s="5">
        <v>6.99</v>
      </c>
      <c r="F363" s="4" t="s">
        <v>4391</v>
      </c>
      <c r="G363" s="2" t="s">
        <v>86</v>
      </c>
      <c r="H363" s="7" t="s">
        <v>91</v>
      </c>
      <c r="I363" s="2" t="s">
        <v>483</v>
      </c>
      <c r="J363" s="2" t="s">
        <v>536</v>
      </c>
      <c r="K363" s="2" t="s">
        <v>304</v>
      </c>
      <c r="L363" s="2" t="s">
        <v>119</v>
      </c>
      <c r="M363" s="8" t="str">
        <f>HYPERLINK("http://slimages.macys.com/is/image/MCY/14448381 ")</f>
        <v xml:space="preserve">http://slimages.macys.com/is/image/MCY/14448381 </v>
      </c>
    </row>
    <row r="364" spans="1:13" ht="60" x14ac:dyDescent="0.25">
      <c r="A364" s="7" t="s">
        <v>4389</v>
      </c>
      <c r="B364" s="2" t="s">
        <v>4390</v>
      </c>
      <c r="C364" s="4">
        <v>1</v>
      </c>
      <c r="D364" s="5">
        <v>2.98</v>
      </c>
      <c r="E364" s="5">
        <v>6.99</v>
      </c>
      <c r="F364" s="4" t="s">
        <v>4391</v>
      </c>
      <c r="G364" s="2" t="s">
        <v>86</v>
      </c>
      <c r="H364" s="7" t="s">
        <v>149</v>
      </c>
      <c r="I364" s="2" t="s">
        <v>483</v>
      </c>
      <c r="J364" s="2" t="s">
        <v>536</v>
      </c>
      <c r="K364" s="2" t="s">
        <v>304</v>
      </c>
      <c r="L364" s="2" t="s">
        <v>119</v>
      </c>
      <c r="M364" s="8" t="str">
        <f>HYPERLINK("http://slimages.macys.com/is/image/MCY/14448381 ")</f>
        <v xml:space="preserve">http://slimages.macys.com/is/image/MCY/14448381 </v>
      </c>
    </row>
    <row r="365" spans="1:13" ht="60" x14ac:dyDescent="0.25">
      <c r="A365" s="7" t="s">
        <v>4393</v>
      </c>
      <c r="B365" s="2" t="s">
        <v>4390</v>
      </c>
      <c r="C365" s="4">
        <v>1</v>
      </c>
      <c r="D365" s="5">
        <v>2.98</v>
      </c>
      <c r="E365" s="5">
        <v>6.99</v>
      </c>
      <c r="F365" s="4" t="s">
        <v>4391</v>
      </c>
      <c r="G365" s="2" t="s">
        <v>86</v>
      </c>
      <c r="H365" s="7" t="s">
        <v>42</v>
      </c>
      <c r="I365" s="2" t="s">
        <v>483</v>
      </c>
      <c r="J365" s="2" t="s">
        <v>536</v>
      </c>
      <c r="K365" s="2" t="s">
        <v>304</v>
      </c>
      <c r="L365" s="2" t="s">
        <v>119</v>
      </c>
      <c r="M365" s="8" t="str">
        <f>HYPERLINK("http://slimages.macys.com/is/image/MCY/14448381 ")</f>
        <v xml:space="preserve">http://slimages.macys.com/is/image/MCY/14448381 </v>
      </c>
    </row>
    <row r="366" spans="1:13" ht="60" x14ac:dyDescent="0.25">
      <c r="A366" s="7" t="s">
        <v>6476</v>
      </c>
      <c r="B366" s="2" t="s">
        <v>2183</v>
      </c>
      <c r="C366" s="4">
        <v>2</v>
      </c>
      <c r="D366" s="5">
        <v>2.97</v>
      </c>
      <c r="E366" s="5">
        <v>7.99</v>
      </c>
      <c r="F366" s="4" t="s">
        <v>2184</v>
      </c>
      <c r="G366" s="2" t="s">
        <v>595</v>
      </c>
      <c r="H366" s="7"/>
      <c r="I366" s="2" t="s">
        <v>483</v>
      </c>
      <c r="J366" s="2" t="s">
        <v>536</v>
      </c>
      <c r="K366" s="2" t="s">
        <v>304</v>
      </c>
      <c r="L366" s="2" t="s">
        <v>119</v>
      </c>
      <c r="M366" s="8" t="str">
        <f>HYPERLINK("http://slimages.macys.com/is/image/MCY/12465363 ")</f>
        <v xml:space="preserve">http://slimages.macys.com/is/image/MCY/12465363 </v>
      </c>
    </row>
    <row r="367" spans="1:13" ht="60" x14ac:dyDescent="0.25">
      <c r="A367" s="7" t="s">
        <v>2182</v>
      </c>
      <c r="B367" s="2" t="s">
        <v>2183</v>
      </c>
      <c r="C367" s="4">
        <v>3</v>
      </c>
      <c r="D367" s="5">
        <v>2.97</v>
      </c>
      <c r="E367" s="5">
        <v>7.99</v>
      </c>
      <c r="F367" s="4" t="s">
        <v>2184</v>
      </c>
      <c r="G367" s="2" t="s">
        <v>595</v>
      </c>
      <c r="H367" s="7" t="s">
        <v>149</v>
      </c>
      <c r="I367" s="2" t="s">
        <v>483</v>
      </c>
      <c r="J367" s="2" t="s">
        <v>536</v>
      </c>
      <c r="K367" s="2" t="s">
        <v>304</v>
      </c>
      <c r="L367" s="2" t="s">
        <v>119</v>
      </c>
      <c r="M367" s="8" t="str">
        <f>HYPERLINK("http://slimages.macys.com/is/image/MCY/12465363 ")</f>
        <v xml:space="preserve">http://slimages.macys.com/is/image/MCY/12465363 </v>
      </c>
    </row>
    <row r="368" spans="1:13" ht="60" x14ac:dyDescent="0.25">
      <c r="A368" s="7" t="s">
        <v>13732</v>
      </c>
      <c r="B368" s="2" t="s">
        <v>10283</v>
      </c>
      <c r="C368" s="4">
        <v>1</v>
      </c>
      <c r="D368" s="5">
        <v>2.91</v>
      </c>
      <c r="E368" s="5">
        <v>6.99</v>
      </c>
      <c r="F368" s="4" t="s">
        <v>10284</v>
      </c>
      <c r="G368" s="2" t="s">
        <v>297</v>
      </c>
      <c r="H368" s="7" t="s">
        <v>149</v>
      </c>
      <c r="I368" s="2" t="s">
        <v>483</v>
      </c>
      <c r="J368" s="2" t="s">
        <v>536</v>
      </c>
      <c r="K368" s="2" t="s">
        <v>304</v>
      </c>
      <c r="L368" s="2" t="s">
        <v>119</v>
      </c>
      <c r="M368" s="8" t="str">
        <f>HYPERLINK("http://slimages.macys.com/is/image/MCY/11437210 ")</f>
        <v xml:space="preserve">http://slimages.macys.com/is/image/MCY/11437210 </v>
      </c>
    </row>
    <row r="369" spans="1:13" ht="60" x14ac:dyDescent="0.25">
      <c r="A369" s="7" t="s">
        <v>592</v>
      </c>
      <c r="B369" s="2" t="s">
        <v>593</v>
      </c>
      <c r="C369" s="4">
        <v>2</v>
      </c>
      <c r="D369" s="5">
        <v>2.9</v>
      </c>
      <c r="E369" s="5">
        <v>7.99</v>
      </c>
      <c r="F369" s="4" t="s">
        <v>594</v>
      </c>
      <c r="G369" s="2" t="s">
        <v>595</v>
      </c>
      <c r="H369" s="7" t="s">
        <v>578</v>
      </c>
      <c r="I369" s="2" t="s">
        <v>483</v>
      </c>
      <c r="J369" s="2" t="s">
        <v>536</v>
      </c>
      <c r="K369" s="2" t="s">
        <v>304</v>
      </c>
      <c r="L369" s="2" t="s">
        <v>596</v>
      </c>
      <c r="M369" s="8" t="str">
        <f>HYPERLINK("http://slimages.macys.com/is/image/MCY/14885497 ")</f>
        <v xml:space="preserve">http://slimages.macys.com/is/image/MCY/14885497 </v>
      </c>
    </row>
    <row r="370" spans="1:13" ht="60" x14ac:dyDescent="0.25">
      <c r="A370" s="7" t="s">
        <v>4443</v>
      </c>
      <c r="B370" s="2" t="s">
        <v>593</v>
      </c>
      <c r="C370" s="4">
        <v>1</v>
      </c>
      <c r="D370" s="5">
        <v>2.9</v>
      </c>
      <c r="E370" s="5">
        <v>7.99</v>
      </c>
      <c r="F370" s="4" t="s">
        <v>594</v>
      </c>
      <c r="G370" s="2" t="s">
        <v>595</v>
      </c>
      <c r="H370" s="7" t="s">
        <v>514</v>
      </c>
      <c r="I370" s="2" t="s">
        <v>483</v>
      </c>
      <c r="J370" s="2" t="s">
        <v>536</v>
      </c>
      <c r="K370" s="2" t="s">
        <v>304</v>
      </c>
      <c r="L370" s="2" t="s">
        <v>596</v>
      </c>
      <c r="M370" s="8" t="str">
        <f>HYPERLINK("http://slimages.macys.com/is/image/MCY/14885497 ")</f>
        <v xml:space="preserve">http://slimages.macys.com/is/image/MCY/14885497 </v>
      </c>
    </row>
    <row r="371" spans="1:13" ht="60" x14ac:dyDescent="0.25">
      <c r="A371" s="7" t="s">
        <v>3510</v>
      </c>
      <c r="B371" s="2" t="s">
        <v>593</v>
      </c>
      <c r="C371" s="4">
        <v>4</v>
      </c>
      <c r="D371" s="5">
        <v>2.9</v>
      </c>
      <c r="E371" s="5">
        <v>7.99</v>
      </c>
      <c r="F371" s="4" t="s">
        <v>594</v>
      </c>
      <c r="G371" s="2" t="s">
        <v>595</v>
      </c>
      <c r="H371" s="7" t="s">
        <v>1151</v>
      </c>
      <c r="I371" s="2" t="s">
        <v>483</v>
      </c>
      <c r="J371" s="2" t="s">
        <v>536</v>
      </c>
      <c r="K371" s="2" t="s">
        <v>304</v>
      </c>
      <c r="L371" s="2" t="s">
        <v>596</v>
      </c>
      <c r="M371" s="8" t="str">
        <f>HYPERLINK("http://slimages.macys.com/is/image/MCY/14885497 ")</f>
        <v xml:space="preserve">http://slimages.macys.com/is/image/MCY/14885497 </v>
      </c>
    </row>
    <row r="372" spans="1:13" ht="60" x14ac:dyDescent="0.25">
      <c r="A372" s="7" t="s">
        <v>1204</v>
      </c>
      <c r="B372" s="2" t="s">
        <v>1205</v>
      </c>
      <c r="C372" s="4">
        <v>1</v>
      </c>
      <c r="D372" s="5">
        <v>2.87</v>
      </c>
      <c r="E372" s="5">
        <v>7.99</v>
      </c>
      <c r="F372" s="4" t="s">
        <v>1206</v>
      </c>
      <c r="G372" s="2" t="s">
        <v>437</v>
      </c>
      <c r="H372" s="7" t="s">
        <v>531</v>
      </c>
      <c r="I372" s="2" t="s">
        <v>483</v>
      </c>
      <c r="J372" s="2" t="s">
        <v>536</v>
      </c>
      <c r="K372" s="2" t="s">
        <v>304</v>
      </c>
      <c r="L372" s="2" t="s">
        <v>1207</v>
      </c>
      <c r="M372" s="8" t="str">
        <f>HYPERLINK("http://slimages.macys.com/is/image/MCY/12466264 ")</f>
        <v xml:space="preserve">http://slimages.macys.com/is/image/MCY/12466264 </v>
      </c>
    </row>
    <row r="373" spans="1:13" ht="120" x14ac:dyDescent="0.25">
      <c r="A373" s="7" t="s">
        <v>2199</v>
      </c>
      <c r="B373" s="2" t="s">
        <v>598</v>
      </c>
      <c r="C373" s="4">
        <v>1</v>
      </c>
      <c r="D373" s="5">
        <v>2.84</v>
      </c>
      <c r="E373" s="5">
        <v>7.99</v>
      </c>
      <c r="F373" s="4" t="s">
        <v>599</v>
      </c>
      <c r="G373" s="2" t="s">
        <v>62</v>
      </c>
      <c r="H373" s="7" t="s">
        <v>590</v>
      </c>
      <c r="I373" s="2" t="s">
        <v>483</v>
      </c>
      <c r="J373" s="2" t="s">
        <v>536</v>
      </c>
      <c r="K373" s="2" t="s">
        <v>304</v>
      </c>
      <c r="L373" s="2" t="s">
        <v>600</v>
      </c>
      <c r="M373" s="8" t="str">
        <f>HYPERLINK("http://slimages.macys.com/is/image/MCY/14384837 ")</f>
        <v xml:space="preserve">http://slimages.macys.com/is/image/MCY/14384837 </v>
      </c>
    </row>
    <row r="374" spans="1:13" ht="120" x14ac:dyDescent="0.25">
      <c r="A374" s="7" t="s">
        <v>7125</v>
      </c>
      <c r="B374" s="2" t="s">
        <v>598</v>
      </c>
      <c r="C374" s="4">
        <v>1</v>
      </c>
      <c r="D374" s="5">
        <v>2.84</v>
      </c>
      <c r="E374" s="5">
        <v>7.99</v>
      </c>
      <c r="F374" s="4" t="s">
        <v>599</v>
      </c>
      <c r="G374" s="2" t="s">
        <v>62</v>
      </c>
      <c r="H374" s="7" t="s">
        <v>42</v>
      </c>
      <c r="I374" s="2" t="s">
        <v>483</v>
      </c>
      <c r="J374" s="2" t="s">
        <v>536</v>
      </c>
      <c r="K374" s="2" t="s">
        <v>304</v>
      </c>
      <c r="L374" s="2" t="s">
        <v>600</v>
      </c>
      <c r="M374" s="8" t="str">
        <f>HYPERLINK("http://slimages.macys.com/is/image/MCY/14384837 ")</f>
        <v xml:space="preserve">http://slimages.macys.com/is/image/MCY/14384837 </v>
      </c>
    </row>
    <row r="375" spans="1:13" ht="120" x14ac:dyDescent="0.25">
      <c r="A375" s="7" t="s">
        <v>597</v>
      </c>
      <c r="B375" s="2" t="s">
        <v>598</v>
      </c>
      <c r="C375" s="4">
        <v>4</v>
      </c>
      <c r="D375" s="5">
        <v>2.84</v>
      </c>
      <c r="E375" s="5">
        <v>7.99</v>
      </c>
      <c r="F375" s="4" t="s">
        <v>599</v>
      </c>
      <c r="G375" s="2" t="s">
        <v>62</v>
      </c>
      <c r="H375" s="7"/>
      <c r="I375" s="2" t="s">
        <v>483</v>
      </c>
      <c r="J375" s="2" t="s">
        <v>536</v>
      </c>
      <c r="K375" s="2" t="s">
        <v>304</v>
      </c>
      <c r="L375" s="2" t="s">
        <v>600</v>
      </c>
      <c r="M375" s="8" t="str">
        <f>HYPERLINK("http://slimages.macys.com/is/image/MCY/14384837 ")</f>
        <v xml:space="preserve">http://slimages.macys.com/is/image/MCY/14384837 </v>
      </c>
    </row>
    <row r="376" spans="1:13" ht="120" x14ac:dyDescent="0.25">
      <c r="A376" s="7" t="s">
        <v>2200</v>
      </c>
      <c r="B376" s="2" t="s">
        <v>598</v>
      </c>
      <c r="C376" s="4">
        <v>2</v>
      </c>
      <c r="D376" s="5">
        <v>2.84</v>
      </c>
      <c r="E376" s="5">
        <v>7.99</v>
      </c>
      <c r="F376" s="4" t="s">
        <v>599</v>
      </c>
      <c r="G376" s="2" t="s">
        <v>62</v>
      </c>
      <c r="H376" s="7" t="s">
        <v>149</v>
      </c>
      <c r="I376" s="2" t="s">
        <v>483</v>
      </c>
      <c r="J376" s="2" t="s">
        <v>536</v>
      </c>
      <c r="K376" s="2" t="s">
        <v>304</v>
      </c>
      <c r="L376" s="2" t="s">
        <v>600</v>
      </c>
      <c r="M376" s="8" t="str">
        <f>HYPERLINK("http://slimages.macys.com/is/image/MCY/14384837 ")</f>
        <v xml:space="preserve">http://slimages.macys.com/is/image/MCY/14384837 </v>
      </c>
    </row>
    <row r="377" spans="1:13" ht="120" x14ac:dyDescent="0.25">
      <c r="A377" s="7" t="s">
        <v>11719</v>
      </c>
      <c r="B377" s="2" t="s">
        <v>598</v>
      </c>
      <c r="C377" s="4">
        <v>1</v>
      </c>
      <c r="D377" s="5">
        <v>2.84</v>
      </c>
      <c r="E377" s="5">
        <v>7.99</v>
      </c>
      <c r="F377" s="4" t="s">
        <v>599</v>
      </c>
      <c r="G377" s="2" t="s">
        <v>62</v>
      </c>
      <c r="H377" s="7" t="s">
        <v>91</v>
      </c>
      <c r="I377" s="2" t="s">
        <v>483</v>
      </c>
      <c r="J377" s="2" t="s">
        <v>536</v>
      </c>
      <c r="K377" s="2" t="s">
        <v>304</v>
      </c>
      <c r="L377" s="2" t="s">
        <v>600</v>
      </c>
      <c r="M377" s="8" t="str">
        <f>HYPERLINK("http://slimages.macys.com/is/image/MCY/14384837 ")</f>
        <v xml:space="preserve">http://slimages.macys.com/is/image/MCY/14384837 </v>
      </c>
    </row>
    <row r="378" spans="1:13" ht="60" x14ac:dyDescent="0.25">
      <c r="A378" s="7" t="s">
        <v>10288</v>
      </c>
      <c r="B378" s="2" t="s">
        <v>2713</v>
      </c>
      <c r="C378" s="4">
        <v>1</v>
      </c>
      <c r="D378" s="5">
        <v>2.79</v>
      </c>
      <c r="E378" s="5">
        <v>7.99</v>
      </c>
      <c r="F378" s="4">
        <v>10004191500</v>
      </c>
      <c r="G378" s="2" t="s">
        <v>2107</v>
      </c>
      <c r="H378" s="7" t="s">
        <v>149</v>
      </c>
      <c r="I378" s="2" t="s">
        <v>483</v>
      </c>
      <c r="J378" s="2" t="s">
        <v>536</v>
      </c>
      <c r="K378" s="2" t="s">
        <v>304</v>
      </c>
      <c r="L378" s="2" t="s">
        <v>119</v>
      </c>
      <c r="M378" s="8" t="str">
        <f>HYPERLINK("http://slimages.macys.com/is/image/MCY/11519969 ")</f>
        <v xml:space="preserve">http://slimages.macys.com/is/image/MCY/11519969 </v>
      </c>
    </row>
    <row r="379" spans="1:13" ht="60" x14ac:dyDescent="0.25">
      <c r="A379" s="7" t="s">
        <v>11223</v>
      </c>
      <c r="B379" s="2" t="s">
        <v>2713</v>
      </c>
      <c r="C379" s="4">
        <v>1</v>
      </c>
      <c r="D379" s="5">
        <v>2.79</v>
      </c>
      <c r="E379" s="5">
        <v>7.99</v>
      </c>
      <c r="F379" s="4">
        <v>10004191500</v>
      </c>
      <c r="G379" s="2" t="s">
        <v>2107</v>
      </c>
      <c r="H379" s="7"/>
      <c r="I379" s="2" t="s">
        <v>483</v>
      </c>
      <c r="J379" s="2" t="s">
        <v>536</v>
      </c>
      <c r="K379" s="2" t="s">
        <v>304</v>
      </c>
      <c r="L379" s="2" t="s">
        <v>119</v>
      </c>
      <c r="M379" s="8" t="str">
        <f>HYPERLINK("http://slimages.macys.com/is/image/MCY/11519969 ")</f>
        <v xml:space="preserve">http://slimages.macys.com/is/image/MCY/11519969 </v>
      </c>
    </row>
    <row r="380" spans="1:13" ht="60" x14ac:dyDescent="0.25">
      <c r="A380" s="7" t="s">
        <v>2211</v>
      </c>
      <c r="B380" s="2" t="s">
        <v>2209</v>
      </c>
      <c r="C380" s="4">
        <v>1</v>
      </c>
      <c r="D380" s="5">
        <v>2.77</v>
      </c>
      <c r="E380" s="5">
        <v>7.99</v>
      </c>
      <c r="F380" s="4">
        <v>10004191600</v>
      </c>
      <c r="G380" s="2" t="s">
        <v>1360</v>
      </c>
      <c r="H380" s="7" t="s">
        <v>604</v>
      </c>
      <c r="I380" s="2" t="s">
        <v>483</v>
      </c>
      <c r="J380" s="2" t="s">
        <v>536</v>
      </c>
      <c r="K380" s="2" t="s">
        <v>304</v>
      </c>
      <c r="L380" s="2" t="s">
        <v>119</v>
      </c>
      <c r="M380" s="8" t="str">
        <f>HYPERLINK("http://slimages.macys.com/is/image/MCY/11547113 ")</f>
        <v xml:space="preserve">http://slimages.macys.com/is/image/MCY/11547113 </v>
      </c>
    </row>
    <row r="381" spans="1:13" ht="60" x14ac:dyDescent="0.25">
      <c r="A381" s="7" t="s">
        <v>605</v>
      </c>
      <c r="B381" s="2" t="s">
        <v>602</v>
      </c>
      <c r="C381" s="4">
        <v>1</v>
      </c>
      <c r="D381" s="5">
        <v>2.77</v>
      </c>
      <c r="E381" s="5">
        <v>7.99</v>
      </c>
      <c r="F381" s="4" t="s">
        <v>603</v>
      </c>
      <c r="G381" s="2" t="s">
        <v>297</v>
      </c>
      <c r="H381" s="7"/>
      <c r="I381" s="2" t="s">
        <v>483</v>
      </c>
      <c r="J381" s="2" t="s">
        <v>536</v>
      </c>
      <c r="K381" s="2" t="s">
        <v>304</v>
      </c>
      <c r="L381" s="2" t="s">
        <v>119</v>
      </c>
      <c r="M381" s="8" t="str">
        <f>HYPERLINK("http://slimages.macys.com/is/image/MCY/11520409 ")</f>
        <v xml:space="preserve">http://slimages.macys.com/is/image/MCY/11520409 </v>
      </c>
    </row>
    <row r="382" spans="1:13" ht="60" x14ac:dyDescent="0.25">
      <c r="A382" s="7" t="s">
        <v>2210</v>
      </c>
      <c r="B382" s="2" t="s">
        <v>602</v>
      </c>
      <c r="C382" s="4">
        <v>2</v>
      </c>
      <c r="D382" s="5">
        <v>2.77</v>
      </c>
      <c r="E382" s="5">
        <v>7.99</v>
      </c>
      <c r="F382" s="4" t="s">
        <v>603</v>
      </c>
      <c r="G382" s="2" t="s">
        <v>297</v>
      </c>
      <c r="H382" s="7" t="s">
        <v>586</v>
      </c>
      <c r="I382" s="2" t="s">
        <v>483</v>
      </c>
      <c r="J382" s="2" t="s">
        <v>536</v>
      </c>
      <c r="K382" s="2" t="s">
        <v>304</v>
      </c>
      <c r="L382" s="2" t="s">
        <v>119</v>
      </c>
      <c r="M382" s="8" t="str">
        <f>HYPERLINK("http://slimages.macys.com/is/image/MCY/11520409 ")</f>
        <v xml:space="preserve">http://slimages.macys.com/is/image/MCY/11520409 </v>
      </c>
    </row>
    <row r="383" spans="1:13" ht="60" x14ac:dyDescent="0.25">
      <c r="A383" s="7" t="s">
        <v>601</v>
      </c>
      <c r="B383" s="2" t="s">
        <v>602</v>
      </c>
      <c r="C383" s="4">
        <v>1</v>
      </c>
      <c r="D383" s="5">
        <v>2.77</v>
      </c>
      <c r="E383" s="5">
        <v>7.99</v>
      </c>
      <c r="F383" s="4" t="s">
        <v>603</v>
      </c>
      <c r="G383" s="2" t="s">
        <v>297</v>
      </c>
      <c r="H383" s="7" t="s">
        <v>604</v>
      </c>
      <c r="I383" s="2" t="s">
        <v>483</v>
      </c>
      <c r="J383" s="2" t="s">
        <v>536</v>
      </c>
      <c r="K383" s="2" t="s">
        <v>304</v>
      </c>
      <c r="L383" s="2" t="s">
        <v>119</v>
      </c>
      <c r="M383" s="8" t="str">
        <f>HYPERLINK("http://slimages.macys.com/is/image/MCY/11520409 ")</f>
        <v xml:space="preserve">http://slimages.macys.com/is/image/MCY/11520409 </v>
      </c>
    </row>
    <row r="384" spans="1:13" ht="84" x14ac:dyDescent="0.25">
      <c r="A384" s="7" t="s">
        <v>2238</v>
      </c>
      <c r="B384" s="2" t="s">
        <v>2228</v>
      </c>
      <c r="C384" s="4">
        <v>1</v>
      </c>
      <c r="D384" s="5">
        <v>2.67</v>
      </c>
      <c r="E384" s="5">
        <v>7.99</v>
      </c>
      <c r="F384" s="4" t="s">
        <v>2229</v>
      </c>
      <c r="G384" s="2" t="s">
        <v>527</v>
      </c>
      <c r="H384" s="7" t="s">
        <v>590</v>
      </c>
      <c r="I384" s="2" t="s">
        <v>483</v>
      </c>
      <c r="J384" s="2" t="s">
        <v>536</v>
      </c>
      <c r="K384" s="2" t="s">
        <v>304</v>
      </c>
      <c r="L384" s="2" t="s">
        <v>2230</v>
      </c>
      <c r="M384" s="8" t="str">
        <f>HYPERLINK("http://slimages.macys.com/is/image/MCY/14385110 ")</f>
        <v xml:space="preserve">http://slimages.macys.com/is/image/MCY/14385110 </v>
      </c>
    </row>
    <row r="385" spans="1:13" ht="84" x14ac:dyDescent="0.25">
      <c r="A385" s="7" t="s">
        <v>2227</v>
      </c>
      <c r="B385" s="2" t="s">
        <v>2228</v>
      </c>
      <c r="C385" s="4">
        <v>4</v>
      </c>
      <c r="D385" s="5">
        <v>2.67</v>
      </c>
      <c r="E385" s="5">
        <v>7.99</v>
      </c>
      <c r="F385" s="4" t="s">
        <v>2229</v>
      </c>
      <c r="G385" s="2" t="s">
        <v>527</v>
      </c>
      <c r="H385" s="7" t="s">
        <v>149</v>
      </c>
      <c r="I385" s="2" t="s">
        <v>483</v>
      </c>
      <c r="J385" s="2" t="s">
        <v>536</v>
      </c>
      <c r="K385" s="2" t="s">
        <v>304</v>
      </c>
      <c r="L385" s="2" t="s">
        <v>2230</v>
      </c>
      <c r="M385" s="8" t="str">
        <f>HYPERLINK("http://slimages.macys.com/is/image/MCY/14385110 ")</f>
        <v xml:space="preserve">http://slimages.macys.com/is/image/MCY/14385110 </v>
      </c>
    </row>
    <row r="386" spans="1:13" ht="84" x14ac:dyDescent="0.25">
      <c r="A386" s="7" t="s">
        <v>2237</v>
      </c>
      <c r="B386" s="2" t="s">
        <v>2228</v>
      </c>
      <c r="C386" s="4">
        <v>2</v>
      </c>
      <c r="D386" s="5">
        <v>2.67</v>
      </c>
      <c r="E386" s="5">
        <v>7.99</v>
      </c>
      <c r="F386" s="4" t="s">
        <v>2229</v>
      </c>
      <c r="G386" s="2" t="s">
        <v>527</v>
      </c>
      <c r="H386" s="7"/>
      <c r="I386" s="2" t="s">
        <v>483</v>
      </c>
      <c r="J386" s="2" t="s">
        <v>536</v>
      </c>
      <c r="K386" s="2" t="s">
        <v>304</v>
      </c>
      <c r="L386" s="2" t="s">
        <v>2230</v>
      </c>
      <c r="M386" s="8" t="str">
        <f>HYPERLINK("http://slimages.macys.com/is/image/MCY/14385110 ")</f>
        <v xml:space="preserve">http://slimages.macys.com/is/image/MCY/14385110 </v>
      </c>
    </row>
    <row r="387" spans="1:13" ht="60" x14ac:dyDescent="0.25">
      <c r="A387" s="7" t="s">
        <v>4478</v>
      </c>
      <c r="B387" s="2" t="s">
        <v>4479</v>
      </c>
      <c r="C387" s="4">
        <v>1</v>
      </c>
      <c r="D387" s="5">
        <v>2.67</v>
      </c>
      <c r="E387" s="5">
        <v>6.99</v>
      </c>
      <c r="F387" s="4" t="s">
        <v>4480</v>
      </c>
      <c r="G387" s="2" t="s">
        <v>195</v>
      </c>
      <c r="H387" s="7"/>
      <c r="I387" s="2" t="s">
        <v>483</v>
      </c>
      <c r="J387" s="2" t="s">
        <v>536</v>
      </c>
      <c r="K387" s="2" t="s">
        <v>304</v>
      </c>
      <c r="L387" s="2" t="s">
        <v>38</v>
      </c>
      <c r="M387" s="8" t="str">
        <f>HYPERLINK("http://slimages.macys.com/is/image/MCY/12465793 ")</f>
        <v xml:space="preserve">http://slimages.macys.com/is/image/MCY/12465793 </v>
      </c>
    </row>
    <row r="388" spans="1:13" ht="60" x14ac:dyDescent="0.25">
      <c r="A388" s="7" t="s">
        <v>5683</v>
      </c>
      <c r="B388" s="2" t="s">
        <v>4479</v>
      </c>
      <c r="C388" s="4">
        <v>2</v>
      </c>
      <c r="D388" s="5">
        <v>2.67</v>
      </c>
      <c r="E388" s="5">
        <v>6.99</v>
      </c>
      <c r="F388" s="4" t="s">
        <v>4480</v>
      </c>
      <c r="G388" s="2" t="s">
        <v>195</v>
      </c>
      <c r="H388" s="7" t="s">
        <v>149</v>
      </c>
      <c r="I388" s="2" t="s">
        <v>483</v>
      </c>
      <c r="J388" s="2" t="s">
        <v>536</v>
      </c>
      <c r="K388" s="2" t="s">
        <v>304</v>
      </c>
      <c r="L388" s="2" t="s">
        <v>38</v>
      </c>
      <c r="M388" s="8" t="str">
        <f>HYPERLINK("http://slimages.macys.com/is/image/MCY/12465793 ")</f>
        <v xml:space="preserve">http://slimages.macys.com/is/image/MCY/12465793 </v>
      </c>
    </row>
    <row r="389" spans="1:13" ht="84" x14ac:dyDescent="0.25">
      <c r="A389" s="7" t="s">
        <v>5685</v>
      </c>
      <c r="B389" s="2" t="s">
        <v>2228</v>
      </c>
      <c r="C389" s="4">
        <v>1</v>
      </c>
      <c r="D389" s="5">
        <v>2.67</v>
      </c>
      <c r="E389" s="5">
        <v>7.99</v>
      </c>
      <c r="F389" s="4" t="s">
        <v>2229</v>
      </c>
      <c r="G389" s="2" t="s">
        <v>527</v>
      </c>
      <c r="H389" s="7" t="s">
        <v>442</v>
      </c>
      <c r="I389" s="2" t="s">
        <v>483</v>
      </c>
      <c r="J389" s="2" t="s">
        <v>536</v>
      </c>
      <c r="K389" s="2" t="s">
        <v>304</v>
      </c>
      <c r="L389" s="2" t="s">
        <v>2230</v>
      </c>
      <c r="M389" s="8" t="str">
        <f>HYPERLINK("http://slimages.macys.com/is/image/MCY/14385110 ")</f>
        <v xml:space="preserve">http://slimages.macys.com/is/image/MCY/14385110 </v>
      </c>
    </row>
    <row r="390" spans="1:13" ht="60" x14ac:dyDescent="0.25">
      <c r="A390" s="7" t="s">
        <v>6500</v>
      </c>
      <c r="B390" s="2" t="s">
        <v>6501</v>
      </c>
      <c r="C390" s="4">
        <v>1</v>
      </c>
      <c r="D390" s="5">
        <v>2.65</v>
      </c>
      <c r="E390" s="5">
        <v>5.99</v>
      </c>
      <c r="F390" s="4" t="s">
        <v>6502</v>
      </c>
      <c r="G390" s="2" t="s">
        <v>134</v>
      </c>
      <c r="H390" s="7" t="s">
        <v>91</v>
      </c>
      <c r="I390" s="2" t="s">
        <v>483</v>
      </c>
      <c r="J390" s="2" t="s">
        <v>536</v>
      </c>
      <c r="K390" s="2" t="s">
        <v>304</v>
      </c>
      <c r="L390" s="2" t="s">
        <v>119</v>
      </c>
      <c r="M390" s="8" t="str">
        <f>HYPERLINK("http://slimages.macys.com/is/image/MCY/12644420 ")</f>
        <v xml:space="preserve">http://slimages.macys.com/is/image/MCY/12644420 </v>
      </c>
    </row>
    <row r="391" spans="1:13" ht="60" x14ac:dyDescent="0.25">
      <c r="A391" s="7" t="s">
        <v>13733</v>
      </c>
      <c r="B391" s="2" t="s">
        <v>2246</v>
      </c>
      <c r="C391" s="4">
        <v>1</v>
      </c>
      <c r="D391" s="5">
        <v>2.64</v>
      </c>
      <c r="E391" s="5">
        <v>6.99</v>
      </c>
      <c r="F391" s="4" t="s">
        <v>2247</v>
      </c>
      <c r="G391" s="2" t="s">
        <v>262</v>
      </c>
      <c r="H391" s="7" t="s">
        <v>482</v>
      </c>
      <c r="I391" s="2" t="s">
        <v>483</v>
      </c>
      <c r="J391" s="2" t="s">
        <v>536</v>
      </c>
      <c r="K391" s="2" t="s">
        <v>304</v>
      </c>
      <c r="L391" s="2" t="s">
        <v>119</v>
      </c>
      <c r="M391" s="8" t="str">
        <f>HYPERLINK("http://slimages.macys.com/is/image/MCY/13987489 ")</f>
        <v xml:space="preserve">http://slimages.macys.com/is/image/MCY/13987489 </v>
      </c>
    </row>
    <row r="392" spans="1:13" ht="60" x14ac:dyDescent="0.25">
      <c r="A392" s="7" t="s">
        <v>9208</v>
      </c>
      <c r="B392" s="2" t="s">
        <v>4495</v>
      </c>
      <c r="C392" s="4">
        <v>1</v>
      </c>
      <c r="D392" s="5">
        <v>2.63</v>
      </c>
      <c r="E392" s="5">
        <v>5.99</v>
      </c>
      <c r="F392" s="4" t="s">
        <v>4496</v>
      </c>
      <c r="G392" s="2" t="s">
        <v>858</v>
      </c>
      <c r="H392" s="7" t="s">
        <v>442</v>
      </c>
      <c r="I392" s="2" t="s">
        <v>483</v>
      </c>
      <c r="J392" s="2" t="s">
        <v>536</v>
      </c>
      <c r="K392" s="2" t="s">
        <v>304</v>
      </c>
      <c r="L392" s="2" t="s">
        <v>206</v>
      </c>
      <c r="M392" s="8" t="str">
        <f>HYPERLINK("http://slimages.macys.com/is/image/MCY/11709478 ")</f>
        <v xml:space="preserve">http://slimages.macys.com/is/image/MCY/11709478 </v>
      </c>
    </row>
    <row r="393" spans="1:13" ht="60" x14ac:dyDescent="0.25">
      <c r="A393" s="7" t="s">
        <v>2268</v>
      </c>
      <c r="B393" s="2" t="s">
        <v>2254</v>
      </c>
      <c r="C393" s="4">
        <v>1</v>
      </c>
      <c r="D393" s="5">
        <v>2.62</v>
      </c>
      <c r="E393" s="5">
        <v>5.99</v>
      </c>
      <c r="F393" s="4" t="s">
        <v>2255</v>
      </c>
      <c r="G393" s="2" t="s">
        <v>657</v>
      </c>
      <c r="H393" s="7" t="s">
        <v>91</v>
      </c>
      <c r="I393" s="2" t="s">
        <v>483</v>
      </c>
      <c r="J393" s="2" t="s">
        <v>536</v>
      </c>
      <c r="K393" s="2" t="s">
        <v>304</v>
      </c>
      <c r="L393" s="2" t="s">
        <v>119</v>
      </c>
      <c r="M393" s="8" t="str">
        <f>HYPERLINK("http://slimages.macys.com/is/image/MCY/12644604 ")</f>
        <v xml:space="preserve">http://slimages.macys.com/is/image/MCY/12644604 </v>
      </c>
    </row>
    <row r="394" spans="1:13" ht="60" x14ac:dyDescent="0.25">
      <c r="A394" s="7" t="s">
        <v>13734</v>
      </c>
      <c r="B394" s="2" t="s">
        <v>8443</v>
      </c>
      <c r="C394" s="4">
        <v>1</v>
      </c>
      <c r="D394" s="5">
        <v>2.62</v>
      </c>
      <c r="E394" s="5">
        <v>6.99</v>
      </c>
      <c r="F394" s="4" t="s">
        <v>8444</v>
      </c>
      <c r="G394" s="2" t="s">
        <v>36</v>
      </c>
      <c r="H394" s="7" t="s">
        <v>442</v>
      </c>
      <c r="I394" s="2" t="s">
        <v>483</v>
      </c>
      <c r="J394" s="2" t="s">
        <v>536</v>
      </c>
      <c r="K394" s="2" t="s">
        <v>304</v>
      </c>
      <c r="L394" s="2" t="s">
        <v>100</v>
      </c>
      <c r="M394" s="8" t="str">
        <f>HYPERLINK("http://slimages.macys.com/is/image/MCY/11855828 ")</f>
        <v xml:space="preserve">http://slimages.macys.com/is/image/MCY/11855828 </v>
      </c>
    </row>
    <row r="395" spans="1:13" ht="60" x14ac:dyDescent="0.25">
      <c r="A395" s="7" t="s">
        <v>6510</v>
      </c>
      <c r="B395" s="2" t="s">
        <v>4508</v>
      </c>
      <c r="C395" s="4">
        <v>1</v>
      </c>
      <c r="D395" s="5">
        <v>2.62</v>
      </c>
      <c r="E395" s="5">
        <v>7.99</v>
      </c>
      <c r="F395" s="4" t="s">
        <v>4509</v>
      </c>
      <c r="G395" s="2" t="s">
        <v>353</v>
      </c>
      <c r="H395" s="7" t="s">
        <v>514</v>
      </c>
      <c r="I395" s="2" t="s">
        <v>483</v>
      </c>
      <c r="J395" s="2" t="s">
        <v>536</v>
      </c>
      <c r="K395" s="2" t="s">
        <v>304</v>
      </c>
      <c r="L395" s="2" t="s">
        <v>38</v>
      </c>
      <c r="M395" s="8" t="str">
        <f>HYPERLINK("http://slimages.macys.com/is/image/MCY/12644528 ")</f>
        <v xml:space="preserve">http://slimages.macys.com/is/image/MCY/12644528 </v>
      </c>
    </row>
    <row r="396" spans="1:13" ht="60" x14ac:dyDescent="0.25">
      <c r="A396" s="7" t="s">
        <v>10685</v>
      </c>
      <c r="B396" s="2" t="s">
        <v>4526</v>
      </c>
      <c r="C396" s="4">
        <v>1</v>
      </c>
      <c r="D396" s="5">
        <v>2.59</v>
      </c>
      <c r="E396" s="5">
        <v>7.99</v>
      </c>
      <c r="F396" s="4" t="s">
        <v>4527</v>
      </c>
      <c r="G396" s="2" t="s">
        <v>1265</v>
      </c>
      <c r="H396" s="7"/>
      <c r="I396" s="2" t="s">
        <v>483</v>
      </c>
      <c r="J396" s="2" t="s">
        <v>536</v>
      </c>
      <c r="K396" s="2" t="s">
        <v>304</v>
      </c>
      <c r="L396" s="2" t="s">
        <v>100</v>
      </c>
      <c r="M396" s="8" t="str">
        <f>HYPERLINK("http://slimages.macys.com/is/image/MCY/12466031 ")</f>
        <v xml:space="preserve">http://slimages.macys.com/is/image/MCY/12466031 </v>
      </c>
    </row>
    <row r="397" spans="1:13" ht="60" x14ac:dyDescent="0.25">
      <c r="A397" s="7" t="s">
        <v>609</v>
      </c>
      <c r="B397" s="2" t="s">
        <v>610</v>
      </c>
      <c r="C397" s="4">
        <v>1</v>
      </c>
      <c r="D397" s="5">
        <v>2.58</v>
      </c>
      <c r="E397" s="5">
        <v>6.99</v>
      </c>
      <c r="F397" s="4" t="s">
        <v>611</v>
      </c>
      <c r="G397" s="2" t="s">
        <v>297</v>
      </c>
      <c r="H397" s="7" t="s">
        <v>590</v>
      </c>
      <c r="I397" s="2" t="s">
        <v>483</v>
      </c>
      <c r="J397" s="2" t="s">
        <v>536</v>
      </c>
      <c r="K397" s="2" t="s">
        <v>304</v>
      </c>
      <c r="L397" s="2" t="s">
        <v>358</v>
      </c>
      <c r="M397" s="8" t="str">
        <f>HYPERLINK("http://slimages.macys.com/is/image/MCY/14384900 ")</f>
        <v xml:space="preserve">http://slimages.macys.com/is/image/MCY/14384900 </v>
      </c>
    </row>
    <row r="398" spans="1:13" ht="60" x14ac:dyDescent="0.25">
      <c r="A398" s="7" t="s">
        <v>6046</v>
      </c>
      <c r="B398" s="2" t="s">
        <v>6032</v>
      </c>
      <c r="C398" s="4">
        <v>1</v>
      </c>
      <c r="D398" s="5">
        <v>2.57</v>
      </c>
      <c r="E398" s="5">
        <v>6.99</v>
      </c>
      <c r="F398" s="4" t="s">
        <v>6033</v>
      </c>
      <c r="G398" s="2" t="s">
        <v>62</v>
      </c>
      <c r="H398" s="7" t="s">
        <v>42</v>
      </c>
      <c r="I398" s="2" t="s">
        <v>483</v>
      </c>
      <c r="J398" s="2" t="s">
        <v>536</v>
      </c>
      <c r="K398" s="2" t="s">
        <v>304</v>
      </c>
      <c r="L398" s="2" t="s">
        <v>100</v>
      </c>
      <c r="M398" s="8" t="str">
        <f>HYPERLINK("http://slimages.macys.com/is/image/MCY/11378313 ")</f>
        <v xml:space="preserve">http://slimages.macys.com/is/image/MCY/11378313 </v>
      </c>
    </row>
    <row r="399" spans="1:13" ht="60" x14ac:dyDescent="0.25">
      <c r="A399" s="7" t="s">
        <v>6525</v>
      </c>
      <c r="B399" s="2" t="s">
        <v>6032</v>
      </c>
      <c r="C399" s="4">
        <v>1</v>
      </c>
      <c r="D399" s="5">
        <v>2.57</v>
      </c>
      <c r="E399" s="5">
        <v>6.99</v>
      </c>
      <c r="F399" s="4" t="s">
        <v>6033</v>
      </c>
      <c r="G399" s="2" t="s">
        <v>62</v>
      </c>
      <c r="H399" s="7" t="s">
        <v>442</v>
      </c>
      <c r="I399" s="2" t="s">
        <v>483</v>
      </c>
      <c r="J399" s="2" t="s">
        <v>536</v>
      </c>
      <c r="K399" s="2" t="s">
        <v>304</v>
      </c>
      <c r="L399" s="2" t="s">
        <v>100</v>
      </c>
      <c r="M399" s="8" t="str">
        <f>HYPERLINK("http://slimages.macys.com/is/image/MCY/11378313 ")</f>
        <v xml:space="preserve">http://slimages.macys.com/is/image/MCY/11378313 </v>
      </c>
    </row>
    <row r="400" spans="1:13" ht="60" x14ac:dyDescent="0.25">
      <c r="A400" s="7" t="s">
        <v>6058</v>
      </c>
      <c r="B400" s="2" t="s">
        <v>1260</v>
      </c>
      <c r="C400" s="4">
        <v>1</v>
      </c>
      <c r="D400" s="5">
        <v>2.56</v>
      </c>
      <c r="E400" s="5">
        <v>6.99</v>
      </c>
      <c r="F400" s="4" t="s">
        <v>1261</v>
      </c>
      <c r="G400" s="2" t="s">
        <v>86</v>
      </c>
      <c r="H400" s="7" t="s">
        <v>149</v>
      </c>
      <c r="I400" s="2" t="s">
        <v>483</v>
      </c>
      <c r="J400" s="2" t="s">
        <v>536</v>
      </c>
      <c r="K400" s="2" t="s">
        <v>304</v>
      </c>
      <c r="L400" s="2" t="s">
        <v>100</v>
      </c>
      <c r="M400" s="8" t="str">
        <f>HYPERLINK("http://slimages.macys.com/is/image/MCY/11779082 ")</f>
        <v xml:space="preserve">http://slimages.macys.com/is/image/MCY/11779082 </v>
      </c>
    </row>
    <row r="401" spans="1:13" ht="60" x14ac:dyDescent="0.25">
      <c r="A401" s="7" t="s">
        <v>13735</v>
      </c>
      <c r="B401" s="2" t="s">
        <v>4548</v>
      </c>
      <c r="C401" s="4">
        <v>2</v>
      </c>
      <c r="D401" s="5">
        <v>2.5299999999999998</v>
      </c>
      <c r="E401" s="5">
        <v>5.99</v>
      </c>
      <c r="F401" s="4" t="s">
        <v>4549</v>
      </c>
      <c r="G401" s="2" t="s">
        <v>28</v>
      </c>
      <c r="H401" s="7" t="s">
        <v>590</v>
      </c>
      <c r="I401" s="2" t="s">
        <v>483</v>
      </c>
      <c r="J401" s="2" t="s">
        <v>536</v>
      </c>
      <c r="K401" s="2" t="s">
        <v>304</v>
      </c>
      <c r="L401" s="2" t="s">
        <v>38</v>
      </c>
      <c r="M401" s="8" t="str">
        <f>HYPERLINK("http://slimages.macys.com/is/image/MCY/14384849 ")</f>
        <v xml:space="preserve">http://slimages.macys.com/is/image/MCY/14384849 </v>
      </c>
    </row>
    <row r="402" spans="1:13" ht="60" x14ac:dyDescent="0.25">
      <c r="A402" s="7" t="s">
        <v>13736</v>
      </c>
      <c r="B402" s="2" t="s">
        <v>2725</v>
      </c>
      <c r="C402" s="4">
        <v>1</v>
      </c>
      <c r="D402" s="5">
        <v>2.5</v>
      </c>
      <c r="E402" s="5">
        <v>5.99</v>
      </c>
      <c r="F402" s="4" t="s">
        <v>2726</v>
      </c>
      <c r="G402" s="2" t="s">
        <v>7924</v>
      </c>
      <c r="H402" s="7" t="s">
        <v>442</v>
      </c>
      <c r="I402" s="2" t="s">
        <v>483</v>
      </c>
      <c r="J402" s="2" t="s">
        <v>536</v>
      </c>
      <c r="K402" s="2" t="s">
        <v>304</v>
      </c>
      <c r="L402" s="2" t="s">
        <v>87</v>
      </c>
      <c r="M402" s="8" t="str">
        <f>HYPERLINK("http://slimages.macys.com/is/image/MCY/11524163 ")</f>
        <v xml:space="preserve">http://slimages.macys.com/is/image/MCY/11524163 </v>
      </c>
    </row>
    <row r="403" spans="1:13" ht="84" x14ac:dyDescent="0.25">
      <c r="A403" s="7" t="s">
        <v>8472</v>
      </c>
      <c r="B403" s="2" t="s">
        <v>1307</v>
      </c>
      <c r="C403" s="4">
        <v>1</v>
      </c>
      <c r="D403" s="5">
        <v>2.4900000000000002</v>
      </c>
      <c r="E403" s="5">
        <v>6.99</v>
      </c>
      <c r="F403" s="4">
        <v>10006315700</v>
      </c>
      <c r="G403" s="2" t="s">
        <v>41</v>
      </c>
      <c r="H403" s="7" t="s">
        <v>149</v>
      </c>
      <c r="I403" s="2" t="s">
        <v>483</v>
      </c>
      <c r="J403" s="2" t="s">
        <v>536</v>
      </c>
      <c r="K403" s="2" t="s">
        <v>304</v>
      </c>
      <c r="L403" s="2" t="s">
        <v>1308</v>
      </c>
      <c r="M403" s="8" t="str">
        <f>HYPERLINK("http://slimages.macys.com/is/image/MCY/13987457 ")</f>
        <v xml:space="preserve">http://slimages.macys.com/is/image/MCY/13987457 </v>
      </c>
    </row>
    <row r="404" spans="1:13" ht="108" x14ac:dyDescent="0.25">
      <c r="A404" s="7" t="s">
        <v>2301</v>
      </c>
      <c r="B404" s="2" t="s">
        <v>2302</v>
      </c>
      <c r="C404" s="4">
        <v>1</v>
      </c>
      <c r="D404" s="5">
        <v>2.4900000000000002</v>
      </c>
      <c r="E404" s="5">
        <v>6.99</v>
      </c>
      <c r="F404" s="4" t="s">
        <v>2303</v>
      </c>
      <c r="G404" s="2" t="s">
        <v>134</v>
      </c>
      <c r="H404" s="7" t="s">
        <v>149</v>
      </c>
      <c r="I404" s="2" t="s">
        <v>483</v>
      </c>
      <c r="J404" s="2" t="s">
        <v>536</v>
      </c>
      <c r="K404" s="2" t="s">
        <v>304</v>
      </c>
      <c r="L404" s="2" t="s">
        <v>2304</v>
      </c>
      <c r="M404" s="8" t="str">
        <f>HYPERLINK("http://slimages.macys.com/is/image/MCY/13987461 ")</f>
        <v xml:space="preserve">http://slimages.macys.com/is/image/MCY/13987461 </v>
      </c>
    </row>
    <row r="405" spans="1:13" ht="60" x14ac:dyDescent="0.25">
      <c r="A405" s="7" t="s">
        <v>1317</v>
      </c>
      <c r="B405" s="2" t="s">
        <v>1304</v>
      </c>
      <c r="C405" s="4">
        <v>1</v>
      </c>
      <c r="D405" s="5">
        <v>2.4900000000000002</v>
      </c>
      <c r="E405" s="5">
        <v>5.99</v>
      </c>
      <c r="F405" s="4" t="s">
        <v>1305</v>
      </c>
      <c r="G405" s="2" t="s">
        <v>86</v>
      </c>
      <c r="H405" s="7" t="s">
        <v>42</v>
      </c>
      <c r="I405" s="2" t="s">
        <v>483</v>
      </c>
      <c r="J405" s="2" t="s">
        <v>536</v>
      </c>
      <c r="K405" s="2" t="s">
        <v>304</v>
      </c>
      <c r="L405" s="2" t="s">
        <v>38</v>
      </c>
      <c r="M405" s="8" t="str">
        <f>HYPERLINK("http://slimages.macys.com/is/image/MCY/11855486 ")</f>
        <v xml:space="preserve">http://slimages.macys.com/is/image/MCY/11855486 </v>
      </c>
    </row>
    <row r="406" spans="1:13" ht="60" x14ac:dyDescent="0.25">
      <c r="A406" s="7" t="s">
        <v>2314</v>
      </c>
      <c r="B406" s="2" t="s">
        <v>622</v>
      </c>
      <c r="C406" s="4">
        <v>2</v>
      </c>
      <c r="D406" s="5">
        <v>2.48</v>
      </c>
      <c r="E406" s="5">
        <v>7.99</v>
      </c>
      <c r="F406" s="4">
        <v>10005379300</v>
      </c>
      <c r="G406" s="2" t="s">
        <v>437</v>
      </c>
      <c r="H406" s="7"/>
      <c r="I406" s="2" t="s">
        <v>483</v>
      </c>
      <c r="J406" s="2" t="s">
        <v>536</v>
      </c>
      <c r="K406" s="2" t="s">
        <v>304</v>
      </c>
      <c r="L406" s="2" t="s">
        <v>623</v>
      </c>
      <c r="M406" s="8" t="str">
        <f>HYPERLINK("http://slimages.macys.com/is/image/MCY/12465415 ")</f>
        <v xml:space="preserve">http://slimages.macys.com/is/image/MCY/12465415 </v>
      </c>
    </row>
    <row r="407" spans="1:13" ht="60" x14ac:dyDescent="0.25">
      <c r="A407" s="7" t="s">
        <v>2311</v>
      </c>
      <c r="B407" s="2" t="s">
        <v>622</v>
      </c>
      <c r="C407" s="4">
        <v>1</v>
      </c>
      <c r="D407" s="5">
        <v>2.48</v>
      </c>
      <c r="E407" s="5">
        <v>7.99</v>
      </c>
      <c r="F407" s="4">
        <v>10005379300</v>
      </c>
      <c r="G407" s="2" t="s">
        <v>62</v>
      </c>
      <c r="H407" s="7" t="s">
        <v>482</v>
      </c>
      <c r="I407" s="2" t="s">
        <v>483</v>
      </c>
      <c r="J407" s="2" t="s">
        <v>536</v>
      </c>
      <c r="K407" s="2" t="s">
        <v>304</v>
      </c>
      <c r="L407" s="2" t="s">
        <v>623</v>
      </c>
      <c r="M407" s="8" t="str">
        <f>HYPERLINK("http://slimages.macys.com/is/image/MCY/12465415 ")</f>
        <v xml:space="preserve">http://slimages.macys.com/is/image/MCY/12465415 </v>
      </c>
    </row>
    <row r="408" spans="1:13" ht="60" x14ac:dyDescent="0.25">
      <c r="A408" s="7" t="s">
        <v>2312</v>
      </c>
      <c r="B408" s="2" t="s">
        <v>622</v>
      </c>
      <c r="C408" s="4">
        <v>1</v>
      </c>
      <c r="D408" s="5">
        <v>2.48</v>
      </c>
      <c r="E408" s="5">
        <v>7.99</v>
      </c>
      <c r="F408" s="4">
        <v>10005379300</v>
      </c>
      <c r="G408" s="2" t="s">
        <v>62</v>
      </c>
      <c r="H408" s="7" t="s">
        <v>149</v>
      </c>
      <c r="I408" s="2" t="s">
        <v>483</v>
      </c>
      <c r="J408" s="2" t="s">
        <v>536</v>
      </c>
      <c r="K408" s="2" t="s">
        <v>304</v>
      </c>
      <c r="L408" s="2" t="s">
        <v>623</v>
      </c>
      <c r="M408" s="8" t="str">
        <f>HYPERLINK("http://slimages.macys.com/is/image/MCY/12465415 ")</f>
        <v xml:space="preserve">http://slimages.macys.com/is/image/MCY/12465415 </v>
      </c>
    </row>
    <row r="409" spans="1:13" ht="60" x14ac:dyDescent="0.25">
      <c r="A409" s="7" t="s">
        <v>2310</v>
      </c>
      <c r="B409" s="2" t="s">
        <v>622</v>
      </c>
      <c r="C409" s="4">
        <v>1</v>
      </c>
      <c r="D409" s="5">
        <v>2.48</v>
      </c>
      <c r="E409" s="5">
        <v>7.99</v>
      </c>
      <c r="F409" s="4">
        <v>10005379300</v>
      </c>
      <c r="G409" s="2" t="s">
        <v>62</v>
      </c>
      <c r="H409" s="7"/>
      <c r="I409" s="2" t="s">
        <v>483</v>
      </c>
      <c r="J409" s="2" t="s">
        <v>536</v>
      </c>
      <c r="K409" s="2" t="s">
        <v>304</v>
      </c>
      <c r="L409" s="2" t="s">
        <v>623</v>
      </c>
      <c r="M409" s="8" t="str">
        <f>HYPERLINK("http://slimages.macys.com/is/image/MCY/12465415 ")</f>
        <v xml:space="preserve">http://slimages.macys.com/is/image/MCY/12465415 </v>
      </c>
    </row>
    <row r="410" spans="1:13" ht="60" x14ac:dyDescent="0.25">
      <c r="A410" s="7" t="s">
        <v>2309</v>
      </c>
      <c r="B410" s="2" t="s">
        <v>622</v>
      </c>
      <c r="C410" s="4">
        <v>1</v>
      </c>
      <c r="D410" s="5">
        <v>2.48</v>
      </c>
      <c r="E410" s="5">
        <v>7.99</v>
      </c>
      <c r="F410" s="4">
        <v>10005379300</v>
      </c>
      <c r="G410" s="2" t="s">
        <v>437</v>
      </c>
      <c r="H410" s="7" t="s">
        <v>482</v>
      </c>
      <c r="I410" s="2" t="s">
        <v>483</v>
      </c>
      <c r="J410" s="2" t="s">
        <v>536</v>
      </c>
      <c r="K410" s="2" t="s">
        <v>304</v>
      </c>
      <c r="L410" s="2" t="s">
        <v>623</v>
      </c>
      <c r="M410" s="8" t="str">
        <f>HYPERLINK("http://slimages.macys.com/is/image/MCY/12465415 ")</f>
        <v xml:space="preserve">http://slimages.macys.com/is/image/MCY/12465415 </v>
      </c>
    </row>
    <row r="411" spans="1:13" ht="60" x14ac:dyDescent="0.25">
      <c r="A411" s="7" t="s">
        <v>13451</v>
      </c>
      <c r="B411" s="2" t="s">
        <v>3527</v>
      </c>
      <c r="C411" s="4">
        <v>1</v>
      </c>
      <c r="D411" s="5">
        <v>2.48</v>
      </c>
      <c r="E411" s="5">
        <v>6.99</v>
      </c>
      <c r="F411" s="4" t="s">
        <v>3528</v>
      </c>
      <c r="G411" s="2" t="s">
        <v>595</v>
      </c>
      <c r="H411" s="7" t="s">
        <v>91</v>
      </c>
      <c r="I411" s="2" t="s">
        <v>483</v>
      </c>
      <c r="J411" s="2" t="s">
        <v>536</v>
      </c>
      <c r="K411" s="2" t="s">
        <v>304</v>
      </c>
      <c r="L411" s="2" t="s">
        <v>596</v>
      </c>
      <c r="M411" s="8" t="str">
        <f>HYPERLINK("http://slimages.macys.com/is/image/MCY/14799396 ")</f>
        <v xml:space="preserve">http://slimages.macys.com/is/image/MCY/14799396 </v>
      </c>
    </row>
    <row r="412" spans="1:13" ht="60" x14ac:dyDescent="0.25">
      <c r="A412" s="7" t="s">
        <v>621</v>
      </c>
      <c r="B412" s="2" t="s">
        <v>622</v>
      </c>
      <c r="C412" s="4">
        <v>1</v>
      </c>
      <c r="D412" s="5">
        <v>2.48</v>
      </c>
      <c r="E412" s="5">
        <v>7.99</v>
      </c>
      <c r="F412" s="4">
        <v>10005379300</v>
      </c>
      <c r="G412" s="2" t="s">
        <v>437</v>
      </c>
      <c r="H412" s="7" t="s">
        <v>590</v>
      </c>
      <c r="I412" s="2" t="s">
        <v>483</v>
      </c>
      <c r="J412" s="2" t="s">
        <v>536</v>
      </c>
      <c r="K412" s="2" t="s">
        <v>304</v>
      </c>
      <c r="L412" s="2" t="s">
        <v>623</v>
      </c>
      <c r="M412" s="8" t="str">
        <f>HYPERLINK("http://slimages.macys.com/is/image/MCY/12465415 ")</f>
        <v xml:space="preserve">http://slimages.macys.com/is/image/MCY/12465415 </v>
      </c>
    </row>
    <row r="413" spans="1:13" ht="60" x14ac:dyDescent="0.25">
      <c r="A413" s="7" t="s">
        <v>7216</v>
      </c>
      <c r="B413" s="2" t="s">
        <v>1327</v>
      </c>
      <c r="C413" s="4">
        <v>1</v>
      </c>
      <c r="D413" s="5">
        <v>2.44</v>
      </c>
      <c r="E413" s="5">
        <v>5.99</v>
      </c>
      <c r="F413" s="4" t="s">
        <v>1328</v>
      </c>
      <c r="G413" s="2" t="s">
        <v>41</v>
      </c>
      <c r="H413" s="7" t="s">
        <v>42</v>
      </c>
      <c r="I413" s="2" t="s">
        <v>483</v>
      </c>
      <c r="J413" s="2" t="s">
        <v>536</v>
      </c>
      <c r="K413" s="2" t="s">
        <v>304</v>
      </c>
      <c r="L413" s="2" t="s">
        <v>119</v>
      </c>
      <c r="M413" s="8" t="str">
        <f>HYPERLINK("http://slimages.macys.com/is/image/MCY/12466322 ")</f>
        <v xml:space="preserve">http://slimages.macys.com/is/image/MCY/12466322 </v>
      </c>
    </row>
    <row r="414" spans="1:13" ht="108" x14ac:dyDescent="0.25">
      <c r="A414" s="7" t="s">
        <v>2321</v>
      </c>
      <c r="B414" s="2" t="s">
        <v>2322</v>
      </c>
      <c r="C414" s="4">
        <v>5</v>
      </c>
      <c r="D414" s="5">
        <v>2.4300000000000002</v>
      </c>
      <c r="E414" s="5">
        <v>7.99</v>
      </c>
      <c r="F414" s="4" t="s">
        <v>2323</v>
      </c>
      <c r="G414" s="2" t="s">
        <v>41</v>
      </c>
      <c r="H414" s="7"/>
      <c r="I414" s="2" t="s">
        <v>483</v>
      </c>
      <c r="J414" s="2" t="s">
        <v>536</v>
      </c>
      <c r="K414" s="2" t="s">
        <v>304</v>
      </c>
      <c r="L414" s="2" t="s">
        <v>2324</v>
      </c>
      <c r="M414" s="8" t="str">
        <f>HYPERLINK("http://slimages.macys.com/is/image/MCY/14384998 ")</f>
        <v xml:space="preserve">http://slimages.macys.com/is/image/MCY/14384998 </v>
      </c>
    </row>
    <row r="415" spans="1:13" ht="108" x14ac:dyDescent="0.25">
      <c r="A415" s="7" t="s">
        <v>2326</v>
      </c>
      <c r="B415" s="2" t="s">
        <v>2322</v>
      </c>
      <c r="C415" s="4">
        <v>6</v>
      </c>
      <c r="D415" s="5">
        <v>2.4300000000000002</v>
      </c>
      <c r="E415" s="5">
        <v>7.99</v>
      </c>
      <c r="F415" s="4" t="s">
        <v>2323</v>
      </c>
      <c r="G415" s="2" t="s">
        <v>41</v>
      </c>
      <c r="H415" s="7" t="s">
        <v>149</v>
      </c>
      <c r="I415" s="2" t="s">
        <v>483</v>
      </c>
      <c r="J415" s="2" t="s">
        <v>536</v>
      </c>
      <c r="K415" s="2" t="s">
        <v>304</v>
      </c>
      <c r="L415" s="2" t="s">
        <v>2324</v>
      </c>
      <c r="M415" s="8" t="str">
        <f>HYPERLINK("http://slimages.macys.com/is/image/MCY/14384998 ")</f>
        <v xml:space="preserve">http://slimages.macys.com/is/image/MCY/14384998 </v>
      </c>
    </row>
    <row r="416" spans="1:13" ht="108" x14ac:dyDescent="0.25">
      <c r="A416" s="7" t="s">
        <v>5736</v>
      </c>
      <c r="B416" s="2" t="s">
        <v>2322</v>
      </c>
      <c r="C416" s="4">
        <v>2</v>
      </c>
      <c r="D416" s="5">
        <v>2.4300000000000002</v>
      </c>
      <c r="E416" s="5">
        <v>7.99</v>
      </c>
      <c r="F416" s="4" t="s">
        <v>2323</v>
      </c>
      <c r="G416" s="2" t="s">
        <v>41</v>
      </c>
      <c r="H416" s="7" t="s">
        <v>442</v>
      </c>
      <c r="I416" s="2" t="s">
        <v>483</v>
      </c>
      <c r="J416" s="2" t="s">
        <v>536</v>
      </c>
      <c r="K416" s="2" t="s">
        <v>304</v>
      </c>
      <c r="L416" s="2" t="s">
        <v>2324</v>
      </c>
      <c r="M416" s="8" t="str">
        <f>HYPERLINK("http://slimages.macys.com/is/image/MCY/14384998 ")</f>
        <v xml:space="preserve">http://slimages.macys.com/is/image/MCY/14384998 </v>
      </c>
    </row>
    <row r="417" spans="1:13" ht="108" x14ac:dyDescent="0.25">
      <c r="A417" s="7" t="s">
        <v>13737</v>
      </c>
      <c r="B417" s="2" t="s">
        <v>2322</v>
      </c>
      <c r="C417" s="4">
        <v>2</v>
      </c>
      <c r="D417" s="5">
        <v>2.4300000000000002</v>
      </c>
      <c r="E417" s="5">
        <v>7.99</v>
      </c>
      <c r="F417" s="4" t="s">
        <v>2323</v>
      </c>
      <c r="G417" s="2" t="s">
        <v>41</v>
      </c>
      <c r="H417" s="7" t="s">
        <v>91</v>
      </c>
      <c r="I417" s="2" t="s">
        <v>483</v>
      </c>
      <c r="J417" s="2" t="s">
        <v>536</v>
      </c>
      <c r="K417" s="2" t="s">
        <v>304</v>
      </c>
      <c r="L417" s="2" t="s">
        <v>2324</v>
      </c>
      <c r="M417" s="8" t="str">
        <f>HYPERLINK("http://slimages.macys.com/is/image/MCY/14384998 ")</f>
        <v xml:space="preserve">http://slimages.macys.com/is/image/MCY/14384998 </v>
      </c>
    </row>
    <row r="418" spans="1:13" ht="108" x14ac:dyDescent="0.25">
      <c r="A418" s="7" t="s">
        <v>2325</v>
      </c>
      <c r="B418" s="2" t="s">
        <v>2322</v>
      </c>
      <c r="C418" s="4">
        <v>3</v>
      </c>
      <c r="D418" s="5">
        <v>2.4300000000000002</v>
      </c>
      <c r="E418" s="5">
        <v>7.99</v>
      </c>
      <c r="F418" s="4" t="s">
        <v>2323</v>
      </c>
      <c r="G418" s="2" t="s">
        <v>41</v>
      </c>
      <c r="H418" s="7" t="s">
        <v>590</v>
      </c>
      <c r="I418" s="2" t="s">
        <v>483</v>
      </c>
      <c r="J418" s="2" t="s">
        <v>536</v>
      </c>
      <c r="K418" s="2" t="s">
        <v>304</v>
      </c>
      <c r="L418" s="2" t="s">
        <v>2324</v>
      </c>
      <c r="M418" s="8" t="str">
        <f>HYPERLINK("http://slimages.macys.com/is/image/MCY/14384998 ")</f>
        <v xml:space="preserve">http://slimages.macys.com/is/image/MCY/14384998 </v>
      </c>
    </row>
    <row r="419" spans="1:13" ht="60" x14ac:dyDescent="0.25">
      <c r="A419" s="7" t="s">
        <v>2332</v>
      </c>
      <c r="B419" s="2" t="s">
        <v>2330</v>
      </c>
      <c r="C419" s="4">
        <v>1</v>
      </c>
      <c r="D419" s="5">
        <v>2.35</v>
      </c>
      <c r="E419" s="5">
        <v>5.99</v>
      </c>
      <c r="F419" s="4" t="s">
        <v>2331</v>
      </c>
      <c r="G419" s="2" t="s">
        <v>36</v>
      </c>
      <c r="H419" s="7" t="s">
        <v>42</v>
      </c>
      <c r="I419" s="2" t="s">
        <v>483</v>
      </c>
      <c r="J419" s="2" t="s">
        <v>536</v>
      </c>
      <c r="K419" s="2" t="s">
        <v>304</v>
      </c>
      <c r="L419" s="2" t="s">
        <v>596</v>
      </c>
      <c r="M419" s="8" t="str">
        <f>HYPERLINK("http://slimages.macys.com/is/image/MCY/12466357 ")</f>
        <v xml:space="preserve">http://slimages.macys.com/is/image/MCY/12466357 </v>
      </c>
    </row>
    <row r="420" spans="1:13" ht="60" x14ac:dyDescent="0.25">
      <c r="A420" s="7" t="s">
        <v>5753</v>
      </c>
      <c r="B420" s="2" t="s">
        <v>2330</v>
      </c>
      <c r="C420" s="4">
        <v>1</v>
      </c>
      <c r="D420" s="5">
        <v>2.35</v>
      </c>
      <c r="E420" s="5">
        <v>5.99</v>
      </c>
      <c r="F420" s="4" t="s">
        <v>2331</v>
      </c>
      <c r="G420" s="2" t="s">
        <v>36</v>
      </c>
      <c r="H420" s="7" t="s">
        <v>91</v>
      </c>
      <c r="I420" s="2" t="s">
        <v>483</v>
      </c>
      <c r="J420" s="2" t="s">
        <v>536</v>
      </c>
      <c r="K420" s="2" t="s">
        <v>304</v>
      </c>
      <c r="L420" s="2" t="s">
        <v>596</v>
      </c>
      <c r="M420" s="8" t="str">
        <f>HYPERLINK("http://slimages.macys.com/is/image/MCY/12466357 ")</f>
        <v xml:space="preserve">http://slimages.macys.com/is/image/MCY/12466357 </v>
      </c>
    </row>
    <row r="421" spans="1:13" ht="96" x14ac:dyDescent="0.25">
      <c r="A421" s="7" t="s">
        <v>13738</v>
      </c>
      <c r="B421" s="2" t="s">
        <v>13739</v>
      </c>
      <c r="C421" s="4">
        <v>1</v>
      </c>
      <c r="D421" s="5">
        <v>2.33</v>
      </c>
      <c r="E421" s="5">
        <v>5.99</v>
      </c>
      <c r="F421" s="4" t="s">
        <v>13740</v>
      </c>
      <c r="G421" s="2" t="s">
        <v>134</v>
      </c>
      <c r="H421" s="7" t="s">
        <v>42</v>
      </c>
      <c r="I421" s="2" t="s">
        <v>483</v>
      </c>
      <c r="J421" s="2" t="s">
        <v>536</v>
      </c>
      <c r="K421" s="2" t="s">
        <v>304</v>
      </c>
      <c r="L421" s="2" t="s">
        <v>9839</v>
      </c>
      <c r="M421" s="8" t="str">
        <f>HYPERLINK("http://slimages.macys.com/is/image/MCY/12644533 ")</f>
        <v xml:space="preserve">http://slimages.macys.com/is/image/MCY/12644533 </v>
      </c>
    </row>
    <row r="422" spans="1:13" ht="60" x14ac:dyDescent="0.25">
      <c r="A422" s="7" t="s">
        <v>13741</v>
      </c>
      <c r="B422" s="2" t="s">
        <v>3543</v>
      </c>
      <c r="C422" s="4">
        <v>1</v>
      </c>
      <c r="D422" s="5">
        <v>2.3199999999999998</v>
      </c>
      <c r="E422" s="5">
        <v>6.99</v>
      </c>
      <c r="F422" s="4" t="s">
        <v>3544</v>
      </c>
      <c r="G422" s="2" t="s">
        <v>171</v>
      </c>
      <c r="H422" s="7" t="s">
        <v>91</v>
      </c>
      <c r="I422" s="2" t="s">
        <v>483</v>
      </c>
      <c r="J422" s="2" t="s">
        <v>536</v>
      </c>
      <c r="K422" s="2" t="s">
        <v>304</v>
      </c>
      <c r="L422" s="2" t="s">
        <v>38</v>
      </c>
      <c r="M422" s="8" t="str">
        <f>HYPERLINK("http://slimages.macys.com/is/image/MCY/14447992 ")</f>
        <v xml:space="preserve">http://slimages.macys.com/is/image/MCY/14447992 </v>
      </c>
    </row>
    <row r="423" spans="1:13" ht="60" x14ac:dyDescent="0.25">
      <c r="A423" s="7" t="s">
        <v>2347</v>
      </c>
      <c r="B423" s="2" t="s">
        <v>2348</v>
      </c>
      <c r="C423" s="4">
        <v>3</v>
      </c>
      <c r="D423" s="5">
        <v>2.31</v>
      </c>
      <c r="E423" s="5">
        <v>7.99</v>
      </c>
      <c r="F423" s="4">
        <v>10005380100</v>
      </c>
      <c r="G423" s="2" t="s">
        <v>1360</v>
      </c>
      <c r="H423" s="7" t="s">
        <v>531</v>
      </c>
      <c r="I423" s="2" t="s">
        <v>483</v>
      </c>
      <c r="J423" s="2" t="s">
        <v>536</v>
      </c>
      <c r="K423" s="2" t="s">
        <v>304</v>
      </c>
      <c r="L423" s="2" t="s">
        <v>87</v>
      </c>
      <c r="M423" s="8" t="str">
        <f>HYPERLINK("http://slimages.macys.com/is/image/MCY/12466174 ")</f>
        <v xml:space="preserve">http://slimages.macys.com/is/image/MCY/12466174 </v>
      </c>
    </row>
    <row r="424" spans="1:13" ht="60" x14ac:dyDescent="0.25">
      <c r="A424" s="7" t="s">
        <v>2361</v>
      </c>
      <c r="B424" s="2" t="s">
        <v>1365</v>
      </c>
      <c r="C424" s="4">
        <v>1</v>
      </c>
      <c r="D424" s="5">
        <v>2.29</v>
      </c>
      <c r="E424" s="5">
        <v>5.99</v>
      </c>
      <c r="F424" s="4" t="s">
        <v>1366</v>
      </c>
      <c r="G424" s="2" t="s">
        <v>62</v>
      </c>
      <c r="H424" s="7" t="s">
        <v>149</v>
      </c>
      <c r="I424" s="2" t="s">
        <v>483</v>
      </c>
      <c r="J424" s="2" t="s">
        <v>536</v>
      </c>
      <c r="K424" s="2" t="s">
        <v>304</v>
      </c>
      <c r="L424" s="2" t="s">
        <v>206</v>
      </c>
      <c r="M424" s="8" t="str">
        <f>HYPERLINK("http://slimages.macys.com/is/image/MCY/12463166 ")</f>
        <v xml:space="preserve">http://slimages.macys.com/is/image/MCY/12463166 </v>
      </c>
    </row>
    <row r="425" spans="1:13" ht="60" x14ac:dyDescent="0.25">
      <c r="A425" s="7" t="s">
        <v>7246</v>
      </c>
      <c r="B425" s="2" t="s">
        <v>4594</v>
      </c>
      <c r="C425" s="4">
        <v>1</v>
      </c>
      <c r="D425" s="5">
        <v>2.27</v>
      </c>
      <c r="E425" s="5">
        <v>5.99</v>
      </c>
      <c r="F425" s="4" t="s">
        <v>4595</v>
      </c>
      <c r="G425" s="2" t="s">
        <v>41</v>
      </c>
      <c r="H425" s="7" t="s">
        <v>91</v>
      </c>
      <c r="I425" s="2" t="s">
        <v>483</v>
      </c>
      <c r="J425" s="2" t="s">
        <v>536</v>
      </c>
      <c r="K425" s="2" t="s">
        <v>304</v>
      </c>
      <c r="L425" s="2" t="s">
        <v>87</v>
      </c>
      <c r="M425" s="8" t="str">
        <f>HYPERLINK("http://slimages.macys.com/is/image/MCY/12466281 ")</f>
        <v xml:space="preserve">http://slimages.macys.com/is/image/MCY/12466281 </v>
      </c>
    </row>
    <row r="426" spans="1:13" ht="60" x14ac:dyDescent="0.25">
      <c r="A426" s="7" t="s">
        <v>1376</v>
      </c>
      <c r="B426" s="2" t="s">
        <v>1372</v>
      </c>
      <c r="C426" s="4">
        <v>1</v>
      </c>
      <c r="D426" s="5">
        <v>2.27</v>
      </c>
      <c r="E426" s="5">
        <v>5.99</v>
      </c>
      <c r="F426" s="4" t="s">
        <v>1373</v>
      </c>
      <c r="G426" s="2" t="s">
        <v>134</v>
      </c>
      <c r="H426" s="7" t="s">
        <v>149</v>
      </c>
      <c r="I426" s="2" t="s">
        <v>483</v>
      </c>
      <c r="J426" s="2" t="s">
        <v>536</v>
      </c>
      <c r="K426" s="2" t="s">
        <v>304</v>
      </c>
      <c r="L426" s="2" t="s">
        <v>119</v>
      </c>
      <c r="M426" s="8" t="str">
        <f>HYPERLINK("http://slimages.macys.com/is/image/MCY/12642166 ")</f>
        <v xml:space="preserve">http://slimages.macys.com/is/image/MCY/12642166 </v>
      </c>
    </row>
    <row r="427" spans="1:13" ht="60" x14ac:dyDescent="0.25">
      <c r="A427" s="7" t="s">
        <v>2382</v>
      </c>
      <c r="B427" s="2" t="s">
        <v>2383</v>
      </c>
      <c r="C427" s="4">
        <v>1</v>
      </c>
      <c r="D427" s="5">
        <v>2.2200000000000002</v>
      </c>
      <c r="E427" s="5">
        <v>4.99</v>
      </c>
      <c r="F427" s="4">
        <v>10004193500</v>
      </c>
      <c r="G427" s="2" t="s">
        <v>1360</v>
      </c>
      <c r="H427" s="7" t="s">
        <v>531</v>
      </c>
      <c r="I427" s="2" t="s">
        <v>483</v>
      </c>
      <c r="J427" s="2" t="s">
        <v>536</v>
      </c>
      <c r="K427" s="2" t="s">
        <v>304</v>
      </c>
      <c r="L427" s="2" t="s">
        <v>87</v>
      </c>
      <c r="M427" s="8" t="str">
        <f>HYPERLINK("http://slimages.macys.com/is/image/MCY/11520388 ")</f>
        <v xml:space="preserve">http://slimages.macys.com/is/image/MCY/11520388 </v>
      </c>
    </row>
    <row r="428" spans="1:13" ht="60" x14ac:dyDescent="0.25">
      <c r="A428" s="7" t="s">
        <v>13742</v>
      </c>
      <c r="B428" s="2" t="s">
        <v>4604</v>
      </c>
      <c r="C428" s="4">
        <v>2</v>
      </c>
      <c r="D428" s="5">
        <v>2.21</v>
      </c>
      <c r="E428" s="5">
        <v>5.99</v>
      </c>
      <c r="F428" s="4" t="s">
        <v>4605</v>
      </c>
      <c r="G428" s="2" t="s">
        <v>86</v>
      </c>
      <c r="H428" s="7" t="s">
        <v>590</v>
      </c>
      <c r="I428" s="2" t="s">
        <v>483</v>
      </c>
      <c r="J428" s="2" t="s">
        <v>536</v>
      </c>
      <c r="K428" s="2" t="s">
        <v>304</v>
      </c>
      <c r="L428" s="2" t="s">
        <v>119</v>
      </c>
      <c r="M428" s="8" t="str">
        <f>HYPERLINK("http://slimages.macys.com/is/image/MCY/14385251 ")</f>
        <v xml:space="preserve">http://slimages.macys.com/is/image/MCY/14385251 </v>
      </c>
    </row>
    <row r="429" spans="1:13" ht="60" x14ac:dyDescent="0.25">
      <c r="A429" s="7" t="s">
        <v>13743</v>
      </c>
      <c r="B429" s="2" t="s">
        <v>4604</v>
      </c>
      <c r="C429" s="4">
        <v>1</v>
      </c>
      <c r="D429" s="5">
        <v>2.21</v>
      </c>
      <c r="E429" s="5">
        <v>5.99</v>
      </c>
      <c r="F429" s="4" t="s">
        <v>4605</v>
      </c>
      <c r="G429" s="2" t="s">
        <v>86</v>
      </c>
      <c r="H429" s="7" t="s">
        <v>149</v>
      </c>
      <c r="I429" s="2" t="s">
        <v>483</v>
      </c>
      <c r="J429" s="2" t="s">
        <v>536</v>
      </c>
      <c r="K429" s="2" t="s">
        <v>304</v>
      </c>
      <c r="L429" s="2" t="s">
        <v>119</v>
      </c>
      <c r="M429" s="8" t="str">
        <f>HYPERLINK("http://slimages.macys.com/is/image/MCY/14385251 ")</f>
        <v xml:space="preserve">http://slimages.macys.com/is/image/MCY/14385251 </v>
      </c>
    </row>
    <row r="430" spans="1:13" ht="60" x14ac:dyDescent="0.25">
      <c r="A430" s="7" t="s">
        <v>7295</v>
      </c>
      <c r="B430" s="2" t="s">
        <v>2407</v>
      </c>
      <c r="C430" s="4">
        <v>1</v>
      </c>
      <c r="D430" s="5">
        <v>2.02</v>
      </c>
      <c r="E430" s="5">
        <v>5.99</v>
      </c>
      <c r="F430" s="4" t="s">
        <v>2408</v>
      </c>
      <c r="G430" s="2" t="s">
        <v>657</v>
      </c>
      <c r="H430" s="7" t="s">
        <v>42</v>
      </c>
      <c r="I430" s="2" t="s">
        <v>483</v>
      </c>
      <c r="J430" s="2" t="s">
        <v>536</v>
      </c>
      <c r="K430" s="2" t="s">
        <v>304</v>
      </c>
      <c r="L430" s="2" t="s">
        <v>206</v>
      </c>
      <c r="M430" s="8" t="str">
        <f>HYPERLINK("http://slimages.macys.com/is/image/MCY/12464674 ")</f>
        <v xml:space="preserve">http://slimages.macys.com/is/image/MCY/12464674 </v>
      </c>
    </row>
    <row r="431" spans="1:13" ht="48" x14ac:dyDescent="0.25">
      <c r="A431" s="7" t="s">
        <v>5805</v>
      </c>
      <c r="B431" s="2" t="s">
        <v>5806</v>
      </c>
      <c r="C431" s="4">
        <v>1</v>
      </c>
      <c r="D431" s="5">
        <v>8.1</v>
      </c>
      <c r="E431" s="5">
        <v>16.2</v>
      </c>
      <c r="F431" s="4">
        <v>27863610</v>
      </c>
      <c r="G431" s="2"/>
      <c r="H431" s="7" t="s">
        <v>209</v>
      </c>
      <c r="I431" s="2" t="s">
        <v>487</v>
      </c>
      <c r="J431" s="2" t="s">
        <v>488</v>
      </c>
      <c r="K431" s="2"/>
      <c r="L431" s="2"/>
      <c r="M431" s="8"/>
    </row>
  </sheetData>
  <pageMargins left="0.5" right="0.5" top="0.25" bottom="0.25" header="0.3" footer="0.3"/>
  <pageSetup scale="65" orientation="landscape" horizontalDpi="0" verticalDpi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workbookViewId="0">
      <selection activeCell="N4" sqref="N4"/>
    </sheetView>
  </sheetViews>
  <sheetFormatPr defaultRowHeight="15" x14ac:dyDescent="0.25"/>
  <cols>
    <col min="1" max="1" width="14.28515625" customWidth="1"/>
    <col min="2" max="2" width="46.7109375" customWidth="1"/>
    <col min="3" max="3" width="15" customWidth="1"/>
    <col min="4" max="4" width="10.28515625" customWidth="1"/>
    <col min="5" max="6" width="15" customWidth="1"/>
    <col min="7" max="7" width="10.28515625" customWidth="1"/>
    <col min="8" max="8" width="12.5703125" customWidth="1"/>
    <col min="9" max="9" width="11.42578125" customWidth="1"/>
    <col min="10" max="11" width="9.7109375" customWidth="1"/>
    <col min="12" max="12" width="6.85546875" customWidth="1"/>
    <col min="13" max="13" width="9.7109375" customWidth="1"/>
    <col min="14" max="14" width="12.140625" customWidth="1"/>
    <col min="15" max="15" width="36.5703125" bestFit="1" customWidth="1"/>
    <col min="16" max="17" width="20.7109375" customWidth="1"/>
    <col min="18" max="18" width="64.28515625" customWidth="1"/>
  </cols>
  <sheetData>
    <row r="1" spans="1:13" ht="36" x14ac:dyDescent="0.25">
      <c r="A1" s="30" t="s">
        <v>0</v>
      </c>
      <c r="B1" s="30" t="s">
        <v>1</v>
      </c>
      <c r="C1" s="30" t="s">
        <v>2</v>
      </c>
      <c r="D1" s="30" t="s">
        <v>3</v>
      </c>
      <c r="E1" s="30" t="s">
        <v>4</v>
      </c>
      <c r="F1" s="30" t="s">
        <v>5</v>
      </c>
      <c r="G1" s="30" t="s">
        <v>6</v>
      </c>
      <c r="H1" s="30" t="s">
        <v>7</v>
      </c>
      <c r="I1" s="30" t="s">
        <v>8</v>
      </c>
      <c r="J1" s="30" t="s">
        <v>9</v>
      </c>
    </row>
    <row r="2" spans="1:13" ht="36" x14ac:dyDescent="0.25">
      <c r="A2" s="2" t="s">
        <v>654</v>
      </c>
      <c r="B2" s="3">
        <v>12508450</v>
      </c>
      <c r="C2" s="2" t="s">
        <v>11</v>
      </c>
      <c r="D2" s="2" t="s">
        <v>12</v>
      </c>
      <c r="E2" s="4">
        <v>1</v>
      </c>
      <c r="F2" s="4">
        <v>6</v>
      </c>
      <c r="G2" s="2">
        <v>54</v>
      </c>
      <c r="H2" s="5">
        <v>363.61</v>
      </c>
      <c r="I2" s="5">
        <v>909.07</v>
      </c>
      <c r="J2" s="2">
        <v>40</v>
      </c>
    </row>
    <row r="4" spans="1:13" s="6" customFormat="1" x14ac:dyDescent="0.25"/>
    <row r="7" spans="1:13" s="6" customFormat="1" x14ac:dyDescent="0.25"/>
    <row r="8" spans="1:13" ht="36" x14ac:dyDescent="0.25">
      <c r="A8" s="30" t="s">
        <v>13</v>
      </c>
      <c r="B8" s="30" t="s">
        <v>14</v>
      </c>
      <c r="C8" s="30" t="s">
        <v>15</v>
      </c>
      <c r="D8" s="30" t="s">
        <v>16</v>
      </c>
      <c r="E8" s="30" t="s">
        <v>17</v>
      </c>
      <c r="F8" s="30" t="s">
        <v>18</v>
      </c>
      <c r="G8" s="30" t="s">
        <v>19</v>
      </c>
      <c r="H8" s="30" t="s">
        <v>20</v>
      </c>
      <c r="I8" s="30" t="s">
        <v>21</v>
      </c>
      <c r="J8" s="30" t="s">
        <v>22</v>
      </c>
      <c r="K8" s="30" t="s">
        <v>2737</v>
      </c>
      <c r="L8" s="30" t="s">
        <v>23</v>
      </c>
      <c r="M8" s="30" t="s">
        <v>24</v>
      </c>
    </row>
    <row r="9" spans="1:13" ht="60" x14ac:dyDescent="0.25">
      <c r="A9" s="7" t="s">
        <v>13482</v>
      </c>
      <c r="B9" s="2" t="s">
        <v>102</v>
      </c>
      <c r="C9" s="4">
        <v>1</v>
      </c>
      <c r="D9" s="5">
        <v>16.2</v>
      </c>
      <c r="E9" s="5">
        <v>54</v>
      </c>
      <c r="F9" s="4">
        <v>329354</v>
      </c>
      <c r="G9" s="2" t="s">
        <v>107</v>
      </c>
      <c r="H9" s="7" t="s">
        <v>850</v>
      </c>
      <c r="I9" s="2" t="s">
        <v>50</v>
      </c>
      <c r="J9" s="2" t="s">
        <v>105</v>
      </c>
      <c r="K9" s="2" t="s">
        <v>304</v>
      </c>
      <c r="L9" s="2"/>
      <c r="M9" s="8" t="str">
        <f>HYPERLINK("http://slimages.macys.com/is/image/MCY/10476758 ")</f>
        <v xml:space="preserve">http://slimages.macys.com/is/image/MCY/10476758 </v>
      </c>
    </row>
    <row r="10" spans="1:13" ht="108" x14ac:dyDescent="0.25">
      <c r="A10" s="7" t="s">
        <v>3664</v>
      </c>
      <c r="B10" s="2" t="s">
        <v>1458</v>
      </c>
      <c r="C10" s="4">
        <v>1</v>
      </c>
      <c r="D10" s="5">
        <v>16</v>
      </c>
      <c r="E10" s="5">
        <v>39.99</v>
      </c>
      <c r="F10" s="4" t="s">
        <v>1459</v>
      </c>
      <c r="G10" s="2" t="s">
        <v>129</v>
      </c>
      <c r="H10" s="7" t="s">
        <v>42</v>
      </c>
      <c r="I10" s="2" t="s">
        <v>92</v>
      </c>
      <c r="J10" s="2" t="s">
        <v>239</v>
      </c>
      <c r="K10" s="2" t="s">
        <v>304</v>
      </c>
      <c r="L10" s="2" t="s">
        <v>1460</v>
      </c>
      <c r="M10" s="8" t="str">
        <f>HYPERLINK("http://slimages.macys.com/is/image/MCY/14989246 ")</f>
        <v xml:space="preserve">http://slimages.macys.com/is/image/MCY/14989246 </v>
      </c>
    </row>
    <row r="11" spans="1:13" ht="60" x14ac:dyDescent="0.25">
      <c r="A11" s="7" t="s">
        <v>10808</v>
      </c>
      <c r="B11" s="2" t="s">
        <v>1467</v>
      </c>
      <c r="C11" s="4">
        <v>1</v>
      </c>
      <c r="D11" s="5">
        <v>15.8</v>
      </c>
      <c r="E11" s="5">
        <v>39.5</v>
      </c>
      <c r="F11" s="4" t="s">
        <v>1468</v>
      </c>
      <c r="G11" s="2" t="s">
        <v>437</v>
      </c>
      <c r="H11" s="7"/>
      <c r="I11" s="2" t="s">
        <v>57</v>
      </c>
      <c r="J11" s="2" t="s">
        <v>58</v>
      </c>
      <c r="K11" s="2" t="s">
        <v>304</v>
      </c>
      <c r="L11" s="2" t="s">
        <v>100</v>
      </c>
      <c r="M11" s="8" t="str">
        <f>HYPERLINK("http://slimages.macys.com/is/image/MCY/13043447 ")</f>
        <v xml:space="preserve">http://slimages.macys.com/is/image/MCY/13043447 </v>
      </c>
    </row>
    <row r="12" spans="1:13" ht="60" x14ac:dyDescent="0.25">
      <c r="A12" s="7" t="s">
        <v>13483</v>
      </c>
      <c r="B12" s="2" t="s">
        <v>116</v>
      </c>
      <c r="C12" s="4">
        <v>1</v>
      </c>
      <c r="D12" s="5">
        <v>14.5</v>
      </c>
      <c r="E12" s="5">
        <v>27.99</v>
      </c>
      <c r="F12" s="4" t="s">
        <v>117</v>
      </c>
      <c r="G12" s="2" t="s">
        <v>41</v>
      </c>
      <c r="H12" s="7" t="s">
        <v>1405</v>
      </c>
      <c r="I12" s="2" t="s">
        <v>30</v>
      </c>
      <c r="J12" s="2" t="s">
        <v>31</v>
      </c>
      <c r="K12" s="2" t="s">
        <v>304</v>
      </c>
      <c r="L12" s="2" t="s">
        <v>119</v>
      </c>
      <c r="M12" s="8" t="str">
        <f>HYPERLINK("http://slimages.macys.com/is/image/MCY/2940923 ")</f>
        <v xml:space="preserve">http://slimages.macys.com/is/image/MCY/2940923 </v>
      </c>
    </row>
    <row r="13" spans="1:13" ht="60" x14ac:dyDescent="0.25">
      <c r="A13" s="7" t="s">
        <v>13484</v>
      </c>
      <c r="B13" s="2" t="s">
        <v>5194</v>
      </c>
      <c r="C13" s="4">
        <v>1</v>
      </c>
      <c r="D13" s="5">
        <v>14.5</v>
      </c>
      <c r="E13" s="5">
        <v>39.99</v>
      </c>
      <c r="F13" s="4" t="s">
        <v>5195</v>
      </c>
      <c r="G13" s="2" t="s">
        <v>129</v>
      </c>
      <c r="H13" s="7" t="s">
        <v>442</v>
      </c>
      <c r="I13" s="2" t="s">
        <v>92</v>
      </c>
      <c r="J13" s="2" t="s">
        <v>239</v>
      </c>
      <c r="K13" s="2" t="s">
        <v>304</v>
      </c>
      <c r="L13" s="2" t="s">
        <v>125</v>
      </c>
      <c r="M13" s="8" t="str">
        <f>HYPERLINK("http://slimages.macys.com/is/image/MCY/14988472 ")</f>
        <v xml:space="preserve">http://slimages.macys.com/is/image/MCY/14988472 </v>
      </c>
    </row>
    <row r="14" spans="1:13" ht="60" x14ac:dyDescent="0.25">
      <c r="A14" s="7" t="s">
        <v>746</v>
      </c>
      <c r="B14" s="2" t="s">
        <v>747</v>
      </c>
      <c r="C14" s="4">
        <v>1</v>
      </c>
      <c r="D14" s="5">
        <v>14.18</v>
      </c>
      <c r="E14" s="5">
        <v>34.99</v>
      </c>
      <c r="F14" s="4" t="s">
        <v>748</v>
      </c>
      <c r="G14" s="2" t="s">
        <v>353</v>
      </c>
      <c r="H14" s="7" t="s">
        <v>217</v>
      </c>
      <c r="I14" s="2" t="s">
        <v>292</v>
      </c>
      <c r="J14" s="2" t="s">
        <v>293</v>
      </c>
      <c r="K14" s="2" t="s">
        <v>304</v>
      </c>
      <c r="L14" s="2" t="s">
        <v>125</v>
      </c>
      <c r="M14" s="8" t="str">
        <f>HYPERLINK("http://slimages.macys.com/is/image/MCY/11527670 ")</f>
        <v xml:space="preserve">http://slimages.macys.com/is/image/MCY/11527670 </v>
      </c>
    </row>
    <row r="15" spans="1:13" ht="60" x14ac:dyDescent="0.25">
      <c r="A15" s="7" t="s">
        <v>3704</v>
      </c>
      <c r="B15" s="2" t="s">
        <v>747</v>
      </c>
      <c r="C15" s="4">
        <v>1</v>
      </c>
      <c r="D15" s="5">
        <v>14.18</v>
      </c>
      <c r="E15" s="5">
        <v>34.99</v>
      </c>
      <c r="F15" s="4" t="s">
        <v>748</v>
      </c>
      <c r="G15" s="2" t="s">
        <v>353</v>
      </c>
      <c r="H15" s="7" t="s">
        <v>159</v>
      </c>
      <c r="I15" s="2" t="s">
        <v>292</v>
      </c>
      <c r="J15" s="2" t="s">
        <v>293</v>
      </c>
      <c r="K15" s="2" t="s">
        <v>304</v>
      </c>
      <c r="L15" s="2" t="s">
        <v>125</v>
      </c>
      <c r="M15" s="8" t="str">
        <f>HYPERLINK("http://slimages.macys.com/is/image/MCY/11527670 ")</f>
        <v xml:space="preserve">http://slimages.macys.com/is/image/MCY/11527670 </v>
      </c>
    </row>
    <row r="16" spans="1:13" ht="60" x14ac:dyDescent="0.25">
      <c r="A16" s="7" t="s">
        <v>13485</v>
      </c>
      <c r="B16" s="2" t="s">
        <v>747</v>
      </c>
      <c r="C16" s="4">
        <v>2</v>
      </c>
      <c r="D16" s="5">
        <v>14.18</v>
      </c>
      <c r="E16" s="5">
        <v>34.99</v>
      </c>
      <c r="F16" s="4" t="s">
        <v>748</v>
      </c>
      <c r="G16" s="2" t="s">
        <v>353</v>
      </c>
      <c r="H16" s="7" t="s">
        <v>228</v>
      </c>
      <c r="I16" s="2" t="s">
        <v>292</v>
      </c>
      <c r="J16" s="2" t="s">
        <v>293</v>
      </c>
      <c r="K16" s="2" t="s">
        <v>304</v>
      </c>
      <c r="L16" s="2" t="s">
        <v>125</v>
      </c>
      <c r="M16" s="8" t="str">
        <f>HYPERLINK("http://slimages.macys.com/is/image/MCY/11527670 ")</f>
        <v xml:space="preserve">http://slimages.macys.com/is/image/MCY/11527670 </v>
      </c>
    </row>
    <row r="17" spans="1:13" ht="60" x14ac:dyDescent="0.25">
      <c r="A17" s="7" t="s">
        <v>13486</v>
      </c>
      <c r="B17" s="2" t="s">
        <v>9857</v>
      </c>
      <c r="C17" s="4">
        <v>1</v>
      </c>
      <c r="D17" s="5">
        <v>13</v>
      </c>
      <c r="E17" s="5">
        <v>24.99</v>
      </c>
      <c r="F17" s="4" t="s">
        <v>3035</v>
      </c>
      <c r="G17" s="2" t="s">
        <v>79</v>
      </c>
      <c r="H17" s="7" t="s">
        <v>13487</v>
      </c>
      <c r="I17" s="2" t="s">
        <v>257</v>
      </c>
      <c r="J17" s="2" t="s">
        <v>258</v>
      </c>
      <c r="K17" s="2" t="s">
        <v>304</v>
      </c>
      <c r="L17" s="2" t="s">
        <v>87</v>
      </c>
      <c r="M17" s="8" t="str">
        <f>HYPERLINK("http://slimages.macys.com/is/image/MCY/2964863 ")</f>
        <v xml:space="preserve">http://slimages.macys.com/is/image/MCY/2964863 </v>
      </c>
    </row>
    <row r="18" spans="1:13" ht="60" x14ac:dyDescent="0.25">
      <c r="A18" s="7" t="s">
        <v>13488</v>
      </c>
      <c r="B18" s="2" t="s">
        <v>13489</v>
      </c>
      <c r="C18" s="4">
        <v>1</v>
      </c>
      <c r="D18" s="5">
        <v>13</v>
      </c>
      <c r="E18" s="5">
        <v>24.99</v>
      </c>
      <c r="F18" s="4" t="s">
        <v>6158</v>
      </c>
      <c r="G18" s="2" t="s">
        <v>353</v>
      </c>
      <c r="H18" s="7" t="s">
        <v>13487</v>
      </c>
      <c r="I18" s="2" t="s">
        <v>257</v>
      </c>
      <c r="J18" s="2" t="s">
        <v>258</v>
      </c>
      <c r="K18" s="2" t="s">
        <v>304</v>
      </c>
      <c r="L18" s="2" t="s">
        <v>87</v>
      </c>
      <c r="M18" s="8" t="str">
        <f>HYPERLINK("http://slimages.macys.com/is/image/MCY/1653082 ")</f>
        <v xml:space="preserve">http://slimages.macys.com/is/image/MCY/1653082 </v>
      </c>
    </row>
    <row r="19" spans="1:13" ht="156" x14ac:dyDescent="0.25">
      <c r="A19" s="7" t="s">
        <v>4810</v>
      </c>
      <c r="B19" s="2" t="s">
        <v>3053</v>
      </c>
      <c r="C19" s="4">
        <v>1</v>
      </c>
      <c r="D19" s="5">
        <v>12.5</v>
      </c>
      <c r="E19" s="5">
        <v>34.99</v>
      </c>
      <c r="F19" s="4" t="s">
        <v>3054</v>
      </c>
      <c r="G19" s="2" t="s">
        <v>62</v>
      </c>
      <c r="H19" s="7" t="s">
        <v>442</v>
      </c>
      <c r="I19" s="2" t="s">
        <v>92</v>
      </c>
      <c r="J19" s="2" t="s">
        <v>65</v>
      </c>
      <c r="K19" s="2" t="s">
        <v>304</v>
      </c>
      <c r="L19" s="2" t="s">
        <v>3055</v>
      </c>
      <c r="M19" s="8" t="str">
        <f>HYPERLINK("http://slimages.macys.com/is/image/MCY/14815658 ")</f>
        <v xml:space="preserve">http://slimages.macys.com/is/image/MCY/14815658 </v>
      </c>
    </row>
    <row r="20" spans="1:13" ht="180" x14ac:dyDescent="0.25">
      <c r="A20" s="7" t="s">
        <v>3074</v>
      </c>
      <c r="B20" s="2" t="s">
        <v>189</v>
      </c>
      <c r="C20" s="4">
        <v>2</v>
      </c>
      <c r="D20" s="5">
        <v>12.5</v>
      </c>
      <c r="E20" s="5">
        <v>34.99</v>
      </c>
      <c r="F20" s="4" t="s">
        <v>190</v>
      </c>
      <c r="G20" s="2" t="s">
        <v>129</v>
      </c>
      <c r="H20" s="7" t="s">
        <v>91</v>
      </c>
      <c r="I20" s="2" t="s">
        <v>92</v>
      </c>
      <c r="J20" s="2" t="s">
        <v>65</v>
      </c>
      <c r="K20" s="2" t="s">
        <v>304</v>
      </c>
      <c r="L20" s="2" t="s">
        <v>191</v>
      </c>
      <c r="M20" s="8" t="str">
        <f>HYPERLINK("http://slimages.macys.com/is/image/MCY/14815686 ")</f>
        <v xml:space="preserve">http://slimages.macys.com/is/image/MCY/14815686 </v>
      </c>
    </row>
    <row r="21" spans="1:13" ht="60" x14ac:dyDescent="0.25">
      <c r="A21" s="7" t="s">
        <v>13490</v>
      </c>
      <c r="B21" s="2" t="s">
        <v>11463</v>
      </c>
      <c r="C21" s="4">
        <v>1</v>
      </c>
      <c r="D21" s="5">
        <v>11.5</v>
      </c>
      <c r="E21" s="5">
        <v>25.99</v>
      </c>
      <c r="F21" s="4" t="s">
        <v>13491</v>
      </c>
      <c r="G21" s="2" t="s">
        <v>28</v>
      </c>
      <c r="H21" s="7" t="s">
        <v>284</v>
      </c>
      <c r="I21" s="2" t="s">
        <v>80</v>
      </c>
      <c r="J21" s="2" t="s">
        <v>694</v>
      </c>
      <c r="K21" s="2" t="s">
        <v>304</v>
      </c>
      <c r="L21" s="2" t="s">
        <v>125</v>
      </c>
      <c r="M21" s="8" t="str">
        <f>HYPERLINK("http://slimages.macys.com/is/image/MCY/12225858 ")</f>
        <v xml:space="preserve">http://slimages.macys.com/is/image/MCY/12225858 </v>
      </c>
    </row>
    <row r="22" spans="1:13" ht="60" x14ac:dyDescent="0.25">
      <c r="A22" s="7" t="s">
        <v>13293</v>
      </c>
      <c r="B22" s="2" t="s">
        <v>13291</v>
      </c>
      <c r="C22" s="4">
        <v>1</v>
      </c>
      <c r="D22" s="5">
        <v>11</v>
      </c>
      <c r="E22" s="5">
        <v>29.99</v>
      </c>
      <c r="F22" s="4" t="s">
        <v>13292</v>
      </c>
      <c r="G22" s="2" t="s">
        <v>62</v>
      </c>
      <c r="H22" s="7" t="s">
        <v>442</v>
      </c>
      <c r="I22" s="2" t="s">
        <v>92</v>
      </c>
      <c r="J22" s="2" t="s">
        <v>239</v>
      </c>
      <c r="K22" s="2" t="s">
        <v>304</v>
      </c>
      <c r="L22" s="2" t="s">
        <v>100</v>
      </c>
      <c r="M22" s="8" t="str">
        <f>HYPERLINK("http://slimages.macys.com/is/image/MCY/13933713 ")</f>
        <v xml:space="preserve">http://slimages.macys.com/is/image/MCY/13933713 </v>
      </c>
    </row>
    <row r="23" spans="1:13" ht="252" x14ac:dyDescent="0.25">
      <c r="A23" s="7" t="s">
        <v>13492</v>
      </c>
      <c r="B23" s="2" t="s">
        <v>242</v>
      </c>
      <c r="C23" s="4">
        <v>1</v>
      </c>
      <c r="D23" s="5">
        <v>11</v>
      </c>
      <c r="E23" s="5">
        <v>32.99</v>
      </c>
      <c r="F23" s="4" t="s">
        <v>243</v>
      </c>
      <c r="G23" s="2" t="s">
        <v>195</v>
      </c>
      <c r="H23" s="7" t="s">
        <v>590</v>
      </c>
      <c r="I23" s="2" t="s">
        <v>92</v>
      </c>
      <c r="J23" s="2" t="s">
        <v>239</v>
      </c>
      <c r="K23" s="2" t="s">
        <v>304</v>
      </c>
      <c r="L23" s="2" t="s">
        <v>244</v>
      </c>
      <c r="M23" s="8" t="str">
        <f>HYPERLINK("http://slimages.macys.com/is/image/MCY/14542923 ")</f>
        <v xml:space="preserve">http://slimages.macys.com/is/image/MCY/14542923 </v>
      </c>
    </row>
    <row r="24" spans="1:13" ht="144" x14ac:dyDescent="0.25">
      <c r="A24" s="7" t="s">
        <v>13493</v>
      </c>
      <c r="B24" s="2" t="s">
        <v>13494</v>
      </c>
      <c r="C24" s="4">
        <v>1</v>
      </c>
      <c r="D24" s="5">
        <v>9.34</v>
      </c>
      <c r="E24" s="5">
        <v>31.99</v>
      </c>
      <c r="F24" s="4" t="s">
        <v>13495</v>
      </c>
      <c r="G24" s="2" t="s">
        <v>41</v>
      </c>
      <c r="H24" s="7" t="s">
        <v>442</v>
      </c>
      <c r="I24" s="2" t="s">
        <v>483</v>
      </c>
      <c r="J24" s="2" t="s">
        <v>536</v>
      </c>
      <c r="K24" s="2" t="s">
        <v>304</v>
      </c>
      <c r="L24" s="2" t="s">
        <v>13496</v>
      </c>
      <c r="M24" s="8" t="str">
        <f>HYPERLINK("http://slimages.macys.com/is/image/MCY/14385255 ")</f>
        <v xml:space="preserve">http://slimages.macys.com/is/image/MCY/14385255 </v>
      </c>
    </row>
    <row r="25" spans="1:13" ht="84" x14ac:dyDescent="0.25">
      <c r="A25" s="7" t="s">
        <v>13497</v>
      </c>
      <c r="B25" s="2" t="s">
        <v>377</v>
      </c>
      <c r="C25" s="4">
        <v>2</v>
      </c>
      <c r="D25" s="5">
        <v>8.5</v>
      </c>
      <c r="E25" s="5">
        <v>20</v>
      </c>
      <c r="F25" s="4" t="s">
        <v>378</v>
      </c>
      <c r="G25" s="2" t="s">
        <v>62</v>
      </c>
      <c r="H25" s="7" t="s">
        <v>317</v>
      </c>
      <c r="I25" s="2" t="s">
        <v>380</v>
      </c>
      <c r="J25" s="2" t="s">
        <v>381</v>
      </c>
      <c r="K25" s="2" t="s">
        <v>304</v>
      </c>
      <c r="L25" s="2" t="s">
        <v>382</v>
      </c>
      <c r="M25" s="8" t="str">
        <f>HYPERLINK("http://slimages.macys.com/is/image/MCY/12550109 ")</f>
        <v xml:space="preserve">http://slimages.macys.com/is/image/MCY/12550109 </v>
      </c>
    </row>
    <row r="26" spans="1:13" ht="84" x14ac:dyDescent="0.25">
      <c r="A26" s="7" t="s">
        <v>13498</v>
      </c>
      <c r="B26" s="2" t="s">
        <v>377</v>
      </c>
      <c r="C26" s="4">
        <v>2</v>
      </c>
      <c r="D26" s="5">
        <v>8.5</v>
      </c>
      <c r="E26" s="5">
        <v>20</v>
      </c>
      <c r="F26" s="4" t="s">
        <v>378</v>
      </c>
      <c r="G26" s="2" t="s">
        <v>62</v>
      </c>
      <c r="H26" s="7" t="s">
        <v>618</v>
      </c>
      <c r="I26" s="2" t="s">
        <v>380</v>
      </c>
      <c r="J26" s="2" t="s">
        <v>381</v>
      </c>
      <c r="K26" s="2" t="s">
        <v>304</v>
      </c>
      <c r="L26" s="2" t="s">
        <v>382</v>
      </c>
      <c r="M26" s="8" t="str">
        <f>HYPERLINK("http://slimages.macys.com/is/image/MCY/12550109 ")</f>
        <v xml:space="preserve">http://slimages.macys.com/is/image/MCY/12550109 </v>
      </c>
    </row>
    <row r="27" spans="1:13" ht="84" x14ac:dyDescent="0.25">
      <c r="A27" s="7" t="s">
        <v>384</v>
      </c>
      <c r="B27" s="2" t="s">
        <v>377</v>
      </c>
      <c r="C27" s="4">
        <v>1</v>
      </c>
      <c r="D27" s="5">
        <v>8.5</v>
      </c>
      <c r="E27" s="5">
        <v>20</v>
      </c>
      <c r="F27" s="4" t="s">
        <v>378</v>
      </c>
      <c r="G27" s="2" t="s">
        <v>62</v>
      </c>
      <c r="H27" s="7" t="s">
        <v>311</v>
      </c>
      <c r="I27" s="2" t="s">
        <v>380</v>
      </c>
      <c r="J27" s="2" t="s">
        <v>381</v>
      </c>
      <c r="K27" s="2" t="s">
        <v>304</v>
      </c>
      <c r="L27" s="2" t="s">
        <v>382</v>
      </c>
      <c r="M27" s="8" t="str">
        <f>HYPERLINK("http://slimages.macys.com/is/image/MCY/12550109 ")</f>
        <v xml:space="preserve">http://slimages.macys.com/is/image/MCY/12550109 </v>
      </c>
    </row>
    <row r="28" spans="1:13" ht="60" x14ac:dyDescent="0.25">
      <c r="A28" s="7" t="s">
        <v>13499</v>
      </c>
      <c r="B28" s="2" t="s">
        <v>13500</v>
      </c>
      <c r="C28" s="4">
        <v>1</v>
      </c>
      <c r="D28" s="5">
        <v>7.5</v>
      </c>
      <c r="E28" s="5">
        <v>16.989999999999998</v>
      </c>
      <c r="F28" s="4">
        <v>16501510</v>
      </c>
      <c r="G28" s="2" t="s">
        <v>48</v>
      </c>
      <c r="H28" s="7" t="s">
        <v>42</v>
      </c>
      <c r="I28" s="2" t="s">
        <v>153</v>
      </c>
      <c r="J28" s="2" t="s">
        <v>154</v>
      </c>
      <c r="K28" s="2" t="s">
        <v>304</v>
      </c>
      <c r="L28" s="2" t="s">
        <v>206</v>
      </c>
      <c r="M28" s="8" t="str">
        <f>HYPERLINK("http://slimages.macys.com/is/image/MCY/11720574 ")</f>
        <v xml:space="preserve">http://slimages.macys.com/is/image/MCY/11720574 </v>
      </c>
    </row>
    <row r="29" spans="1:13" ht="60" x14ac:dyDescent="0.25">
      <c r="A29" s="7" t="s">
        <v>13501</v>
      </c>
      <c r="B29" s="2" t="s">
        <v>8969</v>
      </c>
      <c r="C29" s="4">
        <v>1</v>
      </c>
      <c r="D29" s="5">
        <v>6</v>
      </c>
      <c r="E29" s="5">
        <v>14.99</v>
      </c>
      <c r="F29" s="4" t="s">
        <v>8970</v>
      </c>
      <c r="G29" s="2" t="s">
        <v>165</v>
      </c>
      <c r="H29" s="7" t="s">
        <v>311</v>
      </c>
      <c r="I29" s="2" t="s">
        <v>80</v>
      </c>
      <c r="J29" s="2" t="s">
        <v>167</v>
      </c>
      <c r="K29" s="2" t="s">
        <v>304</v>
      </c>
      <c r="L29" s="2" t="s">
        <v>125</v>
      </c>
      <c r="M29" s="8" t="str">
        <f>HYPERLINK("http://slimages.macys.com/is/image/MCY/13117045 ")</f>
        <v xml:space="preserve">http://slimages.macys.com/is/image/MCY/13117045 </v>
      </c>
    </row>
    <row r="30" spans="1:13" ht="60" x14ac:dyDescent="0.25">
      <c r="A30" s="7" t="s">
        <v>13502</v>
      </c>
      <c r="B30" s="2" t="s">
        <v>3382</v>
      </c>
      <c r="C30" s="4">
        <v>1</v>
      </c>
      <c r="D30" s="5">
        <v>6</v>
      </c>
      <c r="E30" s="5">
        <v>10.99</v>
      </c>
      <c r="F30" s="4" t="s">
        <v>3383</v>
      </c>
      <c r="G30" s="2" t="s">
        <v>134</v>
      </c>
      <c r="H30" s="7" t="s">
        <v>123</v>
      </c>
      <c r="I30" s="2" t="s">
        <v>80</v>
      </c>
      <c r="J30" s="2" t="s">
        <v>1857</v>
      </c>
      <c r="K30" s="2" t="s">
        <v>304</v>
      </c>
      <c r="L30" s="2" t="s">
        <v>119</v>
      </c>
      <c r="M30" s="8" t="str">
        <f>HYPERLINK("http://slimages.macys.com/is/image/MCY/12742372 ")</f>
        <v xml:space="preserve">http://slimages.macys.com/is/image/MCY/12742372 </v>
      </c>
    </row>
    <row r="31" spans="1:13" ht="96" x14ac:dyDescent="0.25">
      <c r="A31" s="7" t="s">
        <v>4178</v>
      </c>
      <c r="B31" s="2" t="s">
        <v>4174</v>
      </c>
      <c r="C31" s="4">
        <v>1</v>
      </c>
      <c r="D31" s="5">
        <v>5.44</v>
      </c>
      <c r="E31" s="5">
        <v>14.99</v>
      </c>
      <c r="F31" s="4" t="s">
        <v>4175</v>
      </c>
      <c r="G31" s="2" t="s">
        <v>195</v>
      </c>
      <c r="H31" s="7" t="s">
        <v>590</v>
      </c>
      <c r="I31" s="2" t="s">
        <v>483</v>
      </c>
      <c r="J31" s="2" t="s">
        <v>4176</v>
      </c>
      <c r="K31" s="2" t="s">
        <v>304</v>
      </c>
      <c r="L31" s="2" t="s">
        <v>4177</v>
      </c>
      <c r="M31" s="8" t="str">
        <f>HYPERLINK("http://slimages.macys.com/is/image/MCY/14601081 ")</f>
        <v xml:space="preserve">http://slimages.macys.com/is/image/MCY/14601081 </v>
      </c>
    </row>
    <row r="32" spans="1:13" ht="60" x14ac:dyDescent="0.25">
      <c r="A32" s="7" t="s">
        <v>8318</v>
      </c>
      <c r="B32" s="2" t="s">
        <v>6970</v>
      </c>
      <c r="C32" s="4">
        <v>1</v>
      </c>
      <c r="D32" s="5">
        <v>5.25</v>
      </c>
      <c r="E32" s="5">
        <v>12.77</v>
      </c>
      <c r="F32" s="4">
        <v>17880810</v>
      </c>
      <c r="G32" s="2"/>
      <c r="H32" s="7" t="s">
        <v>42</v>
      </c>
      <c r="I32" s="2" t="s">
        <v>153</v>
      </c>
      <c r="J32" s="2" t="s">
        <v>3580</v>
      </c>
      <c r="K32" s="2" t="s">
        <v>304</v>
      </c>
      <c r="L32" s="2" t="s">
        <v>125</v>
      </c>
      <c r="M32" s="8" t="str">
        <f>HYPERLINK("http://slimages.macys.com/is/image/MCY/13728577 ")</f>
        <v xml:space="preserve">http://slimages.macys.com/is/image/MCY/13728577 </v>
      </c>
    </row>
    <row r="33" spans="1:13" ht="60" x14ac:dyDescent="0.25">
      <c r="A33" s="7" t="s">
        <v>533</v>
      </c>
      <c r="B33" s="2" t="s">
        <v>534</v>
      </c>
      <c r="C33" s="4">
        <v>1</v>
      </c>
      <c r="D33" s="5">
        <v>5.0999999999999996</v>
      </c>
      <c r="E33" s="5">
        <v>13.5</v>
      </c>
      <c r="F33" s="4" t="s">
        <v>535</v>
      </c>
      <c r="G33" s="2" t="s">
        <v>86</v>
      </c>
      <c r="H33" s="7"/>
      <c r="I33" s="2" t="s">
        <v>483</v>
      </c>
      <c r="J33" s="2" t="s">
        <v>536</v>
      </c>
      <c r="K33" s="2" t="s">
        <v>304</v>
      </c>
      <c r="L33" s="2" t="s">
        <v>537</v>
      </c>
      <c r="M33" s="8" t="str">
        <f>HYPERLINK("http://slimages.macys.com/is/image/MCY/9157948 ")</f>
        <v xml:space="preserve">http://slimages.macys.com/is/image/MCY/9157948 </v>
      </c>
    </row>
    <row r="34" spans="1:13" ht="108" x14ac:dyDescent="0.25">
      <c r="A34" s="7" t="s">
        <v>528</v>
      </c>
      <c r="B34" s="2" t="s">
        <v>529</v>
      </c>
      <c r="C34" s="4">
        <v>1</v>
      </c>
      <c r="D34" s="5">
        <v>5.0999999999999996</v>
      </c>
      <c r="E34" s="5">
        <v>10.99</v>
      </c>
      <c r="F34" s="4" t="s">
        <v>530</v>
      </c>
      <c r="G34" s="2" t="s">
        <v>41</v>
      </c>
      <c r="H34" s="7" t="s">
        <v>531</v>
      </c>
      <c r="I34" s="2" t="s">
        <v>483</v>
      </c>
      <c r="J34" s="2" t="s">
        <v>484</v>
      </c>
      <c r="K34" s="2" t="s">
        <v>304</v>
      </c>
      <c r="L34" s="2" t="s">
        <v>532</v>
      </c>
      <c r="M34" s="8" t="str">
        <f>HYPERLINK("http://slimages.macys.com/is/image/MCY/8549851 ")</f>
        <v xml:space="preserve">http://slimages.macys.com/is/image/MCY/8549851 </v>
      </c>
    </row>
    <row r="35" spans="1:13" ht="60" x14ac:dyDescent="0.25">
      <c r="A35" s="7" t="s">
        <v>13503</v>
      </c>
      <c r="B35" s="2" t="s">
        <v>5516</v>
      </c>
      <c r="C35" s="4">
        <v>1</v>
      </c>
      <c r="D35" s="5">
        <v>4.88</v>
      </c>
      <c r="E35" s="5">
        <v>12.99</v>
      </c>
      <c r="F35" s="4" t="s">
        <v>5517</v>
      </c>
      <c r="G35" s="2" t="s">
        <v>86</v>
      </c>
      <c r="H35" s="7" t="s">
        <v>149</v>
      </c>
      <c r="I35" s="2" t="s">
        <v>483</v>
      </c>
      <c r="J35" s="2" t="s">
        <v>536</v>
      </c>
      <c r="K35" s="2" t="s">
        <v>304</v>
      </c>
      <c r="L35" s="2" t="s">
        <v>206</v>
      </c>
      <c r="M35" s="8" t="str">
        <f>HYPERLINK("http://slimages.macys.com/is/image/MCY/14446383 ")</f>
        <v xml:space="preserve">http://slimages.macys.com/is/image/MCY/14446383 </v>
      </c>
    </row>
    <row r="36" spans="1:13" ht="60" x14ac:dyDescent="0.25">
      <c r="A36" s="7" t="s">
        <v>13504</v>
      </c>
      <c r="B36" s="2" t="s">
        <v>3446</v>
      </c>
      <c r="C36" s="4">
        <v>1</v>
      </c>
      <c r="D36" s="5">
        <v>4.75</v>
      </c>
      <c r="E36" s="5">
        <v>11.99</v>
      </c>
      <c r="F36" s="4" t="s">
        <v>3447</v>
      </c>
      <c r="G36" s="2" t="s">
        <v>129</v>
      </c>
      <c r="H36" s="7" t="s">
        <v>284</v>
      </c>
      <c r="I36" s="2" t="s">
        <v>292</v>
      </c>
      <c r="J36" s="2" t="s">
        <v>293</v>
      </c>
      <c r="K36" s="2" t="s">
        <v>304</v>
      </c>
      <c r="L36" s="2" t="s">
        <v>571</v>
      </c>
      <c r="M36" s="8" t="str">
        <f>HYPERLINK("http://slimages.macys.com/is/image/MCY/12928718 ")</f>
        <v xml:space="preserve">http://slimages.macys.com/is/image/MCY/12928718 </v>
      </c>
    </row>
    <row r="37" spans="1:13" ht="120" x14ac:dyDescent="0.25">
      <c r="A37" s="7" t="s">
        <v>13505</v>
      </c>
      <c r="B37" s="2" t="s">
        <v>4221</v>
      </c>
      <c r="C37" s="4">
        <v>1</v>
      </c>
      <c r="D37" s="5">
        <v>3.61</v>
      </c>
      <c r="E37" s="5">
        <v>10.99</v>
      </c>
      <c r="F37" s="4" t="s">
        <v>13506</v>
      </c>
      <c r="G37" s="2" t="s">
        <v>1147</v>
      </c>
      <c r="H37" s="7" t="s">
        <v>442</v>
      </c>
      <c r="I37" s="2" t="s">
        <v>483</v>
      </c>
      <c r="J37" s="2" t="s">
        <v>536</v>
      </c>
      <c r="K37" s="2" t="s">
        <v>304</v>
      </c>
      <c r="L37" s="2" t="s">
        <v>7706</v>
      </c>
      <c r="M37" s="8" t="str">
        <f>HYPERLINK("http://slimages.macys.com/is/image/MCY/12635793 ")</f>
        <v xml:space="preserve">http://slimages.macys.com/is/image/MCY/12635793 </v>
      </c>
    </row>
    <row r="38" spans="1:13" ht="60" x14ac:dyDescent="0.25">
      <c r="A38" s="7" t="s">
        <v>13507</v>
      </c>
      <c r="B38" s="2" t="s">
        <v>7029</v>
      </c>
      <c r="C38" s="4">
        <v>1</v>
      </c>
      <c r="D38" s="5">
        <v>3.5</v>
      </c>
      <c r="E38" s="5">
        <v>7.99</v>
      </c>
      <c r="F38" s="4">
        <v>18192810</v>
      </c>
      <c r="G38" s="2" t="s">
        <v>28</v>
      </c>
      <c r="H38" s="7" t="s">
        <v>438</v>
      </c>
      <c r="I38" s="2" t="s">
        <v>153</v>
      </c>
      <c r="J38" s="2" t="s">
        <v>154</v>
      </c>
      <c r="K38" s="2" t="s">
        <v>304</v>
      </c>
      <c r="L38" s="2" t="s">
        <v>38</v>
      </c>
      <c r="M38" s="8" t="str">
        <f>HYPERLINK("http://slimages.macys.com/is/image/MCY/13852973 ")</f>
        <v xml:space="preserve">http://slimages.macys.com/is/image/MCY/13852973 </v>
      </c>
    </row>
    <row r="39" spans="1:13" ht="60" x14ac:dyDescent="0.25">
      <c r="A39" s="7" t="s">
        <v>13508</v>
      </c>
      <c r="B39" s="2" t="s">
        <v>13509</v>
      </c>
      <c r="C39" s="4">
        <v>1</v>
      </c>
      <c r="D39" s="5">
        <v>3.48</v>
      </c>
      <c r="E39" s="5">
        <v>5.99</v>
      </c>
      <c r="F39" s="4" t="s">
        <v>5063</v>
      </c>
      <c r="G39" s="2" t="s">
        <v>793</v>
      </c>
      <c r="H39" s="7" t="s">
        <v>144</v>
      </c>
      <c r="I39" s="2" t="s">
        <v>80</v>
      </c>
      <c r="J39" s="2" t="s">
        <v>1857</v>
      </c>
      <c r="K39" s="2" t="s">
        <v>304</v>
      </c>
      <c r="L39" s="2" t="s">
        <v>125</v>
      </c>
      <c r="M39" s="8" t="str">
        <f>HYPERLINK("http://slimages.macys.com/is/image/MCY/2581838 ")</f>
        <v xml:space="preserve">http://slimages.macys.com/is/image/MCY/2581838 </v>
      </c>
    </row>
    <row r="40" spans="1:13" ht="60" x14ac:dyDescent="0.25">
      <c r="A40" s="7" t="s">
        <v>587</v>
      </c>
      <c r="B40" s="2" t="s">
        <v>588</v>
      </c>
      <c r="C40" s="4">
        <v>1</v>
      </c>
      <c r="D40" s="5">
        <v>2.96</v>
      </c>
      <c r="E40" s="5">
        <v>6.99</v>
      </c>
      <c r="F40" s="4" t="s">
        <v>589</v>
      </c>
      <c r="G40" s="2" t="s">
        <v>134</v>
      </c>
      <c r="H40" s="7" t="s">
        <v>590</v>
      </c>
      <c r="I40" s="2" t="s">
        <v>483</v>
      </c>
      <c r="J40" s="2" t="s">
        <v>536</v>
      </c>
      <c r="K40" s="2" t="s">
        <v>304</v>
      </c>
      <c r="L40" s="2" t="s">
        <v>119</v>
      </c>
      <c r="M40" s="8" t="str">
        <f>HYPERLINK("http://slimages.macys.com/is/image/MCY/14532191 ")</f>
        <v xml:space="preserve">http://slimages.macys.com/is/image/MCY/14532191 </v>
      </c>
    </row>
    <row r="41" spans="1:13" ht="60" x14ac:dyDescent="0.25">
      <c r="A41" s="7" t="s">
        <v>1204</v>
      </c>
      <c r="B41" s="2" t="s">
        <v>1205</v>
      </c>
      <c r="C41" s="4">
        <v>1</v>
      </c>
      <c r="D41" s="5">
        <v>2.87</v>
      </c>
      <c r="E41" s="5">
        <v>7.99</v>
      </c>
      <c r="F41" s="4" t="s">
        <v>1206</v>
      </c>
      <c r="G41" s="2" t="s">
        <v>437</v>
      </c>
      <c r="H41" s="7" t="s">
        <v>531</v>
      </c>
      <c r="I41" s="2" t="s">
        <v>483</v>
      </c>
      <c r="J41" s="2" t="s">
        <v>536</v>
      </c>
      <c r="K41" s="2" t="s">
        <v>304</v>
      </c>
      <c r="L41" s="2" t="s">
        <v>1207</v>
      </c>
      <c r="M41" s="8" t="str">
        <f>HYPERLINK("http://slimages.macys.com/is/image/MCY/12466264 ")</f>
        <v xml:space="preserve">http://slimages.macys.com/is/image/MCY/12466264 </v>
      </c>
    </row>
    <row r="42" spans="1:13" ht="60" x14ac:dyDescent="0.25">
      <c r="A42" s="7" t="s">
        <v>2368</v>
      </c>
      <c r="B42" s="2" t="s">
        <v>1368</v>
      </c>
      <c r="C42" s="4">
        <v>1</v>
      </c>
      <c r="D42" s="5">
        <v>2.2799999999999998</v>
      </c>
      <c r="E42" s="5">
        <v>5.99</v>
      </c>
      <c r="F42" s="4" t="s">
        <v>1369</v>
      </c>
      <c r="G42" s="2" t="s">
        <v>41</v>
      </c>
      <c r="H42" s="7" t="s">
        <v>590</v>
      </c>
      <c r="I42" s="2" t="s">
        <v>483</v>
      </c>
      <c r="J42" s="2" t="s">
        <v>536</v>
      </c>
      <c r="K42" s="2" t="s">
        <v>304</v>
      </c>
      <c r="L42" s="2" t="s">
        <v>38</v>
      </c>
      <c r="M42" s="8" t="str">
        <f>HYPERLINK("http://slimages.macys.com/is/image/MCY/13987603 ")</f>
        <v xml:space="preserve">http://slimages.macys.com/is/image/MCY/13987603 </v>
      </c>
    </row>
    <row r="43" spans="1:13" ht="60" x14ac:dyDescent="0.25">
      <c r="A43" s="7" t="s">
        <v>6653</v>
      </c>
      <c r="B43" s="2" t="s">
        <v>1333</v>
      </c>
      <c r="C43" s="4">
        <v>1</v>
      </c>
      <c r="D43" s="5">
        <v>2.0299999999999998</v>
      </c>
      <c r="E43" s="5">
        <v>4.99</v>
      </c>
      <c r="F43" s="4" t="s">
        <v>1325</v>
      </c>
      <c r="G43" s="2" t="s">
        <v>28</v>
      </c>
      <c r="H43" s="7" t="s">
        <v>159</v>
      </c>
      <c r="I43" s="2" t="s">
        <v>523</v>
      </c>
      <c r="J43" s="2" t="s">
        <v>921</v>
      </c>
      <c r="K43" s="2" t="s">
        <v>304</v>
      </c>
      <c r="L43" s="2" t="s">
        <v>323</v>
      </c>
      <c r="M43" s="8" t="str">
        <f>HYPERLINK("http://slimages.macys.com/is/image/MCY/8345548 ")</f>
        <v xml:space="preserve">http://slimages.macys.com/is/image/MCY/8345548 </v>
      </c>
    </row>
    <row r="44" spans="1:13" ht="60" x14ac:dyDescent="0.25">
      <c r="A44" s="7" t="s">
        <v>5113</v>
      </c>
      <c r="B44" s="2" t="s">
        <v>4617</v>
      </c>
      <c r="C44" s="4">
        <v>1</v>
      </c>
      <c r="D44" s="5">
        <v>10.3</v>
      </c>
      <c r="E44" s="5">
        <v>20.6</v>
      </c>
      <c r="F44" s="4">
        <v>27872211</v>
      </c>
      <c r="G44" s="2"/>
      <c r="H44" s="7"/>
      <c r="I44" s="2" t="s">
        <v>487</v>
      </c>
      <c r="J44" s="2" t="s">
        <v>2424</v>
      </c>
      <c r="K44" s="2"/>
      <c r="L44" s="2"/>
      <c r="M44" s="8"/>
    </row>
  </sheetData>
  <pageMargins left="0.5" right="0.5" top="0.25" bottom="0.25" header="0.3" footer="0.3"/>
  <pageSetup scale="65" orientation="landscape" horizontalDpi="0" verticalDpi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85"/>
  <sheetViews>
    <sheetView workbookViewId="0">
      <selection activeCell="N3" sqref="N3"/>
    </sheetView>
  </sheetViews>
  <sheetFormatPr defaultRowHeight="15" x14ac:dyDescent="0.25"/>
  <cols>
    <col min="1" max="1" width="14.28515625" customWidth="1"/>
    <col min="2" max="2" width="40.140625" customWidth="1"/>
    <col min="3" max="3" width="15" customWidth="1"/>
    <col min="4" max="4" width="10.85546875" customWidth="1"/>
    <col min="5" max="6" width="15" customWidth="1"/>
    <col min="7" max="7" width="10.28515625" customWidth="1"/>
    <col min="8" max="8" width="13.7109375" customWidth="1"/>
    <col min="9" max="11" width="11.42578125" customWidth="1"/>
    <col min="12" max="12" width="8" customWidth="1"/>
    <col min="13" max="13" width="10.85546875" customWidth="1"/>
    <col min="14" max="14" width="12.140625" customWidth="1"/>
    <col min="15" max="15" width="36.5703125" bestFit="1" customWidth="1"/>
    <col min="16" max="17" width="20.7109375" customWidth="1"/>
    <col min="18" max="18" width="64.28515625" customWidth="1"/>
  </cols>
  <sheetData>
    <row r="1" spans="1:13" ht="36" x14ac:dyDescent="0.25">
      <c r="A1" s="18" t="s">
        <v>0</v>
      </c>
      <c r="B1" s="18" t="s">
        <v>1</v>
      </c>
      <c r="C1" s="18" t="s">
        <v>2</v>
      </c>
      <c r="D1" s="18" t="s">
        <v>3</v>
      </c>
      <c r="E1" s="18" t="s">
        <v>4</v>
      </c>
      <c r="F1" s="18" t="s">
        <v>5</v>
      </c>
      <c r="G1" s="18" t="s">
        <v>6</v>
      </c>
      <c r="H1" s="18" t="s">
        <v>7</v>
      </c>
      <c r="I1" s="18" t="s">
        <v>8</v>
      </c>
      <c r="J1" s="18" t="s">
        <v>9</v>
      </c>
    </row>
    <row r="2" spans="1:13" ht="36" x14ac:dyDescent="0.25">
      <c r="A2" s="2" t="s">
        <v>654</v>
      </c>
      <c r="B2" s="3">
        <v>12488911</v>
      </c>
      <c r="C2" s="2" t="s">
        <v>11</v>
      </c>
      <c r="D2" s="2" t="s">
        <v>12</v>
      </c>
      <c r="E2" s="4">
        <v>1</v>
      </c>
      <c r="F2" s="4">
        <v>24</v>
      </c>
      <c r="G2" s="2">
        <v>286</v>
      </c>
      <c r="H2" s="5">
        <v>7267.23</v>
      </c>
      <c r="I2" s="5">
        <v>18486.66</v>
      </c>
      <c r="J2" s="2">
        <v>1078</v>
      </c>
    </row>
    <row r="4" spans="1:13" s="6" customFormat="1" x14ac:dyDescent="0.25"/>
    <row r="7" spans="1:13" s="6" customFormat="1" x14ac:dyDescent="0.25"/>
    <row r="8" spans="1:13" ht="36" x14ac:dyDescent="0.25">
      <c r="A8" s="18" t="s">
        <v>13</v>
      </c>
      <c r="B8" s="18" t="s">
        <v>14</v>
      </c>
      <c r="C8" s="18" t="s">
        <v>15</v>
      </c>
      <c r="D8" s="18" t="s">
        <v>16</v>
      </c>
      <c r="E8" s="18" t="s">
        <v>17</v>
      </c>
      <c r="F8" s="18" t="s">
        <v>18</v>
      </c>
      <c r="G8" s="18" t="s">
        <v>19</v>
      </c>
      <c r="H8" s="18" t="s">
        <v>20</v>
      </c>
      <c r="I8" s="18" t="s">
        <v>21</v>
      </c>
      <c r="J8" s="18" t="s">
        <v>22</v>
      </c>
      <c r="K8" s="18" t="s">
        <v>2737</v>
      </c>
      <c r="L8" s="18" t="s">
        <v>23</v>
      </c>
      <c r="M8" s="18" t="s">
        <v>24</v>
      </c>
    </row>
    <row r="9" spans="1:13" ht="60" x14ac:dyDescent="0.25">
      <c r="A9" s="7" t="s">
        <v>13169</v>
      </c>
      <c r="B9" s="2" t="s">
        <v>26</v>
      </c>
      <c r="C9" s="4">
        <v>1</v>
      </c>
      <c r="D9" s="5">
        <v>46.5</v>
      </c>
      <c r="E9" s="5">
        <v>92.99</v>
      </c>
      <c r="F9" s="4" t="s">
        <v>27</v>
      </c>
      <c r="G9" s="2" t="s">
        <v>28</v>
      </c>
      <c r="H9" s="7" t="s">
        <v>118</v>
      </c>
      <c r="I9" s="2" t="s">
        <v>30</v>
      </c>
      <c r="J9" s="2" t="s">
        <v>31</v>
      </c>
      <c r="K9" s="2" t="s">
        <v>304</v>
      </c>
      <c r="L9" s="2" t="s">
        <v>32</v>
      </c>
      <c r="M9" s="8" t="str">
        <f>HYPERLINK("http://slimages.macys.com/is/image/MCY/11853289 ")</f>
        <v xml:space="preserve">http://slimages.macys.com/is/image/MCY/11853289 </v>
      </c>
    </row>
    <row r="10" spans="1:13" ht="60" x14ac:dyDescent="0.25">
      <c r="A10" s="7" t="s">
        <v>13170</v>
      </c>
      <c r="B10" s="2" t="s">
        <v>26</v>
      </c>
      <c r="C10" s="4">
        <v>1</v>
      </c>
      <c r="D10" s="5">
        <v>46.5</v>
      </c>
      <c r="E10" s="5">
        <v>92.99</v>
      </c>
      <c r="F10" s="4" t="s">
        <v>27</v>
      </c>
      <c r="G10" s="2" t="s">
        <v>28</v>
      </c>
      <c r="H10" s="7" t="s">
        <v>13171</v>
      </c>
      <c r="I10" s="2" t="s">
        <v>30</v>
      </c>
      <c r="J10" s="2" t="s">
        <v>31</v>
      </c>
      <c r="K10" s="2" t="s">
        <v>304</v>
      </c>
      <c r="L10" s="2" t="s">
        <v>32</v>
      </c>
      <c r="M10" s="8" t="str">
        <f>HYPERLINK("http://slimages.macys.com/is/image/MCY/11853289 ")</f>
        <v xml:space="preserve">http://slimages.macys.com/is/image/MCY/11853289 </v>
      </c>
    </row>
    <row r="11" spans="1:13" ht="60" x14ac:dyDescent="0.25">
      <c r="A11" s="7" t="s">
        <v>13172</v>
      </c>
      <c r="B11" s="2" t="s">
        <v>34</v>
      </c>
      <c r="C11" s="4">
        <v>1</v>
      </c>
      <c r="D11" s="5">
        <v>42.5</v>
      </c>
      <c r="E11" s="5">
        <v>104.99</v>
      </c>
      <c r="F11" s="4" t="s">
        <v>35</v>
      </c>
      <c r="G11" s="2" t="s">
        <v>36</v>
      </c>
      <c r="H11" s="7" t="s">
        <v>118</v>
      </c>
      <c r="I11" s="2" t="s">
        <v>30</v>
      </c>
      <c r="J11" s="2" t="s">
        <v>31</v>
      </c>
      <c r="K11" s="2" t="s">
        <v>304</v>
      </c>
      <c r="L11" s="2" t="s">
        <v>38</v>
      </c>
      <c r="M11" s="8" t="str">
        <f>HYPERLINK("http://slimages.macys.com/is/image/MCY/11831359 ")</f>
        <v xml:space="preserve">http://slimages.macys.com/is/image/MCY/11831359 </v>
      </c>
    </row>
    <row r="12" spans="1:13" ht="60" x14ac:dyDescent="0.25">
      <c r="A12" s="7" t="s">
        <v>33</v>
      </c>
      <c r="B12" s="2" t="s">
        <v>34</v>
      </c>
      <c r="C12" s="4">
        <v>1</v>
      </c>
      <c r="D12" s="5">
        <v>42.5</v>
      </c>
      <c r="E12" s="5">
        <v>104.99</v>
      </c>
      <c r="F12" s="4" t="s">
        <v>35</v>
      </c>
      <c r="G12" s="2" t="s">
        <v>36</v>
      </c>
      <c r="H12" s="7" t="s">
        <v>37</v>
      </c>
      <c r="I12" s="2" t="s">
        <v>30</v>
      </c>
      <c r="J12" s="2" t="s">
        <v>31</v>
      </c>
      <c r="K12" s="2" t="s">
        <v>304</v>
      </c>
      <c r="L12" s="2" t="s">
        <v>38</v>
      </c>
      <c r="M12" s="8" t="str">
        <f>HYPERLINK("http://slimages.macys.com/is/image/MCY/11831359 ")</f>
        <v xml:space="preserve">http://slimages.macys.com/is/image/MCY/11831359 </v>
      </c>
    </row>
    <row r="13" spans="1:13" ht="60" x14ac:dyDescent="0.25">
      <c r="A13" s="7" t="s">
        <v>8086</v>
      </c>
      <c r="B13" s="2" t="s">
        <v>1407</v>
      </c>
      <c r="C13" s="4">
        <v>1</v>
      </c>
      <c r="D13" s="5">
        <v>38</v>
      </c>
      <c r="E13" s="5">
        <v>71.989999999999995</v>
      </c>
      <c r="F13" s="4" t="s">
        <v>1408</v>
      </c>
      <c r="G13" s="2" t="s">
        <v>814</v>
      </c>
      <c r="H13" s="7" t="s">
        <v>97</v>
      </c>
      <c r="I13" s="2" t="s">
        <v>30</v>
      </c>
      <c r="J13" s="2" t="s">
        <v>1409</v>
      </c>
      <c r="K13" s="2" t="s">
        <v>304</v>
      </c>
      <c r="L13" s="2" t="s">
        <v>206</v>
      </c>
      <c r="M13" s="8" t="str">
        <f>HYPERLINK("http://slimages.macys.com/is/image/MCY/11603207 ")</f>
        <v xml:space="preserve">http://slimages.macys.com/is/image/MCY/11603207 </v>
      </c>
    </row>
    <row r="14" spans="1:13" ht="96" x14ac:dyDescent="0.25">
      <c r="A14" s="7" t="s">
        <v>2793</v>
      </c>
      <c r="B14" s="2" t="s">
        <v>13173</v>
      </c>
      <c r="C14" s="4">
        <v>2</v>
      </c>
      <c r="D14" s="5">
        <v>29.25</v>
      </c>
      <c r="E14" s="5">
        <v>65</v>
      </c>
      <c r="F14" s="4">
        <v>320737524001</v>
      </c>
      <c r="G14" s="2" t="s">
        <v>28</v>
      </c>
      <c r="H14" s="7" t="s">
        <v>438</v>
      </c>
      <c r="I14" s="2" t="s">
        <v>676</v>
      </c>
      <c r="J14" s="2" t="s">
        <v>677</v>
      </c>
      <c r="K14" s="2" t="s">
        <v>304</v>
      </c>
      <c r="L14" s="2" t="s">
        <v>2795</v>
      </c>
      <c r="M14" s="8" t="str">
        <f>HYPERLINK("http://slimages.macys.com/is/image/MCY/12329870 ")</f>
        <v xml:space="preserve">http://slimages.macys.com/is/image/MCY/12329870 </v>
      </c>
    </row>
    <row r="15" spans="1:13" ht="60" x14ac:dyDescent="0.25">
      <c r="A15" s="7" t="s">
        <v>13174</v>
      </c>
      <c r="B15" s="2" t="s">
        <v>13175</v>
      </c>
      <c r="C15" s="4">
        <v>1</v>
      </c>
      <c r="D15" s="5">
        <v>28.92</v>
      </c>
      <c r="E15" s="5">
        <v>58.99</v>
      </c>
      <c r="F15" s="4">
        <v>940370</v>
      </c>
      <c r="G15" s="2" t="s">
        <v>165</v>
      </c>
      <c r="H15" s="7" t="s">
        <v>284</v>
      </c>
      <c r="I15" s="2" t="s">
        <v>80</v>
      </c>
      <c r="J15" s="2" t="s">
        <v>160</v>
      </c>
      <c r="K15" s="2" t="s">
        <v>304</v>
      </c>
      <c r="L15" s="2" t="s">
        <v>125</v>
      </c>
      <c r="M15" s="8" t="str">
        <f>HYPERLINK("http://slimages.macys.com/is/image/MCY/11025720 ")</f>
        <v xml:space="preserve">http://slimages.macys.com/is/image/MCY/11025720 </v>
      </c>
    </row>
    <row r="16" spans="1:13" ht="60" x14ac:dyDescent="0.25">
      <c r="A16" s="7" t="s">
        <v>13176</v>
      </c>
      <c r="B16" s="2" t="s">
        <v>13177</v>
      </c>
      <c r="C16" s="4">
        <v>1</v>
      </c>
      <c r="D16" s="5">
        <v>23.5</v>
      </c>
      <c r="E16" s="5">
        <v>49</v>
      </c>
      <c r="F16" s="4" t="s">
        <v>13178</v>
      </c>
      <c r="G16" s="2" t="s">
        <v>62</v>
      </c>
      <c r="H16" s="7" t="s">
        <v>13179</v>
      </c>
      <c r="I16" s="2" t="s">
        <v>50</v>
      </c>
      <c r="J16" s="2" t="s">
        <v>6113</v>
      </c>
      <c r="K16" s="2" t="s">
        <v>304</v>
      </c>
      <c r="L16" s="2" t="s">
        <v>6114</v>
      </c>
      <c r="M16" s="8" t="str">
        <f>HYPERLINK("http://slimages.macys.com/is/image/MCY/1121939 ")</f>
        <v xml:space="preserve">http://slimages.macys.com/is/image/MCY/1121939 </v>
      </c>
    </row>
    <row r="17" spans="1:13" ht="60" x14ac:dyDescent="0.25">
      <c r="A17" s="7" t="s">
        <v>13180</v>
      </c>
      <c r="B17" s="2" t="s">
        <v>1420</v>
      </c>
      <c r="C17" s="4">
        <v>1</v>
      </c>
      <c r="D17" s="5">
        <v>23</v>
      </c>
      <c r="E17" s="5">
        <v>54.99</v>
      </c>
      <c r="F17" s="4" t="s">
        <v>1421</v>
      </c>
      <c r="G17" s="2" t="s">
        <v>103</v>
      </c>
      <c r="H17" s="7" t="s">
        <v>13181</v>
      </c>
      <c r="I17" s="2" t="s">
        <v>668</v>
      </c>
      <c r="J17" s="2" t="s">
        <v>239</v>
      </c>
      <c r="K17" s="2" t="s">
        <v>304</v>
      </c>
      <c r="L17" s="2" t="s">
        <v>1418</v>
      </c>
      <c r="M17" s="8" t="str">
        <f>HYPERLINK("http://slimages.macys.com/is/image/MCY/14459201 ")</f>
        <v xml:space="preserve">http://slimages.macys.com/is/image/MCY/14459201 </v>
      </c>
    </row>
    <row r="18" spans="1:13" ht="72" x14ac:dyDescent="0.25">
      <c r="A18" s="7" t="s">
        <v>4684</v>
      </c>
      <c r="B18" s="2" t="s">
        <v>4685</v>
      </c>
      <c r="C18" s="4">
        <v>1</v>
      </c>
      <c r="D18" s="5">
        <v>21</v>
      </c>
      <c r="E18" s="5">
        <v>59.99</v>
      </c>
      <c r="F18" s="4" t="s">
        <v>4686</v>
      </c>
      <c r="G18" s="2" t="s">
        <v>653</v>
      </c>
      <c r="H18" s="7" t="s">
        <v>179</v>
      </c>
      <c r="I18" s="2" t="s">
        <v>668</v>
      </c>
      <c r="J18" s="2" t="s">
        <v>239</v>
      </c>
      <c r="K18" s="2" t="s">
        <v>304</v>
      </c>
      <c r="L18" s="2" t="s">
        <v>4687</v>
      </c>
      <c r="M18" s="8" t="str">
        <f>HYPERLINK("http://slimages.macys.com/is/image/MCY/14382827 ")</f>
        <v xml:space="preserve">http://slimages.macys.com/is/image/MCY/14382827 </v>
      </c>
    </row>
    <row r="19" spans="1:13" ht="72" x14ac:dyDescent="0.25">
      <c r="A19" s="7" t="s">
        <v>13182</v>
      </c>
      <c r="B19" s="2" t="s">
        <v>4685</v>
      </c>
      <c r="C19" s="4">
        <v>1</v>
      </c>
      <c r="D19" s="5">
        <v>21</v>
      </c>
      <c r="E19" s="5">
        <v>59.99</v>
      </c>
      <c r="F19" s="4" t="s">
        <v>4686</v>
      </c>
      <c r="G19" s="2" t="s">
        <v>653</v>
      </c>
      <c r="H19" s="7"/>
      <c r="I19" s="2" t="s">
        <v>668</v>
      </c>
      <c r="J19" s="2" t="s">
        <v>239</v>
      </c>
      <c r="K19" s="2" t="s">
        <v>304</v>
      </c>
      <c r="L19" s="2" t="s">
        <v>4687</v>
      </c>
      <c r="M19" s="8" t="str">
        <f>HYPERLINK("http://slimages.macys.com/is/image/MCY/14382827 ")</f>
        <v xml:space="preserve">http://slimages.macys.com/is/image/MCY/14382827 </v>
      </c>
    </row>
    <row r="20" spans="1:13" ht="60" x14ac:dyDescent="0.25">
      <c r="A20" s="7" t="s">
        <v>13183</v>
      </c>
      <c r="B20" s="2" t="s">
        <v>13184</v>
      </c>
      <c r="C20" s="4">
        <v>1</v>
      </c>
      <c r="D20" s="5">
        <v>21</v>
      </c>
      <c r="E20" s="5">
        <v>64.989999999999995</v>
      </c>
      <c r="F20" s="4" t="s">
        <v>13185</v>
      </c>
      <c r="G20" s="2" t="s">
        <v>28</v>
      </c>
      <c r="H20" s="7" t="s">
        <v>97</v>
      </c>
      <c r="I20" s="2" t="s">
        <v>668</v>
      </c>
      <c r="J20" s="2" t="s">
        <v>239</v>
      </c>
      <c r="K20" s="2" t="s">
        <v>304</v>
      </c>
      <c r="L20" s="2" t="s">
        <v>1418</v>
      </c>
      <c r="M20" s="8" t="str">
        <f>HYPERLINK("http://slimages.macys.com/is/image/MCY/13860368 ")</f>
        <v xml:space="preserve">http://slimages.macys.com/is/image/MCY/13860368 </v>
      </c>
    </row>
    <row r="21" spans="1:13" ht="60" x14ac:dyDescent="0.25">
      <c r="A21" s="7" t="s">
        <v>13186</v>
      </c>
      <c r="B21" s="2" t="s">
        <v>8099</v>
      </c>
      <c r="C21" s="4">
        <v>1</v>
      </c>
      <c r="D21" s="5">
        <v>21</v>
      </c>
      <c r="E21" s="5">
        <v>50</v>
      </c>
      <c r="F21" s="4" t="s">
        <v>9804</v>
      </c>
      <c r="G21" s="2" t="s">
        <v>79</v>
      </c>
      <c r="H21" s="7"/>
      <c r="I21" s="2" t="s">
        <v>80</v>
      </c>
      <c r="J21" s="2" t="s">
        <v>74</v>
      </c>
      <c r="K21" s="2" t="s">
        <v>304</v>
      </c>
      <c r="L21" s="2" t="s">
        <v>81</v>
      </c>
      <c r="M21" s="8" t="str">
        <f>HYPERLINK("http://slimages.macys.com/is/image/MCY/13941753 ")</f>
        <v xml:space="preserve">http://slimages.macys.com/is/image/MCY/13941753 </v>
      </c>
    </row>
    <row r="22" spans="1:13" ht="60" x14ac:dyDescent="0.25">
      <c r="A22" s="7" t="s">
        <v>13187</v>
      </c>
      <c r="B22" s="2" t="s">
        <v>4693</v>
      </c>
      <c r="C22" s="4">
        <v>1</v>
      </c>
      <c r="D22" s="5">
        <v>20.25</v>
      </c>
      <c r="E22" s="5">
        <v>45</v>
      </c>
      <c r="F22" s="4">
        <v>320750290004</v>
      </c>
      <c r="G22" s="2" t="s">
        <v>657</v>
      </c>
      <c r="H22" s="7" t="s">
        <v>675</v>
      </c>
      <c r="I22" s="2" t="s">
        <v>676</v>
      </c>
      <c r="J22" s="2" t="s">
        <v>677</v>
      </c>
      <c r="K22" s="2" t="s">
        <v>304</v>
      </c>
      <c r="L22" s="2" t="s">
        <v>38</v>
      </c>
      <c r="M22" s="8" t="str">
        <f>HYPERLINK("http://slimages.macys.com/is/image/MCY/14361830 ")</f>
        <v xml:space="preserve">http://slimages.macys.com/is/image/MCY/14361830 </v>
      </c>
    </row>
    <row r="23" spans="1:13" ht="60" x14ac:dyDescent="0.25">
      <c r="A23" s="7" t="s">
        <v>13188</v>
      </c>
      <c r="B23" s="2" t="s">
        <v>674</v>
      </c>
      <c r="C23" s="4">
        <v>1</v>
      </c>
      <c r="D23" s="5">
        <v>20.25</v>
      </c>
      <c r="E23" s="5">
        <v>45</v>
      </c>
      <c r="F23" s="4">
        <v>310750855001</v>
      </c>
      <c r="G23" s="2" t="s">
        <v>657</v>
      </c>
      <c r="H23" s="7" t="s">
        <v>233</v>
      </c>
      <c r="I23" s="2" t="s">
        <v>676</v>
      </c>
      <c r="J23" s="2" t="s">
        <v>677</v>
      </c>
      <c r="K23" s="2" t="s">
        <v>304</v>
      </c>
      <c r="L23" s="2" t="s">
        <v>678</v>
      </c>
      <c r="M23" s="8" t="str">
        <f>HYPERLINK("http://slimages.macys.com/is/image/MCY/14468925 ")</f>
        <v xml:space="preserve">http://slimages.macys.com/is/image/MCY/14468925 </v>
      </c>
    </row>
    <row r="24" spans="1:13" ht="60" x14ac:dyDescent="0.25">
      <c r="A24" s="7" t="s">
        <v>11254</v>
      </c>
      <c r="B24" s="2" t="s">
        <v>9806</v>
      </c>
      <c r="C24" s="4">
        <v>1</v>
      </c>
      <c r="D24" s="5">
        <v>20.23</v>
      </c>
      <c r="E24" s="5">
        <v>59.5</v>
      </c>
      <c r="F24" s="4" t="s">
        <v>9807</v>
      </c>
      <c r="G24" s="2" t="s">
        <v>86</v>
      </c>
      <c r="H24" s="7"/>
      <c r="I24" s="2" t="s">
        <v>57</v>
      </c>
      <c r="J24" s="2" t="s">
        <v>58</v>
      </c>
      <c r="K24" s="2" t="s">
        <v>304</v>
      </c>
      <c r="L24" s="2" t="s">
        <v>125</v>
      </c>
      <c r="M24" s="8" t="str">
        <f>HYPERLINK("http://slimages.macys.com/is/image/MCY/14746484 ")</f>
        <v xml:space="preserve">http://slimages.macys.com/is/image/MCY/14746484 </v>
      </c>
    </row>
    <row r="25" spans="1:13" ht="60" x14ac:dyDescent="0.25">
      <c r="A25" s="7" t="s">
        <v>9293</v>
      </c>
      <c r="B25" s="2" t="s">
        <v>9294</v>
      </c>
      <c r="C25" s="4">
        <v>1</v>
      </c>
      <c r="D25" s="5">
        <v>19.8</v>
      </c>
      <c r="E25" s="5">
        <v>49.5</v>
      </c>
      <c r="F25" s="4" t="s">
        <v>9295</v>
      </c>
      <c r="G25" s="2" t="s">
        <v>86</v>
      </c>
      <c r="H25" s="7"/>
      <c r="I25" s="2" t="s">
        <v>57</v>
      </c>
      <c r="J25" s="2" t="s">
        <v>58</v>
      </c>
      <c r="K25" s="2" t="s">
        <v>304</v>
      </c>
      <c r="L25" s="2" t="s">
        <v>38</v>
      </c>
      <c r="M25" s="8" t="str">
        <f>HYPERLINK("http://slimages.macys.com/is/image/MCY/13815669 ")</f>
        <v xml:space="preserve">http://slimages.macys.com/is/image/MCY/13815669 </v>
      </c>
    </row>
    <row r="26" spans="1:13" ht="132" x14ac:dyDescent="0.25">
      <c r="A26" s="7" t="s">
        <v>67</v>
      </c>
      <c r="B26" s="2" t="s">
        <v>60</v>
      </c>
      <c r="C26" s="4">
        <v>2</v>
      </c>
      <c r="D26" s="5">
        <v>19.5</v>
      </c>
      <c r="E26" s="5">
        <v>54.99</v>
      </c>
      <c r="F26" s="4" t="s">
        <v>61</v>
      </c>
      <c r="G26" s="2" t="s">
        <v>62</v>
      </c>
      <c r="H26" s="7" t="s">
        <v>68</v>
      </c>
      <c r="I26" s="2" t="s">
        <v>64</v>
      </c>
      <c r="J26" s="2" t="s">
        <v>65</v>
      </c>
      <c r="K26" s="2" t="s">
        <v>304</v>
      </c>
      <c r="L26" s="2" t="s">
        <v>66</v>
      </c>
      <c r="M26" s="8" t="str">
        <f>HYPERLINK("http://slimages.macys.com/is/image/MCY/14703249 ")</f>
        <v xml:space="preserve">http://slimages.macys.com/is/image/MCY/14703249 </v>
      </c>
    </row>
    <row r="27" spans="1:13" ht="60" x14ac:dyDescent="0.25">
      <c r="A27" s="7" t="s">
        <v>13189</v>
      </c>
      <c r="B27" s="2" t="s">
        <v>3627</v>
      </c>
      <c r="C27" s="4">
        <v>1</v>
      </c>
      <c r="D27" s="5">
        <v>19.25</v>
      </c>
      <c r="E27" s="5">
        <v>42.99</v>
      </c>
      <c r="F27" s="4" t="s">
        <v>3628</v>
      </c>
      <c r="G27" s="2" t="s">
        <v>165</v>
      </c>
      <c r="H27" s="7" t="s">
        <v>248</v>
      </c>
      <c r="I27" s="2" t="s">
        <v>73</v>
      </c>
      <c r="J27" s="2" t="s">
        <v>249</v>
      </c>
      <c r="K27" s="2" t="s">
        <v>304</v>
      </c>
      <c r="L27" s="2" t="s">
        <v>3629</v>
      </c>
      <c r="M27" s="8" t="str">
        <f>HYPERLINK("http://slimages.macys.com/is/image/MCY/14803983 ")</f>
        <v xml:space="preserve">http://slimages.macys.com/is/image/MCY/14803983 </v>
      </c>
    </row>
    <row r="28" spans="1:13" ht="132" x14ac:dyDescent="0.25">
      <c r="A28" s="7" t="s">
        <v>13190</v>
      </c>
      <c r="B28" s="2" t="s">
        <v>13191</v>
      </c>
      <c r="C28" s="4">
        <v>1</v>
      </c>
      <c r="D28" s="5">
        <v>19</v>
      </c>
      <c r="E28" s="5">
        <v>49.99</v>
      </c>
      <c r="F28" s="4" t="s">
        <v>13192</v>
      </c>
      <c r="G28" s="2" t="s">
        <v>62</v>
      </c>
      <c r="H28" s="7" t="s">
        <v>97</v>
      </c>
      <c r="I28" s="2" t="s">
        <v>668</v>
      </c>
      <c r="J28" s="2" t="s">
        <v>239</v>
      </c>
      <c r="K28" s="2" t="s">
        <v>304</v>
      </c>
      <c r="L28" s="2" t="s">
        <v>13193</v>
      </c>
      <c r="M28" s="8" t="str">
        <f>HYPERLINK("http://slimages.macys.com/is/image/MCY/10223476 ")</f>
        <v xml:space="preserve">http://slimages.macys.com/is/image/MCY/10223476 </v>
      </c>
    </row>
    <row r="29" spans="1:13" ht="84" x14ac:dyDescent="0.25">
      <c r="A29" s="7" t="s">
        <v>13194</v>
      </c>
      <c r="B29" s="2" t="s">
        <v>60</v>
      </c>
      <c r="C29" s="4">
        <v>2</v>
      </c>
      <c r="D29" s="5">
        <v>18</v>
      </c>
      <c r="E29" s="5">
        <v>49.99</v>
      </c>
      <c r="F29" s="4" t="s">
        <v>2453</v>
      </c>
      <c r="G29" s="2" t="s">
        <v>62</v>
      </c>
      <c r="H29" s="7" t="s">
        <v>166</v>
      </c>
      <c r="I29" s="2" t="s">
        <v>668</v>
      </c>
      <c r="J29" s="2" t="s">
        <v>1500</v>
      </c>
      <c r="K29" s="2" t="s">
        <v>304</v>
      </c>
      <c r="L29" s="2" t="s">
        <v>2454</v>
      </c>
      <c r="M29" s="8" t="str">
        <f t="shared" ref="M29:M34" si="0">HYPERLINK("http://slimages.macys.com/is/image/MCY/13327949 ")</f>
        <v xml:space="preserve">http://slimages.macys.com/is/image/MCY/13327949 </v>
      </c>
    </row>
    <row r="30" spans="1:13" ht="84" x14ac:dyDescent="0.25">
      <c r="A30" s="7" t="s">
        <v>3645</v>
      </c>
      <c r="B30" s="2" t="s">
        <v>60</v>
      </c>
      <c r="C30" s="4">
        <v>2</v>
      </c>
      <c r="D30" s="5">
        <v>18</v>
      </c>
      <c r="E30" s="5">
        <v>49.99</v>
      </c>
      <c r="F30" s="4" t="s">
        <v>2453</v>
      </c>
      <c r="G30" s="2" t="s">
        <v>62</v>
      </c>
      <c r="H30" s="7" t="s">
        <v>172</v>
      </c>
      <c r="I30" s="2" t="s">
        <v>668</v>
      </c>
      <c r="J30" s="2" t="s">
        <v>1500</v>
      </c>
      <c r="K30" s="2" t="s">
        <v>304</v>
      </c>
      <c r="L30" s="2" t="s">
        <v>2454</v>
      </c>
      <c r="M30" s="8" t="str">
        <f t="shared" si="0"/>
        <v xml:space="preserve">http://slimages.macys.com/is/image/MCY/13327949 </v>
      </c>
    </row>
    <row r="31" spans="1:13" ht="84" x14ac:dyDescent="0.25">
      <c r="A31" s="7" t="s">
        <v>2452</v>
      </c>
      <c r="B31" s="2" t="s">
        <v>60</v>
      </c>
      <c r="C31" s="4">
        <v>1</v>
      </c>
      <c r="D31" s="5">
        <v>18</v>
      </c>
      <c r="E31" s="5">
        <v>49.99</v>
      </c>
      <c r="F31" s="4" t="s">
        <v>2453</v>
      </c>
      <c r="G31" s="2" t="s">
        <v>62</v>
      </c>
      <c r="H31" s="7"/>
      <c r="I31" s="2" t="s">
        <v>668</v>
      </c>
      <c r="J31" s="2" t="s">
        <v>1500</v>
      </c>
      <c r="K31" s="2" t="s">
        <v>304</v>
      </c>
      <c r="L31" s="2" t="s">
        <v>2454</v>
      </c>
      <c r="M31" s="8" t="str">
        <f t="shared" si="0"/>
        <v xml:space="preserve">http://slimages.macys.com/is/image/MCY/13327949 </v>
      </c>
    </row>
    <row r="32" spans="1:13" ht="84" x14ac:dyDescent="0.25">
      <c r="A32" s="7" t="s">
        <v>3643</v>
      </c>
      <c r="B32" s="2" t="s">
        <v>60</v>
      </c>
      <c r="C32" s="4">
        <v>3</v>
      </c>
      <c r="D32" s="5">
        <v>18</v>
      </c>
      <c r="E32" s="5">
        <v>49.99</v>
      </c>
      <c r="F32" s="4" t="s">
        <v>2453</v>
      </c>
      <c r="G32" s="2" t="s">
        <v>62</v>
      </c>
      <c r="H32" s="7" t="s">
        <v>177</v>
      </c>
      <c r="I32" s="2" t="s">
        <v>668</v>
      </c>
      <c r="J32" s="2" t="s">
        <v>1500</v>
      </c>
      <c r="K32" s="2" t="s">
        <v>304</v>
      </c>
      <c r="L32" s="2" t="s">
        <v>2454</v>
      </c>
      <c r="M32" s="8" t="str">
        <f t="shared" si="0"/>
        <v xml:space="preserve">http://slimages.macys.com/is/image/MCY/13327949 </v>
      </c>
    </row>
    <row r="33" spans="1:13" ht="84" x14ac:dyDescent="0.25">
      <c r="A33" s="7" t="s">
        <v>2910</v>
      </c>
      <c r="B33" s="2" t="s">
        <v>60</v>
      </c>
      <c r="C33" s="4">
        <v>3</v>
      </c>
      <c r="D33" s="5">
        <v>18</v>
      </c>
      <c r="E33" s="5">
        <v>49.99</v>
      </c>
      <c r="F33" s="4" t="s">
        <v>2453</v>
      </c>
      <c r="G33" s="2" t="s">
        <v>62</v>
      </c>
      <c r="H33" s="7" t="s">
        <v>179</v>
      </c>
      <c r="I33" s="2" t="s">
        <v>668</v>
      </c>
      <c r="J33" s="2" t="s">
        <v>1500</v>
      </c>
      <c r="K33" s="2" t="s">
        <v>304</v>
      </c>
      <c r="L33" s="2" t="s">
        <v>2454</v>
      </c>
      <c r="M33" s="8" t="str">
        <f t="shared" si="0"/>
        <v xml:space="preserve">http://slimages.macys.com/is/image/MCY/13327949 </v>
      </c>
    </row>
    <row r="34" spans="1:13" ht="84" x14ac:dyDescent="0.25">
      <c r="A34" s="7" t="s">
        <v>3644</v>
      </c>
      <c r="B34" s="2" t="s">
        <v>60</v>
      </c>
      <c r="C34" s="4">
        <v>1</v>
      </c>
      <c r="D34" s="5">
        <v>18</v>
      </c>
      <c r="E34" s="5">
        <v>49.99</v>
      </c>
      <c r="F34" s="4" t="s">
        <v>2453</v>
      </c>
      <c r="G34" s="2" t="s">
        <v>62</v>
      </c>
      <c r="H34" s="7" t="s">
        <v>97</v>
      </c>
      <c r="I34" s="2" t="s">
        <v>668</v>
      </c>
      <c r="J34" s="2" t="s">
        <v>1500</v>
      </c>
      <c r="K34" s="2" t="s">
        <v>304</v>
      </c>
      <c r="L34" s="2" t="s">
        <v>2454</v>
      </c>
      <c r="M34" s="8" t="str">
        <f t="shared" si="0"/>
        <v xml:space="preserve">http://slimages.macys.com/is/image/MCY/13327949 </v>
      </c>
    </row>
    <row r="35" spans="1:13" ht="60" x14ac:dyDescent="0.25">
      <c r="A35" s="7" t="s">
        <v>12347</v>
      </c>
      <c r="B35" s="2" t="s">
        <v>6698</v>
      </c>
      <c r="C35" s="4">
        <v>1</v>
      </c>
      <c r="D35" s="5">
        <v>17.8</v>
      </c>
      <c r="E35" s="5">
        <v>44.5</v>
      </c>
      <c r="F35" s="4" t="s">
        <v>6699</v>
      </c>
      <c r="G35" s="2" t="s">
        <v>79</v>
      </c>
      <c r="H35" s="7" t="s">
        <v>166</v>
      </c>
      <c r="I35" s="2" t="s">
        <v>690</v>
      </c>
      <c r="J35" s="2" t="s">
        <v>58</v>
      </c>
      <c r="K35" s="2" t="s">
        <v>304</v>
      </c>
      <c r="L35" s="2" t="s">
        <v>87</v>
      </c>
      <c r="M35" s="8" t="str">
        <f>HYPERLINK("http://slimages.macys.com/is/image/MCY/13049212 ")</f>
        <v xml:space="preserve">http://slimages.macys.com/is/image/MCY/13049212 </v>
      </c>
    </row>
    <row r="36" spans="1:13" ht="60" x14ac:dyDescent="0.25">
      <c r="A36" s="7" t="s">
        <v>2455</v>
      </c>
      <c r="B36" s="2" t="s">
        <v>2456</v>
      </c>
      <c r="C36" s="4">
        <v>1</v>
      </c>
      <c r="D36" s="5">
        <v>17.8</v>
      </c>
      <c r="E36" s="5">
        <v>38</v>
      </c>
      <c r="F36" s="4" t="s">
        <v>2457</v>
      </c>
      <c r="G36" s="2" t="s">
        <v>195</v>
      </c>
      <c r="H36" s="7" t="s">
        <v>196</v>
      </c>
      <c r="I36" s="2" t="s">
        <v>73</v>
      </c>
      <c r="J36" s="2" t="s">
        <v>160</v>
      </c>
      <c r="K36" s="2" t="s">
        <v>304</v>
      </c>
      <c r="L36" s="2" t="s">
        <v>38</v>
      </c>
      <c r="M36" s="8" t="str">
        <f>HYPERLINK("http://slimages.macys.com/is/image/MCY/13336251 ")</f>
        <v xml:space="preserve">http://slimages.macys.com/is/image/MCY/13336251 </v>
      </c>
    </row>
    <row r="37" spans="1:13" ht="60" x14ac:dyDescent="0.25">
      <c r="A37" s="7" t="s">
        <v>13195</v>
      </c>
      <c r="B37" s="2" t="s">
        <v>13196</v>
      </c>
      <c r="C37" s="4">
        <v>1</v>
      </c>
      <c r="D37" s="5">
        <v>17.78</v>
      </c>
      <c r="E37" s="5">
        <v>39.5</v>
      </c>
      <c r="F37" s="4">
        <v>321712250001</v>
      </c>
      <c r="G37" s="2" t="s">
        <v>28</v>
      </c>
      <c r="H37" s="7" t="s">
        <v>144</v>
      </c>
      <c r="I37" s="2" t="s">
        <v>204</v>
      </c>
      <c r="J37" s="2" t="s">
        <v>205</v>
      </c>
      <c r="K37" s="2" t="s">
        <v>304</v>
      </c>
      <c r="L37" s="2" t="s">
        <v>224</v>
      </c>
      <c r="M37" s="8" t="str">
        <f>HYPERLINK("http://slimages.macys.com/is/image/MCY/10944348 ")</f>
        <v xml:space="preserve">http://slimages.macys.com/is/image/MCY/10944348 </v>
      </c>
    </row>
    <row r="38" spans="1:13" ht="204" x14ac:dyDescent="0.25">
      <c r="A38" s="7" t="s">
        <v>13197</v>
      </c>
      <c r="B38" s="2" t="s">
        <v>89</v>
      </c>
      <c r="C38" s="4">
        <v>1</v>
      </c>
      <c r="D38" s="5">
        <v>17.5</v>
      </c>
      <c r="E38" s="5">
        <v>39.99</v>
      </c>
      <c r="F38" s="4" t="s">
        <v>90</v>
      </c>
      <c r="G38" s="2" t="s">
        <v>41</v>
      </c>
      <c r="H38" s="7" t="s">
        <v>442</v>
      </c>
      <c r="I38" s="2" t="s">
        <v>92</v>
      </c>
      <c r="J38" s="2" t="s">
        <v>65</v>
      </c>
      <c r="K38" s="2" t="s">
        <v>304</v>
      </c>
      <c r="L38" s="2" t="s">
        <v>93</v>
      </c>
      <c r="M38" s="8" t="str">
        <f>HYPERLINK("http://slimages.macys.com/is/image/MCY/14885680 ")</f>
        <v xml:space="preserve">http://slimages.macys.com/is/image/MCY/14885680 </v>
      </c>
    </row>
    <row r="39" spans="1:13" ht="108" x14ac:dyDescent="0.25">
      <c r="A39" s="7" t="s">
        <v>13198</v>
      </c>
      <c r="B39" s="2" t="s">
        <v>2461</v>
      </c>
      <c r="C39" s="4">
        <v>1</v>
      </c>
      <c r="D39" s="5">
        <v>17.25</v>
      </c>
      <c r="E39" s="5">
        <v>39.99</v>
      </c>
      <c r="F39" s="4" t="s">
        <v>2462</v>
      </c>
      <c r="G39" s="2" t="s">
        <v>129</v>
      </c>
      <c r="H39" s="7" t="s">
        <v>149</v>
      </c>
      <c r="I39" s="2" t="s">
        <v>92</v>
      </c>
      <c r="J39" s="2" t="s">
        <v>187</v>
      </c>
      <c r="K39" s="2" t="s">
        <v>304</v>
      </c>
      <c r="L39" s="2" t="s">
        <v>2463</v>
      </c>
      <c r="M39" s="8" t="str">
        <f>HYPERLINK("http://slimages.macys.com/is/image/MCY/14885619 ")</f>
        <v xml:space="preserve">http://slimages.macys.com/is/image/MCY/14885619 </v>
      </c>
    </row>
    <row r="40" spans="1:13" ht="108" x14ac:dyDescent="0.25">
      <c r="A40" s="7" t="s">
        <v>13199</v>
      </c>
      <c r="B40" s="2" t="s">
        <v>2461</v>
      </c>
      <c r="C40" s="4">
        <v>1</v>
      </c>
      <c r="D40" s="5">
        <v>17.25</v>
      </c>
      <c r="E40" s="5">
        <v>39.99</v>
      </c>
      <c r="F40" s="4" t="s">
        <v>2462</v>
      </c>
      <c r="G40" s="2" t="s">
        <v>129</v>
      </c>
      <c r="H40" s="7" t="s">
        <v>442</v>
      </c>
      <c r="I40" s="2" t="s">
        <v>92</v>
      </c>
      <c r="J40" s="2" t="s">
        <v>187</v>
      </c>
      <c r="K40" s="2" t="s">
        <v>304</v>
      </c>
      <c r="L40" s="2" t="s">
        <v>2463</v>
      </c>
      <c r="M40" s="8" t="str">
        <f>HYPERLINK("http://slimages.macys.com/is/image/MCY/14885619 ")</f>
        <v xml:space="preserve">http://slimages.macys.com/is/image/MCY/14885619 </v>
      </c>
    </row>
    <row r="41" spans="1:13" ht="108" x14ac:dyDescent="0.25">
      <c r="A41" s="7" t="s">
        <v>13200</v>
      </c>
      <c r="B41" s="2" t="s">
        <v>2461</v>
      </c>
      <c r="C41" s="4">
        <v>3</v>
      </c>
      <c r="D41" s="5">
        <v>17.25</v>
      </c>
      <c r="E41" s="5">
        <v>39.99</v>
      </c>
      <c r="F41" s="4" t="s">
        <v>2462</v>
      </c>
      <c r="G41" s="2" t="s">
        <v>129</v>
      </c>
      <c r="H41" s="7" t="s">
        <v>42</v>
      </c>
      <c r="I41" s="2" t="s">
        <v>92</v>
      </c>
      <c r="J41" s="2" t="s">
        <v>187</v>
      </c>
      <c r="K41" s="2" t="s">
        <v>304</v>
      </c>
      <c r="L41" s="2" t="s">
        <v>2463</v>
      </c>
      <c r="M41" s="8" t="str">
        <f>HYPERLINK("http://slimages.macys.com/is/image/MCY/14885619 ")</f>
        <v xml:space="preserve">http://slimages.macys.com/is/image/MCY/14885619 </v>
      </c>
    </row>
    <row r="42" spans="1:13" ht="108" x14ac:dyDescent="0.25">
      <c r="A42" s="7" t="s">
        <v>13201</v>
      </c>
      <c r="B42" s="2" t="s">
        <v>2461</v>
      </c>
      <c r="C42" s="4">
        <v>1</v>
      </c>
      <c r="D42" s="5">
        <v>17.25</v>
      </c>
      <c r="E42" s="5">
        <v>39.99</v>
      </c>
      <c r="F42" s="4" t="s">
        <v>2462</v>
      </c>
      <c r="G42" s="2" t="s">
        <v>129</v>
      </c>
      <c r="H42" s="7" t="s">
        <v>590</v>
      </c>
      <c r="I42" s="2" t="s">
        <v>92</v>
      </c>
      <c r="J42" s="2" t="s">
        <v>187</v>
      </c>
      <c r="K42" s="2" t="s">
        <v>304</v>
      </c>
      <c r="L42" s="2" t="s">
        <v>2463</v>
      </c>
      <c r="M42" s="8" t="str">
        <f>HYPERLINK("http://slimages.macys.com/is/image/MCY/14885619 ")</f>
        <v xml:space="preserve">http://slimages.macys.com/is/image/MCY/14885619 </v>
      </c>
    </row>
    <row r="43" spans="1:13" ht="60" x14ac:dyDescent="0.25">
      <c r="A43" s="7" t="s">
        <v>13202</v>
      </c>
      <c r="B43" s="2" t="s">
        <v>84</v>
      </c>
      <c r="C43" s="4">
        <v>1</v>
      </c>
      <c r="D43" s="5">
        <v>17</v>
      </c>
      <c r="E43" s="5">
        <v>42.5</v>
      </c>
      <c r="F43" s="4" t="s">
        <v>5168</v>
      </c>
      <c r="G43" s="2" t="s">
        <v>86</v>
      </c>
      <c r="H43" s="7" t="s">
        <v>144</v>
      </c>
      <c r="I43" s="2" t="s">
        <v>690</v>
      </c>
      <c r="J43" s="2" t="s">
        <v>58</v>
      </c>
      <c r="K43" s="2" t="s">
        <v>304</v>
      </c>
      <c r="L43" s="2" t="s">
        <v>38</v>
      </c>
      <c r="M43" s="8" t="str">
        <f>HYPERLINK("http://slimages.macys.com/is/image/MCY/13043471 ")</f>
        <v xml:space="preserve">http://slimages.macys.com/is/image/MCY/13043471 </v>
      </c>
    </row>
    <row r="44" spans="1:13" ht="60" x14ac:dyDescent="0.25">
      <c r="A44" s="7" t="s">
        <v>13203</v>
      </c>
      <c r="B44" s="2" t="s">
        <v>84</v>
      </c>
      <c r="C44" s="4">
        <v>1</v>
      </c>
      <c r="D44" s="5">
        <v>17</v>
      </c>
      <c r="E44" s="5">
        <v>42.5</v>
      </c>
      <c r="F44" s="4" t="s">
        <v>5168</v>
      </c>
      <c r="G44" s="2" t="s">
        <v>86</v>
      </c>
      <c r="H44" s="7" t="s">
        <v>68</v>
      </c>
      <c r="I44" s="2" t="s">
        <v>690</v>
      </c>
      <c r="J44" s="2" t="s">
        <v>58</v>
      </c>
      <c r="K44" s="2" t="s">
        <v>304</v>
      </c>
      <c r="L44" s="2" t="s">
        <v>38</v>
      </c>
      <c r="M44" s="8" t="str">
        <f>HYPERLINK("http://slimages.macys.com/is/image/MCY/13043471 ")</f>
        <v xml:space="preserve">http://slimages.macys.com/is/image/MCY/13043471 </v>
      </c>
    </row>
    <row r="45" spans="1:13" ht="60" x14ac:dyDescent="0.25">
      <c r="A45" s="7" t="s">
        <v>9303</v>
      </c>
      <c r="B45" s="2" t="s">
        <v>9304</v>
      </c>
      <c r="C45" s="4">
        <v>1</v>
      </c>
      <c r="D45" s="5">
        <v>16.8</v>
      </c>
      <c r="E45" s="5">
        <v>42</v>
      </c>
      <c r="F45" s="4">
        <v>329424</v>
      </c>
      <c r="G45" s="2" t="s">
        <v>41</v>
      </c>
      <c r="H45" s="7" t="s">
        <v>104</v>
      </c>
      <c r="I45" s="2" t="s">
        <v>50</v>
      </c>
      <c r="J45" s="2" t="s">
        <v>787</v>
      </c>
      <c r="K45" s="2" t="s">
        <v>304</v>
      </c>
      <c r="L45" s="2" t="s">
        <v>328</v>
      </c>
      <c r="M45" s="8" t="str">
        <f>HYPERLINK("http://slimages.macys.com/is/image/MCY/10279689 ")</f>
        <v xml:space="preserve">http://slimages.macys.com/is/image/MCY/10279689 </v>
      </c>
    </row>
    <row r="46" spans="1:13" ht="120" x14ac:dyDescent="0.25">
      <c r="A46" s="7" t="s">
        <v>13204</v>
      </c>
      <c r="B46" s="2" t="s">
        <v>13205</v>
      </c>
      <c r="C46" s="4">
        <v>1</v>
      </c>
      <c r="D46" s="5">
        <v>16.75</v>
      </c>
      <c r="E46" s="5">
        <v>48</v>
      </c>
      <c r="F46" s="4" t="s">
        <v>13205</v>
      </c>
      <c r="G46" s="2" t="s">
        <v>36</v>
      </c>
      <c r="H46" s="7" t="s">
        <v>2740</v>
      </c>
      <c r="I46" s="2" t="s">
        <v>50</v>
      </c>
      <c r="J46" s="2" t="s">
        <v>650</v>
      </c>
      <c r="K46" s="2" t="s">
        <v>304</v>
      </c>
      <c r="L46" s="2" t="s">
        <v>13206</v>
      </c>
      <c r="M46" s="8" t="str">
        <f>HYPERLINK("http://slimages.macys.com/is/image/MCY/10179847 ")</f>
        <v xml:space="preserve">http://slimages.macys.com/is/image/MCY/10179847 </v>
      </c>
    </row>
    <row r="47" spans="1:13" ht="228" x14ac:dyDescent="0.25">
      <c r="A47" s="7" t="s">
        <v>13207</v>
      </c>
      <c r="B47" s="2" t="s">
        <v>13208</v>
      </c>
      <c r="C47" s="4">
        <v>1</v>
      </c>
      <c r="D47" s="5">
        <v>16.75</v>
      </c>
      <c r="E47" s="5">
        <v>39.99</v>
      </c>
      <c r="F47" s="4" t="s">
        <v>13209</v>
      </c>
      <c r="G47" s="2" t="s">
        <v>129</v>
      </c>
      <c r="H47" s="7" t="s">
        <v>149</v>
      </c>
      <c r="I47" s="2" t="s">
        <v>92</v>
      </c>
      <c r="J47" s="2" t="s">
        <v>187</v>
      </c>
      <c r="K47" s="2" t="s">
        <v>304</v>
      </c>
      <c r="L47" s="2" t="s">
        <v>13210</v>
      </c>
      <c r="M47" s="8" t="str">
        <f>HYPERLINK("http://slimages.macys.com/is/image/MCY/14802453 ")</f>
        <v xml:space="preserve">http://slimages.macys.com/is/image/MCY/14802453 </v>
      </c>
    </row>
    <row r="48" spans="1:13" ht="60" x14ac:dyDescent="0.25">
      <c r="A48" s="7" t="s">
        <v>13211</v>
      </c>
      <c r="B48" s="2" t="s">
        <v>13212</v>
      </c>
      <c r="C48" s="4">
        <v>1</v>
      </c>
      <c r="D48" s="5">
        <v>16.5</v>
      </c>
      <c r="E48" s="5">
        <v>26.99</v>
      </c>
      <c r="F48" s="4" t="s">
        <v>2954</v>
      </c>
      <c r="G48" s="2" t="s">
        <v>262</v>
      </c>
      <c r="H48" s="7" t="s">
        <v>179</v>
      </c>
      <c r="I48" s="2" t="s">
        <v>173</v>
      </c>
      <c r="J48" s="2" t="s">
        <v>174</v>
      </c>
      <c r="K48" s="2" t="s">
        <v>304</v>
      </c>
      <c r="L48" s="2" t="s">
        <v>263</v>
      </c>
      <c r="M48" s="8" t="str">
        <f>HYPERLINK("http://slimages.macys.com/is/image/MCY/11033331 ")</f>
        <v xml:space="preserve">http://slimages.macys.com/is/image/MCY/11033331 </v>
      </c>
    </row>
    <row r="49" spans="1:13" ht="108" x14ac:dyDescent="0.25">
      <c r="A49" s="7" t="s">
        <v>3660</v>
      </c>
      <c r="B49" s="2" t="s">
        <v>1454</v>
      </c>
      <c r="C49" s="4">
        <v>1</v>
      </c>
      <c r="D49" s="5">
        <v>16.5</v>
      </c>
      <c r="E49" s="5">
        <v>39.99</v>
      </c>
      <c r="F49" s="4" t="s">
        <v>1455</v>
      </c>
      <c r="G49" s="2" t="s">
        <v>103</v>
      </c>
      <c r="H49" s="7" t="s">
        <v>590</v>
      </c>
      <c r="I49" s="2" t="s">
        <v>92</v>
      </c>
      <c r="J49" s="2" t="s">
        <v>65</v>
      </c>
      <c r="K49" s="2" t="s">
        <v>304</v>
      </c>
      <c r="L49" s="2" t="s">
        <v>1456</v>
      </c>
      <c r="M49" s="8" t="str">
        <f>HYPERLINK("http://slimages.macys.com/is/image/MCY/13965178 ")</f>
        <v xml:space="preserve">http://slimages.macys.com/is/image/MCY/13965178 </v>
      </c>
    </row>
    <row r="50" spans="1:13" ht="168" x14ac:dyDescent="0.25">
      <c r="A50" s="7" t="s">
        <v>3662</v>
      </c>
      <c r="B50" s="2" t="s">
        <v>3655</v>
      </c>
      <c r="C50" s="4">
        <v>1</v>
      </c>
      <c r="D50" s="5">
        <v>16.5</v>
      </c>
      <c r="E50" s="5">
        <v>39.99</v>
      </c>
      <c r="F50" s="4" t="s">
        <v>3656</v>
      </c>
      <c r="G50" s="2" t="s">
        <v>129</v>
      </c>
      <c r="H50" s="7" t="s">
        <v>91</v>
      </c>
      <c r="I50" s="2" t="s">
        <v>92</v>
      </c>
      <c r="J50" s="2" t="s">
        <v>239</v>
      </c>
      <c r="K50" s="2" t="s">
        <v>304</v>
      </c>
      <c r="L50" s="2" t="s">
        <v>3657</v>
      </c>
      <c r="M50" s="8" t="str">
        <f>HYPERLINK("http://slimages.macys.com/is/image/MCY/14990170 ")</f>
        <v xml:space="preserve">http://slimages.macys.com/is/image/MCY/14990170 </v>
      </c>
    </row>
    <row r="51" spans="1:13" ht="168" x14ac:dyDescent="0.25">
      <c r="A51" s="7" t="s">
        <v>13213</v>
      </c>
      <c r="B51" s="2" t="s">
        <v>3655</v>
      </c>
      <c r="C51" s="4">
        <v>2</v>
      </c>
      <c r="D51" s="5">
        <v>16.5</v>
      </c>
      <c r="E51" s="5">
        <v>39.99</v>
      </c>
      <c r="F51" s="4" t="s">
        <v>3656</v>
      </c>
      <c r="G51" s="2" t="s">
        <v>129</v>
      </c>
      <c r="H51" s="7" t="s">
        <v>149</v>
      </c>
      <c r="I51" s="2" t="s">
        <v>92</v>
      </c>
      <c r="J51" s="2" t="s">
        <v>239</v>
      </c>
      <c r="K51" s="2" t="s">
        <v>304</v>
      </c>
      <c r="L51" s="2" t="s">
        <v>3657</v>
      </c>
      <c r="M51" s="8" t="str">
        <f>HYPERLINK("http://slimages.macys.com/is/image/MCY/14990170 ")</f>
        <v xml:space="preserve">http://slimages.macys.com/is/image/MCY/14990170 </v>
      </c>
    </row>
    <row r="52" spans="1:13" ht="168" x14ac:dyDescent="0.25">
      <c r="A52" s="7" t="s">
        <v>3654</v>
      </c>
      <c r="B52" s="2" t="s">
        <v>3655</v>
      </c>
      <c r="C52" s="4">
        <v>1</v>
      </c>
      <c r="D52" s="5">
        <v>16.5</v>
      </c>
      <c r="E52" s="5">
        <v>39.99</v>
      </c>
      <c r="F52" s="4" t="s">
        <v>3656</v>
      </c>
      <c r="G52" s="2" t="s">
        <v>129</v>
      </c>
      <c r="H52" s="7" t="s">
        <v>42</v>
      </c>
      <c r="I52" s="2" t="s">
        <v>92</v>
      </c>
      <c r="J52" s="2" t="s">
        <v>239</v>
      </c>
      <c r="K52" s="2" t="s">
        <v>304</v>
      </c>
      <c r="L52" s="2" t="s">
        <v>3657</v>
      </c>
      <c r="M52" s="8" t="str">
        <f>HYPERLINK("http://slimages.macys.com/is/image/MCY/14990170 ")</f>
        <v xml:space="preserve">http://slimages.macys.com/is/image/MCY/14990170 </v>
      </c>
    </row>
    <row r="53" spans="1:13" ht="156" x14ac:dyDescent="0.25">
      <c r="A53" s="7" t="s">
        <v>3652</v>
      </c>
      <c r="B53" s="2" t="s">
        <v>1450</v>
      </c>
      <c r="C53" s="4">
        <v>1</v>
      </c>
      <c r="D53" s="5">
        <v>16.5</v>
      </c>
      <c r="E53" s="5">
        <v>39.99</v>
      </c>
      <c r="F53" s="4" t="s">
        <v>1451</v>
      </c>
      <c r="G53" s="2" t="s">
        <v>103</v>
      </c>
      <c r="H53" s="7" t="s">
        <v>590</v>
      </c>
      <c r="I53" s="2" t="s">
        <v>92</v>
      </c>
      <c r="J53" s="2" t="s">
        <v>239</v>
      </c>
      <c r="K53" s="2" t="s">
        <v>304</v>
      </c>
      <c r="L53" s="2" t="s">
        <v>1452</v>
      </c>
      <c r="M53" s="8" t="str">
        <f>HYPERLINK("http://slimages.macys.com/is/image/MCY/14989365 ")</f>
        <v xml:space="preserve">http://slimages.macys.com/is/image/MCY/14989365 </v>
      </c>
    </row>
    <row r="54" spans="1:13" ht="156" x14ac:dyDescent="0.25">
      <c r="A54" s="7" t="s">
        <v>1449</v>
      </c>
      <c r="B54" s="2" t="s">
        <v>1450</v>
      </c>
      <c r="C54" s="4">
        <v>1</v>
      </c>
      <c r="D54" s="5">
        <v>16.5</v>
      </c>
      <c r="E54" s="5">
        <v>39.99</v>
      </c>
      <c r="F54" s="4" t="s">
        <v>1451</v>
      </c>
      <c r="G54" s="2" t="s">
        <v>103</v>
      </c>
      <c r="H54" s="7" t="s">
        <v>91</v>
      </c>
      <c r="I54" s="2" t="s">
        <v>92</v>
      </c>
      <c r="J54" s="2" t="s">
        <v>239</v>
      </c>
      <c r="K54" s="2" t="s">
        <v>304</v>
      </c>
      <c r="L54" s="2" t="s">
        <v>1452</v>
      </c>
      <c r="M54" s="8" t="str">
        <f>HYPERLINK("http://slimages.macys.com/is/image/MCY/14989365 ")</f>
        <v xml:space="preserve">http://slimages.macys.com/is/image/MCY/14989365 </v>
      </c>
    </row>
    <row r="55" spans="1:13" ht="60" x14ac:dyDescent="0.25">
      <c r="A55" s="7" t="s">
        <v>13214</v>
      </c>
      <c r="B55" s="2" t="s">
        <v>13215</v>
      </c>
      <c r="C55" s="4">
        <v>1</v>
      </c>
      <c r="D55" s="5">
        <v>16.47</v>
      </c>
      <c r="E55" s="5">
        <v>44.5</v>
      </c>
      <c r="F55" s="4" t="s">
        <v>13216</v>
      </c>
      <c r="G55" s="2" t="s">
        <v>79</v>
      </c>
      <c r="H55" s="7" t="s">
        <v>172</v>
      </c>
      <c r="I55" s="2" t="s">
        <v>880</v>
      </c>
      <c r="J55" s="2" t="s">
        <v>881</v>
      </c>
      <c r="K55" s="2" t="s">
        <v>304</v>
      </c>
      <c r="L55" s="2" t="s">
        <v>1748</v>
      </c>
      <c r="M55" s="8" t="str">
        <f>HYPERLINK("http://slimages.macys.com/is/image/MCY/14356720 ")</f>
        <v xml:space="preserve">http://slimages.macys.com/is/image/MCY/14356720 </v>
      </c>
    </row>
    <row r="56" spans="1:13" ht="84" x14ac:dyDescent="0.25">
      <c r="A56" s="7" t="s">
        <v>1457</v>
      </c>
      <c r="B56" s="2" t="s">
        <v>1458</v>
      </c>
      <c r="C56" s="4">
        <v>1</v>
      </c>
      <c r="D56" s="5">
        <v>16</v>
      </c>
      <c r="E56" s="5">
        <v>39.99</v>
      </c>
      <c r="F56" s="4" t="s">
        <v>1459</v>
      </c>
      <c r="G56" s="2" t="s">
        <v>129</v>
      </c>
      <c r="H56" s="7" t="s">
        <v>91</v>
      </c>
      <c r="I56" s="2" t="s">
        <v>92</v>
      </c>
      <c r="J56" s="2" t="s">
        <v>239</v>
      </c>
      <c r="K56" s="2" t="s">
        <v>304</v>
      </c>
      <c r="L56" s="2" t="s">
        <v>1460</v>
      </c>
      <c r="M56" s="8" t="str">
        <f>HYPERLINK("http://slimages.macys.com/is/image/MCY/14989246 ")</f>
        <v xml:space="preserve">http://slimages.macys.com/is/image/MCY/14989246 </v>
      </c>
    </row>
    <row r="57" spans="1:13" ht="84" x14ac:dyDescent="0.25">
      <c r="A57" s="7" t="s">
        <v>2473</v>
      </c>
      <c r="B57" s="2" t="s">
        <v>1458</v>
      </c>
      <c r="C57" s="4">
        <v>1</v>
      </c>
      <c r="D57" s="5">
        <v>16</v>
      </c>
      <c r="E57" s="5">
        <v>39.99</v>
      </c>
      <c r="F57" s="4" t="s">
        <v>1459</v>
      </c>
      <c r="G57" s="2" t="s">
        <v>129</v>
      </c>
      <c r="H57" s="7" t="s">
        <v>442</v>
      </c>
      <c r="I57" s="2" t="s">
        <v>92</v>
      </c>
      <c r="J57" s="2" t="s">
        <v>239</v>
      </c>
      <c r="K57" s="2" t="s">
        <v>304</v>
      </c>
      <c r="L57" s="2" t="s">
        <v>1460</v>
      </c>
      <c r="M57" s="8" t="str">
        <f>HYPERLINK("http://slimages.macys.com/is/image/MCY/14989246 ")</f>
        <v xml:space="preserve">http://slimages.macys.com/is/image/MCY/14989246 </v>
      </c>
    </row>
    <row r="58" spans="1:13" ht="60" x14ac:dyDescent="0.25">
      <c r="A58" s="7" t="s">
        <v>13217</v>
      </c>
      <c r="B58" s="2" t="s">
        <v>5176</v>
      </c>
      <c r="C58" s="4">
        <v>1</v>
      </c>
      <c r="D58" s="5">
        <v>15.8</v>
      </c>
      <c r="E58" s="5">
        <v>39.5</v>
      </c>
      <c r="F58" s="4" t="s">
        <v>10363</v>
      </c>
      <c r="G58" s="2" t="s">
        <v>41</v>
      </c>
      <c r="H58" s="7"/>
      <c r="I58" s="2" t="s">
        <v>57</v>
      </c>
      <c r="J58" s="2" t="s">
        <v>58</v>
      </c>
      <c r="K58" s="2" t="s">
        <v>304</v>
      </c>
      <c r="L58" s="2" t="s">
        <v>100</v>
      </c>
      <c r="M58" s="8" t="str">
        <f>HYPERLINK("http://slimages.macys.com/is/image/MCY/13049148 ")</f>
        <v xml:space="preserve">http://slimages.macys.com/is/image/MCY/13049148 </v>
      </c>
    </row>
    <row r="59" spans="1:13" ht="60" x14ac:dyDescent="0.25">
      <c r="A59" s="7" t="s">
        <v>109</v>
      </c>
      <c r="B59" s="2" t="s">
        <v>110</v>
      </c>
      <c r="C59" s="4">
        <v>1</v>
      </c>
      <c r="D59" s="5">
        <v>15.8</v>
      </c>
      <c r="E59" s="5">
        <v>39.5</v>
      </c>
      <c r="F59" s="4" t="s">
        <v>111</v>
      </c>
      <c r="G59" s="2" t="s">
        <v>41</v>
      </c>
      <c r="H59" s="7"/>
      <c r="I59" s="2" t="s">
        <v>57</v>
      </c>
      <c r="J59" s="2" t="s">
        <v>58</v>
      </c>
      <c r="K59" s="2" t="s">
        <v>304</v>
      </c>
      <c r="L59" s="2" t="s">
        <v>100</v>
      </c>
      <c r="M59" s="8" t="str">
        <f>HYPERLINK("http://slimages.macys.com/is/image/MCY/13049173 ")</f>
        <v xml:space="preserve">http://slimages.macys.com/is/image/MCY/13049173 </v>
      </c>
    </row>
    <row r="60" spans="1:13" ht="60" x14ac:dyDescent="0.25">
      <c r="A60" s="7" t="s">
        <v>1483</v>
      </c>
      <c r="B60" s="2" t="s">
        <v>1484</v>
      </c>
      <c r="C60" s="4">
        <v>1</v>
      </c>
      <c r="D60" s="5">
        <v>15</v>
      </c>
      <c r="E60" s="5">
        <v>39.99</v>
      </c>
      <c r="F60" s="4" t="s">
        <v>1485</v>
      </c>
      <c r="G60" s="2" t="s">
        <v>752</v>
      </c>
      <c r="H60" s="7" t="s">
        <v>590</v>
      </c>
      <c r="I60" s="2" t="s">
        <v>92</v>
      </c>
      <c r="J60" s="2" t="s">
        <v>239</v>
      </c>
      <c r="K60" s="2" t="s">
        <v>304</v>
      </c>
      <c r="L60" s="2" t="s">
        <v>125</v>
      </c>
      <c r="M60" s="8" t="str">
        <f>HYPERLINK("http://slimages.macys.com/is/image/MCY/14886756 ")</f>
        <v xml:space="preserve">http://slimages.macys.com/is/image/MCY/14886756 </v>
      </c>
    </row>
    <row r="61" spans="1:13" ht="156" x14ac:dyDescent="0.25">
      <c r="A61" s="7" t="s">
        <v>13218</v>
      </c>
      <c r="B61" s="2" t="s">
        <v>13219</v>
      </c>
      <c r="C61" s="4">
        <v>1</v>
      </c>
      <c r="D61" s="5">
        <v>15</v>
      </c>
      <c r="E61" s="5">
        <v>39.99</v>
      </c>
      <c r="F61" s="4" t="s">
        <v>13220</v>
      </c>
      <c r="G61" s="2" t="s">
        <v>595</v>
      </c>
      <c r="H61" s="7" t="s">
        <v>42</v>
      </c>
      <c r="I61" s="2" t="s">
        <v>92</v>
      </c>
      <c r="J61" s="2" t="s">
        <v>239</v>
      </c>
      <c r="K61" s="2" t="s">
        <v>304</v>
      </c>
      <c r="L61" s="2" t="s">
        <v>1452</v>
      </c>
      <c r="M61" s="8" t="str">
        <f>HYPERLINK("http://slimages.macys.com/is/image/MCY/14988479 ")</f>
        <v xml:space="preserve">http://slimages.macys.com/is/image/MCY/14988479 </v>
      </c>
    </row>
    <row r="62" spans="1:13" ht="60" x14ac:dyDescent="0.25">
      <c r="A62" s="7" t="s">
        <v>13221</v>
      </c>
      <c r="B62" s="2" t="s">
        <v>1481</v>
      </c>
      <c r="C62" s="4">
        <v>1</v>
      </c>
      <c r="D62" s="5">
        <v>15</v>
      </c>
      <c r="E62" s="5">
        <v>39.99</v>
      </c>
      <c r="F62" s="4" t="s">
        <v>1482</v>
      </c>
      <c r="G62" s="2" t="s">
        <v>103</v>
      </c>
      <c r="H62" s="7" t="s">
        <v>590</v>
      </c>
      <c r="I62" s="2" t="s">
        <v>92</v>
      </c>
      <c r="J62" s="2" t="s">
        <v>239</v>
      </c>
      <c r="K62" s="2" t="s">
        <v>304</v>
      </c>
      <c r="L62" s="2" t="s">
        <v>125</v>
      </c>
      <c r="M62" s="8" t="str">
        <f>HYPERLINK("http://slimages.macys.com/is/image/MCY/15071393 ")</f>
        <v xml:space="preserve">http://slimages.macys.com/is/image/MCY/15071393 </v>
      </c>
    </row>
    <row r="63" spans="1:13" ht="60" x14ac:dyDescent="0.25">
      <c r="A63" s="7" t="s">
        <v>13222</v>
      </c>
      <c r="B63" s="2" t="s">
        <v>13223</v>
      </c>
      <c r="C63" s="4">
        <v>1</v>
      </c>
      <c r="D63" s="5">
        <v>15</v>
      </c>
      <c r="E63" s="5">
        <v>34.99</v>
      </c>
      <c r="F63" s="4" t="s">
        <v>13224</v>
      </c>
      <c r="G63" s="2" t="s">
        <v>262</v>
      </c>
      <c r="H63" s="7" t="s">
        <v>63</v>
      </c>
      <c r="I63" s="2" t="s">
        <v>173</v>
      </c>
      <c r="J63" s="2" t="s">
        <v>1967</v>
      </c>
      <c r="K63" s="2" t="s">
        <v>304</v>
      </c>
      <c r="L63" s="2" t="s">
        <v>206</v>
      </c>
      <c r="M63" s="8" t="str">
        <f>HYPERLINK("http://slimages.macys.com/is/image/MCY/13313952 ")</f>
        <v xml:space="preserve">http://slimages.macys.com/is/image/MCY/13313952 </v>
      </c>
    </row>
    <row r="64" spans="1:13" ht="60" x14ac:dyDescent="0.25">
      <c r="A64" s="7" t="s">
        <v>3678</v>
      </c>
      <c r="B64" s="2" t="s">
        <v>3679</v>
      </c>
      <c r="C64" s="4">
        <v>1</v>
      </c>
      <c r="D64" s="5">
        <v>15</v>
      </c>
      <c r="E64" s="5">
        <v>34.99</v>
      </c>
      <c r="F64" s="4" t="s">
        <v>3680</v>
      </c>
      <c r="G64" s="2" t="s">
        <v>262</v>
      </c>
      <c r="H64" s="7" t="s">
        <v>144</v>
      </c>
      <c r="I64" s="2" t="s">
        <v>173</v>
      </c>
      <c r="J64" s="2" t="s">
        <v>1967</v>
      </c>
      <c r="K64" s="2" t="s">
        <v>304</v>
      </c>
      <c r="L64" s="2" t="s">
        <v>75</v>
      </c>
      <c r="M64" s="8" t="str">
        <f>HYPERLINK("http://slimages.macys.com/is/image/MCY/8706842 ")</f>
        <v xml:space="preserve">http://slimages.macys.com/is/image/MCY/8706842 </v>
      </c>
    </row>
    <row r="65" spans="1:13" ht="60" x14ac:dyDescent="0.25">
      <c r="A65" s="7" t="s">
        <v>3676</v>
      </c>
      <c r="B65" s="2" t="s">
        <v>1484</v>
      </c>
      <c r="C65" s="4">
        <v>1</v>
      </c>
      <c r="D65" s="5">
        <v>15</v>
      </c>
      <c r="E65" s="5">
        <v>39.99</v>
      </c>
      <c r="F65" s="4" t="s">
        <v>1485</v>
      </c>
      <c r="G65" s="2" t="s">
        <v>752</v>
      </c>
      <c r="H65" s="7" t="s">
        <v>42</v>
      </c>
      <c r="I65" s="2" t="s">
        <v>92</v>
      </c>
      <c r="J65" s="2" t="s">
        <v>239</v>
      </c>
      <c r="K65" s="2" t="s">
        <v>304</v>
      </c>
      <c r="L65" s="2" t="s">
        <v>125</v>
      </c>
      <c r="M65" s="8" t="str">
        <f>HYPERLINK("http://slimages.macys.com/is/image/MCY/14886756 ")</f>
        <v xml:space="preserve">http://slimages.macys.com/is/image/MCY/14886756 </v>
      </c>
    </row>
    <row r="66" spans="1:13" ht="60" x14ac:dyDescent="0.25">
      <c r="A66" s="7" t="s">
        <v>13225</v>
      </c>
      <c r="B66" s="2" t="s">
        <v>739</v>
      </c>
      <c r="C66" s="4">
        <v>1</v>
      </c>
      <c r="D66" s="5">
        <v>14.75</v>
      </c>
      <c r="E66" s="5">
        <v>39.99</v>
      </c>
      <c r="F66" s="4" t="s">
        <v>740</v>
      </c>
      <c r="G66" s="2" t="s">
        <v>195</v>
      </c>
      <c r="H66" s="7" t="s">
        <v>590</v>
      </c>
      <c r="I66" s="2" t="s">
        <v>92</v>
      </c>
      <c r="J66" s="2" t="s">
        <v>239</v>
      </c>
      <c r="K66" s="2" t="s">
        <v>304</v>
      </c>
      <c r="L66" s="2" t="s">
        <v>741</v>
      </c>
      <c r="M66" s="8" t="str">
        <f>HYPERLINK("http://slimages.macys.com/is/image/MCY/13894058 ")</f>
        <v xml:space="preserve">http://slimages.macys.com/is/image/MCY/13894058 </v>
      </c>
    </row>
    <row r="67" spans="1:13" ht="192" x14ac:dyDescent="0.25">
      <c r="A67" s="7" t="s">
        <v>13226</v>
      </c>
      <c r="B67" s="2" t="s">
        <v>3701</v>
      </c>
      <c r="C67" s="4">
        <v>1</v>
      </c>
      <c r="D67" s="5">
        <v>14.5</v>
      </c>
      <c r="E67" s="5">
        <v>34.99</v>
      </c>
      <c r="F67" s="4" t="s">
        <v>3702</v>
      </c>
      <c r="G67" s="2" t="s">
        <v>752</v>
      </c>
      <c r="H67" s="7" t="s">
        <v>42</v>
      </c>
      <c r="I67" s="2" t="s">
        <v>92</v>
      </c>
      <c r="J67" s="2" t="s">
        <v>65</v>
      </c>
      <c r="K67" s="2" t="s">
        <v>304</v>
      </c>
      <c r="L67" s="2" t="s">
        <v>3703</v>
      </c>
      <c r="M67" s="8" t="str">
        <f>HYPERLINK("http://slimages.macys.com/is/image/MCY/16148944 ")</f>
        <v xml:space="preserve">http://slimages.macys.com/is/image/MCY/16148944 </v>
      </c>
    </row>
    <row r="68" spans="1:13" ht="192" x14ac:dyDescent="0.25">
      <c r="A68" s="7" t="s">
        <v>3700</v>
      </c>
      <c r="B68" s="2" t="s">
        <v>3701</v>
      </c>
      <c r="C68" s="4">
        <v>1</v>
      </c>
      <c r="D68" s="5">
        <v>14.5</v>
      </c>
      <c r="E68" s="5">
        <v>34.99</v>
      </c>
      <c r="F68" s="4" t="s">
        <v>3702</v>
      </c>
      <c r="G68" s="2" t="s">
        <v>752</v>
      </c>
      <c r="H68" s="7" t="s">
        <v>91</v>
      </c>
      <c r="I68" s="2" t="s">
        <v>92</v>
      </c>
      <c r="J68" s="2" t="s">
        <v>65</v>
      </c>
      <c r="K68" s="2" t="s">
        <v>304</v>
      </c>
      <c r="L68" s="2" t="s">
        <v>3703</v>
      </c>
      <c r="M68" s="8" t="str">
        <f>HYPERLINK("http://slimages.macys.com/is/image/MCY/16148944 ")</f>
        <v xml:space="preserve">http://slimages.macys.com/is/image/MCY/16148944 </v>
      </c>
    </row>
    <row r="69" spans="1:13" ht="192" x14ac:dyDescent="0.25">
      <c r="A69" s="7" t="s">
        <v>13227</v>
      </c>
      <c r="B69" s="2" t="s">
        <v>3701</v>
      </c>
      <c r="C69" s="4">
        <v>1</v>
      </c>
      <c r="D69" s="5">
        <v>14.5</v>
      </c>
      <c r="E69" s="5">
        <v>34.99</v>
      </c>
      <c r="F69" s="4" t="s">
        <v>3702</v>
      </c>
      <c r="G69" s="2" t="s">
        <v>752</v>
      </c>
      <c r="H69" s="7" t="s">
        <v>590</v>
      </c>
      <c r="I69" s="2" t="s">
        <v>92</v>
      </c>
      <c r="J69" s="2" t="s">
        <v>65</v>
      </c>
      <c r="K69" s="2" t="s">
        <v>304</v>
      </c>
      <c r="L69" s="2" t="s">
        <v>3703</v>
      </c>
      <c r="M69" s="8" t="str">
        <f>HYPERLINK("http://slimages.macys.com/is/image/MCY/16148944 ")</f>
        <v xml:space="preserve">http://slimages.macys.com/is/image/MCY/16148944 </v>
      </c>
    </row>
    <row r="70" spans="1:13" ht="192" x14ac:dyDescent="0.25">
      <c r="A70" s="7" t="s">
        <v>13228</v>
      </c>
      <c r="B70" s="2" t="s">
        <v>3701</v>
      </c>
      <c r="C70" s="4">
        <v>3</v>
      </c>
      <c r="D70" s="5">
        <v>14.5</v>
      </c>
      <c r="E70" s="5">
        <v>34.99</v>
      </c>
      <c r="F70" s="4" t="s">
        <v>3702</v>
      </c>
      <c r="G70" s="2" t="s">
        <v>752</v>
      </c>
      <c r="H70" s="7" t="s">
        <v>149</v>
      </c>
      <c r="I70" s="2" t="s">
        <v>92</v>
      </c>
      <c r="J70" s="2" t="s">
        <v>65</v>
      </c>
      <c r="K70" s="2" t="s">
        <v>304</v>
      </c>
      <c r="L70" s="2" t="s">
        <v>3703</v>
      </c>
      <c r="M70" s="8" t="str">
        <f>HYPERLINK("http://slimages.macys.com/is/image/MCY/16148944 ")</f>
        <v xml:space="preserve">http://slimages.macys.com/is/image/MCY/16148944 </v>
      </c>
    </row>
    <row r="71" spans="1:13" ht="156" x14ac:dyDescent="0.25">
      <c r="A71" s="7" t="s">
        <v>5197</v>
      </c>
      <c r="B71" s="2" t="s">
        <v>3698</v>
      </c>
      <c r="C71" s="4">
        <v>1</v>
      </c>
      <c r="D71" s="5">
        <v>14.5</v>
      </c>
      <c r="E71" s="5">
        <v>39.99</v>
      </c>
      <c r="F71" s="4" t="s">
        <v>3699</v>
      </c>
      <c r="G71" s="2" t="s">
        <v>62</v>
      </c>
      <c r="H71" s="7" t="s">
        <v>91</v>
      </c>
      <c r="I71" s="2" t="s">
        <v>92</v>
      </c>
      <c r="J71" s="2" t="s">
        <v>239</v>
      </c>
      <c r="K71" s="2" t="s">
        <v>304</v>
      </c>
      <c r="L71" s="2" t="s">
        <v>1452</v>
      </c>
      <c r="M71" s="8" t="str">
        <f>HYPERLINK("http://slimages.macys.com/is/image/MCY/14989303 ")</f>
        <v xml:space="preserve">http://slimages.macys.com/is/image/MCY/14989303 </v>
      </c>
    </row>
    <row r="72" spans="1:13" ht="96" x14ac:dyDescent="0.25">
      <c r="A72" s="7" t="s">
        <v>2995</v>
      </c>
      <c r="B72" s="2" t="s">
        <v>2996</v>
      </c>
      <c r="C72" s="4">
        <v>3</v>
      </c>
      <c r="D72" s="5">
        <v>14</v>
      </c>
      <c r="E72" s="5">
        <v>34.99</v>
      </c>
      <c r="F72" s="4" t="s">
        <v>2997</v>
      </c>
      <c r="G72" s="2" t="s">
        <v>752</v>
      </c>
      <c r="H72" s="7" t="s">
        <v>42</v>
      </c>
      <c r="I72" s="2" t="s">
        <v>135</v>
      </c>
      <c r="J72" s="2" t="s">
        <v>136</v>
      </c>
      <c r="K72" s="2" t="s">
        <v>304</v>
      </c>
      <c r="L72" s="2" t="s">
        <v>137</v>
      </c>
      <c r="M72" s="8" t="str">
        <f>HYPERLINK("http://slimages.macys.com/is/image/MCY/15364745 ")</f>
        <v xml:space="preserve">http://slimages.macys.com/is/image/MCY/15364745 </v>
      </c>
    </row>
    <row r="73" spans="1:13" ht="96" x14ac:dyDescent="0.25">
      <c r="A73" s="7" t="s">
        <v>2491</v>
      </c>
      <c r="B73" s="2" t="s">
        <v>2488</v>
      </c>
      <c r="C73" s="4">
        <v>2</v>
      </c>
      <c r="D73" s="5">
        <v>14</v>
      </c>
      <c r="E73" s="5">
        <v>34.99</v>
      </c>
      <c r="F73" s="4" t="s">
        <v>2489</v>
      </c>
      <c r="G73" s="2" t="s">
        <v>388</v>
      </c>
      <c r="H73" s="7" t="s">
        <v>91</v>
      </c>
      <c r="I73" s="2" t="s">
        <v>135</v>
      </c>
      <c r="J73" s="2" t="s">
        <v>136</v>
      </c>
      <c r="K73" s="2" t="s">
        <v>304</v>
      </c>
      <c r="L73" s="2" t="s">
        <v>137</v>
      </c>
      <c r="M73" s="8" t="str">
        <f>HYPERLINK("http://slimages.macys.com/is/image/MCY/15363783 ")</f>
        <v xml:space="preserve">http://slimages.macys.com/is/image/MCY/15363783 </v>
      </c>
    </row>
    <row r="74" spans="1:13" ht="96" x14ac:dyDescent="0.25">
      <c r="A74" s="7" t="s">
        <v>13229</v>
      </c>
      <c r="B74" s="2" t="s">
        <v>2996</v>
      </c>
      <c r="C74" s="4">
        <v>2</v>
      </c>
      <c r="D74" s="5">
        <v>14</v>
      </c>
      <c r="E74" s="5">
        <v>34.99</v>
      </c>
      <c r="F74" s="4" t="s">
        <v>2997</v>
      </c>
      <c r="G74" s="2" t="s">
        <v>752</v>
      </c>
      <c r="H74" s="7" t="s">
        <v>442</v>
      </c>
      <c r="I74" s="2" t="s">
        <v>135</v>
      </c>
      <c r="J74" s="2" t="s">
        <v>136</v>
      </c>
      <c r="K74" s="2" t="s">
        <v>304</v>
      </c>
      <c r="L74" s="2" t="s">
        <v>137</v>
      </c>
      <c r="M74" s="8" t="str">
        <f>HYPERLINK("http://slimages.macys.com/is/image/MCY/15364745 ")</f>
        <v xml:space="preserve">http://slimages.macys.com/is/image/MCY/15364745 </v>
      </c>
    </row>
    <row r="75" spans="1:13" ht="96" x14ac:dyDescent="0.25">
      <c r="A75" s="7" t="s">
        <v>13230</v>
      </c>
      <c r="B75" s="2" t="s">
        <v>13231</v>
      </c>
      <c r="C75" s="4">
        <v>3</v>
      </c>
      <c r="D75" s="5">
        <v>14</v>
      </c>
      <c r="E75" s="5">
        <v>34.99</v>
      </c>
      <c r="F75" s="4" t="s">
        <v>13232</v>
      </c>
      <c r="G75" s="2" t="s">
        <v>582</v>
      </c>
      <c r="H75" s="7" t="s">
        <v>442</v>
      </c>
      <c r="I75" s="2" t="s">
        <v>135</v>
      </c>
      <c r="J75" s="2" t="s">
        <v>136</v>
      </c>
      <c r="K75" s="2" t="s">
        <v>304</v>
      </c>
      <c r="L75" s="2" t="s">
        <v>137</v>
      </c>
      <c r="M75" s="8" t="str">
        <f>HYPERLINK("http://slimages.macys.com/is/image/MCY/15364743 ")</f>
        <v xml:space="preserve">http://slimages.macys.com/is/image/MCY/15364743 </v>
      </c>
    </row>
    <row r="76" spans="1:13" ht="96" x14ac:dyDescent="0.25">
      <c r="A76" s="7" t="s">
        <v>13233</v>
      </c>
      <c r="B76" s="2" t="s">
        <v>3707</v>
      </c>
      <c r="C76" s="4">
        <v>2</v>
      </c>
      <c r="D76" s="5">
        <v>14</v>
      </c>
      <c r="E76" s="5">
        <v>34.99</v>
      </c>
      <c r="F76" s="4" t="s">
        <v>3708</v>
      </c>
      <c r="G76" s="2" t="s">
        <v>62</v>
      </c>
      <c r="H76" s="7" t="s">
        <v>91</v>
      </c>
      <c r="I76" s="2" t="s">
        <v>135</v>
      </c>
      <c r="J76" s="2" t="s">
        <v>136</v>
      </c>
      <c r="K76" s="2" t="s">
        <v>304</v>
      </c>
      <c r="L76" s="2" t="s">
        <v>3709</v>
      </c>
      <c r="M76" s="8" t="str">
        <f>HYPERLINK("http://slimages.macys.com/is/image/MCY/15363769 ")</f>
        <v xml:space="preserve">http://slimages.macys.com/is/image/MCY/15363769 </v>
      </c>
    </row>
    <row r="77" spans="1:13" ht="96" x14ac:dyDescent="0.25">
      <c r="A77" s="7" t="s">
        <v>13234</v>
      </c>
      <c r="B77" s="2" t="s">
        <v>13235</v>
      </c>
      <c r="C77" s="4">
        <v>1</v>
      </c>
      <c r="D77" s="5">
        <v>14</v>
      </c>
      <c r="E77" s="5">
        <v>34.99</v>
      </c>
      <c r="F77" s="4" t="s">
        <v>13236</v>
      </c>
      <c r="G77" s="2" t="s">
        <v>752</v>
      </c>
      <c r="H77" s="7" t="s">
        <v>442</v>
      </c>
      <c r="I77" s="2" t="s">
        <v>135</v>
      </c>
      <c r="J77" s="2" t="s">
        <v>136</v>
      </c>
      <c r="K77" s="2" t="s">
        <v>304</v>
      </c>
      <c r="L77" s="2" t="s">
        <v>137</v>
      </c>
      <c r="M77" s="8" t="str">
        <f>HYPERLINK("http://slimages.macys.com/is/image/MCY/15364739 ")</f>
        <v xml:space="preserve">http://slimages.macys.com/is/image/MCY/15364739 </v>
      </c>
    </row>
    <row r="78" spans="1:13" ht="96" x14ac:dyDescent="0.25">
      <c r="A78" s="7" t="s">
        <v>2487</v>
      </c>
      <c r="B78" s="2" t="s">
        <v>2488</v>
      </c>
      <c r="C78" s="4">
        <v>2</v>
      </c>
      <c r="D78" s="5">
        <v>14</v>
      </c>
      <c r="E78" s="5">
        <v>34.99</v>
      </c>
      <c r="F78" s="4" t="s">
        <v>2489</v>
      </c>
      <c r="G78" s="2" t="s">
        <v>388</v>
      </c>
      <c r="H78" s="7" t="s">
        <v>442</v>
      </c>
      <c r="I78" s="2" t="s">
        <v>135</v>
      </c>
      <c r="J78" s="2" t="s">
        <v>136</v>
      </c>
      <c r="K78" s="2" t="s">
        <v>304</v>
      </c>
      <c r="L78" s="2" t="s">
        <v>137</v>
      </c>
      <c r="M78" s="8" t="str">
        <f>HYPERLINK("http://slimages.macys.com/is/image/MCY/15363783 ")</f>
        <v xml:space="preserve">http://slimages.macys.com/is/image/MCY/15363783 </v>
      </c>
    </row>
    <row r="79" spans="1:13" ht="96" x14ac:dyDescent="0.25">
      <c r="A79" s="7" t="s">
        <v>13237</v>
      </c>
      <c r="B79" s="2" t="s">
        <v>13235</v>
      </c>
      <c r="C79" s="4">
        <v>1</v>
      </c>
      <c r="D79" s="5">
        <v>14</v>
      </c>
      <c r="E79" s="5">
        <v>34.99</v>
      </c>
      <c r="F79" s="4" t="s">
        <v>13236</v>
      </c>
      <c r="G79" s="2" t="s">
        <v>752</v>
      </c>
      <c r="H79" s="7" t="s">
        <v>91</v>
      </c>
      <c r="I79" s="2" t="s">
        <v>135</v>
      </c>
      <c r="J79" s="2" t="s">
        <v>136</v>
      </c>
      <c r="K79" s="2" t="s">
        <v>304</v>
      </c>
      <c r="L79" s="2" t="s">
        <v>137</v>
      </c>
      <c r="M79" s="8" t="str">
        <f>HYPERLINK("http://slimages.macys.com/is/image/MCY/15364739 ")</f>
        <v xml:space="preserve">http://slimages.macys.com/is/image/MCY/15364739 </v>
      </c>
    </row>
    <row r="80" spans="1:13" ht="96" x14ac:dyDescent="0.25">
      <c r="A80" s="7" t="s">
        <v>13238</v>
      </c>
      <c r="B80" s="2" t="s">
        <v>132</v>
      </c>
      <c r="C80" s="4">
        <v>3</v>
      </c>
      <c r="D80" s="5">
        <v>14</v>
      </c>
      <c r="E80" s="5">
        <v>34.99</v>
      </c>
      <c r="F80" s="4" t="s">
        <v>133</v>
      </c>
      <c r="G80" s="2" t="s">
        <v>134</v>
      </c>
      <c r="H80" s="7" t="s">
        <v>42</v>
      </c>
      <c r="I80" s="2" t="s">
        <v>135</v>
      </c>
      <c r="J80" s="2" t="s">
        <v>136</v>
      </c>
      <c r="K80" s="2" t="s">
        <v>304</v>
      </c>
      <c r="L80" s="2" t="s">
        <v>137</v>
      </c>
      <c r="M80" s="8" t="str">
        <f>HYPERLINK("http://slimages.macys.com/is/image/MCY/15365447 ")</f>
        <v xml:space="preserve">http://slimages.macys.com/is/image/MCY/15365447 </v>
      </c>
    </row>
    <row r="81" spans="1:13" ht="60" x14ac:dyDescent="0.25">
      <c r="A81" s="7" t="s">
        <v>13239</v>
      </c>
      <c r="B81" s="2" t="s">
        <v>4777</v>
      </c>
      <c r="C81" s="4">
        <v>1</v>
      </c>
      <c r="D81" s="5">
        <v>14</v>
      </c>
      <c r="E81" s="5">
        <v>39.99</v>
      </c>
      <c r="F81" s="4" t="s">
        <v>4778</v>
      </c>
      <c r="G81" s="2" t="s">
        <v>103</v>
      </c>
      <c r="H81" s="7" t="s">
        <v>149</v>
      </c>
      <c r="I81" s="2" t="s">
        <v>92</v>
      </c>
      <c r="J81" s="2" t="s">
        <v>239</v>
      </c>
      <c r="K81" s="2" t="s">
        <v>304</v>
      </c>
      <c r="L81" s="2" t="s">
        <v>125</v>
      </c>
      <c r="M81" s="8" t="str">
        <f>HYPERLINK("http://slimages.macys.com/is/image/MCY/13893914 ")</f>
        <v xml:space="preserve">http://slimages.macys.com/is/image/MCY/13893914 </v>
      </c>
    </row>
    <row r="82" spans="1:13" ht="96" x14ac:dyDescent="0.25">
      <c r="A82" s="7" t="s">
        <v>13240</v>
      </c>
      <c r="B82" s="2" t="s">
        <v>2996</v>
      </c>
      <c r="C82" s="4">
        <v>4</v>
      </c>
      <c r="D82" s="5">
        <v>14</v>
      </c>
      <c r="E82" s="5">
        <v>34.99</v>
      </c>
      <c r="F82" s="4" t="s">
        <v>2997</v>
      </c>
      <c r="G82" s="2" t="s">
        <v>752</v>
      </c>
      <c r="H82" s="7" t="s">
        <v>91</v>
      </c>
      <c r="I82" s="2" t="s">
        <v>135</v>
      </c>
      <c r="J82" s="2" t="s">
        <v>136</v>
      </c>
      <c r="K82" s="2" t="s">
        <v>304</v>
      </c>
      <c r="L82" s="2" t="s">
        <v>137</v>
      </c>
      <c r="M82" s="8" t="str">
        <f>HYPERLINK("http://slimages.macys.com/is/image/MCY/15364745 ")</f>
        <v xml:space="preserve">http://slimages.macys.com/is/image/MCY/15364745 </v>
      </c>
    </row>
    <row r="83" spans="1:13" ht="96" x14ac:dyDescent="0.25">
      <c r="A83" s="7" t="s">
        <v>13241</v>
      </c>
      <c r="B83" s="2" t="s">
        <v>13235</v>
      </c>
      <c r="C83" s="4">
        <v>1</v>
      </c>
      <c r="D83" s="5">
        <v>14</v>
      </c>
      <c r="E83" s="5">
        <v>34.99</v>
      </c>
      <c r="F83" s="4" t="s">
        <v>13236</v>
      </c>
      <c r="G83" s="2" t="s">
        <v>752</v>
      </c>
      <c r="H83" s="7" t="s">
        <v>42</v>
      </c>
      <c r="I83" s="2" t="s">
        <v>135</v>
      </c>
      <c r="J83" s="2" t="s">
        <v>136</v>
      </c>
      <c r="K83" s="2" t="s">
        <v>304</v>
      </c>
      <c r="L83" s="2" t="s">
        <v>137</v>
      </c>
      <c r="M83" s="8" t="str">
        <f>HYPERLINK("http://slimages.macys.com/is/image/MCY/15364739 ")</f>
        <v xml:space="preserve">http://slimages.macys.com/is/image/MCY/15364739 </v>
      </c>
    </row>
    <row r="84" spans="1:13" ht="96" x14ac:dyDescent="0.25">
      <c r="A84" s="7" t="s">
        <v>13242</v>
      </c>
      <c r="B84" s="2" t="s">
        <v>13231</v>
      </c>
      <c r="C84" s="4">
        <v>2</v>
      </c>
      <c r="D84" s="5">
        <v>14</v>
      </c>
      <c r="E84" s="5">
        <v>34.99</v>
      </c>
      <c r="F84" s="4" t="s">
        <v>13232</v>
      </c>
      <c r="G84" s="2" t="s">
        <v>582</v>
      </c>
      <c r="H84" s="7" t="s">
        <v>91</v>
      </c>
      <c r="I84" s="2" t="s">
        <v>135</v>
      </c>
      <c r="J84" s="2" t="s">
        <v>136</v>
      </c>
      <c r="K84" s="2" t="s">
        <v>304</v>
      </c>
      <c r="L84" s="2" t="s">
        <v>137</v>
      </c>
      <c r="M84" s="8" t="str">
        <f>HYPERLINK("http://slimages.macys.com/is/image/MCY/15364743 ")</f>
        <v xml:space="preserve">http://slimages.macys.com/is/image/MCY/15364743 </v>
      </c>
    </row>
    <row r="85" spans="1:13" ht="96" x14ac:dyDescent="0.25">
      <c r="A85" s="7" t="s">
        <v>131</v>
      </c>
      <c r="B85" s="2" t="s">
        <v>132</v>
      </c>
      <c r="C85" s="4">
        <v>3</v>
      </c>
      <c r="D85" s="5">
        <v>14</v>
      </c>
      <c r="E85" s="5">
        <v>34.99</v>
      </c>
      <c r="F85" s="4" t="s">
        <v>133</v>
      </c>
      <c r="G85" s="2" t="s">
        <v>134</v>
      </c>
      <c r="H85" s="7" t="s">
        <v>91</v>
      </c>
      <c r="I85" s="2" t="s">
        <v>135</v>
      </c>
      <c r="J85" s="2" t="s">
        <v>136</v>
      </c>
      <c r="K85" s="2" t="s">
        <v>304</v>
      </c>
      <c r="L85" s="2" t="s">
        <v>137</v>
      </c>
      <c r="M85" s="8" t="str">
        <f>HYPERLINK("http://slimages.macys.com/is/image/MCY/15365447 ")</f>
        <v xml:space="preserve">http://slimages.macys.com/is/image/MCY/15365447 </v>
      </c>
    </row>
    <row r="86" spans="1:13" ht="96" x14ac:dyDescent="0.25">
      <c r="A86" s="7" t="s">
        <v>3011</v>
      </c>
      <c r="B86" s="2" t="s">
        <v>132</v>
      </c>
      <c r="C86" s="4">
        <v>2</v>
      </c>
      <c r="D86" s="5">
        <v>14</v>
      </c>
      <c r="E86" s="5">
        <v>34.99</v>
      </c>
      <c r="F86" s="4" t="s">
        <v>133</v>
      </c>
      <c r="G86" s="2" t="s">
        <v>134</v>
      </c>
      <c r="H86" s="7" t="s">
        <v>442</v>
      </c>
      <c r="I86" s="2" t="s">
        <v>135</v>
      </c>
      <c r="J86" s="2" t="s">
        <v>136</v>
      </c>
      <c r="K86" s="2" t="s">
        <v>304</v>
      </c>
      <c r="L86" s="2" t="s">
        <v>137</v>
      </c>
      <c r="M86" s="8" t="str">
        <f>HYPERLINK("http://slimages.macys.com/is/image/MCY/15365447 ")</f>
        <v xml:space="preserve">http://slimages.macys.com/is/image/MCY/15365447 </v>
      </c>
    </row>
    <row r="87" spans="1:13" ht="96" x14ac:dyDescent="0.25">
      <c r="A87" s="7" t="s">
        <v>13243</v>
      </c>
      <c r="B87" s="2" t="s">
        <v>3707</v>
      </c>
      <c r="C87" s="4">
        <v>3</v>
      </c>
      <c r="D87" s="5">
        <v>14</v>
      </c>
      <c r="E87" s="5">
        <v>34.99</v>
      </c>
      <c r="F87" s="4" t="s">
        <v>3708</v>
      </c>
      <c r="G87" s="2" t="s">
        <v>62</v>
      </c>
      <c r="H87" s="7" t="s">
        <v>442</v>
      </c>
      <c r="I87" s="2" t="s">
        <v>135</v>
      </c>
      <c r="J87" s="2" t="s">
        <v>136</v>
      </c>
      <c r="K87" s="2" t="s">
        <v>304</v>
      </c>
      <c r="L87" s="2" t="s">
        <v>3709</v>
      </c>
      <c r="M87" s="8" t="str">
        <f>HYPERLINK("http://slimages.macys.com/is/image/MCY/15363769 ")</f>
        <v xml:space="preserve">http://slimages.macys.com/is/image/MCY/15363769 </v>
      </c>
    </row>
    <row r="88" spans="1:13" ht="168" x14ac:dyDescent="0.25">
      <c r="A88" s="7" t="s">
        <v>13244</v>
      </c>
      <c r="B88" s="2" t="s">
        <v>13245</v>
      </c>
      <c r="C88" s="4">
        <v>1</v>
      </c>
      <c r="D88" s="5">
        <v>14</v>
      </c>
      <c r="E88" s="5">
        <v>34.99</v>
      </c>
      <c r="F88" s="4" t="s">
        <v>13246</v>
      </c>
      <c r="G88" s="2" t="s">
        <v>752</v>
      </c>
      <c r="H88" s="7" t="s">
        <v>149</v>
      </c>
      <c r="I88" s="2" t="s">
        <v>92</v>
      </c>
      <c r="J88" s="2" t="s">
        <v>65</v>
      </c>
      <c r="K88" s="2" t="s">
        <v>304</v>
      </c>
      <c r="L88" s="2" t="s">
        <v>13247</v>
      </c>
      <c r="M88" s="8" t="str">
        <f>HYPERLINK("http://slimages.macys.com/is/image/MCY/14885620 ")</f>
        <v xml:space="preserve">http://slimages.macys.com/is/image/MCY/14885620 </v>
      </c>
    </row>
    <row r="89" spans="1:13" ht="156" x14ac:dyDescent="0.25">
      <c r="A89" s="7" t="s">
        <v>13248</v>
      </c>
      <c r="B89" s="2" t="s">
        <v>127</v>
      </c>
      <c r="C89" s="4">
        <v>2</v>
      </c>
      <c r="D89" s="5">
        <v>14</v>
      </c>
      <c r="E89" s="5">
        <v>34.99</v>
      </c>
      <c r="F89" s="4" t="s">
        <v>128</v>
      </c>
      <c r="G89" s="2" t="s">
        <v>129</v>
      </c>
      <c r="H89" s="7" t="s">
        <v>442</v>
      </c>
      <c r="I89" s="2" t="s">
        <v>92</v>
      </c>
      <c r="J89" s="2" t="s">
        <v>65</v>
      </c>
      <c r="K89" s="2" t="s">
        <v>304</v>
      </c>
      <c r="L89" s="2" t="s">
        <v>130</v>
      </c>
      <c r="M89" s="8" t="str">
        <f>HYPERLINK("http://slimages.macys.com/is/image/MCY/14885750 ")</f>
        <v xml:space="preserve">http://slimages.macys.com/is/image/MCY/14885750 </v>
      </c>
    </row>
    <row r="90" spans="1:13" ht="156" x14ac:dyDescent="0.25">
      <c r="A90" s="7" t="s">
        <v>3705</v>
      </c>
      <c r="B90" s="2" t="s">
        <v>127</v>
      </c>
      <c r="C90" s="4">
        <v>2</v>
      </c>
      <c r="D90" s="5">
        <v>14</v>
      </c>
      <c r="E90" s="5">
        <v>34.99</v>
      </c>
      <c r="F90" s="4" t="s">
        <v>128</v>
      </c>
      <c r="G90" s="2" t="s">
        <v>129</v>
      </c>
      <c r="H90" s="7" t="s">
        <v>149</v>
      </c>
      <c r="I90" s="2" t="s">
        <v>92</v>
      </c>
      <c r="J90" s="2" t="s">
        <v>65</v>
      </c>
      <c r="K90" s="2" t="s">
        <v>304</v>
      </c>
      <c r="L90" s="2" t="s">
        <v>130</v>
      </c>
      <c r="M90" s="8" t="str">
        <f>HYPERLINK("http://slimages.macys.com/is/image/MCY/14885750 ")</f>
        <v xml:space="preserve">http://slimages.macys.com/is/image/MCY/14885750 </v>
      </c>
    </row>
    <row r="91" spans="1:13" ht="96" x14ac:dyDescent="0.25">
      <c r="A91" s="7" t="s">
        <v>2490</v>
      </c>
      <c r="B91" s="2" t="s">
        <v>2488</v>
      </c>
      <c r="C91" s="4">
        <v>1</v>
      </c>
      <c r="D91" s="5">
        <v>14</v>
      </c>
      <c r="E91" s="5">
        <v>34.99</v>
      </c>
      <c r="F91" s="4" t="s">
        <v>2489</v>
      </c>
      <c r="G91" s="2" t="s">
        <v>388</v>
      </c>
      <c r="H91" s="7" t="s">
        <v>42</v>
      </c>
      <c r="I91" s="2" t="s">
        <v>135</v>
      </c>
      <c r="J91" s="2" t="s">
        <v>136</v>
      </c>
      <c r="K91" s="2" t="s">
        <v>304</v>
      </c>
      <c r="L91" s="2" t="s">
        <v>137</v>
      </c>
      <c r="M91" s="8" t="str">
        <f>HYPERLINK("http://slimages.macys.com/is/image/MCY/15363783 ")</f>
        <v xml:space="preserve">http://slimages.macys.com/is/image/MCY/15363783 </v>
      </c>
    </row>
    <row r="92" spans="1:13" ht="168" x14ac:dyDescent="0.25">
      <c r="A92" s="7" t="s">
        <v>13249</v>
      </c>
      <c r="B92" s="2" t="s">
        <v>13245</v>
      </c>
      <c r="C92" s="4">
        <v>1</v>
      </c>
      <c r="D92" s="5">
        <v>14</v>
      </c>
      <c r="E92" s="5">
        <v>34.99</v>
      </c>
      <c r="F92" s="4" t="s">
        <v>13246</v>
      </c>
      <c r="G92" s="2" t="s">
        <v>752</v>
      </c>
      <c r="H92" s="7" t="s">
        <v>590</v>
      </c>
      <c r="I92" s="2" t="s">
        <v>92</v>
      </c>
      <c r="J92" s="2" t="s">
        <v>65</v>
      </c>
      <c r="K92" s="2" t="s">
        <v>304</v>
      </c>
      <c r="L92" s="2" t="s">
        <v>13247</v>
      </c>
      <c r="M92" s="8" t="str">
        <f>HYPERLINK("http://slimages.macys.com/is/image/MCY/14885620 ")</f>
        <v xml:space="preserve">http://slimages.macys.com/is/image/MCY/14885620 </v>
      </c>
    </row>
    <row r="93" spans="1:13" ht="156" x14ac:dyDescent="0.25">
      <c r="A93" s="7" t="s">
        <v>126</v>
      </c>
      <c r="B93" s="2" t="s">
        <v>127</v>
      </c>
      <c r="C93" s="4">
        <v>1</v>
      </c>
      <c r="D93" s="5">
        <v>14</v>
      </c>
      <c r="E93" s="5">
        <v>34.99</v>
      </c>
      <c r="F93" s="4" t="s">
        <v>128</v>
      </c>
      <c r="G93" s="2" t="s">
        <v>129</v>
      </c>
      <c r="H93" s="7" t="s">
        <v>91</v>
      </c>
      <c r="I93" s="2" t="s">
        <v>92</v>
      </c>
      <c r="J93" s="2" t="s">
        <v>65</v>
      </c>
      <c r="K93" s="2" t="s">
        <v>304</v>
      </c>
      <c r="L93" s="2" t="s">
        <v>130</v>
      </c>
      <c r="M93" s="8" t="str">
        <f>HYPERLINK("http://slimages.macys.com/is/image/MCY/14885750 ")</f>
        <v xml:space="preserve">http://slimages.macys.com/is/image/MCY/14885750 </v>
      </c>
    </row>
    <row r="94" spans="1:13" ht="168" x14ac:dyDescent="0.25">
      <c r="A94" s="7" t="s">
        <v>13250</v>
      </c>
      <c r="B94" s="2" t="s">
        <v>13245</v>
      </c>
      <c r="C94" s="4">
        <v>1</v>
      </c>
      <c r="D94" s="5">
        <v>14</v>
      </c>
      <c r="E94" s="5">
        <v>34.99</v>
      </c>
      <c r="F94" s="4" t="s">
        <v>13246</v>
      </c>
      <c r="G94" s="2" t="s">
        <v>752</v>
      </c>
      <c r="H94" s="7" t="s">
        <v>442</v>
      </c>
      <c r="I94" s="2" t="s">
        <v>92</v>
      </c>
      <c r="J94" s="2" t="s">
        <v>65</v>
      </c>
      <c r="K94" s="2" t="s">
        <v>304</v>
      </c>
      <c r="L94" s="2" t="s">
        <v>13247</v>
      </c>
      <c r="M94" s="8" t="str">
        <f>HYPERLINK("http://slimages.macys.com/is/image/MCY/14885620 ")</f>
        <v xml:space="preserve">http://slimages.macys.com/is/image/MCY/14885620 </v>
      </c>
    </row>
    <row r="95" spans="1:13" ht="156" x14ac:dyDescent="0.25">
      <c r="A95" s="7" t="s">
        <v>13251</v>
      </c>
      <c r="B95" s="2" t="s">
        <v>127</v>
      </c>
      <c r="C95" s="4">
        <v>1</v>
      </c>
      <c r="D95" s="5">
        <v>14</v>
      </c>
      <c r="E95" s="5">
        <v>34.99</v>
      </c>
      <c r="F95" s="4" t="s">
        <v>128</v>
      </c>
      <c r="G95" s="2" t="s">
        <v>129</v>
      </c>
      <c r="H95" s="7" t="s">
        <v>42</v>
      </c>
      <c r="I95" s="2" t="s">
        <v>92</v>
      </c>
      <c r="J95" s="2" t="s">
        <v>65</v>
      </c>
      <c r="K95" s="2" t="s">
        <v>304</v>
      </c>
      <c r="L95" s="2" t="s">
        <v>130</v>
      </c>
      <c r="M95" s="8" t="str">
        <f>HYPERLINK("http://slimages.macys.com/is/image/MCY/14885750 ")</f>
        <v xml:space="preserve">http://slimages.macys.com/is/image/MCY/14885750 </v>
      </c>
    </row>
    <row r="96" spans="1:13" ht="60" x14ac:dyDescent="0.25">
      <c r="A96" s="7" t="s">
        <v>13252</v>
      </c>
      <c r="B96" s="2" t="s">
        <v>13253</v>
      </c>
      <c r="C96" s="4">
        <v>1</v>
      </c>
      <c r="D96" s="5">
        <v>14</v>
      </c>
      <c r="E96" s="5">
        <v>39.99</v>
      </c>
      <c r="F96" s="4" t="s">
        <v>13254</v>
      </c>
      <c r="G96" s="2" t="s">
        <v>103</v>
      </c>
      <c r="H96" s="7" t="s">
        <v>442</v>
      </c>
      <c r="I96" s="2" t="s">
        <v>92</v>
      </c>
      <c r="J96" s="2" t="s">
        <v>239</v>
      </c>
      <c r="K96" s="2" t="s">
        <v>304</v>
      </c>
      <c r="L96" s="2" t="s">
        <v>741</v>
      </c>
      <c r="M96" s="8" t="str">
        <f>HYPERLINK("http://slimages.macys.com/is/image/MCY/13905136 ")</f>
        <v xml:space="preserve">http://slimages.macys.com/is/image/MCY/13905136 </v>
      </c>
    </row>
    <row r="97" spans="1:13" ht="288" x14ac:dyDescent="0.25">
      <c r="A97" s="7" t="s">
        <v>3736</v>
      </c>
      <c r="B97" s="2" t="s">
        <v>3737</v>
      </c>
      <c r="C97" s="4">
        <v>2</v>
      </c>
      <c r="D97" s="5">
        <v>13.75</v>
      </c>
      <c r="E97" s="5">
        <v>39.99</v>
      </c>
      <c r="F97" s="4" t="s">
        <v>3738</v>
      </c>
      <c r="G97" s="2" t="s">
        <v>129</v>
      </c>
      <c r="H97" s="7" t="s">
        <v>91</v>
      </c>
      <c r="I97" s="2" t="s">
        <v>92</v>
      </c>
      <c r="J97" s="2" t="s">
        <v>239</v>
      </c>
      <c r="K97" s="2" t="s">
        <v>304</v>
      </c>
      <c r="L97" s="2" t="s">
        <v>3739</v>
      </c>
      <c r="M97" s="8" t="str">
        <f>HYPERLINK("http://slimages.macys.com/is/image/MCY/14886904 ")</f>
        <v xml:space="preserve">http://slimages.macys.com/is/image/MCY/14886904 </v>
      </c>
    </row>
    <row r="98" spans="1:13" ht="156" x14ac:dyDescent="0.25">
      <c r="A98" s="7" t="s">
        <v>13255</v>
      </c>
      <c r="B98" s="2" t="s">
        <v>2497</v>
      </c>
      <c r="C98" s="4">
        <v>1</v>
      </c>
      <c r="D98" s="5">
        <v>13.75</v>
      </c>
      <c r="E98" s="5">
        <v>39.99</v>
      </c>
      <c r="F98" s="4" t="s">
        <v>2498</v>
      </c>
      <c r="G98" s="2" t="s">
        <v>28</v>
      </c>
      <c r="H98" s="7" t="s">
        <v>442</v>
      </c>
      <c r="I98" s="2" t="s">
        <v>92</v>
      </c>
      <c r="J98" s="2" t="s">
        <v>239</v>
      </c>
      <c r="K98" s="2" t="s">
        <v>304</v>
      </c>
      <c r="L98" s="2" t="s">
        <v>1452</v>
      </c>
      <c r="M98" s="8" t="str">
        <f>HYPERLINK("http://slimages.macys.com/is/image/MCY/14886762 ")</f>
        <v xml:space="preserve">http://slimages.macys.com/is/image/MCY/14886762 </v>
      </c>
    </row>
    <row r="99" spans="1:13" ht="288" x14ac:dyDescent="0.25">
      <c r="A99" s="7" t="s">
        <v>13256</v>
      </c>
      <c r="B99" s="2" t="s">
        <v>3737</v>
      </c>
      <c r="C99" s="4">
        <v>1</v>
      </c>
      <c r="D99" s="5">
        <v>13.75</v>
      </c>
      <c r="E99" s="5">
        <v>39.99</v>
      </c>
      <c r="F99" s="4" t="s">
        <v>3738</v>
      </c>
      <c r="G99" s="2" t="s">
        <v>129</v>
      </c>
      <c r="H99" s="7" t="s">
        <v>149</v>
      </c>
      <c r="I99" s="2" t="s">
        <v>92</v>
      </c>
      <c r="J99" s="2" t="s">
        <v>239</v>
      </c>
      <c r="K99" s="2" t="s">
        <v>304</v>
      </c>
      <c r="L99" s="2" t="s">
        <v>3739</v>
      </c>
      <c r="M99" s="8" t="str">
        <f>HYPERLINK("http://slimages.macys.com/is/image/MCY/14886904 ")</f>
        <v xml:space="preserve">http://slimages.macys.com/is/image/MCY/14886904 </v>
      </c>
    </row>
    <row r="100" spans="1:13" ht="132" x14ac:dyDescent="0.25">
      <c r="A100" s="7" t="s">
        <v>4788</v>
      </c>
      <c r="B100" s="2" t="s">
        <v>2493</v>
      </c>
      <c r="C100" s="4">
        <v>1</v>
      </c>
      <c r="D100" s="5">
        <v>13.75</v>
      </c>
      <c r="E100" s="5">
        <v>39.99</v>
      </c>
      <c r="F100" s="4" t="s">
        <v>2494</v>
      </c>
      <c r="G100" s="2" t="s">
        <v>752</v>
      </c>
      <c r="H100" s="7" t="s">
        <v>590</v>
      </c>
      <c r="I100" s="2" t="s">
        <v>92</v>
      </c>
      <c r="J100" s="2" t="s">
        <v>239</v>
      </c>
      <c r="K100" s="2" t="s">
        <v>304</v>
      </c>
      <c r="L100" s="2" t="s">
        <v>2495</v>
      </c>
      <c r="M100" s="8" t="str">
        <f>HYPERLINK("http://slimages.macys.com/is/image/MCY/14886820 ")</f>
        <v xml:space="preserve">http://slimages.macys.com/is/image/MCY/14886820 </v>
      </c>
    </row>
    <row r="101" spans="1:13" ht="192" x14ac:dyDescent="0.25">
      <c r="A101" s="7" t="s">
        <v>3740</v>
      </c>
      <c r="B101" s="2" t="s">
        <v>3731</v>
      </c>
      <c r="C101" s="4">
        <v>1</v>
      </c>
      <c r="D101" s="5">
        <v>13.75</v>
      </c>
      <c r="E101" s="5">
        <v>39.99</v>
      </c>
      <c r="F101" s="4" t="s">
        <v>3732</v>
      </c>
      <c r="G101" s="2" t="s">
        <v>353</v>
      </c>
      <c r="H101" s="7" t="s">
        <v>590</v>
      </c>
      <c r="I101" s="2" t="s">
        <v>92</v>
      </c>
      <c r="J101" s="2" t="s">
        <v>239</v>
      </c>
      <c r="K101" s="2" t="s">
        <v>304</v>
      </c>
      <c r="L101" s="2" t="s">
        <v>3733</v>
      </c>
      <c r="M101" s="8" t="str">
        <f>HYPERLINK("http://slimages.macys.com/is/image/MCY/15213361 ")</f>
        <v xml:space="preserve">http://slimages.macys.com/is/image/MCY/15213361 </v>
      </c>
    </row>
    <row r="102" spans="1:13" ht="252" x14ac:dyDescent="0.25">
      <c r="A102" s="7" t="s">
        <v>13257</v>
      </c>
      <c r="B102" s="2" t="s">
        <v>13258</v>
      </c>
      <c r="C102" s="4">
        <v>1</v>
      </c>
      <c r="D102" s="5">
        <v>13.75</v>
      </c>
      <c r="E102" s="5">
        <v>39.99</v>
      </c>
      <c r="F102" s="4" t="s">
        <v>13259</v>
      </c>
      <c r="G102" s="2" t="s">
        <v>129</v>
      </c>
      <c r="H102" s="7" t="s">
        <v>149</v>
      </c>
      <c r="I102" s="2" t="s">
        <v>92</v>
      </c>
      <c r="J102" s="2" t="s">
        <v>239</v>
      </c>
      <c r="K102" s="2" t="s">
        <v>304</v>
      </c>
      <c r="L102" s="2" t="s">
        <v>13260</v>
      </c>
      <c r="M102" s="8" t="str">
        <f>HYPERLINK("http://slimages.macys.com/is/image/MCY/14988481 ")</f>
        <v xml:space="preserve">http://slimages.macys.com/is/image/MCY/14988481 </v>
      </c>
    </row>
    <row r="103" spans="1:13" ht="252" x14ac:dyDescent="0.25">
      <c r="A103" s="7" t="s">
        <v>13261</v>
      </c>
      <c r="B103" s="2" t="s">
        <v>13258</v>
      </c>
      <c r="C103" s="4">
        <v>1</v>
      </c>
      <c r="D103" s="5">
        <v>13.75</v>
      </c>
      <c r="E103" s="5">
        <v>39.99</v>
      </c>
      <c r="F103" s="4" t="s">
        <v>13259</v>
      </c>
      <c r="G103" s="2" t="s">
        <v>129</v>
      </c>
      <c r="H103" s="7" t="s">
        <v>590</v>
      </c>
      <c r="I103" s="2" t="s">
        <v>92</v>
      </c>
      <c r="J103" s="2" t="s">
        <v>239</v>
      </c>
      <c r="K103" s="2" t="s">
        <v>304</v>
      </c>
      <c r="L103" s="2" t="s">
        <v>13260</v>
      </c>
      <c r="M103" s="8" t="str">
        <f>HYPERLINK("http://slimages.macys.com/is/image/MCY/14988481 ")</f>
        <v xml:space="preserve">http://slimages.macys.com/is/image/MCY/14988481 </v>
      </c>
    </row>
    <row r="104" spans="1:13" ht="84" x14ac:dyDescent="0.25">
      <c r="A104" s="7" t="s">
        <v>3726</v>
      </c>
      <c r="B104" s="2" t="s">
        <v>3727</v>
      </c>
      <c r="C104" s="4">
        <v>2</v>
      </c>
      <c r="D104" s="5">
        <v>13.75</v>
      </c>
      <c r="E104" s="5">
        <v>39.99</v>
      </c>
      <c r="F104" s="4" t="s">
        <v>3728</v>
      </c>
      <c r="G104" s="2" t="s">
        <v>62</v>
      </c>
      <c r="H104" s="7" t="s">
        <v>91</v>
      </c>
      <c r="I104" s="2" t="s">
        <v>92</v>
      </c>
      <c r="J104" s="2" t="s">
        <v>239</v>
      </c>
      <c r="K104" s="2" t="s">
        <v>304</v>
      </c>
      <c r="L104" s="2" t="s">
        <v>1516</v>
      </c>
      <c r="M104" s="8" t="str">
        <f>HYPERLINK("http://slimages.macys.com/is/image/MCY/14989330 ")</f>
        <v xml:space="preserve">http://slimages.macys.com/is/image/MCY/14989330 </v>
      </c>
    </row>
    <row r="105" spans="1:13" ht="156" x14ac:dyDescent="0.25">
      <c r="A105" s="7" t="s">
        <v>4789</v>
      </c>
      <c r="B105" s="2" t="s">
        <v>1522</v>
      </c>
      <c r="C105" s="4">
        <v>3</v>
      </c>
      <c r="D105" s="5">
        <v>13.75</v>
      </c>
      <c r="E105" s="5">
        <v>39.99</v>
      </c>
      <c r="F105" s="4" t="s">
        <v>1523</v>
      </c>
      <c r="G105" s="2" t="s">
        <v>62</v>
      </c>
      <c r="H105" s="7" t="s">
        <v>42</v>
      </c>
      <c r="I105" s="2" t="s">
        <v>92</v>
      </c>
      <c r="J105" s="2" t="s">
        <v>239</v>
      </c>
      <c r="K105" s="2" t="s">
        <v>304</v>
      </c>
      <c r="L105" s="2" t="s">
        <v>1524</v>
      </c>
      <c r="M105" s="8" t="str">
        <f>HYPERLINK("http://slimages.macys.com/is/image/MCY/14886823 ")</f>
        <v xml:space="preserve">http://slimages.macys.com/is/image/MCY/14886823 </v>
      </c>
    </row>
    <row r="106" spans="1:13" ht="288" x14ac:dyDescent="0.25">
      <c r="A106" s="7" t="s">
        <v>13262</v>
      </c>
      <c r="B106" s="2" t="s">
        <v>3737</v>
      </c>
      <c r="C106" s="4">
        <v>1</v>
      </c>
      <c r="D106" s="5">
        <v>13.75</v>
      </c>
      <c r="E106" s="5">
        <v>39.99</v>
      </c>
      <c r="F106" s="4" t="s">
        <v>3738</v>
      </c>
      <c r="G106" s="2" t="s">
        <v>129</v>
      </c>
      <c r="H106" s="7" t="s">
        <v>42</v>
      </c>
      <c r="I106" s="2" t="s">
        <v>92</v>
      </c>
      <c r="J106" s="2" t="s">
        <v>239</v>
      </c>
      <c r="K106" s="2" t="s">
        <v>304</v>
      </c>
      <c r="L106" s="2" t="s">
        <v>3739</v>
      </c>
      <c r="M106" s="8" t="str">
        <f>HYPERLINK("http://slimages.macys.com/is/image/MCY/14886904 ")</f>
        <v xml:space="preserve">http://slimages.macys.com/is/image/MCY/14886904 </v>
      </c>
    </row>
    <row r="107" spans="1:13" ht="132" x14ac:dyDescent="0.25">
      <c r="A107" s="7" t="s">
        <v>2492</v>
      </c>
      <c r="B107" s="2" t="s">
        <v>2493</v>
      </c>
      <c r="C107" s="4">
        <v>4</v>
      </c>
      <c r="D107" s="5">
        <v>13.75</v>
      </c>
      <c r="E107" s="5">
        <v>39.99</v>
      </c>
      <c r="F107" s="4" t="s">
        <v>2494</v>
      </c>
      <c r="G107" s="2" t="s">
        <v>752</v>
      </c>
      <c r="H107" s="7" t="s">
        <v>42</v>
      </c>
      <c r="I107" s="2" t="s">
        <v>92</v>
      </c>
      <c r="J107" s="2" t="s">
        <v>239</v>
      </c>
      <c r="K107" s="2" t="s">
        <v>304</v>
      </c>
      <c r="L107" s="2" t="s">
        <v>2495</v>
      </c>
      <c r="M107" s="8" t="str">
        <f>HYPERLINK("http://slimages.macys.com/is/image/MCY/14886820 ")</f>
        <v xml:space="preserve">http://slimages.macys.com/is/image/MCY/14886820 </v>
      </c>
    </row>
    <row r="108" spans="1:13" ht="84" x14ac:dyDescent="0.25">
      <c r="A108" s="7" t="s">
        <v>3742</v>
      </c>
      <c r="B108" s="2" t="s">
        <v>3727</v>
      </c>
      <c r="C108" s="4">
        <v>2</v>
      </c>
      <c r="D108" s="5">
        <v>13.75</v>
      </c>
      <c r="E108" s="5">
        <v>39.99</v>
      </c>
      <c r="F108" s="4" t="s">
        <v>3728</v>
      </c>
      <c r="G108" s="2" t="s">
        <v>62</v>
      </c>
      <c r="H108" s="7" t="s">
        <v>42</v>
      </c>
      <c r="I108" s="2" t="s">
        <v>92</v>
      </c>
      <c r="J108" s="2" t="s">
        <v>239</v>
      </c>
      <c r="K108" s="2" t="s">
        <v>304</v>
      </c>
      <c r="L108" s="2" t="s">
        <v>1516</v>
      </c>
      <c r="M108" s="8" t="str">
        <f>HYPERLINK("http://slimages.macys.com/is/image/MCY/14989330 ")</f>
        <v xml:space="preserve">http://slimages.macys.com/is/image/MCY/14989330 </v>
      </c>
    </row>
    <row r="109" spans="1:13" ht="156" x14ac:dyDescent="0.25">
      <c r="A109" s="7" t="s">
        <v>5211</v>
      </c>
      <c r="B109" s="2" t="s">
        <v>1522</v>
      </c>
      <c r="C109" s="4">
        <v>1</v>
      </c>
      <c r="D109" s="5">
        <v>13.75</v>
      </c>
      <c r="E109" s="5">
        <v>39.99</v>
      </c>
      <c r="F109" s="4" t="s">
        <v>1523</v>
      </c>
      <c r="G109" s="2" t="s">
        <v>62</v>
      </c>
      <c r="H109" s="7" t="s">
        <v>91</v>
      </c>
      <c r="I109" s="2" t="s">
        <v>92</v>
      </c>
      <c r="J109" s="2" t="s">
        <v>239</v>
      </c>
      <c r="K109" s="2" t="s">
        <v>304</v>
      </c>
      <c r="L109" s="2" t="s">
        <v>1524</v>
      </c>
      <c r="M109" s="8" t="str">
        <f>HYPERLINK("http://slimages.macys.com/is/image/MCY/14886823 ")</f>
        <v xml:space="preserve">http://slimages.macys.com/is/image/MCY/14886823 </v>
      </c>
    </row>
    <row r="110" spans="1:13" ht="132" x14ac:dyDescent="0.25">
      <c r="A110" s="7" t="s">
        <v>3013</v>
      </c>
      <c r="B110" s="2" t="s">
        <v>2493</v>
      </c>
      <c r="C110" s="4">
        <v>2</v>
      </c>
      <c r="D110" s="5">
        <v>13.75</v>
      </c>
      <c r="E110" s="5">
        <v>39.99</v>
      </c>
      <c r="F110" s="4" t="s">
        <v>2494</v>
      </c>
      <c r="G110" s="2" t="s">
        <v>752</v>
      </c>
      <c r="H110" s="7" t="s">
        <v>149</v>
      </c>
      <c r="I110" s="2" t="s">
        <v>92</v>
      </c>
      <c r="J110" s="2" t="s">
        <v>239</v>
      </c>
      <c r="K110" s="2" t="s">
        <v>304</v>
      </c>
      <c r="L110" s="2" t="s">
        <v>2495</v>
      </c>
      <c r="M110" s="8" t="str">
        <f>HYPERLINK("http://slimages.macys.com/is/image/MCY/14886820 ")</f>
        <v xml:space="preserve">http://slimages.macys.com/is/image/MCY/14886820 </v>
      </c>
    </row>
    <row r="111" spans="1:13" ht="252" x14ac:dyDescent="0.25">
      <c r="A111" s="7" t="s">
        <v>13263</v>
      </c>
      <c r="B111" s="2" t="s">
        <v>13258</v>
      </c>
      <c r="C111" s="4">
        <v>3</v>
      </c>
      <c r="D111" s="5">
        <v>13.75</v>
      </c>
      <c r="E111" s="5">
        <v>39.99</v>
      </c>
      <c r="F111" s="4" t="s">
        <v>13259</v>
      </c>
      <c r="G111" s="2" t="s">
        <v>129</v>
      </c>
      <c r="H111" s="7" t="s">
        <v>442</v>
      </c>
      <c r="I111" s="2" t="s">
        <v>92</v>
      </c>
      <c r="J111" s="2" t="s">
        <v>239</v>
      </c>
      <c r="K111" s="2" t="s">
        <v>304</v>
      </c>
      <c r="L111" s="2" t="s">
        <v>13260</v>
      </c>
      <c r="M111" s="8" t="str">
        <f>HYPERLINK("http://slimages.macys.com/is/image/MCY/14988481 ")</f>
        <v xml:space="preserve">http://slimages.macys.com/is/image/MCY/14988481 </v>
      </c>
    </row>
    <row r="112" spans="1:13" ht="84" x14ac:dyDescent="0.25">
      <c r="A112" s="7" t="s">
        <v>3735</v>
      </c>
      <c r="B112" s="2" t="s">
        <v>3727</v>
      </c>
      <c r="C112" s="4">
        <v>1</v>
      </c>
      <c r="D112" s="5">
        <v>13.75</v>
      </c>
      <c r="E112" s="5">
        <v>39.99</v>
      </c>
      <c r="F112" s="4" t="s">
        <v>3728</v>
      </c>
      <c r="G112" s="2" t="s">
        <v>62</v>
      </c>
      <c r="H112" s="7" t="s">
        <v>442</v>
      </c>
      <c r="I112" s="2" t="s">
        <v>92</v>
      </c>
      <c r="J112" s="2" t="s">
        <v>239</v>
      </c>
      <c r="K112" s="2" t="s">
        <v>304</v>
      </c>
      <c r="L112" s="2" t="s">
        <v>1516</v>
      </c>
      <c r="M112" s="8" t="str">
        <f>HYPERLINK("http://slimages.macys.com/is/image/MCY/14989330 ")</f>
        <v xml:space="preserve">http://slimages.macys.com/is/image/MCY/14989330 </v>
      </c>
    </row>
    <row r="113" spans="1:13" ht="192" x14ac:dyDescent="0.25">
      <c r="A113" s="7" t="s">
        <v>3734</v>
      </c>
      <c r="B113" s="2" t="s">
        <v>3731</v>
      </c>
      <c r="C113" s="4">
        <v>1</v>
      </c>
      <c r="D113" s="5">
        <v>13.75</v>
      </c>
      <c r="E113" s="5">
        <v>39.99</v>
      </c>
      <c r="F113" s="4" t="s">
        <v>3732</v>
      </c>
      <c r="G113" s="2" t="s">
        <v>353</v>
      </c>
      <c r="H113" s="7" t="s">
        <v>91</v>
      </c>
      <c r="I113" s="2" t="s">
        <v>92</v>
      </c>
      <c r="J113" s="2" t="s">
        <v>239</v>
      </c>
      <c r="K113" s="2" t="s">
        <v>304</v>
      </c>
      <c r="L113" s="2" t="s">
        <v>3733</v>
      </c>
      <c r="M113" s="8" t="str">
        <f>HYPERLINK("http://slimages.macys.com/is/image/MCY/15213361 ")</f>
        <v xml:space="preserve">http://slimages.macys.com/is/image/MCY/15213361 </v>
      </c>
    </row>
    <row r="114" spans="1:13" ht="192" x14ac:dyDescent="0.25">
      <c r="A114" s="7" t="s">
        <v>13264</v>
      </c>
      <c r="B114" s="2" t="s">
        <v>3731</v>
      </c>
      <c r="C114" s="4">
        <v>1</v>
      </c>
      <c r="D114" s="5">
        <v>13.75</v>
      </c>
      <c r="E114" s="5">
        <v>39.99</v>
      </c>
      <c r="F114" s="4" t="s">
        <v>3732</v>
      </c>
      <c r="G114" s="2" t="s">
        <v>353</v>
      </c>
      <c r="H114" s="7" t="s">
        <v>42</v>
      </c>
      <c r="I114" s="2" t="s">
        <v>92</v>
      </c>
      <c r="J114" s="2" t="s">
        <v>239</v>
      </c>
      <c r="K114" s="2" t="s">
        <v>304</v>
      </c>
      <c r="L114" s="2" t="s">
        <v>3733</v>
      </c>
      <c r="M114" s="8" t="str">
        <f>HYPERLINK("http://slimages.macys.com/is/image/MCY/15213361 ")</f>
        <v xml:space="preserve">http://slimages.macys.com/is/image/MCY/15213361 </v>
      </c>
    </row>
    <row r="115" spans="1:13" ht="180" x14ac:dyDescent="0.25">
      <c r="A115" s="7" t="s">
        <v>151</v>
      </c>
      <c r="B115" s="2" t="s">
        <v>152</v>
      </c>
      <c r="C115" s="4">
        <v>1</v>
      </c>
      <c r="D115" s="5">
        <v>13.5</v>
      </c>
      <c r="E115" s="5">
        <v>30.7</v>
      </c>
      <c r="F115" s="4">
        <v>19320310</v>
      </c>
      <c r="G115" s="2"/>
      <c r="H115" s="7" t="s">
        <v>42</v>
      </c>
      <c r="I115" s="2" t="s">
        <v>153</v>
      </c>
      <c r="J115" s="2" t="s">
        <v>154</v>
      </c>
      <c r="K115" s="2" t="s">
        <v>304</v>
      </c>
      <c r="L115" s="2" t="s">
        <v>155</v>
      </c>
      <c r="M115" s="8" t="str">
        <f>HYPERLINK("http://slimages.macys.com/is/image/MCY/14608313 ")</f>
        <v xml:space="preserve">http://slimages.macys.com/is/image/MCY/14608313 </v>
      </c>
    </row>
    <row r="116" spans="1:13" ht="180" x14ac:dyDescent="0.25">
      <c r="A116" s="7" t="s">
        <v>13265</v>
      </c>
      <c r="B116" s="2" t="s">
        <v>152</v>
      </c>
      <c r="C116" s="4">
        <v>1</v>
      </c>
      <c r="D116" s="5">
        <v>13.5</v>
      </c>
      <c r="E116" s="5">
        <v>30.7</v>
      </c>
      <c r="F116" s="4">
        <v>19320310</v>
      </c>
      <c r="G116" s="2"/>
      <c r="H116" s="7" t="s">
        <v>442</v>
      </c>
      <c r="I116" s="2" t="s">
        <v>153</v>
      </c>
      <c r="J116" s="2" t="s">
        <v>154</v>
      </c>
      <c r="K116" s="2" t="s">
        <v>304</v>
      </c>
      <c r="L116" s="2" t="s">
        <v>155</v>
      </c>
      <c r="M116" s="8" t="str">
        <f>HYPERLINK("http://slimages.macys.com/is/image/MCY/14608313 ")</f>
        <v xml:space="preserve">http://slimages.macys.com/is/image/MCY/14608313 </v>
      </c>
    </row>
    <row r="117" spans="1:13" ht="180" x14ac:dyDescent="0.25">
      <c r="A117" s="7" t="s">
        <v>13266</v>
      </c>
      <c r="B117" s="2" t="s">
        <v>758</v>
      </c>
      <c r="C117" s="4">
        <v>1</v>
      </c>
      <c r="D117" s="5">
        <v>13.5</v>
      </c>
      <c r="E117" s="5">
        <v>34.99</v>
      </c>
      <c r="F117" s="4" t="s">
        <v>759</v>
      </c>
      <c r="G117" s="2" t="s">
        <v>752</v>
      </c>
      <c r="H117" s="7" t="s">
        <v>149</v>
      </c>
      <c r="I117" s="2" t="s">
        <v>92</v>
      </c>
      <c r="J117" s="2" t="s">
        <v>65</v>
      </c>
      <c r="K117" s="2" t="s">
        <v>304</v>
      </c>
      <c r="L117" s="2" t="s">
        <v>760</v>
      </c>
      <c r="M117" s="8" t="str">
        <f>HYPERLINK("http://slimages.macys.com/is/image/MCY/14815593 ")</f>
        <v xml:space="preserve">http://slimages.macys.com/is/image/MCY/14815593 </v>
      </c>
    </row>
    <row r="118" spans="1:13" ht="180" x14ac:dyDescent="0.25">
      <c r="A118" s="7" t="s">
        <v>13267</v>
      </c>
      <c r="B118" s="2" t="s">
        <v>152</v>
      </c>
      <c r="C118" s="4">
        <v>2</v>
      </c>
      <c r="D118" s="5">
        <v>13.5</v>
      </c>
      <c r="E118" s="5">
        <v>30.7</v>
      </c>
      <c r="F118" s="4">
        <v>19320310</v>
      </c>
      <c r="G118" s="2"/>
      <c r="H118" s="7" t="s">
        <v>91</v>
      </c>
      <c r="I118" s="2" t="s">
        <v>153</v>
      </c>
      <c r="J118" s="2" t="s">
        <v>154</v>
      </c>
      <c r="K118" s="2" t="s">
        <v>304</v>
      </c>
      <c r="L118" s="2" t="s">
        <v>155</v>
      </c>
      <c r="M118" s="8" t="str">
        <f>HYPERLINK("http://slimages.macys.com/is/image/MCY/14608313 ")</f>
        <v xml:space="preserve">http://slimages.macys.com/is/image/MCY/14608313 </v>
      </c>
    </row>
    <row r="119" spans="1:13" ht="180" x14ac:dyDescent="0.25">
      <c r="A119" s="7" t="s">
        <v>13268</v>
      </c>
      <c r="B119" s="2" t="s">
        <v>758</v>
      </c>
      <c r="C119" s="4">
        <v>1</v>
      </c>
      <c r="D119" s="5">
        <v>13.5</v>
      </c>
      <c r="E119" s="5">
        <v>34.99</v>
      </c>
      <c r="F119" s="4" t="s">
        <v>759</v>
      </c>
      <c r="G119" s="2" t="s">
        <v>752</v>
      </c>
      <c r="H119" s="7" t="s">
        <v>590</v>
      </c>
      <c r="I119" s="2" t="s">
        <v>92</v>
      </c>
      <c r="J119" s="2" t="s">
        <v>65</v>
      </c>
      <c r="K119" s="2" t="s">
        <v>304</v>
      </c>
      <c r="L119" s="2" t="s">
        <v>760</v>
      </c>
      <c r="M119" s="8" t="str">
        <f>HYPERLINK("http://slimages.macys.com/is/image/MCY/14815593 ")</f>
        <v xml:space="preserve">http://slimages.macys.com/is/image/MCY/14815593 </v>
      </c>
    </row>
    <row r="120" spans="1:13" ht="84" x14ac:dyDescent="0.25">
      <c r="A120" s="7" t="s">
        <v>13269</v>
      </c>
      <c r="B120" s="2" t="s">
        <v>157</v>
      </c>
      <c r="C120" s="4">
        <v>1</v>
      </c>
      <c r="D120" s="5">
        <v>13.35</v>
      </c>
      <c r="E120" s="5">
        <v>28.5</v>
      </c>
      <c r="F120" s="4" t="s">
        <v>158</v>
      </c>
      <c r="G120" s="2" t="s">
        <v>36</v>
      </c>
      <c r="H120" s="7" t="s">
        <v>196</v>
      </c>
      <c r="I120" s="2" t="s">
        <v>73</v>
      </c>
      <c r="J120" s="2" t="s">
        <v>160</v>
      </c>
      <c r="K120" s="2" t="s">
        <v>304</v>
      </c>
      <c r="L120" s="2" t="s">
        <v>161</v>
      </c>
      <c r="M120" s="8" t="str">
        <f>HYPERLINK("http://slimages.macys.com/is/image/MCY/13336227 ")</f>
        <v xml:space="preserve">http://slimages.macys.com/is/image/MCY/13336227 </v>
      </c>
    </row>
    <row r="121" spans="1:13" ht="60" x14ac:dyDescent="0.25">
      <c r="A121" s="7" t="s">
        <v>13270</v>
      </c>
      <c r="B121" s="2" t="s">
        <v>13271</v>
      </c>
      <c r="C121" s="4">
        <v>1</v>
      </c>
      <c r="D121" s="5">
        <v>13.35</v>
      </c>
      <c r="E121" s="5">
        <v>31.05</v>
      </c>
      <c r="F121" s="4">
        <v>18867610</v>
      </c>
      <c r="G121" s="2" t="s">
        <v>455</v>
      </c>
      <c r="H121" s="7" t="s">
        <v>149</v>
      </c>
      <c r="I121" s="2" t="s">
        <v>153</v>
      </c>
      <c r="J121" s="2" t="s">
        <v>154</v>
      </c>
      <c r="K121" s="2" t="s">
        <v>304</v>
      </c>
      <c r="L121" s="2" t="s">
        <v>125</v>
      </c>
      <c r="M121" s="8" t="str">
        <f>HYPERLINK("http://slimages.macys.com/is/image/MCY/14661994 ")</f>
        <v xml:space="preserve">http://slimages.macys.com/is/image/MCY/14661994 </v>
      </c>
    </row>
    <row r="122" spans="1:13" ht="60" x14ac:dyDescent="0.25">
      <c r="A122" s="7" t="s">
        <v>13272</v>
      </c>
      <c r="B122" s="2" t="s">
        <v>3024</v>
      </c>
      <c r="C122" s="4">
        <v>1</v>
      </c>
      <c r="D122" s="5">
        <v>13.3</v>
      </c>
      <c r="E122" s="5">
        <v>29.99</v>
      </c>
      <c r="F122" s="4" t="s">
        <v>3025</v>
      </c>
      <c r="G122" s="2" t="s">
        <v>165</v>
      </c>
      <c r="H122" s="7" t="s">
        <v>266</v>
      </c>
      <c r="I122" s="2" t="s">
        <v>73</v>
      </c>
      <c r="J122" s="2" t="s">
        <v>249</v>
      </c>
      <c r="K122" s="2" t="s">
        <v>304</v>
      </c>
      <c r="L122" s="2" t="s">
        <v>358</v>
      </c>
      <c r="M122" s="8" t="str">
        <f>HYPERLINK("http://slimages.macys.com/is/image/MCY/14804092 ")</f>
        <v xml:space="preserve">http://slimages.macys.com/is/image/MCY/14804092 </v>
      </c>
    </row>
    <row r="123" spans="1:13" ht="60" x14ac:dyDescent="0.25">
      <c r="A123" s="7" t="s">
        <v>13273</v>
      </c>
      <c r="B123" s="2" t="s">
        <v>2503</v>
      </c>
      <c r="C123" s="4">
        <v>1</v>
      </c>
      <c r="D123" s="5">
        <v>13.25</v>
      </c>
      <c r="E123" s="5">
        <v>26.99</v>
      </c>
      <c r="F123" s="4" t="s">
        <v>2504</v>
      </c>
      <c r="G123" s="2" t="s">
        <v>28</v>
      </c>
      <c r="H123" s="7" t="s">
        <v>3001</v>
      </c>
      <c r="I123" s="2" t="s">
        <v>380</v>
      </c>
      <c r="J123" s="2" t="s">
        <v>258</v>
      </c>
      <c r="K123" s="2" t="s">
        <v>304</v>
      </c>
      <c r="L123" s="2" t="s">
        <v>87</v>
      </c>
      <c r="M123" s="8" t="str">
        <f>HYPERLINK("http://slimages.macys.com/is/image/MCY/2903499 ")</f>
        <v xml:space="preserve">http://slimages.macys.com/is/image/MCY/2903499 </v>
      </c>
    </row>
    <row r="124" spans="1:13" ht="60" x14ac:dyDescent="0.25">
      <c r="A124" s="7" t="s">
        <v>13274</v>
      </c>
      <c r="B124" s="2" t="s">
        <v>13275</v>
      </c>
      <c r="C124" s="4">
        <v>1</v>
      </c>
      <c r="D124" s="5">
        <v>13.13</v>
      </c>
      <c r="E124" s="5">
        <v>30</v>
      </c>
      <c r="F124" s="4" t="s">
        <v>13276</v>
      </c>
      <c r="G124" s="2" t="s">
        <v>41</v>
      </c>
      <c r="H124" s="7" t="s">
        <v>42</v>
      </c>
      <c r="I124" s="2" t="s">
        <v>92</v>
      </c>
      <c r="J124" s="2" t="s">
        <v>187</v>
      </c>
      <c r="K124" s="2" t="s">
        <v>304</v>
      </c>
      <c r="L124" s="2" t="s">
        <v>38</v>
      </c>
      <c r="M124" s="8" t="str">
        <f>HYPERLINK("http://slimages.macys.com/is/image/MCY/15240489 ")</f>
        <v xml:space="preserve">http://slimages.macys.com/is/image/MCY/15240489 </v>
      </c>
    </row>
    <row r="125" spans="1:13" ht="60" x14ac:dyDescent="0.25">
      <c r="A125" s="7" t="s">
        <v>13277</v>
      </c>
      <c r="B125" s="2" t="s">
        <v>13275</v>
      </c>
      <c r="C125" s="4">
        <v>1</v>
      </c>
      <c r="D125" s="5">
        <v>13.13</v>
      </c>
      <c r="E125" s="5">
        <v>30</v>
      </c>
      <c r="F125" s="4" t="s">
        <v>13276</v>
      </c>
      <c r="G125" s="2" t="s">
        <v>41</v>
      </c>
      <c r="H125" s="7" t="s">
        <v>149</v>
      </c>
      <c r="I125" s="2" t="s">
        <v>92</v>
      </c>
      <c r="J125" s="2" t="s">
        <v>187</v>
      </c>
      <c r="K125" s="2" t="s">
        <v>304</v>
      </c>
      <c r="L125" s="2" t="s">
        <v>38</v>
      </c>
      <c r="M125" s="8" t="str">
        <f>HYPERLINK("http://slimages.macys.com/is/image/MCY/15240489 ")</f>
        <v xml:space="preserve">http://slimages.macys.com/is/image/MCY/15240489 </v>
      </c>
    </row>
    <row r="126" spans="1:13" ht="60" x14ac:dyDescent="0.25">
      <c r="A126" s="7" t="s">
        <v>13278</v>
      </c>
      <c r="B126" s="2" t="s">
        <v>13275</v>
      </c>
      <c r="C126" s="4">
        <v>2</v>
      </c>
      <c r="D126" s="5">
        <v>13.13</v>
      </c>
      <c r="E126" s="5">
        <v>30</v>
      </c>
      <c r="F126" s="4" t="s">
        <v>13276</v>
      </c>
      <c r="G126" s="2" t="s">
        <v>41</v>
      </c>
      <c r="H126" s="7" t="s">
        <v>91</v>
      </c>
      <c r="I126" s="2" t="s">
        <v>92</v>
      </c>
      <c r="J126" s="2" t="s">
        <v>187</v>
      </c>
      <c r="K126" s="2" t="s">
        <v>304</v>
      </c>
      <c r="L126" s="2" t="s">
        <v>38</v>
      </c>
      <c r="M126" s="8" t="str">
        <f>HYPERLINK("http://slimages.macys.com/is/image/MCY/15240489 ")</f>
        <v xml:space="preserve">http://slimages.macys.com/is/image/MCY/15240489 </v>
      </c>
    </row>
    <row r="127" spans="1:13" ht="144" x14ac:dyDescent="0.25">
      <c r="A127" s="7" t="s">
        <v>3037</v>
      </c>
      <c r="B127" s="2" t="s">
        <v>3038</v>
      </c>
      <c r="C127" s="4">
        <v>1</v>
      </c>
      <c r="D127" s="5">
        <v>13</v>
      </c>
      <c r="E127" s="5">
        <v>29.57</v>
      </c>
      <c r="F127" s="4">
        <v>19319910</v>
      </c>
      <c r="G127" s="2"/>
      <c r="H127" s="7" t="s">
        <v>442</v>
      </c>
      <c r="I127" s="2" t="s">
        <v>153</v>
      </c>
      <c r="J127" s="2" t="s">
        <v>154</v>
      </c>
      <c r="K127" s="2" t="s">
        <v>304</v>
      </c>
      <c r="L127" s="2" t="s">
        <v>3039</v>
      </c>
      <c r="M127" s="8" t="str">
        <f>HYPERLINK("http://slimages.macys.com/is/image/MCY/14608320 ")</f>
        <v xml:space="preserve">http://slimages.macys.com/is/image/MCY/14608320 </v>
      </c>
    </row>
    <row r="128" spans="1:13" ht="60" x14ac:dyDescent="0.25">
      <c r="A128" s="7" t="s">
        <v>184</v>
      </c>
      <c r="B128" s="2" t="s">
        <v>185</v>
      </c>
      <c r="C128" s="4">
        <v>2</v>
      </c>
      <c r="D128" s="5">
        <v>12.75</v>
      </c>
      <c r="E128" s="5">
        <v>30</v>
      </c>
      <c r="F128" s="4" t="s">
        <v>186</v>
      </c>
      <c r="G128" s="2" t="s">
        <v>28</v>
      </c>
      <c r="H128" s="7" t="s">
        <v>91</v>
      </c>
      <c r="I128" s="2" t="s">
        <v>92</v>
      </c>
      <c r="J128" s="2" t="s">
        <v>187</v>
      </c>
      <c r="K128" s="2" t="s">
        <v>304</v>
      </c>
      <c r="L128" s="2" t="s">
        <v>38</v>
      </c>
      <c r="M128" s="8" t="str">
        <f>HYPERLINK("http://slimages.macys.com/is/image/MCY/15240490 ")</f>
        <v xml:space="preserve">http://slimages.macys.com/is/image/MCY/15240490 </v>
      </c>
    </row>
    <row r="129" spans="1:13" ht="60" x14ac:dyDescent="0.25">
      <c r="A129" s="7" t="s">
        <v>13279</v>
      </c>
      <c r="B129" s="2" t="s">
        <v>185</v>
      </c>
      <c r="C129" s="4">
        <v>2</v>
      </c>
      <c r="D129" s="5">
        <v>12.75</v>
      </c>
      <c r="E129" s="5">
        <v>30</v>
      </c>
      <c r="F129" s="4" t="s">
        <v>186</v>
      </c>
      <c r="G129" s="2" t="s">
        <v>28</v>
      </c>
      <c r="H129" s="7" t="s">
        <v>590</v>
      </c>
      <c r="I129" s="2" t="s">
        <v>92</v>
      </c>
      <c r="J129" s="2" t="s">
        <v>187</v>
      </c>
      <c r="K129" s="2" t="s">
        <v>304</v>
      </c>
      <c r="L129" s="2" t="s">
        <v>38</v>
      </c>
      <c r="M129" s="8" t="str">
        <f>HYPERLINK("http://slimages.macys.com/is/image/MCY/15240490 ")</f>
        <v xml:space="preserve">http://slimages.macys.com/is/image/MCY/15240490 </v>
      </c>
    </row>
    <row r="130" spans="1:13" ht="60" x14ac:dyDescent="0.25">
      <c r="A130" s="7" t="s">
        <v>13280</v>
      </c>
      <c r="B130" s="2" t="s">
        <v>185</v>
      </c>
      <c r="C130" s="4">
        <v>2</v>
      </c>
      <c r="D130" s="5">
        <v>12.75</v>
      </c>
      <c r="E130" s="5">
        <v>30</v>
      </c>
      <c r="F130" s="4" t="s">
        <v>186</v>
      </c>
      <c r="G130" s="2" t="s">
        <v>28</v>
      </c>
      <c r="H130" s="7" t="s">
        <v>149</v>
      </c>
      <c r="I130" s="2" t="s">
        <v>92</v>
      </c>
      <c r="J130" s="2" t="s">
        <v>187</v>
      </c>
      <c r="K130" s="2" t="s">
        <v>304</v>
      </c>
      <c r="L130" s="2" t="s">
        <v>38</v>
      </c>
      <c r="M130" s="8" t="str">
        <f>HYPERLINK("http://slimages.macys.com/is/image/MCY/15240490 ")</f>
        <v xml:space="preserve">http://slimages.macys.com/is/image/MCY/15240490 </v>
      </c>
    </row>
    <row r="131" spans="1:13" ht="60" x14ac:dyDescent="0.25">
      <c r="A131" s="7" t="s">
        <v>13281</v>
      </c>
      <c r="B131" s="2" t="s">
        <v>185</v>
      </c>
      <c r="C131" s="4">
        <v>1</v>
      </c>
      <c r="D131" s="5">
        <v>12.75</v>
      </c>
      <c r="E131" s="5">
        <v>30</v>
      </c>
      <c r="F131" s="4" t="s">
        <v>186</v>
      </c>
      <c r="G131" s="2" t="s">
        <v>28</v>
      </c>
      <c r="H131" s="7" t="s">
        <v>442</v>
      </c>
      <c r="I131" s="2" t="s">
        <v>92</v>
      </c>
      <c r="J131" s="2" t="s">
        <v>187</v>
      </c>
      <c r="K131" s="2" t="s">
        <v>304</v>
      </c>
      <c r="L131" s="2" t="s">
        <v>38</v>
      </c>
      <c r="M131" s="8" t="str">
        <f>HYPERLINK("http://slimages.macys.com/is/image/MCY/15240490 ")</f>
        <v xml:space="preserve">http://slimages.macys.com/is/image/MCY/15240490 </v>
      </c>
    </row>
    <row r="132" spans="1:13" ht="60" x14ac:dyDescent="0.25">
      <c r="A132" s="7" t="s">
        <v>3768</v>
      </c>
      <c r="B132" s="2" t="s">
        <v>185</v>
      </c>
      <c r="C132" s="4">
        <v>2</v>
      </c>
      <c r="D132" s="5">
        <v>12.75</v>
      </c>
      <c r="E132" s="5">
        <v>30</v>
      </c>
      <c r="F132" s="4" t="s">
        <v>186</v>
      </c>
      <c r="G132" s="2" t="s">
        <v>28</v>
      </c>
      <c r="H132" s="7" t="s">
        <v>42</v>
      </c>
      <c r="I132" s="2" t="s">
        <v>92</v>
      </c>
      <c r="J132" s="2" t="s">
        <v>187</v>
      </c>
      <c r="K132" s="2" t="s">
        <v>304</v>
      </c>
      <c r="L132" s="2" t="s">
        <v>38</v>
      </c>
      <c r="M132" s="8" t="str">
        <f>HYPERLINK("http://slimages.macys.com/is/image/MCY/15240490 ")</f>
        <v xml:space="preserve">http://slimages.macys.com/is/image/MCY/15240490 </v>
      </c>
    </row>
    <row r="133" spans="1:13" ht="108" x14ac:dyDescent="0.25">
      <c r="A133" s="7" t="s">
        <v>3062</v>
      </c>
      <c r="B133" s="2" t="s">
        <v>3053</v>
      </c>
      <c r="C133" s="4">
        <v>2</v>
      </c>
      <c r="D133" s="5">
        <v>12.5</v>
      </c>
      <c r="E133" s="5">
        <v>34.99</v>
      </c>
      <c r="F133" s="4" t="s">
        <v>3054</v>
      </c>
      <c r="G133" s="2" t="s">
        <v>62</v>
      </c>
      <c r="H133" s="7" t="s">
        <v>91</v>
      </c>
      <c r="I133" s="2" t="s">
        <v>92</v>
      </c>
      <c r="J133" s="2" t="s">
        <v>65</v>
      </c>
      <c r="K133" s="2" t="s">
        <v>304</v>
      </c>
      <c r="L133" s="2" t="s">
        <v>3055</v>
      </c>
      <c r="M133" s="8" t="str">
        <f>HYPERLINK("http://slimages.macys.com/is/image/MCY/14815658 ")</f>
        <v xml:space="preserve">http://slimages.macys.com/is/image/MCY/14815658 </v>
      </c>
    </row>
    <row r="134" spans="1:13" ht="132" x14ac:dyDescent="0.25">
      <c r="A134" s="7" t="s">
        <v>5229</v>
      </c>
      <c r="B134" s="2" t="s">
        <v>3775</v>
      </c>
      <c r="C134" s="4">
        <v>3</v>
      </c>
      <c r="D134" s="5">
        <v>12.5</v>
      </c>
      <c r="E134" s="5">
        <v>34.99</v>
      </c>
      <c r="F134" s="4" t="s">
        <v>3776</v>
      </c>
      <c r="G134" s="2" t="s">
        <v>752</v>
      </c>
      <c r="H134" s="7" t="s">
        <v>442</v>
      </c>
      <c r="I134" s="2" t="s">
        <v>92</v>
      </c>
      <c r="J134" s="2" t="s">
        <v>65</v>
      </c>
      <c r="K134" s="2" t="s">
        <v>304</v>
      </c>
      <c r="L134" s="2" t="s">
        <v>3777</v>
      </c>
      <c r="M134" s="8" t="str">
        <f>HYPERLINK("http://slimages.macys.com/is/image/MCY/15240491 ")</f>
        <v xml:space="preserve">http://slimages.macys.com/is/image/MCY/15240491 </v>
      </c>
    </row>
    <row r="135" spans="1:13" ht="156" x14ac:dyDescent="0.25">
      <c r="A135" s="7" t="s">
        <v>3781</v>
      </c>
      <c r="B135" s="2" t="s">
        <v>3057</v>
      </c>
      <c r="C135" s="4">
        <v>1</v>
      </c>
      <c r="D135" s="5">
        <v>12.5</v>
      </c>
      <c r="E135" s="5">
        <v>34.99</v>
      </c>
      <c r="F135" s="4" t="s">
        <v>3058</v>
      </c>
      <c r="G135" s="2" t="s">
        <v>41</v>
      </c>
      <c r="H135" s="7" t="s">
        <v>442</v>
      </c>
      <c r="I135" s="2" t="s">
        <v>92</v>
      </c>
      <c r="J135" s="2" t="s">
        <v>65</v>
      </c>
      <c r="K135" s="2" t="s">
        <v>304</v>
      </c>
      <c r="L135" s="2" t="s">
        <v>3059</v>
      </c>
      <c r="M135" s="8" t="str">
        <f>HYPERLINK("http://slimages.macys.com/is/image/MCY/14815481 ")</f>
        <v xml:space="preserve">http://slimages.macys.com/is/image/MCY/14815481 </v>
      </c>
    </row>
    <row r="136" spans="1:13" ht="144" x14ac:dyDescent="0.25">
      <c r="A136" s="7" t="s">
        <v>3074</v>
      </c>
      <c r="B136" s="2" t="s">
        <v>189</v>
      </c>
      <c r="C136" s="4">
        <v>2</v>
      </c>
      <c r="D136" s="5">
        <v>12.5</v>
      </c>
      <c r="E136" s="5">
        <v>34.99</v>
      </c>
      <c r="F136" s="4" t="s">
        <v>190</v>
      </c>
      <c r="G136" s="2" t="s">
        <v>129</v>
      </c>
      <c r="H136" s="7" t="s">
        <v>91</v>
      </c>
      <c r="I136" s="2" t="s">
        <v>92</v>
      </c>
      <c r="J136" s="2" t="s">
        <v>65</v>
      </c>
      <c r="K136" s="2" t="s">
        <v>304</v>
      </c>
      <c r="L136" s="2" t="s">
        <v>191</v>
      </c>
      <c r="M136" s="8" t="str">
        <f>HYPERLINK("http://slimages.macys.com/is/image/MCY/14815686 ")</f>
        <v xml:space="preserve">http://slimages.macys.com/is/image/MCY/14815686 </v>
      </c>
    </row>
    <row r="137" spans="1:13" ht="144" x14ac:dyDescent="0.25">
      <c r="A137" s="7" t="s">
        <v>13282</v>
      </c>
      <c r="B137" s="2" t="s">
        <v>3771</v>
      </c>
      <c r="C137" s="4">
        <v>1</v>
      </c>
      <c r="D137" s="5">
        <v>12.5</v>
      </c>
      <c r="E137" s="5">
        <v>34.99</v>
      </c>
      <c r="F137" s="4" t="s">
        <v>3772</v>
      </c>
      <c r="G137" s="2" t="s">
        <v>129</v>
      </c>
      <c r="H137" s="7" t="s">
        <v>442</v>
      </c>
      <c r="I137" s="2" t="s">
        <v>92</v>
      </c>
      <c r="J137" s="2" t="s">
        <v>65</v>
      </c>
      <c r="K137" s="2" t="s">
        <v>304</v>
      </c>
      <c r="L137" s="2" t="s">
        <v>3773</v>
      </c>
      <c r="M137" s="8" t="str">
        <f>HYPERLINK("http://slimages.macys.com/is/image/MCY/14815615 ")</f>
        <v xml:space="preserve">http://slimages.macys.com/is/image/MCY/14815615 </v>
      </c>
    </row>
    <row r="138" spans="1:13" ht="144" x14ac:dyDescent="0.25">
      <c r="A138" s="7" t="s">
        <v>13283</v>
      </c>
      <c r="B138" s="2" t="s">
        <v>189</v>
      </c>
      <c r="C138" s="4">
        <v>2</v>
      </c>
      <c r="D138" s="5">
        <v>12.5</v>
      </c>
      <c r="E138" s="5">
        <v>34.99</v>
      </c>
      <c r="F138" s="4" t="s">
        <v>190</v>
      </c>
      <c r="G138" s="2" t="s">
        <v>129</v>
      </c>
      <c r="H138" s="7" t="s">
        <v>442</v>
      </c>
      <c r="I138" s="2" t="s">
        <v>92</v>
      </c>
      <c r="J138" s="2" t="s">
        <v>65</v>
      </c>
      <c r="K138" s="2" t="s">
        <v>304</v>
      </c>
      <c r="L138" s="2" t="s">
        <v>191</v>
      </c>
      <c r="M138" s="8" t="str">
        <f>HYPERLINK("http://slimages.macys.com/is/image/MCY/14815686 ")</f>
        <v xml:space="preserve">http://slimages.macys.com/is/image/MCY/14815686 </v>
      </c>
    </row>
    <row r="139" spans="1:13" ht="132" x14ac:dyDescent="0.25">
      <c r="A139" s="7" t="s">
        <v>13284</v>
      </c>
      <c r="B139" s="2" t="s">
        <v>3775</v>
      </c>
      <c r="C139" s="4">
        <v>1</v>
      </c>
      <c r="D139" s="5">
        <v>12.5</v>
      </c>
      <c r="E139" s="5">
        <v>34.99</v>
      </c>
      <c r="F139" s="4" t="s">
        <v>3776</v>
      </c>
      <c r="G139" s="2" t="s">
        <v>752</v>
      </c>
      <c r="H139" s="7" t="s">
        <v>91</v>
      </c>
      <c r="I139" s="2" t="s">
        <v>92</v>
      </c>
      <c r="J139" s="2" t="s">
        <v>65</v>
      </c>
      <c r="K139" s="2" t="s">
        <v>304</v>
      </c>
      <c r="L139" s="2" t="s">
        <v>3777</v>
      </c>
      <c r="M139" s="8" t="str">
        <f>HYPERLINK("http://slimages.macys.com/is/image/MCY/15240491 ")</f>
        <v xml:space="preserve">http://slimages.macys.com/is/image/MCY/15240491 </v>
      </c>
    </row>
    <row r="140" spans="1:13" ht="168" x14ac:dyDescent="0.25">
      <c r="A140" s="7" t="s">
        <v>9346</v>
      </c>
      <c r="B140" s="2" t="s">
        <v>9340</v>
      </c>
      <c r="C140" s="4">
        <v>1</v>
      </c>
      <c r="D140" s="5">
        <v>12.5</v>
      </c>
      <c r="E140" s="5">
        <v>32.99</v>
      </c>
      <c r="F140" s="4" t="s">
        <v>9341</v>
      </c>
      <c r="G140" s="2" t="s">
        <v>353</v>
      </c>
      <c r="H140" s="7" t="s">
        <v>442</v>
      </c>
      <c r="I140" s="2" t="s">
        <v>92</v>
      </c>
      <c r="J140" s="2" t="s">
        <v>65</v>
      </c>
      <c r="K140" s="2" t="s">
        <v>304</v>
      </c>
      <c r="L140" s="2" t="s">
        <v>9342</v>
      </c>
      <c r="M140" s="8" t="str">
        <f>HYPERLINK("http://slimages.macys.com/is/image/MCY/13782960 ")</f>
        <v xml:space="preserve">http://slimages.macys.com/is/image/MCY/13782960 </v>
      </c>
    </row>
    <row r="141" spans="1:13" ht="180" x14ac:dyDescent="0.25">
      <c r="A141" s="7" t="s">
        <v>13285</v>
      </c>
      <c r="B141" s="2" t="s">
        <v>1558</v>
      </c>
      <c r="C141" s="4">
        <v>3</v>
      </c>
      <c r="D141" s="5">
        <v>12.5</v>
      </c>
      <c r="E141" s="5">
        <v>34.99</v>
      </c>
      <c r="F141" s="4" t="s">
        <v>1559</v>
      </c>
      <c r="G141" s="2" t="s">
        <v>129</v>
      </c>
      <c r="H141" s="7" t="s">
        <v>442</v>
      </c>
      <c r="I141" s="2" t="s">
        <v>92</v>
      </c>
      <c r="J141" s="2" t="s">
        <v>65</v>
      </c>
      <c r="K141" s="2" t="s">
        <v>304</v>
      </c>
      <c r="L141" s="2" t="s">
        <v>1560</v>
      </c>
      <c r="M141" s="8" t="str">
        <f>HYPERLINK("http://slimages.macys.com/is/image/MCY/14815688 ")</f>
        <v xml:space="preserve">http://slimages.macys.com/is/image/MCY/14815688 </v>
      </c>
    </row>
    <row r="142" spans="1:13" ht="108" x14ac:dyDescent="0.25">
      <c r="A142" s="7" t="s">
        <v>4810</v>
      </c>
      <c r="B142" s="2" t="s">
        <v>3053</v>
      </c>
      <c r="C142" s="4">
        <v>1</v>
      </c>
      <c r="D142" s="5">
        <v>12.5</v>
      </c>
      <c r="E142" s="5">
        <v>34.99</v>
      </c>
      <c r="F142" s="4" t="s">
        <v>3054</v>
      </c>
      <c r="G142" s="2" t="s">
        <v>62</v>
      </c>
      <c r="H142" s="7" t="s">
        <v>442</v>
      </c>
      <c r="I142" s="2" t="s">
        <v>92</v>
      </c>
      <c r="J142" s="2" t="s">
        <v>65</v>
      </c>
      <c r="K142" s="2" t="s">
        <v>304</v>
      </c>
      <c r="L142" s="2" t="s">
        <v>3055</v>
      </c>
      <c r="M142" s="8" t="str">
        <f>HYPERLINK("http://slimages.macys.com/is/image/MCY/14815658 ")</f>
        <v xml:space="preserve">http://slimages.macys.com/is/image/MCY/14815658 </v>
      </c>
    </row>
    <row r="143" spans="1:13" ht="180" x14ac:dyDescent="0.25">
      <c r="A143" s="7" t="s">
        <v>3060</v>
      </c>
      <c r="B143" s="2" t="s">
        <v>1558</v>
      </c>
      <c r="C143" s="4">
        <v>1</v>
      </c>
      <c r="D143" s="5">
        <v>12.5</v>
      </c>
      <c r="E143" s="5">
        <v>34.99</v>
      </c>
      <c r="F143" s="4" t="s">
        <v>1559</v>
      </c>
      <c r="G143" s="2" t="s">
        <v>129</v>
      </c>
      <c r="H143" s="7" t="s">
        <v>149</v>
      </c>
      <c r="I143" s="2" t="s">
        <v>92</v>
      </c>
      <c r="J143" s="2" t="s">
        <v>65</v>
      </c>
      <c r="K143" s="2" t="s">
        <v>304</v>
      </c>
      <c r="L143" s="2" t="s">
        <v>1560</v>
      </c>
      <c r="M143" s="8" t="str">
        <f>HYPERLINK("http://slimages.macys.com/is/image/MCY/14815688 ")</f>
        <v xml:space="preserve">http://slimages.macys.com/is/image/MCY/14815688 </v>
      </c>
    </row>
    <row r="144" spans="1:13" ht="144" x14ac:dyDescent="0.25">
      <c r="A144" s="7" t="s">
        <v>13286</v>
      </c>
      <c r="B144" s="2" t="s">
        <v>3771</v>
      </c>
      <c r="C144" s="4">
        <v>1</v>
      </c>
      <c r="D144" s="5">
        <v>12.5</v>
      </c>
      <c r="E144" s="5">
        <v>34.99</v>
      </c>
      <c r="F144" s="4" t="s">
        <v>3772</v>
      </c>
      <c r="G144" s="2" t="s">
        <v>129</v>
      </c>
      <c r="H144" s="7" t="s">
        <v>91</v>
      </c>
      <c r="I144" s="2" t="s">
        <v>92</v>
      </c>
      <c r="J144" s="2" t="s">
        <v>65</v>
      </c>
      <c r="K144" s="2" t="s">
        <v>304</v>
      </c>
      <c r="L144" s="2" t="s">
        <v>3773</v>
      </c>
      <c r="M144" s="8" t="str">
        <f>HYPERLINK("http://slimages.macys.com/is/image/MCY/14815615 ")</f>
        <v xml:space="preserve">http://slimages.macys.com/is/image/MCY/14815615 </v>
      </c>
    </row>
    <row r="145" spans="1:13" ht="60" x14ac:dyDescent="0.25">
      <c r="A145" s="7" t="s">
        <v>4811</v>
      </c>
      <c r="B145" s="2" t="s">
        <v>4812</v>
      </c>
      <c r="C145" s="4">
        <v>1</v>
      </c>
      <c r="D145" s="5">
        <v>12.45</v>
      </c>
      <c r="E145" s="5">
        <v>31.99</v>
      </c>
      <c r="F145" s="4" t="s">
        <v>4813</v>
      </c>
      <c r="G145" s="2" t="s">
        <v>310</v>
      </c>
      <c r="H145" s="7" t="s">
        <v>179</v>
      </c>
      <c r="I145" s="2" t="s">
        <v>312</v>
      </c>
      <c r="J145" s="2" t="s">
        <v>1618</v>
      </c>
      <c r="K145" s="2" t="s">
        <v>304</v>
      </c>
      <c r="L145" s="2" t="s">
        <v>38</v>
      </c>
      <c r="M145" s="8" t="str">
        <f>HYPERLINK("http://slimages.macys.com/is/image/MCY/14540227 ")</f>
        <v xml:space="preserve">http://slimages.macys.com/is/image/MCY/14540227 </v>
      </c>
    </row>
    <row r="146" spans="1:13" ht="60" x14ac:dyDescent="0.25">
      <c r="A146" s="7" t="s">
        <v>779</v>
      </c>
      <c r="B146" s="2" t="s">
        <v>198</v>
      </c>
      <c r="C146" s="4">
        <v>4</v>
      </c>
      <c r="D146" s="5">
        <v>12.39</v>
      </c>
      <c r="E146" s="5">
        <v>29.5</v>
      </c>
      <c r="F146" s="4" t="s">
        <v>199</v>
      </c>
      <c r="G146" s="2" t="s">
        <v>200</v>
      </c>
      <c r="H146" s="7" t="s">
        <v>442</v>
      </c>
      <c r="I146" s="2" t="s">
        <v>135</v>
      </c>
      <c r="J146" s="2" t="s">
        <v>201</v>
      </c>
      <c r="K146" s="2" t="s">
        <v>304</v>
      </c>
      <c r="L146" s="2" t="s">
        <v>87</v>
      </c>
      <c r="M146" s="8" t="str">
        <f>HYPERLINK("http://slimages.macys.com/is/image/MCY/1477012 ")</f>
        <v xml:space="preserve">http://slimages.macys.com/is/image/MCY/1477012 </v>
      </c>
    </row>
    <row r="147" spans="1:13" ht="60" x14ac:dyDescent="0.25">
      <c r="A147" s="7" t="s">
        <v>197</v>
      </c>
      <c r="B147" s="2" t="s">
        <v>198</v>
      </c>
      <c r="C147" s="4">
        <v>31</v>
      </c>
      <c r="D147" s="5">
        <v>12.39</v>
      </c>
      <c r="E147" s="5">
        <v>29.5</v>
      </c>
      <c r="F147" s="4" t="s">
        <v>199</v>
      </c>
      <c r="G147" s="2" t="s">
        <v>200</v>
      </c>
      <c r="H147" s="7" t="s">
        <v>91</v>
      </c>
      <c r="I147" s="2" t="s">
        <v>135</v>
      </c>
      <c r="J147" s="2" t="s">
        <v>201</v>
      </c>
      <c r="K147" s="2" t="s">
        <v>304</v>
      </c>
      <c r="L147" s="2" t="s">
        <v>87</v>
      </c>
      <c r="M147" s="8" t="str">
        <f>HYPERLINK("http://slimages.macys.com/is/image/MCY/1477012 ")</f>
        <v xml:space="preserve">http://slimages.macys.com/is/image/MCY/1477012 </v>
      </c>
    </row>
    <row r="148" spans="1:13" ht="60" x14ac:dyDescent="0.25">
      <c r="A148" s="7" t="s">
        <v>2511</v>
      </c>
      <c r="B148" s="2" t="s">
        <v>198</v>
      </c>
      <c r="C148" s="4">
        <v>30</v>
      </c>
      <c r="D148" s="5">
        <v>12.39</v>
      </c>
      <c r="E148" s="5">
        <v>29.5</v>
      </c>
      <c r="F148" s="4" t="s">
        <v>199</v>
      </c>
      <c r="G148" s="2" t="s">
        <v>200</v>
      </c>
      <c r="H148" s="7" t="s">
        <v>42</v>
      </c>
      <c r="I148" s="2" t="s">
        <v>135</v>
      </c>
      <c r="J148" s="2" t="s">
        <v>201</v>
      </c>
      <c r="K148" s="2" t="s">
        <v>304</v>
      </c>
      <c r="L148" s="2" t="s">
        <v>87</v>
      </c>
      <c r="M148" s="8" t="str">
        <f>HYPERLINK("http://slimages.macys.com/is/image/MCY/1477012 ")</f>
        <v xml:space="preserve">http://slimages.macys.com/is/image/MCY/1477012 </v>
      </c>
    </row>
    <row r="149" spans="1:13" ht="144" x14ac:dyDescent="0.25">
      <c r="A149" s="7" t="s">
        <v>3796</v>
      </c>
      <c r="B149" s="2" t="s">
        <v>3797</v>
      </c>
      <c r="C149" s="4">
        <v>1</v>
      </c>
      <c r="D149" s="5">
        <v>12</v>
      </c>
      <c r="E149" s="5">
        <v>32.99</v>
      </c>
      <c r="F149" s="4" t="s">
        <v>3798</v>
      </c>
      <c r="G149" s="2" t="s">
        <v>28</v>
      </c>
      <c r="H149" s="7" t="s">
        <v>91</v>
      </c>
      <c r="I149" s="2" t="s">
        <v>92</v>
      </c>
      <c r="J149" s="2" t="s">
        <v>65</v>
      </c>
      <c r="K149" s="2" t="s">
        <v>304</v>
      </c>
      <c r="L149" s="2" t="s">
        <v>3799</v>
      </c>
      <c r="M149" s="8" t="str">
        <f>HYPERLINK("http://slimages.macys.com/is/image/MCY/13782953 ")</f>
        <v xml:space="preserve">http://slimages.macys.com/is/image/MCY/13782953 </v>
      </c>
    </row>
    <row r="150" spans="1:13" ht="60" x14ac:dyDescent="0.25">
      <c r="A150" s="7" t="s">
        <v>10400</v>
      </c>
      <c r="B150" s="2" t="s">
        <v>8173</v>
      </c>
      <c r="C150" s="4">
        <v>1</v>
      </c>
      <c r="D150" s="5">
        <v>11.77</v>
      </c>
      <c r="E150" s="5">
        <v>30.99</v>
      </c>
      <c r="F150" s="4" t="s">
        <v>8174</v>
      </c>
      <c r="G150" s="2" t="s">
        <v>388</v>
      </c>
      <c r="H150" s="7" t="s">
        <v>159</v>
      </c>
      <c r="I150" s="2" t="s">
        <v>389</v>
      </c>
      <c r="J150" s="2" t="s">
        <v>354</v>
      </c>
      <c r="K150" s="2" t="s">
        <v>304</v>
      </c>
      <c r="L150" s="2" t="s">
        <v>38</v>
      </c>
      <c r="M150" s="8" t="str">
        <f>HYPERLINK("http://slimages.macys.com/is/image/MCY/11163177 ")</f>
        <v xml:space="preserve">http://slimages.macys.com/is/image/MCY/11163177 </v>
      </c>
    </row>
    <row r="151" spans="1:13" ht="60" x14ac:dyDescent="0.25">
      <c r="A151" s="7" t="s">
        <v>3803</v>
      </c>
      <c r="B151" s="2" t="s">
        <v>1491</v>
      </c>
      <c r="C151" s="4">
        <v>1</v>
      </c>
      <c r="D151" s="5">
        <v>11.7</v>
      </c>
      <c r="E151" s="5">
        <v>32.5</v>
      </c>
      <c r="F151" s="4" t="s">
        <v>3802</v>
      </c>
      <c r="G151" s="2" t="s">
        <v>800</v>
      </c>
      <c r="H151" s="7" t="s">
        <v>442</v>
      </c>
      <c r="I151" s="2" t="s">
        <v>92</v>
      </c>
      <c r="J151" s="2" t="s">
        <v>3633</v>
      </c>
      <c r="K151" s="2" t="s">
        <v>304</v>
      </c>
      <c r="L151" s="2" t="s">
        <v>119</v>
      </c>
      <c r="M151" s="8" t="str">
        <f>HYPERLINK("http://slimages.macys.com/is/image/MCY/13859676 ")</f>
        <v xml:space="preserve">http://slimages.macys.com/is/image/MCY/13859676 </v>
      </c>
    </row>
    <row r="152" spans="1:13" ht="60" x14ac:dyDescent="0.25">
      <c r="A152" s="7" t="s">
        <v>3801</v>
      </c>
      <c r="B152" s="2" t="s">
        <v>1491</v>
      </c>
      <c r="C152" s="4">
        <v>1</v>
      </c>
      <c r="D152" s="5">
        <v>11.7</v>
      </c>
      <c r="E152" s="5">
        <v>32.5</v>
      </c>
      <c r="F152" s="4" t="s">
        <v>3802</v>
      </c>
      <c r="G152" s="2" t="s">
        <v>800</v>
      </c>
      <c r="H152" s="7" t="s">
        <v>91</v>
      </c>
      <c r="I152" s="2" t="s">
        <v>92</v>
      </c>
      <c r="J152" s="2" t="s">
        <v>3633</v>
      </c>
      <c r="K152" s="2" t="s">
        <v>304</v>
      </c>
      <c r="L152" s="2" t="s">
        <v>119</v>
      </c>
      <c r="M152" s="8" t="str">
        <f>HYPERLINK("http://slimages.macys.com/is/image/MCY/13859676 ")</f>
        <v xml:space="preserve">http://slimages.macys.com/is/image/MCY/13859676 </v>
      </c>
    </row>
    <row r="153" spans="1:13" ht="108" x14ac:dyDescent="0.25">
      <c r="A153" s="7" t="s">
        <v>3107</v>
      </c>
      <c r="B153" s="2" t="s">
        <v>3108</v>
      </c>
      <c r="C153" s="4">
        <v>1</v>
      </c>
      <c r="D153" s="5">
        <v>11.5</v>
      </c>
      <c r="E153" s="5">
        <v>26.15</v>
      </c>
      <c r="F153" s="4">
        <v>19321110</v>
      </c>
      <c r="G153" s="2" t="s">
        <v>262</v>
      </c>
      <c r="H153" s="7" t="s">
        <v>482</v>
      </c>
      <c r="I153" s="2" t="s">
        <v>153</v>
      </c>
      <c r="J153" s="2" t="s">
        <v>154</v>
      </c>
      <c r="K153" s="2" t="s">
        <v>304</v>
      </c>
      <c r="L153" s="2" t="s">
        <v>3109</v>
      </c>
      <c r="M153" s="8" t="str">
        <f>HYPERLINK("http://slimages.macys.com/is/image/MCY/14608316 ")</f>
        <v xml:space="preserve">http://slimages.macys.com/is/image/MCY/14608316 </v>
      </c>
    </row>
    <row r="154" spans="1:13" ht="60" x14ac:dyDescent="0.25">
      <c r="A154" s="7" t="s">
        <v>794</v>
      </c>
      <c r="B154" s="2" t="s">
        <v>795</v>
      </c>
      <c r="C154" s="4">
        <v>1</v>
      </c>
      <c r="D154" s="5">
        <v>11.4</v>
      </c>
      <c r="E154" s="5">
        <v>28.5</v>
      </c>
      <c r="F154" s="4" t="s">
        <v>796</v>
      </c>
      <c r="G154" s="2" t="s">
        <v>86</v>
      </c>
      <c r="H154" s="7"/>
      <c r="I154" s="2" t="s">
        <v>98</v>
      </c>
      <c r="J154" s="2" t="s">
        <v>99</v>
      </c>
      <c r="K154" s="2" t="s">
        <v>304</v>
      </c>
      <c r="L154" s="2" t="s">
        <v>119</v>
      </c>
      <c r="M154" s="8" t="str">
        <f>HYPERLINK("http://slimages.macys.com/is/image/MCY/14384600 ")</f>
        <v xml:space="preserve">http://slimages.macys.com/is/image/MCY/14384600 </v>
      </c>
    </row>
    <row r="155" spans="1:13" ht="60" x14ac:dyDescent="0.25">
      <c r="A155" s="7" t="s">
        <v>13287</v>
      </c>
      <c r="B155" s="2" t="s">
        <v>13288</v>
      </c>
      <c r="C155" s="4">
        <v>1</v>
      </c>
      <c r="D155" s="5">
        <v>11.13</v>
      </c>
      <c r="E155" s="5">
        <v>23.75</v>
      </c>
      <c r="F155" s="4" t="s">
        <v>13289</v>
      </c>
      <c r="G155" s="2" t="s">
        <v>165</v>
      </c>
      <c r="H155" s="7" t="s">
        <v>196</v>
      </c>
      <c r="I155" s="2" t="s">
        <v>73</v>
      </c>
      <c r="J155" s="2" t="s">
        <v>160</v>
      </c>
      <c r="K155" s="2" t="s">
        <v>304</v>
      </c>
      <c r="L155" s="2" t="s">
        <v>206</v>
      </c>
      <c r="M155" s="8" t="str">
        <f>HYPERLINK("http://slimages.macys.com/is/image/MCY/13839694 ")</f>
        <v xml:space="preserve">http://slimages.macys.com/is/image/MCY/13839694 </v>
      </c>
    </row>
    <row r="156" spans="1:13" ht="144" x14ac:dyDescent="0.25">
      <c r="A156" s="7" t="s">
        <v>232</v>
      </c>
      <c r="B156" s="2" t="s">
        <v>152</v>
      </c>
      <c r="C156" s="4">
        <v>2</v>
      </c>
      <c r="D156" s="5">
        <v>11.1</v>
      </c>
      <c r="E156" s="5">
        <v>25.24</v>
      </c>
      <c r="F156" s="4">
        <v>19318310</v>
      </c>
      <c r="G156" s="2"/>
      <c r="H156" s="7" t="s">
        <v>233</v>
      </c>
      <c r="I156" s="2" t="s">
        <v>153</v>
      </c>
      <c r="J156" s="2" t="s">
        <v>154</v>
      </c>
      <c r="K156" s="2" t="s">
        <v>304</v>
      </c>
      <c r="L156" s="2" t="s">
        <v>234</v>
      </c>
      <c r="M156" s="8" t="str">
        <f>HYPERLINK("http://slimages.macys.com/is/image/MCY/14608343 ")</f>
        <v xml:space="preserve">http://slimages.macys.com/is/image/MCY/14608343 </v>
      </c>
    </row>
    <row r="157" spans="1:13" ht="144" x14ac:dyDescent="0.25">
      <c r="A157" s="7" t="s">
        <v>3811</v>
      </c>
      <c r="B157" s="2" t="s">
        <v>152</v>
      </c>
      <c r="C157" s="4">
        <v>2</v>
      </c>
      <c r="D157" s="5">
        <v>11.1</v>
      </c>
      <c r="E157" s="5">
        <v>25.24</v>
      </c>
      <c r="F157" s="4">
        <v>19318310</v>
      </c>
      <c r="G157" s="2"/>
      <c r="H157" s="7" t="s">
        <v>42</v>
      </c>
      <c r="I157" s="2" t="s">
        <v>153</v>
      </c>
      <c r="J157" s="2" t="s">
        <v>154</v>
      </c>
      <c r="K157" s="2" t="s">
        <v>304</v>
      </c>
      <c r="L157" s="2" t="s">
        <v>234</v>
      </c>
      <c r="M157" s="8" t="str">
        <f>HYPERLINK("http://slimages.macys.com/is/image/MCY/14608343 ")</f>
        <v xml:space="preserve">http://slimages.macys.com/is/image/MCY/14608343 </v>
      </c>
    </row>
    <row r="158" spans="1:13" ht="60" x14ac:dyDescent="0.25">
      <c r="A158" s="7" t="s">
        <v>13290</v>
      </c>
      <c r="B158" s="2" t="s">
        <v>13291</v>
      </c>
      <c r="C158" s="4">
        <v>1</v>
      </c>
      <c r="D158" s="5">
        <v>11</v>
      </c>
      <c r="E158" s="5">
        <v>29.99</v>
      </c>
      <c r="F158" s="4" t="s">
        <v>13292</v>
      </c>
      <c r="G158" s="2" t="s">
        <v>62</v>
      </c>
      <c r="H158" s="7" t="s">
        <v>590</v>
      </c>
      <c r="I158" s="2" t="s">
        <v>92</v>
      </c>
      <c r="J158" s="2" t="s">
        <v>239</v>
      </c>
      <c r="K158" s="2" t="s">
        <v>304</v>
      </c>
      <c r="L158" s="2" t="s">
        <v>100</v>
      </c>
      <c r="M158" s="8" t="str">
        <f>HYPERLINK("http://slimages.macys.com/is/image/MCY/13933713 ")</f>
        <v xml:space="preserve">http://slimages.macys.com/is/image/MCY/13933713 </v>
      </c>
    </row>
    <row r="159" spans="1:13" ht="60" x14ac:dyDescent="0.25">
      <c r="A159" s="7" t="s">
        <v>13293</v>
      </c>
      <c r="B159" s="2" t="s">
        <v>13291</v>
      </c>
      <c r="C159" s="4">
        <v>1</v>
      </c>
      <c r="D159" s="5">
        <v>11</v>
      </c>
      <c r="E159" s="5">
        <v>29.99</v>
      </c>
      <c r="F159" s="4" t="s">
        <v>13292</v>
      </c>
      <c r="G159" s="2" t="s">
        <v>62</v>
      </c>
      <c r="H159" s="7" t="s">
        <v>442</v>
      </c>
      <c r="I159" s="2" t="s">
        <v>92</v>
      </c>
      <c r="J159" s="2" t="s">
        <v>239</v>
      </c>
      <c r="K159" s="2" t="s">
        <v>304</v>
      </c>
      <c r="L159" s="2" t="s">
        <v>100</v>
      </c>
      <c r="M159" s="8" t="str">
        <f>HYPERLINK("http://slimages.macys.com/is/image/MCY/13933713 ")</f>
        <v xml:space="preserve">http://slimages.macys.com/is/image/MCY/13933713 </v>
      </c>
    </row>
    <row r="160" spans="1:13" ht="108" x14ac:dyDescent="0.25">
      <c r="A160" s="7" t="s">
        <v>13294</v>
      </c>
      <c r="B160" s="2" t="s">
        <v>13295</v>
      </c>
      <c r="C160" s="4">
        <v>1</v>
      </c>
      <c r="D160" s="5">
        <v>11</v>
      </c>
      <c r="E160" s="5">
        <v>29.99</v>
      </c>
      <c r="F160" s="4" t="s">
        <v>13296</v>
      </c>
      <c r="G160" s="2" t="s">
        <v>793</v>
      </c>
      <c r="H160" s="7" t="s">
        <v>590</v>
      </c>
      <c r="I160" s="2" t="s">
        <v>92</v>
      </c>
      <c r="J160" s="2" t="s">
        <v>239</v>
      </c>
      <c r="K160" s="2" t="s">
        <v>304</v>
      </c>
      <c r="L160" s="2" t="s">
        <v>13297</v>
      </c>
      <c r="M160" s="8" t="str">
        <f>HYPERLINK("http://slimages.macys.com/is/image/MCY/14989368 ")</f>
        <v xml:space="preserve">http://slimages.macys.com/is/image/MCY/14989368 </v>
      </c>
    </row>
    <row r="161" spans="1:13" ht="60" x14ac:dyDescent="0.25">
      <c r="A161" s="7" t="s">
        <v>13298</v>
      </c>
      <c r="B161" s="2" t="s">
        <v>13299</v>
      </c>
      <c r="C161" s="4">
        <v>1</v>
      </c>
      <c r="D161" s="5">
        <v>11</v>
      </c>
      <c r="E161" s="5">
        <v>29.99</v>
      </c>
      <c r="F161" s="4" t="s">
        <v>13300</v>
      </c>
      <c r="G161" s="2" t="s">
        <v>455</v>
      </c>
      <c r="H161" s="7" t="s">
        <v>442</v>
      </c>
      <c r="I161" s="2" t="s">
        <v>92</v>
      </c>
      <c r="J161" s="2" t="s">
        <v>239</v>
      </c>
      <c r="K161" s="2" t="s">
        <v>304</v>
      </c>
      <c r="L161" s="2" t="s">
        <v>596</v>
      </c>
      <c r="M161" s="8" t="str">
        <f>HYPERLINK("http://slimages.macys.com/is/image/MCY/13933695 ")</f>
        <v xml:space="preserve">http://slimages.macys.com/is/image/MCY/13933695 </v>
      </c>
    </row>
    <row r="162" spans="1:13" ht="180" x14ac:dyDescent="0.25">
      <c r="A162" s="7" t="s">
        <v>235</v>
      </c>
      <c r="B162" s="2" t="s">
        <v>236</v>
      </c>
      <c r="C162" s="4">
        <v>1</v>
      </c>
      <c r="D162" s="5">
        <v>11</v>
      </c>
      <c r="E162" s="5">
        <v>32.99</v>
      </c>
      <c r="F162" s="4" t="s">
        <v>237</v>
      </c>
      <c r="G162" s="2" t="s">
        <v>238</v>
      </c>
      <c r="H162" s="7" t="s">
        <v>42</v>
      </c>
      <c r="I162" s="2" t="s">
        <v>92</v>
      </c>
      <c r="J162" s="2" t="s">
        <v>239</v>
      </c>
      <c r="K162" s="2" t="s">
        <v>304</v>
      </c>
      <c r="L162" s="2" t="s">
        <v>240</v>
      </c>
      <c r="M162" s="8" t="str">
        <f>HYPERLINK("http://slimages.macys.com/is/image/MCY/13933736 ")</f>
        <v xml:space="preserve">http://slimages.macys.com/is/image/MCY/13933736 </v>
      </c>
    </row>
    <row r="163" spans="1:13" ht="168" x14ac:dyDescent="0.25">
      <c r="A163" s="7" t="s">
        <v>13301</v>
      </c>
      <c r="B163" s="2" t="s">
        <v>13302</v>
      </c>
      <c r="C163" s="4">
        <v>1</v>
      </c>
      <c r="D163" s="5">
        <v>11</v>
      </c>
      <c r="E163" s="5">
        <v>34.99</v>
      </c>
      <c r="F163" s="4" t="s">
        <v>13303</v>
      </c>
      <c r="G163" s="2" t="s">
        <v>129</v>
      </c>
      <c r="H163" s="7" t="s">
        <v>42</v>
      </c>
      <c r="I163" s="2" t="s">
        <v>92</v>
      </c>
      <c r="J163" s="2" t="s">
        <v>187</v>
      </c>
      <c r="K163" s="2" t="s">
        <v>304</v>
      </c>
      <c r="L163" s="2" t="s">
        <v>13304</v>
      </c>
      <c r="M163" s="8" t="str">
        <f>HYPERLINK("http://slimages.macys.com/is/image/MCY/14657845 ")</f>
        <v xml:space="preserve">http://slimages.macys.com/is/image/MCY/14657845 </v>
      </c>
    </row>
    <row r="164" spans="1:13" ht="60" x14ac:dyDescent="0.25">
      <c r="A164" s="7" t="s">
        <v>13305</v>
      </c>
      <c r="B164" s="2" t="s">
        <v>13299</v>
      </c>
      <c r="C164" s="4">
        <v>2</v>
      </c>
      <c r="D164" s="5">
        <v>11</v>
      </c>
      <c r="E164" s="5">
        <v>29.99</v>
      </c>
      <c r="F164" s="4" t="s">
        <v>13300</v>
      </c>
      <c r="G164" s="2" t="s">
        <v>455</v>
      </c>
      <c r="H164" s="7" t="s">
        <v>91</v>
      </c>
      <c r="I164" s="2" t="s">
        <v>92</v>
      </c>
      <c r="J164" s="2" t="s">
        <v>239</v>
      </c>
      <c r="K164" s="2" t="s">
        <v>304</v>
      </c>
      <c r="L164" s="2" t="s">
        <v>596</v>
      </c>
      <c r="M164" s="8" t="str">
        <f>HYPERLINK("http://slimages.macys.com/is/image/MCY/13933695 ")</f>
        <v xml:space="preserve">http://slimages.macys.com/is/image/MCY/13933695 </v>
      </c>
    </row>
    <row r="165" spans="1:13" ht="108" x14ac:dyDescent="0.25">
      <c r="A165" s="7" t="s">
        <v>3132</v>
      </c>
      <c r="B165" s="2" t="s">
        <v>2515</v>
      </c>
      <c r="C165" s="4">
        <v>2</v>
      </c>
      <c r="D165" s="5">
        <v>10.75</v>
      </c>
      <c r="E165" s="5">
        <v>27.99</v>
      </c>
      <c r="F165" s="4" t="s">
        <v>2516</v>
      </c>
      <c r="G165" s="2" t="s">
        <v>165</v>
      </c>
      <c r="H165" s="7" t="s">
        <v>123</v>
      </c>
      <c r="I165" s="2" t="s">
        <v>73</v>
      </c>
      <c r="J165" s="2" t="s">
        <v>778</v>
      </c>
      <c r="K165" s="2" t="s">
        <v>304</v>
      </c>
      <c r="L165" s="2" t="s">
        <v>2517</v>
      </c>
      <c r="M165" s="8" t="str">
        <f>HYPERLINK("http://slimages.macys.com/is/image/MCY/12793385 ")</f>
        <v xml:space="preserve">http://slimages.macys.com/is/image/MCY/12793385 </v>
      </c>
    </row>
    <row r="166" spans="1:13" ht="108" x14ac:dyDescent="0.25">
      <c r="A166" s="7" t="s">
        <v>13306</v>
      </c>
      <c r="B166" s="2" t="s">
        <v>2515</v>
      </c>
      <c r="C166" s="4">
        <v>1</v>
      </c>
      <c r="D166" s="5">
        <v>10.75</v>
      </c>
      <c r="E166" s="5">
        <v>27.99</v>
      </c>
      <c r="F166" s="4" t="s">
        <v>2516</v>
      </c>
      <c r="G166" s="2" t="s">
        <v>165</v>
      </c>
      <c r="H166" s="7" t="s">
        <v>68</v>
      </c>
      <c r="I166" s="2" t="s">
        <v>73</v>
      </c>
      <c r="J166" s="2" t="s">
        <v>778</v>
      </c>
      <c r="K166" s="2" t="s">
        <v>304</v>
      </c>
      <c r="L166" s="2" t="s">
        <v>2517</v>
      </c>
      <c r="M166" s="8" t="str">
        <f>HYPERLINK("http://slimages.macys.com/is/image/MCY/12793385 ")</f>
        <v xml:space="preserve">http://slimages.macys.com/is/image/MCY/12793385 </v>
      </c>
    </row>
    <row r="167" spans="1:13" ht="60" x14ac:dyDescent="0.25">
      <c r="A167" s="7" t="s">
        <v>274</v>
      </c>
      <c r="B167" s="2" t="s">
        <v>251</v>
      </c>
      <c r="C167" s="4">
        <v>2</v>
      </c>
      <c r="D167" s="5">
        <v>10.5</v>
      </c>
      <c r="E167" s="5">
        <v>18.989999999999998</v>
      </c>
      <c r="F167" s="4" t="s">
        <v>252</v>
      </c>
      <c r="G167" s="2" t="s">
        <v>253</v>
      </c>
      <c r="H167" s="7" t="s">
        <v>266</v>
      </c>
      <c r="I167" s="2" t="s">
        <v>73</v>
      </c>
      <c r="J167" s="2" t="s">
        <v>249</v>
      </c>
      <c r="K167" s="2" t="s">
        <v>304</v>
      </c>
      <c r="L167" s="2" t="s">
        <v>125</v>
      </c>
      <c r="M167" s="8" t="str">
        <f>HYPERLINK("http://slimages.macys.com/is/image/MCY/14661796 ")</f>
        <v xml:space="preserve">http://slimages.macys.com/is/image/MCY/14661796 </v>
      </c>
    </row>
    <row r="168" spans="1:13" ht="60" x14ac:dyDescent="0.25">
      <c r="A168" s="7" t="s">
        <v>2522</v>
      </c>
      <c r="B168" s="2" t="s">
        <v>255</v>
      </c>
      <c r="C168" s="4">
        <v>1</v>
      </c>
      <c r="D168" s="5">
        <v>10.5</v>
      </c>
      <c r="E168" s="5">
        <v>24.99</v>
      </c>
      <c r="F168" s="4" t="s">
        <v>256</v>
      </c>
      <c r="G168" s="2" t="s">
        <v>86</v>
      </c>
      <c r="H168" s="7" t="s">
        <v>172</v>
      </c>
      <c r="I168" s="2" t="s">
        <v>257</v>
      </c>
      <c r="J168" s="2" t="s">
        <v>258</v>
      </c>
      <c r="K168" s="2" t="s">
        <v>304</v>
      </c>
      <c r="L168" s="2" t="s">
        <v>206</v>
      </c>
      <c r="M168" s="8" t="str">
        <f>HYPERLINK("http://slimages.macys.com/is/image/MCY/11722980 ")</f>
        <v xml:space="preserve">http://slimages.macys.com/is/image/MCY/11722980 </v>
      </c>
    </row>
    <row r="169" spans="1:13" ht="84" x14ac:dyDescent="0.25">
      <c r="A169" s="7" t="s">
        <v>2521</v>
      </c>
      <c r="B169" s="2" t="s">
        <v>809</v>
      </c>
      <c r="C169" s="4">
        <v>1</v>
      </c>
      <c r="D169" s="5">
        <v>10.5</v>
      </c>
      <c r="E169" s="5">
        <v>25.25</v>
      </c>
      <c r="F169" s="4">
        <v>19318710</v>
      </c>
      <c r="G169" s="2"/>
      <c r="H169" s="7" t="s">
        <v>438</v>
      </c>
      <c r="I169" s="2" t="s">
        <v>153</v>
      </c>
      <c r="J169" s="2" t="s">
        <v>154</v>
      </c>
      <c r="K169" s="2" t="s">
        <v>304</v>
      </c>
      <c r="L169" s="2" t="s">
        <v>810</v>
      </c>
      <c r="M169" s="8" t="str">
        <f>HYPERLINK("http://slimages.macys.com/is/image/MCY/14662007 ")</f>
        <v xml:space="preserve">http://slimages.macys.com/is/image/MCY/14662007 </v>
      </c>
    </row>
    <row r="170" spans="1:13" ht="60" x14ac:dyDescent="0.25">
      <c r="A170" s="7" t="s">
        <v>270</v>
      </c>
      <c r="B170" s="2" t="s">
        <v>246</v>
      </c>
      <c r="C170" s="4">
        <v>1</v>
      </c>
      <c r="D170" s="5">
        <v>10.5</v>
      </c>
      <c r="E170" s="5">
        <v>21.99</v>
      </c>
      <c r="F170" s="4" t="s">
        <v>247</v>
      </c>
      <c r="G170" s="2" t="s">
        <v>165</v>
      </c>
      <c r="H170" s="7" t="s">
        <v>166</v>
      </c>
      <c r="I170" s="2" t="s">
        <v>73</v>
      </c>
      <c r="J170" s="2" t="s">
        <v>249</v>
      </c>
      <c r="K170" s="2" t="s">
        <v>304</v>
      </c>
      <c r="L170" s="2" t="s">
        <v>125</v>
      </c>
      <c r="M170" s="8" t="str">
        <f>HYPERLINK("http://slimages.macys.com/is/image/MCY/14661916 ")</f>
        <v xml:space="preserve">http://slimages.macys.com/is/image/MCY/14661916 </v>
      </c>
    </row>
    <row r="171" spans="1:13" ht="60" x14ac:dyDescent="0.25">
      <c r="A171" s="7" t="s">
        <v>265</v>
      </c>
      <c r="B171" s="2" t="s">
        <v>246</v>
      </c>
      <c r="C171" s="4">
        <v>1</v>
      </c>
      <c r="D171" s="5">
        <v>10.5</v>
      </c>
      <c r="E171" s="5">
        <v>21.99</v>
      </c>
      <c r="F171" s="4" t="s">
        <v>247</v>
      </c>
      <c r="G171" s="2" t="s">
        <v>165</v>
      </c>
      <c r="H171" s="7" t="s">
        <v>266</v>
      </c>
      <c r="I171" s="2" t="s">
        <v>73</v>
      </c>
      <c r="J171" s="2" t="s">
        <v>249</v>
      </c>
      <c r="K171" s="2" t="s">
        <v>304</v>
      </c>
      <c r="L171" s="2" t="s">
        <v>125</v>
      </c>
      <c r="M171" s="8" t="str">
        <f>HYPERLINK("http://slimages.macys.com/is/image/MCY/14661916 ")</f>
        <v xml:space="preserve">http://slimages.macys.com/is/image/MCY/14661916 </v>
      </c>
    </row>
    <row r="172" spans="1:13" ht="60" x14ac:dyDescent="0.25">
      <c r="A172" s="7" t="s">
        <v>271</v>
      </c>
      <c r="B172" s="2" t="s">
        <v>251</v>
      </c>
      <c r="C172" s="4">
        <v>1</v>
      </c>
      <c r="D172" s="5">
        <v>10.5</v>
      </c>
      <c r="E172" s="5">
        <v>18.989999999999998</v>
      </c>
      <c r="F172" s="4" t="s">
        <v>252</v>
      </c>
      <c r="G172" s="2" t="s">
        <v>253</v>
      </c>
      <c r="H172" s="7" t="s">
        <v>166</v>
      </c>
      <c r="I172" s="2" t="s">
        <v>73</v>
      </c>
      <c r="J172" s="2" t="s">
        <v>249</v>
      </c>
      <c r="K172" s="2" t="s">
        <v>304</v>
      </c>
      <c r="L172" s="2" t="s">
        <v>125</v>
      </c>
      <c r="M172" s="8" t="str">
        <f>HYPERLINK("http://slimages.macys.com/is/image/MCY/14661796 ")</f>
        <v xml:space="preserve">http://slimages.macys.com/is/image/MCY/14661796 </v>
      </c>
    </row>
    <row r="173" spans="1:13" ht="60" x14ac:dyDescent="0.25">
      <c r="A173" s="7" t="s">
        <v>250</v>
      </c>
      <c r="B173" s="2" t="s">
        <v>251</v>
      </c>
      <c r="C173" s="4">
        <v>1</v>
      </c>
      <c r="D173" s="5">
        <v>10.5</v>
      </c>
      <c r="E173" s="5">
        <v>18.989999999999998</v>
      </c>
      <c r="F173" s="4" t="s">
        <v>252</v>
      </c>
      <c r="G173" s="2" t="s">
        <v>253</v>
      </c>
      <c r="H173" s="7" t="s">
        <v>172</v>
      </c>
      <c r="I173" s="2" t="s">
        <v>73</v>
      </c>
      <c r="J173" s="2" t="s">
        <v>249</v>
      </c>
      <c r="K173" s="2" t="s">
        <v>304</v>
      </c>
      <c r="L173" s="2" t="s">
        <v>125</v>
      </c>
      <c r="M173" s="8" t="str">
        <f>HYPERLINK("http://slimages.macys.com/is/image/MCY/14661796 ")</f>
        <v xml:space="preserve">http://slimages.macys.com/is/image/MCY/14661796 </v>
      </c>
    </row>
    <row r="174" spans="1:13" ht="108" x14ac:dyDescent="0.25">
      <c r="A174" s="7" t="s">
        <v>3137</v>
      </c>
      <c r="B174" s="2" t="s">
        <v>268</v>
      </c>
      <c r="C174" s="4">
        <v>1</v>
      </c>
      <c r="D174" s="5">
        <v>10.5</v>
      </c>
      <c r="E174" s="5">
        <v>25.25</v>
      </c>
      <c r="F174" s="4">
        <v>19319310</v>
      </c>
      <c r="G174" s="2" t="s">
        <v>129</v>
      </c>
      <c r="H174" s="7" t="s">
        <v>91</v>
      </c>
      <c r="I174" s="2" t="s">
        <v>153</v>
      </c>
      <c r="J174" s="2" t="s">
        <v>154</v>
      </c>
      <c r="K174" s="2" t="s">
        <v>304</v>
      </c>
      <c r="L174" s="2" t="s">
        <v>269</v>
      </c>
      <c r="M174" s="8" t="str">
        <f>HYPERLINK("http://slimages.macys.com/is/image/MCY/14662011 ")</f>
        <v xml:space="preserve">http://slimages.macys.com/is/image/MCY/14662011 </v>
      </c>
    </row>
    <row r="175" spans="1:13" ht="108" x14ac:dyDescent="0.25">
      <c r="A175" s="7" t="s">
        <v>13307</v>
      </c>
      <c r="B175" s="2" t="s">
        <v>13308</v>
      </c>
      <c r="C175" s="4">
        <v>1</v>
      </c>
      <c r="D175" s="5">
        <v>10.5</v>
      </c>
      <c r="E175" s="5">
        <v>24.42</v>
      </c>
      <c r="F175" s="4">
        <v>16642710</v>
      </c>
      <c r="G175" s="2"/>
      <c r="H175" s="7" t="s">
        <v>482</v>
      </c>
      <c r="I175" s="2" t="s">
        <v>153</v>
      </c>
      <c r="J175" s="2" t="s">
        <v>154</v>
      </c>
      <c r="K175" s="2" t="s">
        <v>304</v>
      </c>
      <c r="L175" s="2" t="s">
        <v>13309</v>
      </c>
      <c r="M175" s="8" t="str">
        <f>HYPERLINK("http://slimages.macys.com/is/image/MCY/11631823 ")</f>
        <v xml:space="preserve">http://slimages.macys.com/is/image/MCY/11631823 </v>
      </c>
    </row>
    <row r="176" spans="1:13" ht="108" x14ac:dyDescent="0.25">
      <c r="A176" s="7" t="s">
        <v>5271</v>
      </c>
      <c r="B176" s="2" t="s">
        <v>268</v>
      </c>
      <c r="C176" s="4">
        <v>4</v>
      </c>
      <c r="D176" s="5">
        <v>10.5</v>
      </c>
      <c r="E176" s="5">
        <v>25.25</v>
      </c>
      <c r="F176" s="4">
        <v>19319310</v>
      </c>
      <c r="G176" s="2" t="s">
        <v>129</v>
      </c>
      <c r="H176" s="7" t="s">
        <v>438</v>
      </c>
      <c r="I176" s="2" t="s">
        <v>153</v>
      </c>
      <c r="J176" s="2" t="s">
        <v>154</v>
      </c>
      <c r="K176" s="2" t="s">
        <v>304</v>
      </c>
      <c r="L176" s="2" t="s">
        <v>269</v>
      </c>
      <c r="M176" s="8" t="str">
        <f>HYPERLINK("http://slimages.macys.com/is/image/MCY/14662011 ")</f>
        <v xml:space="preserve">http://slimages.macys.com/is/image/MCY/14662011 </v>
      </c>
    </row>
    <row r="177" spans="1:13" ht="84" x14ac:dyDescent="0.25">
      <c r="A177" s="7" t="s">
        <v>808</v>
      </c>
      <c r="B177" s="2" t="s">
        <v>809</v>
      </c>
      <c r="C177" s="4">
        <v>1</v>
      </c>
      <c r="D177" s="5">
        <v>10.5</v>
      </c>
      <c r="E177" s="5">
        <v>25.25</v>
      </c>
      <c r="F177" s="4">
        <v>19318710</v>
      </c>
      <c r="G177" s="2"/>
      <c r="H177" s="7" t="s">
        <v>91</v>
      </c>
      <c r="I177" s="2" t="s">
        <v>153</v>
      </c>
      <c r="J177" s="2" t="s">
        <v>154</v>
      </c>
      <c r="K177" s="2" t="s">
        <v>304</v>
      </c>
      <c r="L177" s="2" t="s">
        <v>810</v>
      </c>
      <c r="M177" s="8" t="str">
        <f>HYPERLINK("http://slimages.macys.com/is/image/MCY/14662007 ")</f>
        <v xml:space="preserve">http://slimages.macys.com/is/image/MCY/14662007 </v>
      </c>
    </row>
    <row r="178" spans="1:13" ht="60" x14ac:dyDescent="0.25">
      <c r="A178" s="7" t="s">
        <v>13310</v>
      </c>
      <c r="B178" s="2" t="s">
        <v>4844</v>
      </c>
      <c r="C178" s="4">
        <v>1</v>
      </c>
      <c r="D178" s="5">
        <v>10.45</v>
      </c>
      <c r="E178" s="5">
        <v>25.99</v>
      </c>
      <c r="F178" s="4" t="s">
        <v>4845</v>
      </c>
      <c r="G178" s="2" t="s">
        <v>28</v>
      </c>
      <c r="H178" s="7" t="s">
        <v>56</v>
      </c>
      <c r="I178" s="2" t="s">
        <v>292</v>
      </c>
      <c r="J178" s="2" t="s">
        <v>293</v>
      </c>
      <c r="K178" s="2" t="s">
        <v>304</v>
      </c>
      <c r="L178" s="2" t="s">
        <v>596</v>
      </c>
      <c r="M178" s="8" t="str">
        <f>HYPERLINK("http://slimages.macys.com/is/image/MCY/15197668 ")</f>
        <v xml:space="preserve">http://slimages.macys.com/is/image/MCY/15197668 </v>
      </c>
    </row>
    <row r="179" spans="1:13" ht="60" x14ac:dyDescent="0.25">
      <c r="A179" s="7" t="s">
        <v>13311</v>
      </c>
      <c r="B179" s="2" t="s">
        <v>13312</v>
      </c>
      <c r="C179" s="4">
        <v>1</v>
      </c>
      <c r="D179" s="5">
        <v>10.17</v>
      </c>
      <c r="E179" s="5">
        <v>25.99</v>
      </c>
      <c r="F179" s="4" t="s">
        <v>13313</v>
      </c>
      <c r="G179" s="2" t="s">
        <v>28</v>
      </c>
      <c r="H179" s="7" t="s">
        <v>172</v>
      </c>
      <c r="I179" s="2" t="s">
        <v>292</v>
      </c>
      <c r="J179" s="2" t="s">
        <v>293</v>
      </c>
      <c r="K179" s="2" t="s">
        <v>304</v>
      </c>
      <c r="L179" s="2" t="s">
        <v>596</v>
      </c>
      <c r="M179" s="8" t="str">
        <f>HYPERLINK("http://slimages.macys.com/is/image/MCY/9901903 ")</f>
        <v xml:space="preserve">http://slimages.macys.com/is/image/MCY/9901903 </v>
      </c>
    </row>
    <row r="180" spans="1:13" ht="192" x14ac:dyDescent="0.25">
      <c r="A180" s="7" t="s">
        <v>13314</v>
      </c>
      <c r="B180" s="2" t="s">
        <v>8739</v>
      </c>
      <c r="C180" s="4">
        <v>1</v>
      </c>
      <c r="D180" s="5">
        <v>10.16</v>
      </c>
      <c r="E180" s="5">
        <v>27</v>
      </c>
      <c r="F180" s="4" t="s">
        <v>8740</v>
      </c>
      <c r="G180" s="2" t="s">
        <v>41</v>
      </c>
      <c r="H180" s="7"/>
      <c r="I180" s="2" t="s">
        <v>483</v>
      </c>
      <c r="J180" s="2" t="s">
        <v>536</v>
      </c>
      <c r="K180" s="2" t="s">
        <v>304</v>
      </c>
      <c r="L180" s="2" t="s">
        <v>8741</v>
      </c>
      <c r="M180" s="8" t="str">
        <f>HYPERLINK("http://slimages.macys.com/is/image/MCY/12644530 ")</f>
        <v xml:space="preserve">http://slimages.macys.com/is/image/MCY/12644530 </v>
      </c>
    </row>
    <row r="181" spans="1:13" ht="60" x14ac:dyDescent="0.25">
      <c r="A181" s="7" t="s">
        <v>3873</v>
      </c>
      <c r="B181" s="2" t="s">
        <v>3219</v>
      </c>
      <c r="C181" s="4">
        <v>1</v>
      </c>
      <c r="D181" s="5">
        <v>9.6</v>
      </c>
      <c r="E181" s="5">
        <v>23.99</v>
      </c>
      <c r="F181" s="4" t="s">
        <v>3874</v>
      </c>
      <c r="G181" s="2" t="s">
        <v>171</v>
      </c>
      <c r="H181" s="7" t="s">
        <v>179</v>
      </c>
      <c r="I181" s="2" t="s">
        <v>173</v>
      </c>
      <c r="J181" s="2" t="s">
        <v>174</v>
      </c>
      <c r="K181" s="2" t="s">
        <v>304</v>
      </c>
      <c r="L181" s="2" t="s">
        <v>2540</v>
      </c>
      <c r="M181" s="8" t="str">
        <f>HYPERLINK("http://slimages.macys.com/is/image/MCY/12726096 ")</f>
        <v xml:space="preserve">http://slimages.macys.com/is/image/MCY/12726096 </v>
      </c>
    </row>
    <row r="182" spans="1:13" ht="60" x14ac:dyDescent="0.25">
      <c r="A182" s="7" t="s">
        <v>11407</v>
      </c>
      <c r="B182" s="2" t="s">
        <v>7405</v>
      </c>
      <c r="C182" s="4">
        <v>1</v>
      </c>
      <c r="D182" s="5">
        <v>9.6</v>
      </c>
      <c r="E182" s="5">
        <v>23.99</v>
      </c>
      <c r="F182" s="4" t="s">
        <v>7406</v>
      </c>
      <c r="G182" s="2" t="s">
        <v>171</v>
      </c>
      <c r="H182" s="7"/>
      <c r="I182" s="2" t="s">
        <v>173</v>
      </c>
      <c r="J182" s="2" t="s">
        <v>174</v>
      </c>
      <c r="K182" s="2" t="s">
        <v>304</v>
      </c>
      <c r="L182" s="2" t="s">
        <v>3223</v>
      </c>
      <c r="M182" s="8" t="str">
        <f>HYPERLINK("http://slimages.macys.com/is/image/MCY/9357273 ")</f>
        <v xml:space="preserve">http://slimages.macys.com/is/image/MCY/9357273 </v>
      </c>
    </row>
    <row r="183" spans="1:13" ht="60" x14ac:dyDescent="0.25">
      <c r="A183" s="7" t="s">
        <v>5303</v>
      </c>
      <c r="B183" s="2" t="s">
        <v>5304</v>
      </c>
      <c r="C183" s="4">
        <v>1</v>
      </c>
      <c r="D183" s="5">
        <v>9.4</v>
      </c>
      <c r="E183" s="5">
        <v>24.99</v>
      </c>
      <c r="F183" s="4" t="s">
        <v>5305</v>
      </c>
      <c r="G183" s="2" t="s">
        <v>310</v>
      </c>
      <c r="H183" s="7" t="s">
        <v>177</v>
      </c>
      <c r="I183" s="2" t="s">
        <v>312</v>
      </c>
      <c r="J183" s="2" t="s">
        <v>1618</v>
      </c>
      <c r="K183" s="2" t="s">
        <v>304</v>
      </c>
      <c r="L183" s="2" t="s">
        <v>125</v>
      </c>
      <c r="M183" s="8" t="str">
        <f>HYPERLINK("http://slimages.macys.com/is/image/MCY/13294910 ")</f>
        <v xml:space="preserve">http://slimages.macys.com/is/image/MCY/13294910 </v>
      </c>
    </row>
    <row r="184" spans="1:13" ht="60" x14ac:dyDescent="0.25">
      <c r="A184" s="7" t="s">
        <v>13315</v>
      </c>
      <c r="B184" s="2" t="s">
        <v>13316</v>
      </c>
      <c r="C184" s="4">
        <v>2</v>
      </c>
      <c r="D184" s="5">
        <v>9.4</v>
      </c>
      <c r="E184" s="5">
        <v>20.43</v>
      </c>
      <c r="F184" s="4" t="s">
        <v>13317</v>
      </c>
      <c r="G184" s="2" t="s">
        <v>28</v>
      </c>
      <c r="H184" s="7" t="s">
        <v>11821</v>
      </c>
      <c r="I184" s="2" t="s">
        <v>30</v>
      </c>
      <c r="J184" s="2" t="s">
        <v>136</v>
      </c>
      <c r="K184" s="2" t="s">
        <v>304</v>
      </c>
      <c r="L184" s="2" t="s">
        <v>119</v>
      </c>
      <c r="M184" s="8" t="str">
        <f>HYPERLINK("http://slimages.macys.com/is/image/MCY/8641795 ")</f>
        <v xml:space="preserve">http://slimages.macys.com/is/image/MCY/8641795 </v>
      </c>
    </row>
    <row r="185" spans="1:13" ht="60" x14ac:dyDescent="0.25">
      <c r="A185" s="7" t="s">
        <v>13318</v>
      </c>
      <c r="B185" s="2" t="s">
        <v>327</v>
      </c>
      <c r="C185" s="4">
        <v>1</v>
      </c>
      <c r="D185" s="5">
        <v>9.36</v>
      </c>
      <c r="E185" s="5">
        <v>39</v>
      </c>
      <c r="F185" s="4">
        <v>329204</v>
      </c>
      <c r="G185" s="2"/>
      <c r="H185" s="7" t="s">
        <v>4804</v>
      </c>
      <c r="I185" s="2" t="s">
        <v>50</v>
      </c>
      <c r="J185" s="2" t="s">
        <v>51</v>
      </c>
      <c r="K185" s="2" t="s">
        <v>304</v>
      </c>
      <c r="L185" s="2" t="s">
        <v>328</v>
      </c>
      <c r="M185" s="8" t="str">
        <f>HYPERLINK("http://slimages.macys.com/is/image/MCY/10277385 ")</f>
        <v xml:space="preserve">http://slimages.macys.com/is/image/MCY/10277385 </v>
      </c>
    </row>
    <row r="186" spans="1:13" ht="60" x14ac:dyDescent="0.25">
      <c r="A186" s="7" t="s">
        <v>3208</v>
      </c>
      <c r="B186" s="2" t="s">
        <v>3209</v>
      </c>
      <c r="C186" s="4">
        <v>1</v>
      </c>
      <c r="D186" s="5">
        <v>9.25</v>
      </c>
      <c r="E186" s="5">
        <v>19.989999999999998</v>
      </c>
      <c r="F186" s="4" t="s">
        <v>3210</v>
      </c>
      <c r="G186" s="2" t="s">
        <v>353</v>
      </c>
      <c r="H186" s="7" t="s">
        <v>531</v>
      </c>
      <c r="I186" s="2" t="s">
        <v>815</v>
      </c>
      <c r="J186" s="2" t="s">
        <v>3211</v>
      </c>
      <c r="K186" s="2" t="s">
        <v>304</v>
      </c>
      <c r="L186" s="2" t="s">
        <v>3212</v>
      </c>
      <c r="M186" s="8" t="str">
        <f>HYPERLINK("http://slimages.macys.com/is/image/MCY/13054653 ")</f>
        <v xml:space="preserve">http://slimages.macys.com/is/image/MCY/13054653 </v>
      </c>
    </row>
    <row r="187" spans="1:13" ht="60" x14ac:dyDescent="0.25">
      <c r="A187" s="7" t="s">
        <v>13319</v>
      </c>
      <c r="B187" s="2" t="s">
        <v>3898</v>
      </c>
      <c r="C187" s="4">
        <v>1</v>
      </c>
      <c r="D187" s="5">
        <v>9.1</v>
      </c>
      <c r="E187" s="5">
        <v>20.99</v>
      </c>
      <c r="F187" s="4" t="s">
        <v>3899</v>
      </c>
      <c r="G187" s="2" t="s">
        <v>165</v>
      </c>
      <c r="H187" s="7" t="s">
        <v>63</v>
      </c>
      <c r="I187" s="2" t="s">
        <v>73</v>
      </c>
      <c r="J187" s="2" t="s">
        <v>778</v>
      </c>
      <c r="K187" s="2" t="s">
        <v>304</v>
      </c>
      <c r="L187" s="2" t="s">
        <v>3900</v>
      </c>
      <c r="M187" s="8" t="str">
        <f>HYPERLINK("http://slimages.macys.com/is/image/MCY/12800705 ")</f>
        <v xml:space="preserve">http://slimages.macys.com/is/image/MCY/12800705 </v>
      </c>
    </row>
    <row r="188" spans="1:13" ht="60" x14ac:dyDescent="0.25">
      <c r="A188" s="7" t="s">
        <v>3917</v>
      </c>
      <c r="B188" s="2" t="s">
        <v>374</v>
      </c>
      <c r="C188" s="4">
        <v>1</v>
      </c>
      <c r="D188" s="5">
        <v>8.75</v>
      </c>
      <c r="E188" s="5">
        <v>18.989999999999998</v>
      </c>
      <c r="F188" s="4" t="s">
        <v>375</v>
      </c>
      <c r="G188" s="2" t="s">
        <v>165</v>
      </c>
      <c r="H188" s="7" t="s">
        <v>266</v>
      </c>
      <c r="I188" s="2" t="s">
        <v>73</v>
      </c>
      <c r="J188" s="2" t="s">
        <v>249</v>
      </c>
      <c r="K188" s="2" t="s">
        <v>304</v>
      </c>
      <c r="L188" s="2" t="s">
        <v>358</v>
      </c>
      <c r="M188" s="8" t="str">
        <f>HYPERLINK("http://slimages.macys.com/is/image/MCY/14601682 ")</f>
        <v xml:space="preserve">http://slimages.macys.com/is/image/MCY/14601682 </v>
      </c>
    </row>
    <row r="189" spans="1:13" ht="60" x14ac:dyDescent="0.25">
      <c r="A189" s="7" t="s">
        <v>13320</v>
      </c>
      <c r="B189" s="2" t="s">
        <v>374</v>
      </c>
      <c r="C189" s="4">
        <v>1</v>
      </c>
      <c r="D189" s="5">
        <v>8.75</v>
      </c>
      <c r="E189" s="5">
        <v>18.989999999999998</v>
      </c>
      <c r="F189" s="4" t="s">
        <v>375</v>
      </c>
      <c r="G189" s="2" t="s">
        <v>165</v>
      </c>
      <c r="H189" s="7" t="s">
        <v>248</v>
      </c>
      <c r="I189" s="2" t="s">
        <v>73</v>
      </c>
      <c r="J189" s="2" t="s">
        <v>249</v>
      </c>
      <c r="K189" s="2" t="s">
        <v>304</v>
      </c>
      <c r="L189" s="2" t="s">
        <v>358</v>
      </c>
      <c r="M189" s="8" t="str">
        <f>HYPERLINK("http://slimages.macys.com/is/image/MCY/14601682 ")</f>
        <v xml:space="preserve">http://slimages.macys.com/is/image/MCY/14601682 </v>
      </c>
    </row>
    <row r="190" spans="1:13" ht="60" x14ac:dyDescent="0.25">
      <c r="A190" s="7" t="s">
        <v>368</v>
      </c>
      <c r="B190" s="2" t="s">
        <v>365</v>
      </c>
      <c r="C190" s="4">
        <v>2</v>
      </c>
      <c r="D190" s="5">
        <v>8.75</v>
      </c>
      <c r="E190" s="5">
        <v>18.989999999999998</v>
      </c>
      <c r="F190" s="4" t="s">
        <v>366</v>
      </c>
      <c r="G190" s="2" t="s">
        <v>134</v>
      </c>
      <c r="H190" s="7" t="s">
        <v>248</v>
      </c>
      <c r="I190" s="2" t="s">
        <v>73</v>
      </c>
      <c r="J190" s="2" t="s">
        <v>249</v>
      </c>
      <c r="K190" s="2" t="s">
        <v>304</v>
      </c>
      <c r="L190" s="2" t="s">
        <v>367</v>
      </c>
      <c r="M190" s="8" t="str">
        <f>HYPERLINK("http://slimages.macys.com/is/image/MCY/14601680 ")</f>
        <v xml:space="preserve">http://slimages.macys.com/is/image/MCY/14601680 </v>
      </c>
    </row>
    <row r="191" spans="1:13" ht="60" x14ac:dyDescent="0.25">
      <c r="A191" s="7" t="s">
        <v>870</v>
      </c>
      <c r="B191" s="2" t="s">
        <v>853</v>
      </c>
      <c r="C191" s="4">
        <v>3</v>
      </c>
      <c r="D191" s="5">
        <v>8.75</v>
      </c>
      <c r="E191" s="5">
        <v>19.989999999999998</v>
      </c>
      <c r="F191" s="4" t="s">
        <v>854</v>
      </c>
      <c r="G191" s="2" t="s">
        <v>858</v>
      </c>
      <c r="H191" s="7"/>
      <c r="I191" s="2" t="s">
        <v>815</v>
      </c>
      <c r="J191" s="2" t="s">
        <v>778</v>
      </c>
      <c r="K191" s="2" t="s">
        <v>304</v>
      </c>
      <c r="L191" s="2" t="s">
        <v>125</v>
      </c>
      <c r="M191" s="8" t="str">
        <f>HYPERLINK("http://slimages.macys.com/is/image/MCY/11724609 ")</f>
        <v xml:space="preserve">http://slimages.macys.com/is/image/MCY/11724609 </v>
      </c>
    </row>
    <row r="192" spans="1:13" ht="60" x14ac:dyDescent="0.25">
      <c r="A192" s="7" t="s">
        <v>866</v>
      </c>
      <c r="B192" s="2" t="s">
        <v>867</v>
      </c>
      <c r="C192" s="4">
        <v>1</v>
      </c>
      <c r="D192" s="5">
        <v>8.75</v>
      </c>
      <c r="E192" s="5">
        <v>19.989999999999998</v>
      </c>
      <c r="F192" s="4" t="s">
        <v>868</v>
      </c>
      <c r="G192" s="2" t="s">
        <v>858</v>
      </c>
      <c r="H192" s="7"/>
      <c r="I192" s="2" t="s">
        <v>815</v>
      </c>
      <c r="J192" s="2" t="s">
        <v>778</v>
      </c>
      <c r="K192" s="2" t="s">
        <v>304</v>
      </c>
      <c r="L192" s="2" t="s">
        <v>125</v>
      </c>
      <c r="M192" s="8" t="str">
        <f>HYPERLINK("http://slimages.macys.com/is/image/MCY/9953202 ")</f>
        <v xml:space="preserve">http://slimages.macys.com/is/image/MCY/9953202 </v>
      </c>
    </row>
    <row r="193" spans="1:13" ht="60" x14ac:dyDescent="0.25">
      <c r="A193" s="7" t="s">
        <v>9434</v>
      </c>
      <c r="B193" s="2" t="s">
        <v>9435</v>
      </c>
      <c r="C193" s="4">
        <v>1</v>
      </c>
      <c r="D193" s="5">
        <v>8.75</v>
      </c>
      <c r="E193" s="5">
        <v>19.989999999999998</v>
      </c>
      <c r="F193" s="4" t="s">
        <v>9436</v>
      </c>
      <c r="G193" s="2" t="s">
        <v>858</v>
      </c>
      <c r="H193" s="7"/>
      <c r="I193" s="2" t="s">
        <v>815</v>
      </c>
      <c r="J193" s="2" t="s">
        <v>778</v>
      </c>
      <c r="K193" s="2" t="s">
        <v>304</v>
      </c>
      <c r="L193" s="2" t="s">
        <v>125</v>
      </c>
      <c r="M193" s="8" t="str">
        <f>HYPERLINK("http://slimages.macys.com/is/image/MCY/12671528 ")</f>
        <v xml:space="preserve">http://slimages.macys.com/is/image/MCY/12671528 </v>
      </c>
    </row>
    <row r="194" spans="1:13" ht="120" x14ac:dyDescent="0.25">
      <c r="A194" s="7" t="s">
        <v>13321</v>
      </c>
      <c r="B194" s="2" t="s">
        <v>360</v>
      </c>
      <c r="C194" s="4">
        <v>1</v>
      </c>
      <c r="D194" s="5">
        <v>8.75</v>
      </c>
      <c r="E194" s="5">
        <v>24.99</v>
      </c>
      <c r="F194" s="4" t="s">
        <v>361</v>
      </c>
      <c r="G194" s="2" t="s">
        <v>310</v>
      </c>
      <c r="H194" s="7" t="s">
        <v>123</v>
      </c>
      <c r="I194" s="2" t="s">
        <v>342</v>
      </c>
      <c r="J194" s="2" t="s">
        <v>362</v>
      </c>
      <c r="K194" s="2" t="s">
        <v>304</v>
      </c>
      <c r="L194" s="2" t="s">
        <v>1657</v>
      </c>
      <c r="M194" s="8" t="str">
        <f>HYPERLINK("http://slimages.macys.com/is/image/MCY/14399757 ")</f>
        <v xml:space="preserve">http://slimages.macys.com/is/image/MCY/14399757 </v>
      </c>
    </row>
    <row r="195" spans="1:13" ht="60" x14ac:dyDescent="0.25">
      <c r="A195" s="7" t="s">
        <v>865</v>
      </c>
      <c r="B195" s="2" t="s">
        <v>860</v>
      </c>
      <c r="C195" s="4">
        <v>3</v>
      </c>
      <c r="D195" s="5">
        <v>8.75</v>
      </c>
      <c r="E195" s="5">
        <v>19.989999999999998</v>
      </c>
      <c r="F195" s="4" t="s">
        <v>864</v>
      </c>
      <c r="G195" s="2" t="s">
        <v>165</v>
      </c>
      <c r="H195" s="7"/>
      <c r="I195" s="2" t="s">
        <v>815</v>
      </c>
      <c r="J195" s="2" t="s">
        <v>778</v>
      </c>
      <c r="K195" s="2" t="s">
        <v>304</v>
      </c>
      <c r="L195" s="2" t="s">
        <v>125</v>
      </c>
      <c r="M195" s="8" t="str">
        <f>HYPERLINK("http://slimages.macys.com/is/image/MCY/11954929 ")</f>
        <v xml:space="preserve">http://slimages.macys.com/is/image/MCY/11954929 </v>
      </c>
    </row>
    <row r="196" spans="1:13" ht="72" x14ac:dyDescent="0.25">
      <c r="A196" s="7" t="s">
        <v>13322</v>
      </c>
      <c r="B196" s="2" t="s">
        <v>3925</v>
      </c>
      <c r="C196" s="4">
        <v>1</v>
      </c>
      <c r="D196" s="5">
        <v>8.5</v>
      </c>
      <c r="E196" s="5">
        <v>20</v>
      </c>
      <c r="F196" s="4" t="s">
        <v>3926</v>
      </c>
      <c r="G196" s="2" t="s">
        <v>171</v>
      </c>
      <c r="H196" s="7" t="s">
        <v>123</v>
      </c>
      <c r="I196" s="2" t="s">
        <v>380</v>
      </c>
      <c r="J196" s="2" t="s">
        <v>381</v>
      </c>
      <c r="K196" s="2" t="s">
        <v>304</v>
      </c>
      <c r="L196" s="2" t="s">
        <v>382</v>
      </c>
      <c r="M196" s="8" t="str">
        <f>HYPERLINK("http://slimages.macys.com/is/image/MCY/12550115 ")</f>
        <v xml:space="preserve">http://slimages.macys.com/is/image/MCY/12550115 </v>
      </c>
    </row>
    <row r="197" spans="1:13" ht="60" x14ac:dyDescent="0.25">
      <c r="A197" s="7" t="s">
        <v>13323</v>
      </c>
      <c r="B197" s="2" t="s">
        <v>13324</v>
      </c>
      <c r="C197" s="4">
        <v>1</v>
      </c>
      <c r="D197" s="5">
        <v>8.4</v>
      </c>
      <c r="E197" s="5">
        <v>18.989999999999998</v>
      </c>
      <c r="F197" s="4" t="s">
        <v>13325</v>
      </c>
      <c r="G197" s="2" t="s">
        <v>874</v>
      </c>
      <c r="H197" s="7" t="s">
        <v>63</v>
      </c>
      <c r="I197" s="2" t="s">
        <v>73</v>
      </c>
      <c r="J197" s="2" t="s">
        <v>778</v>
      </c>
      <c r="K197" s="2" t="s">
        <v>304</v>
      </c>
      <c r="L197" s="2" t="s">
        <v>3900</v>
      </c>
      <c r="M197" s="8" t="str">
        <f>HYPERLINK("http://slimages.macys.com/is/image/MCY/12793373 ")</f>
        <v xml:space="preserve">http://slimages.macys.com/is/image/MCY/12793373 </v>
      </c>
    </row>
    <row r="198" spans="1:13" ht="108" x14ac:dyDescent="0.25">
      <c r="A198" s="7" t="s">
        <v>13326</v>
      </c>
      <c r="B198" s="2" t="s">
        <v>13327</v>
      </c>
      <c r="C198" s="4">
        <v>1</v>
      </c>
      <c r="D198" s="5">
        <v>8.25</v>
      </c>
      <c r="E198" s="5">
        <v>19.989999999999998</v>
      </c>
      <c r="F198" s="4" t="s">
        <v>13328</v>
      </c>
      <c r="G198" s="2" t="s">
        <v>1747</v>
      </c>
      <c r="H198" s="7" t="s">
        <v>442</v>
      </c>
      <c r="I198" s="2" t="s">
        <v>135</v>
      </c>
      <c r="J198" s="2" t="s">
        <v>778</v>
      </c>
      <c r="K198" s="2" t="s">
        <v>304</v>
      </c>
      <c r="L198" s="2" t="s">
        <v>13329</v>
      </c>
      <c r="M198" s="8" t="str">
        <f>HYPERLINK("http://slimages.macys.com/is/image/MCY/12236499 ")</f>
        <v xml:space="preserve">http://slimages.macys.com/is/image/MCY/12236499 </v>
      </c>
    </row>
    <row r="199" spans="1:13" ht="60" x14ac:dyDescent="0.25">
      <c r="A199" s="7" t="s">
        <v>3262</v>
      </c>
      <c r="B199" s="2" t="s">
        <v>2564</v>
      </c>
      <c r="C199" s="4">
        <v>1</v>
      </c>
      <c r="D199" s="5">
        <v>8.25</v>
      </c>
      <c r="E199" s="5">
        <v>22.99</v>
      </c>
      <c r="F199" s="4" t="s">
        <v>2565</v>
      </c>
      <c r="G199" s="2" t="s">
        <v>62</v>
      </c>
      <c r="H199" s="7" t="s">
        <v>217</v>
      </c>
      <c r="I199" s="2" t="s">
        <v>468</v>
      </c>
      <c r="J199" s="2" t="s">
        <v>544</v>
      </c>
      <c r="K199" s="2" t="s">
        <v>304</v>
      </c>
      <c r="L199" s="2" t="s">
        <v>119</v>
      </c>
      <c r="M199" s="8" t="str">
        <f>HYPERLINK("http://slimages.macys.com/is/image/MCY/15447987 ")</f>
        <v xml:space="preserve">http://slimages.macys.com/is/image/MCY/15447987 </v>
      </c>
    </row>
    <row r="200" spans="1:13" ht="60" x14ac:dyDescent="0.25">
      <c r="A200" s="7" t="s">
        <v>13330</v>
      </c>
      <c r="B200" s="2" t="s">
        <v>3948</v>
      </c>
      <c r="C200" s="4">
        <v>1</v>
      </c>
      <c r="D200" s="5">
        <v>8.2100000000000009</v>
      </c>
      <c r="E200" s="5">
        <v>26.99</v>
      </c>
      <c r="F200" s="4" t="s">
        <v>3949</v>
      </c>
      <c r="G200" s="2" t="s">
        <v>171</v>
      </c>
      <c r="H200" s="7" t="s">
        <v>228</v>
      </c>
      <c r="I200" s="2" t="s">
        <v>389</v>
      </c>
      <c r="J200" s="2" t="s">
        <v>354</v>
      </c>
      <c r="K200" s="2" t="s">
        <v>304</v>
      </c>
      <c r="L200" s="2" t="s">
        <v>390</v>
      </c>
      <c r="M200" s="8" t="str">
        <f>HYPERLINK("http://slimages.macys.com/is/image/MCY/12122029 ")</f>
        <v xml:space="preserve">http://slimages.macys.com/is/image/MCY/12122029 </v>
      </c>
    </row>
    <row r="201" spans="1:13" ht="60" x14ac:dyDescent="0.25">
      <c r="A201" s="7" t="s">
        <v>3939</v>
      </c>
      <c r="B201" s="2" t="s">
        <v>3940</v>
      </c>
      <c r="C201" s="4">
        <v>1</v>
      </c>
      <c r="D201" s="5">
        <v>8.2100000000000009</v>
      </c>
      <c r="E201" s="5">
        <v>19.989999999999998</v>
      </c>
      <c r="F201" s="4" t="s">
        <v>3941</v>
      </c>
      <c r="G201" s="2" t="s">
        <v>657</v>
      </c>
      <c r="H201" s="7" t="s">
        <v>159</v>
      </c>
      <c r="I201" s="2" t="s">
        <v>292</v>
      </c>
      <c r="J201" s="2" t="s">
        <v>293</v>
      </c>
      <c r="K201" s="2" t="s">
        <v>304</v>
      </c>
      <c r="L201" s="2" t="s">
        <v>119</v>
      </c>
      <c r="M201" s="8" t="str">
        <f>HYPERLINK("http://slimages.macys.com/is/image/MCY/15197620 ")</f>
        <v xml:space="preserve">http://slimages.macys.com/is/image/MCY/15197620 </v>
      </c>
    </row>
    <row r="202" spans="1:13" ht="60" x14ac:dyDescent="0.25">
      <c r="A202" s="7" t="s">
        <v>8820</v>
      </c>
      <c r="B202" s="2" t="s">
        <v>3940</v>
      </c>
      <c r="C202" s="4">
        <v>1</v>
      </c>
      <c r="D202" s="5">
        <v>8.2100000000000009</v>
      </c>
      <c r="E202" s="5">
        <v>19.989999999999998</v>
      </c>
      <c r="F202" s="4" t="s">
        <v>3941</v>
      </c>
      <c r="G202" s="2" t="s">
        <v>657</v>
      </c>
      <c r="H202" s="7" t="s">
        <v>217</v>
      </c>
      <c r="I202" s="2" t="s">
        <v>292</v>
      </c>
      <c r="J202" s="2" t="s">
        <v>293</v>
      </c>
      <c r="K202" s="2" t="s">
        <v>304</v>
      </c>
      <c r="L202" s="2" t="s">
        <v>119</v>
      </c>
      <c r="M202" s="8" t="str">
        <f>HYPERLINK("http://slimages.macys.com/is/image/MCY/15197620 ")</f>
        <v xml:space="preserve">http://slimages.macys.com/is/image/MCY/15197620 </v>
      </c>
    </row>
    <row r="203" spans="1:13" ht="60" x14ac:dyDescent="0.25">
      <c r="A203" s="7" t="s">
        <v>13331</v>
      </c>
      <c r="B203" s="2" t="s">
        <v>3943</v>
      </c>
      <c r="C203" s="4">
        <v>1</v>
      </c>
      <c r="D203" s="5">
        <v>8.2100000000000009</v>
      </c>
      <c r="E203" s="5">
        <v>22.99</v>
      </c>
      <c r="F203" s="4" t="s">
        <v>3944</v>
      </c>
      <c r="G203" s="2" t="s">
        <v>582</v>
      </c>
      <c r="H203" s="7" t="s">
        <v>159</v>
      </c>
      <c r="I203" s="2" t="s">
        <v>389</v>
      </c>
      <c r="J203" s="2" t="s">
        <v>354</v>
      </c>
      <c r="K203" s="2" t="s">
        <v>304</v>
      </c>
      <c r="L203" s="2" t="s">
        <v>390</v>
      </c>
      <c r="M203" s="8" t="str">
        <f>HYPERLINK("http://slimages.macys.com/is/image/MCY/13638249 ")</f>
        <v xml:space="preserve">http://slimages.macys.com/is/image/MCY/13638249 </v>
      </c>
    </row>
    <row r="204" spans="1:13" ht="60" x14ac:dyDescent="0.25">
      <c r="A204" s="7" t="s">
        <v>1707</v>
      </c>
      <c r="B204" s="2" t="s">
        <v>887</v>
      </c>
      <c r="C204" s="4">
        <v>1</v>
      </c>
      <c r="D204" s="5">
        <v>8.01</v>
      </c>
      <c r="E204" s="5">
        <v>17.989999999999998</v>
      </c>
      <c r="F204" s="4" t="s">
        <v>888</v>
      </c>
      <c r="G204" s="2" t="s">
        <v>103</v>
      </c>
      <c r="H204" s="7" t="s">
        <v>228</v>
      </c>
      <c r="I204" s="2" t="s">
        <v>80</v>
      </c>
      <c r="J204" s="2" t="s">
        <v>160</v>
      </c>
      <c r="K204" s="2" t="s">
        <v>304</v>
      </c>
      <c r="L204" s="2" t="s">
        <v>206</v>
      </c>
      <c r="M204" s="8" t="str">
        <f>HYPERLINK("http://slimages.macys.com/is/image/MCY/13758779 ")</f>
        <v xml:space="preserve">http://slimages.macys.com/is/image/MCY/13758779 </v>
      </c>
    </row>
    <row r="205" spans="1:13" ht="60" x14ac:dyDescent="0.25">
      <c r="A205" s="7" t="s">
        <v>13332</v>
      </c>
      <c r="B205" s="2" t="s">
        <v>405</v>
      </c>
      <c r="C205" s="4">
        <v>1</v>
      </c>
      <c r="D205" s="5">
        <v>8.01</v>
      </c>
      <c r="E205" s="5">
        <v>17.989999999999998</v>
      </c>
      <c r="F205" s="4" t="s">
        <v>406</v>
      </c>
      <c r="G205" s="2" t="s">
        <v>165</v>
      </c>
      <c r="H205" s="7" t="s">
        <v>228</v>
      </c>
      <c r="I205" s="2" t="s">
        <v>80</v>
      </c>
      <c r="J205" s="2" t="s">
        <v>160</v>
      </c>
      <c r="K205" s="2" t="s">
        <v>304</v>
      </c>
      <c r="L205" s="2" t="s">
        <v>206</v>
      </c>
      <c r="M205" s="8" t="str">
        <f>HYPERLINK("http://slimages.macys.com/is/image/MCY/13758788 ")</f>
        <v xml:space="preserve">http://slimages.macys.com/is/image/MCY/13758788 </v>
      </c>
    </row>
    <row r="206" spans="1:13" ht="60" x14ac:dyDescent="0.25">
      <c r="A206" s="7" t="s">
        <v>401</v>
      </c>
      <c r="B206" s="2" t="s">
        <v>402</v>
      </c>
      <c r="C206" s="4">
        <v>1</v>
      </c>
      <c r="D206" s="5">
        <v>8.01</v>
      </c>
      <c r="E206" s="5">
        <v>17.989999999999998</v>
      </c>
      <c r="F206" s="4" t="s">
        <v>403</v>
      </c>
      <c r="G206" s="2" t="s">
        <v>41</v>
      </c>
      <c r="H206" s="7" t="s">
        <v>228</v>
      </c>
      <c r="I206" s="2" t="s">
        <v>80</v>
      </c>
      <c r="J206" s="2" t="s">
        <v>160</v>
      </c>
      <c r="K206" s="2" t="s">
        <v>304</v>
      </c>
      <c r="L206" s="2" t="s">
        <v>206</v>
      </c>
      <c r="M206" s="8" t="str">
        <f>HYPERLINK("http://slimages.macys.com/is/image/MCY/14716448 ")</f>
        <v xml:space="preserve">http://slimages.macys.com/is/image/MCY/14716448 </v>
      </c>
    </row>
    <row r="207" spans="1:13" ht="60" x14ac:dyDescent="0.25">
      <c r="A207" s="7" t="s">
        <v>13333</v>
      </c>
      <c r="B207" s="2" t="s">
        <v>13334</v>
      </c>
      <c r="C207" s="4">
        <v>1</v>
      </c>
      <c r="D207" s="5">
        <v>8</v>
      </c>
      <c r="E207" s="5">
        <v>20</v>
      </c>
      <c r="F207" s="4">
        <v>1331678</v>
      </c>
      <c r="G207" s="2" t="s">
        <v>28</v>
      </c>
      <c r="H207" s="7" t="s">
        <v>228</v>
      </c>
      <c r="I207" s="2" t="s">
        <v>73</v>
      </c>
      <c r="J207" s="2" t="s">
        <v>280</v>
      </c>
      <c r="K207" s="2" t="s">
        <v>304</v>
      </c>
      <c r="L207" s="2" t="s">
        <v>125</v>
      </c>
      <c r="M207" s="8" t="str">
        <f>HYPERLINK("http://slimages.macys.com/is/image/MCY/15919079 ")</f>
        <v xml:space="preserve">http://slimages.macys.com/is/image/MCY/15919079 </v>
      </c>
    </row>
    <row r="208" spans="1:13" ht="60" x14ac:dyDescent="0.25">
      <c r="A208" s="7" t="s">
        <v>13335</v>
      </c>
      <c r="B208" s="2" t="s">
        <v>4899</v>
      </c>
      <c r="C208" s="4">
        <v>1</v>
      </c>
      <c r="D208" s="5">
        <v>8</v>
      </c>
      <c r="E208" s="5">
        <v>20</v>
      </c>
      <c r="F208" s="4">
        <v>1331677</v>
      </c>
      <c r="G208" s="2"/>
      <c r="H208" s="7" t="s">
        <v>196</v>
      </c>
      <c r="I208" s="2" t="s">
        <v>73</v>
      </c>
      <c r="J208" s="2" t="s">
        <v>280</v>
      </c>
      <c r="K208" s="2" t="s">
        <v>304</v>
      </c>
      <c r="L208" s="2" t="s">
        <v>125</v>
      </c>
      <c r="M208" s="8" t="str">
        <f>HYPERLINK("http://slimages.macys.com/is/image/MCY/10126834 ")</f>
        <v xml:space="preserve">http://slimages.macys.com/is/image/MCY/10126834 </v>
      </c>
    </row>
    <row r="209" spans="1:13" ht="60" x14ac:dyDescent="0.25">
      <c r="A209" s="7" t="s">
        <v>9474</v>
      </c>
      <c r="B209" s="2" t="s">
        <v>4899</v>
      </c>
      <c r="C209" s="4">
        <v>1</v>
      </c>
      <c r="D209" s="5">
        <v>8</v>
      </c>
      <c r="E209" s="5">
        <v>20</v>
      </c>
      <c r="F209" s="4">
        <v>1331677</v>
      </c>
      <c r="G209" s="2"/>
      <c r="H209" s="7" t="s">
        <v>228</v>
      </c>
      <c r="I209" s="2" t="s">
        <v>73</v>
      </c>
      <c r="J209" s="2" t="s">
        <v>280</v>
      </c>
      <c r="K209" s="2" t="s">
        <v>304</v>
      </c>
      <c r="L209" s="2" t="s">
        <v>125</v>
      </c>
      <c r="M209" s="8" t="str">
        <f>HYPERLINK("http://slimages.macys.com/is/image/MCY/10126834 ")</f>
        <v xml:space="preserve">http://slimages.macys.com/is/image/MCY/10126834 </v>
      </c>
    </row>
    <row r="210" spans="1:13" ht="60" x14ac:dyDescent="0.25">
      <c r="A210" s="7" t="s">
        <v>13336</v>
      </c>
      <c r="B210" s="2" t="s">
        <v>13337</v>
      </c>
      <c r="C210" s="4">
        <v>1</v>
      </c>
      <c r="D210" s="5">
        <v>8</v>
      </c>
      <c r="E210" s="5">
        <v>17.989999999999998</v>
      </c>
      <c r="F210" s="4" t="s">
        <v>13338</v>
      </c>
      <c r="G210" s="2" t="s">
        <v>793</v>
      </c>
      <c r="H210" s="7" t="s">
        <v>123</v>
      </c>
      <c r="I210" s="2" t="s">
        <v>73</v>
      </c>
      <c r="J210" s="2" t="s">
        <v>464</v>
      </c>
      <c r="K210" s="2" t="s">
        <v>304</v>
      </c>
      <c r="L210" s="2" t="s">
        <v>224</v>
      </c>
      <c r="M210" s="8" t="str">
        <f>HYPERLINK("http://slimages.macys.com/is/image/MCY/12076718 ")</f>
        <v xml:space="preserve">http://slimages.macys.com/is/image/MCY/12076718 </v>
      </c>
    </row>
    <row r="211" spans="1:13" ht="60" x14ac:dyDescent="0.25">
      <c r="A211" s="7" t="s">
        <v>3279</v>
      </c>
      <c r="B211" s="2" t="s">
        <v>3280</v>
      </c>
      <c r="C211" s="4">
        <v>1</v>
      </c>
      <c r="D211" s="5">
        <v>7.88</v>
      </c>
      <c r="E211" s="5">
        <v>16.989999999999998</v>
      </c>
      <c r="F211" s="4" t="s">
        <v>3281</v>
      </c>
      <c r="G211" s="2" t="s">
        <v>1265</v>
      </c>
      <c r="H211" s="7" t="s">
        <v>531</v>
      </c>
      <c r="I211" s="2" t="s">
        <v>483</v>
      </c>
      <c r="J211" s="2" t="s">
        <v>484</v>
      </c>
      <c r="K211" s="2" t="s">
        <v>304</v>
      </c>
      <c r="L211" s="2" t="s">
        <v>3282</v>
      </c>
      <c r="M211" s="8" t="str">
        <f>HYPERLINK("http://slimages.macys.com/is/image/MCY/12818419 ")</f>
        <v xml:space="preserve">http://slimages.macys.com/is/image/MCY/12818419 </v>
      </c>
    </row>
    <row r="212" spans="1:13" ht="96" x14ac:dyDescent="0.25">
      <c r="A212" s="7" t="s">
        <v>9494</v>
      </c>
      <c r="B212" s="2" t="s">
        <v>9491</v>
      </c>
      <c r="C212" s="4">
        <v>1</v>
      </c>
      <c r="D212" s="5">
        <v>7.6</v>
      </c>
      <c r="E212" s="5">
        <v>17.28</v>
      </c>
      <c r="F212" s="4">
        <v>18373810</v>
      </c>
      <c r="G212" s="2"/>
      <c r="H212" s="7" t="s">
        <v>91</v>
      </c>
      <c r="I212" s="2" t="s">
        <v>153</v>
      </c>
      <c r="J212" s="2" t="s">
        <v>154</v>
      </c>
      <c r="K212" s="2" t="s">
        <v>304</v>
      </c>
      <c r="L212" s="2" t="s">
        <v>439</v>
      </c>
      <c r="M212" s="8" t="str">
        <f>HYPERLINK("http://slimages.macys.com/is/image/MCY/14608293 ")</f>
        <v xml:space="preserve">http://slimages.macys.com/is/image/MCY/14608293 </v>
      </c>
    </row>
    <row r="213" spans="1:13" ht="60" x14ac:dyDescent="0.25">
      <c r="A213" s="7" t="s">
        <v>1736</v>
      </c>
      <c r="B213" s="2" t="s">
        <v>1731</v>
      </c>
      <c r="C213" s="4">
        <v>2</v>
      </c>
      <c r="D213" s="5">
        <v>7.5</v>
      </c>
      <c r="E213" s="5">
        <v>16.989999999999998</v>
      </c>
      <c r="F213" s="4" t="s">
        <v>1732</v>
      </c>
      <c r="G213" s="2" t="s">
        <v>347</v>
      </c>
      <c r="H213" s="7" t="s">
        <v>159</v>
      </c>
      <c r="I213" s="2" t="s">
        <v>30</v>
      </c>
      <c r="J213" s="2" t="s">
        <v>446</v>
      </c>
      <c r="K213" s="2" t="s">
        <v>304</v>
      </c>
      <c r="L213" s="2" t="s">
        <v>1733</v>
      </c>
      <c r="M213" s="8" t="str">
        <f>HYPERLINK("http://slimages.macys.com/is/image/MCY/12071765 ")</f>
        <v xml:space="preserve">http://slimages.macys.com/is/image/MCY/12071765 </v>
      </c>
    </row>
    <row r="214" spans="1:13" ht="60" x14ac:dyDescent="0.25">
      <c r="A214" s="7" t="s">
        <v>6849</v>
      </c>
      <c r="B214" s="2" t="s">
        <v>6842</v>
      </c>
      <c r="C214" s="4">
        <v>1</v>
      </c>
      <c r="D214" s="5">
        <v>7.5</v>
      </c>
      <c r="E214" s="5">
        <v>16.989999999999998</v>
      </c>
      <c r="F214" s="4" t="s">
        <v>6843</v>
      </c>
      <c r="G214" s="2" t="s">
        <v>657</v>
      </c>
      <c r="H214" s="7" t="s">
        <v>228</v>
      </c>
      <c r="I214" s="2" t="s">
        <v>30</v>
      </c>
      <c r="J214" s="2" t="s">
        <v>446</v>
      </c>
      <c r="K214" s="2" t="s">
        <v>304</v>
      </c>
      <c r="L214" s="2" t="s">
        <v>4095</v>
      </c>
      <c r="M214" s="8" t="str">
        <f>HYPERLINK("http://slimages.macys.com/is/image/MCY/12071766 ")</f>
        <v xml:space="preserve">http://slimages.macys.com/is/image/MCY/12071766 </v>
      </c>
    </row>
    <row r="215" spans="1:13" ht="60" x14ac:dyDescent="0.25">
      <c r="A215" s="7" t="s">
        <v>13339</v>
      </c>
      <c r="B215" s="2" t="s">
        <v>13340</v>
      </c>
      <c r="C215" s="4">
        <v>1</v>
      </c>
      <c r="D215" s="5">
        <v>7.35</v>
      </c>
      <c r="E215" s="5">
        <v>14.7</v>
      </c>
      <c r="F215" s="4">
        <v>26489510</v>
      </c>
      <c r="G215" s="2"/>
      <c r="H215" s="7"/>
      <c r="I215" s="2" t="s">
        <v>487</v>
      </c>
      <c r="J215" s="2" t="s">
        <v>2424</v>
      </c>
      <c r="K215" s="2" t="s">
        <v>304</v>
      </c>
      <c r="L215" s="2" t="s">
        <v>13341</v>
      </c>
      <c r="M215" s="8" t="str">
        <f>HYPERLINK("http://slimages.macys.com/is/image/MCY/11501011 ")</f>
        <v xml:space="preserve">http://slimages.macys.com/is/image/MCY/11501011 </v>
      </c>
    </row>
    <row r="216" spans="1:13" ht="60" x14ac:dyDescent="0.25">
      <c r="A216" s="7" t="s">
        <v>13342</v>
      </c>
      <c r="B216" s="2" t="s">
        <v>13343</v>
      </c>
      <c r="C216" s="4">
        <v>1</v>
      </c>
      <c r="D216" s="5">
        <v>7.05</v>
      </c>
      <c r="E216" s="5">
        <v>12.99</v>
      </c>
      <c r="F216" s="4" t="s">
        <v>13344</v>
      </c>
      <c r="G216" s="2" t="s">
        <v>262</v>
      </c>
      <c r="H216" s="7"/>
      <c r="I216" s="2" t="s">
        <v>153</v>
      </c>
      <c r="J216" s="2" t="s">
        <v>154</v>
      </c>
      <c r="K216" s="2" t="s">
        <v>304</v>
      </c>
      <c r="L216" s="2" t="s">
        <v>206</v>
      </c>
      <c r="M216" s="8" t="str">
        <f>HYPERLINK("http://slimages.macys.com/is/image/MCY/9644636 ")</f>
        <v xml:space="preserve">http://slimages.macys.com/is/image/MCY/9644636 </v>
      </c>
    </row>
    <row r="217" spans="1:13" ht="60" x14ac:dyDescent="0.25">
      <c r="A217" s="7" t="s">
        <v>13345</v>
      </c>
      <c r="B217" s="2" t="s">
        <v>4046</v>
      </c>
      <c r="C217" s="4">
        <v>1</v>
      </c>
      <c r="D217" s="5">
        <v>7</v>
      </c>
      <c r="E217" s="5">
        <v>15.99</v>
      </c>
      <c r="F217" s="4" t="s">
        <v>4047</v>
      </c>
      <c r="G217" s="2" t="s">
        <v>1265</v>
      </c>
      <c r="H217" s="7" t="s">
        <v>144</v>
      </c>
      <c r="I217" s="2" t="s">
        <v>73</v>
      </c>
      <c r="J217" s="2" t="s">
        <v>464</v>
      </c>
      <c r="K217" s="2" t="s">
        <v>304</v>
      </c>
      <c r="L217" s="2" t="s">
        <v>119</v>
      </c>
      <c r="M217" s="8" t="str">
        <f>HYPERLINK("http://slimages.macys.com/is/image/MCY/12667161 ")</f>
        <v xml:space="preserve">http://slimages.macys.com/is/image/MCY/12667161 </v>
      </c>
    </row>
    <row r="218" spans="1:13" ht="60" x14ac:dyDescent="0.25">
      <c r="A218" s="7" t="s">
        <v>13346</v>
      </c>
      <c r="B218" s="2" t="s">
        <v>4053</v>
      </c>
      <c r="C218" s="4">
        <v>1</v>
      </c>
      <c r="D218" s="5">
        <v>7</v>
      </c>
      <c r="E218" s="5">
        <v>36</v>
      </c>
      <c r="F218" s="4" t="s">
        <v>4054</v>
      </c>
      <c r="G218" s="2" t="s">
        <v>353</v>
      </c>
      <c r="H218" s="7" t="s">
        <v>2872</v>
      </c>
      <c r="I218" s="2" t="s">
        <v>50</v>
      </c>
      <c r="J218" s="2" t="s">
        <v>650</v>
      </c>
      <c r="K218" s="2" t="s">
        <v>304</v>
      </c>
      <c r="L218" s="2" t="s">
        <v>328</v>
      </c>
      <c r="M218" s="8" t="str">
        <f>HYPERLINK("http://slimages.macys.com/is/image/MCY/9856914 ")</f>
        <v xml:space="preserve">http://slimages.macys.com/is/image/MCY/9856914 </v>
      </c>
    </row>
    <row r="219" spans="1:13" ht="60" x14ac:dyDescent="0.25">
      <c r="A219" s="7" t="s">
        <v>13347</v>
      </c>
      <c r="B219" s="2" t="s">
        <v>13348</v>
      </c>
      <c r="C219" s="4">
        <v>1</v>
      </c>
      <c r="D219" s="5">
        <v>7</v>
      </c>
      <c r="E219" s="5">
        <v>16.989999999999998</v>
      </c>
      <c r="F219" s="4" t="s">
        <v>13349</v>
      </c>
      <c r="G219" s="2" t="s">
        <v>62</v>
      </c>
      <c r="H219" s="7" t="s">
        <v>228</v>
      </c>
      <c r="I219" s="2" t="s">
        <v>173</v>
      </c>
      <c r="J219" s="2" t="s">
        <v>6709</v>
      </c>
      <c r="K219" s="2" t="s">
        <v>304</v>
      </c>
      <c r="L219" s="2" t="s">
        <v>119</v>
      </c>
      <c r="M219" s="8" t="str">
        <f>HYPERLINK("http://slimages.macys.com/is/image/MCY/11792327 ")</f>
        <v xml:space="preserve">http://slimages.macys.com/is/image/MCY/11792327 </v>
      </c>
    </row>
    <row r="220" spans="1:13" ht="60" x14ac:dyDescent="0.25">
      <c r="A220" s="7" t="s">
        <v>13350</v>
      </c>
      <c r="B220" s="2" t="s">
        <v>13351</v>
      </c>
      <c r="C220" s="4">
        <v>1</v>
      </c>
      <c r="D220" s="5">
        <v>6.95</v>
      </c>
      <c r="E220" s="5">
        <v>19.989999999999998</v>
      </c>
      <c r="F220" s="4" t="s">
        <v>13352</v>
      </c>
      <c r="G220" s="2" t="s">
        <v>310</v>
      </c>
      <c r="H220" s="7" t="s">
        <v>68</v>
      </c>
      <c r="I220" s="2" t="s">
        <v>312</v>
      </c>
      <c r="J220" s="2" t="s">
        <v>313</v>
      </c>
      <c r="K220" s="2" t="s">
        <v>304</v>
      </c>
      <c r="L220" s="2" t="s">
        <v>125</v>
      </c>
      <c r="M220" s="8" t="str">
        <f>HYPERLINK("http://slimages.macys.com/is/image/MCY/14540213 ")</f>
        <v xml:space="preserve">http://slimages.macys.com/is/image/MCY/14540213 </v>
      </c>
    </row>
    <row r="221" spans="1:13" ht="60" x14ac:dyDescent="0.25">
      <c r="A221" s="7" t="s">
        <v>13353</v>
      </c>
      <c r="B221" s="2" t="s">
        <v>4070</v>
      </c>
      <c r="C221" s="4">
        <v>1</v>
      </c>
      <c r="D221" s="5">
        <v>6.79</v>
      </c>
      <c r="E221" s="5">
        <v>16.989999999999998</v>
      </c>
      <c r="F221" s="4" t="s">
        <v>4071</v>
      </c>
      <c r="G221" s="2" t="s">
        <v>262</v>
      </c>
      <c r="H221" s="7" t="s">
        <v>91</v>
      </c>
      <c r="I221" s="2" t="s">
        <v>483</v>
      </c>
      <c r="J221" s="2" t="s">
        <v>536</v>
      </c>
      <c r="K221" s="2" t="s">
        <v>304</v>
      </c>
      <c r="L221" s="2" t="s">
        <v>38</v>
      </c>
      <c r="M221" s="8" t="str">
        <f>HYPERLINK("http://slimages.macys.com/is/image/MCY/14385171 ")</f>
        <v xml:space="preserve">http://slimages.macys.com/is/image/MCY/14385171 </v>
      </c>
    </row>
    <row r="222" spans="1:13" ht="60" x14ac:dyDescent="0.25">
      <c r="A222" s="7" t="s">
        <v>7567</v>
      </c>
      <c r="B222" s="2" t="s">
        <v>4097</v>
      </c>
      <c r="C222" s="4">
        <v>1</v>
      </c>
      <c r="D222" s="5">
        <v>6.75</v>
      </c>
      <c r="E222" s="5">
        <v>16.989999999999998</v>
      </c>
      <c r="F222" s="4" t="s">
        <v>4098</v>
      </c>
      <c r="G222" s="2" t="s">
        <v>892</v>
      </c>
      <c r="H222" s="7"/>
      <c r="I222" s="2" t="s">
        <v>321</v>
      </c>
      <c r="J222" s="2" t="s">
        <v>477</v>
      </c>
      <c r="K222" s="2" t="s">
        <v>304</v>
      </c>
      <c r="L222" s="2" t="s">
        <v>125</v>
      </c>
      <c r="M222" s="8" t="str">
        <f>HYPERLINK("http://slimages.macys.com/is/image/MCY/13860370 ")</f>
        <v xml:space="preserve">http://slimages.macys.com/is/image/MCY/13860370 </v>
      </c>
    </row>
    <row r="223" spans="1:13" ht="60" x14ac:dyDescent="0.25">
      <c r="A223" s="7" t="s">
        <v>2598</v>
      </c>
      <c r="B223" s="2" t="s">
        <v>2592</v>
      </c>
      <c r="C223" s="4">
        <v>1</v>
      </c>
      <c r="D223" s="5">
        <v>6.75</v>
      </c>
      <c r="E223" s="5">
        <v>16.989999999999998</v>
      </c>
      <c r="F223" s="4" t="s">
        <v>2593</v>
      </c>
      <c r="G223" s="2" t="s">
        <v>129</v>
      </c>
      <c r="H223" s="7" t="s">
        <v>144</v>
      </c>
      <c r="I223" s="2" t="s">
        <v>135</v>
      </c>
      <c r="J223" s="2" t="s">
        <v>1076</v>
      </c>
      <c r="K223" s="2" t="s">
        <v>304</v>
      </c>
      <c r="L223" s="2" t="s">
        <v>125</v>
      </c>
      <c r="M223" s="8" t="str">
        <f>HYPERLINK("http://slimages.macys.com/is/image/MCY/15654559 ")</f>
        <v xml:space="preserve">http://slimages.macys.com/is/image/MCY/15654559 </v>
      </c>
    </row>
    <row r="224" spans="1:13" ht="60" x14ac:dyDescent="0.25">
      <c r="A224" s="7" t="s">
        <v>13354</v>
      </c>
      <c r="B224" s="2" t="s">
        <v>2592</v>
      </c>
      <c r="C224" s="4">
        <v>1</v>
      </c>
      <c r="D224" s="5">
        <v>6.75</v>
      </c>
      <c r="E224" s="5">
        <v>16.989999999999998</v>
      </c>
      <c r="F224" s="4" t="s">
        <v>2593</v>
      </c>
      <c r="G224" s="2" t="s">
        <v>129</v>
      </c>
      <c r="H224" s="7" t="s">
        <v>209</v>
      </c>
      <c r="I224" s="2" t="s">
        <v>135</v>
      </c>
      <c r="J224" s="2" t="s">
        <v>1076</v>
      </c>
      <c r="K224" s="2" t="s">
        <v>304</v>
      </c>
      <c r="L224" s="2" t="s">
        <v>125</v>
      </c>
      <c r="M224" s="8" t="str">
        <f>HYPERLINK("http://slimages.macys.com/is/image/MCY/15654559 ")</f>
        <v xml:space="preserve">http://slimages.macys.com/is/image/MCY/15654559 </v>
      </c>
    </row>
    <row r="225" spans="1:13" ht="60" x14ac:dyDescent="0.25">
      <c r="A225" s="7" t="s">
        <v>4090</v>
      </c>
      <c r="B225" s="2" t="s">
        <v>2592</v>
      </c>
      <c r="C225" s="4">
        <v>1</v>
      </c>
      <c r="D225" s="5">
        <v>6.75</v>
      </c>
      <c r="E225" s="5">
        <v>16.989999999999998</v>
      </c>
      <c r="F225" s="4" t="s">
        <v>2593</v>
      </c>
      <c r="G225" s="2" t="s">
        <v>129</v>
      </c>
      <c r="H225" s="7"/>
      <c r="I225" s="2" t="s">
        <v>135</v>
      </c>
      <c r="J225" s="2" t="s">
        <v>1076</v>
      </c>
      <c r="K225" s="2" t="s">
        <v>304</v>
      </c>
      <c r="L225" s="2" t="s">
        <v>125</v>
      </c>
      <c r="M225" s="8" t="str">
        <f>HYPERLINK("http://slimages.macys.com/is/image/MCY/15654559 ")</f>
        <v xml:space="preserve">http://slimages.macys.com/is/image/MCY/15654559 </v>
      </c>
    </row>
    <row r="226" spans="1:13" ht="60" x14ac:dyDescent="0.25">
      <c r="A226" s="7" t="s">
        <v>2591</v>
      </c>
      <c r="B226" s="2" t="s">
        <v>2592</v>
      </c>
      <c r="C226" s="4">
        <v>3</v>
      </c>
      <c r="D226" s="5">
        <v>6.75</v>
      </c>
      <c r="E226" s="5">
        <v>16.989999999999998</v>
      </c>
      <c r="F226" s="4" t="s">
        <v>2593</v>
      </c>
      <c r="G226" s="2" t="s">
        <v>129</v>
      </c>
      <c r="H226" s="7" t="s">
        <v>68</v>
      </c>
      <c r="I226" s="2" t="s">
        <v>135</v>
      </c>
      <c r="J226" s="2" t="s">
        <v>1076</v>
      </c>
      <c r="K226" s="2" t="s">
        <v>304</v>
      </c>
      <c r="L226" s="2" t="s">
        <v>125</v>
      </c>
      <c r="M226" s="8" t="str">
        <f>HYPERLINK("http://slimages.macys.com/is/image/MCY/15654559 ")</f>
        <v xml:space="preserve">http://slimages.macys.com/is/image/MCY/15654559 </v>
      </c>
    </row>
    <row r="227" spans="1:13" ht="120" x14ac:dyDescent="0.25">
      <c r="A227" s="7" t="s">
        <v>12007</v>
      </c>
      <c r="B227" s="2" t="s">
        <v>12008</v>
      </c>
      <c r="C227" s="4">
        <v>1</v>
      </c>
      <c r="D227" s="5">
        <v>6.75</v>
      </c>
      <c r="E227" s="5">
        <v>18</v>
      </c>
      <c r="F227" s="4">
        <v>7122</v>
      </c>
      <c r="G227" s="2" t="s">
        <v>41</v>
      </c>
      <c r="H227" s="7" t="s">
        <v>228</v>
      </c>
      <c r="I227" s="2" t="s">
        <v>43</v>
      </c>
      <c r="J227" s="2" t="s">
        <v>44</v>
      </c>
      <c r="K227" s="2" t="s">
        <v>304</v>
      </c>
      <c r="L227" s="2" t="s">
        <v>12009</v>
      </c>
      <c r="M227" s="8" t="str">
        <f>HYPERLINK("http://slimages.macys.com/is/image/MCY/694346 ")</f>
        <v xml:space="preserve">http://slimages.macys.com/is/image/MCY/694346 </v>
      </c>
    </row>
    <row r="228" spans="1:13" ht="60" x14ac:dyDescent="0.25">
      <c r="A228" s="7" t="s">
        <v>13355</v>
      </c>
      <c r="B228" s="2" t="s">
        <v>4105</v>
      </c>
      <c r="C228" s="4">
        <v>1</v>
      </c>
      <c r="D228" s="5">
        <v>6.6</v>
      </c>
      <c r="E228" s="5">
        <v>30.5</v>
      </c>
      <c r="F228" s="4" t="s">
        <v>4106</v>
      </c>
      <c r="G228" s="2" t="s">
        <v>437</v>
      </c>
      <c r="H228" s="7" t="s">
        <v>56</v>
      </c>
      <c r="I228" s="2" t="s">
        <v>468</v>
      </c>
      <c r="J228" s="2" t="s">
        <v>4107</v>
      </c>
      <c r="K228" s="2" t="s">
        <v>304</v>
      </c>
      <c r="L228" s="2" t="s">
        <v>100</v>
      </c>
      <c r="M228" s="8" t="str">
        <f>HYPERLINK("http://slimages.macys.com/is/image/MCY/10751477 ")</f>
        <v xml:space="preserve">http://slimages.macys.com/is/image/MCY/10751477 </v>
      </c>
    </row>
    <row r="229" spans="1:13" ht="60" x14ac:dyDescent="0.25">
      <c r="A229" s="7" t="s">
        <v>13356</v>
      </c>
      <c r="B229" s="2" t="s">
        <v>4105</v>
      </c>
      <c r="C229" s="4">
        <v>4</v>
      </c>
      <c r="D229" s="5">
        <v>6.6</v>
      </c>
      <c r="E229" s="5">
        <v>30.5</v>
      </c>
      <c r="F229" s="4" t="s">
        <v>4106</v>
      </c>
      <c r="G229" s="2" t="s">
        <v>437</v>
      </c>
      <c r="H229" s="7" t="s">
        <v>172</v>
      </c>
      <c r="I229" s="2" t="s">
        <v>468</v>
      </c>
      <c r="J229" s="2" t="s">
        <v>4107</v>
      </c>
      <c r="K229" s="2" t="s">
        <v>304</v>
      </c>
      <c r="L229" s="2" t="s">
        <v>100</v>
      </c>
      <c r="M229" s="8" t="str">
        <f>HYPERLINK("http://slimages.macys.com/is/image/MCY/10751477 ")</f>
        <v xml:space="preserve">http://slimages.macys.com/is/image/MCY/10751477 </v>
      </c>
    </row>
    <row r="230" spans="1:13" ht="60" x14ac:dyDescent="0.25">
      <c r="A230" s="7" t="s">
        <v>13357</v>
      </c>
      <c r="B230" s="2" t="s">
        <v>4105</v>
      </c>
      <c r="C230" s="4">
        <v>1</v>
      </c>
      <c r="D230" s="5">
        <v>6.6</v>
      </c>
      <c r="E230" s="5">
        <v>30.5</v>
      </c>
      <c r="F230" s="4" t="s">
        <v>4106</v>
      </c>
      <c r="G230" s="2" t="s">
        <v>437</v>
      </c>
      <c r="H230" s="7" t="s">
        <v>97</v>
      </c>
      <c r="I230" s="2" t="s">
        <v>468</v>
      </c>
      <c r="J230" s="2" t="s">
        <v>4107</v>
      </c>
      <c r="K230" s="2" t="s">
        <v>304</v>
      </c>
      <c r="L230" s="2" t="s">
        <v>100</v>
      </c>
      <c r="M230" s="8" t="str">
        <f>HYPERLINK("http://slimages.macys.com/is/image/MCY/10751477 ")</f>
        <v xml:space="preserve">http://slimages.macys.com/is/image/MCY/10751477 </v>
      </c>
    </row>
    <row r="231" spans="1:13" ht="60" x14ac:dyDescent="0.25">
      <c r="A231" s="7" t="s">
        <v>13358</v>
      </c>
      <c r="B231" s="2" t="s">
        <v>5445</v>
      </c>
      <c r="C231" s="4">
        <v>1</v>
      </c>
      <c r="D231" s="5">
        <v>6.51</v>
      </c>
      <c r="E231" s="5">
        <v>16.989999999999998</v>
      </c>
      <c r="F231" s="4" t="s">
        <v>5446</v>
      </c>
      <c r="G231" s="2" t="s">
        <v>2913</v>
      </c>
      <c r="H231" s="7" t="s">
        <v>317</v>
      </c>
      <c r="I231" s="2" t="s">
        <v>483</v>
      </c>
      <c r="J231" s="2" t="s">
        <v>4858</v>
      </c>
      <c r="K231" s="2" t="s">
        <v>304</v>
      </c>
      <c r="L231" s="2" t="s">
        <v>5447</v>
      </c>
      <c r="M231" s="8" t="str">
        <f>HYPERLINK("http://slimages.macys.com/is/image/MCY/10276661 ")</f>
        <v xml:space="preserve">http://slimages.macys.com/is/image/MCY/10276661 </v>
      </c>
    </row>
    <row r="232" spans="1:13" ht="60" x14ac:dyDescent="0.25">
      <c r="A232" s="7" t="s">
        <v>8936</v>
      </c>
      <c r="B232" s="2" t="s">
        <v>8937</v>
      </c>
      <c r="C232" s="4">
        <v>1</v>
      </c>
      <c r="D232" s="5">
        <v>6.5</v>
      </c>
      <c r="E232" s="5">
        <v>16.989999999999998</v>
      </c>
      <c r="F232" s="4" t="s">
        <v>8938</v>
      </c>
      <c r="G232" s="2" t="s">
        <v>858</v>
      </c>
      <c r="H232" s="7" t="s">
        <v>618</v>
      </c>
      <c r="I232" s="2" t="s">
        <v>483</v>
      </c>
      <c r="J232" s="2" t="s">
        <v>4858</v>
      </c>
      <c r="K232" s="2" t="s">
        <v>304</v>
      </c>
      <c r="L232" s="2" t="s">
        <v>5447</v>
      </c>
      <c r="M232" s="8" t="str">
        <f>HYPERLINK("http://slimages.macys.com/is/image/MCY/10276820 ")</f>
        <v xml:space="preserve">http://slimages.macys.com/is/image/MCY/10276820 </v>
      </c>
    </row>
    <row r="233" spans="1:13" ht="72" x14ac:dyDescent="0.25">
      <c r="A233" s="7" t="s">
        <v>4945</v>
      </c>
      <c r="B233" s="2" t="s">
        <v>4946</v>
      </c>
      <c r="C233" s="4">
        <v>3</v>
      </c>
      <c r="D233" s="5">
        <v>6.4</v>
      </c>
      <c r="E233" s="5">
        <v>16</v>
      </c>
      <c r="F233" s="4" t="s">
        <v>4947</v>
      </c>
      <c r="G233" s="2" t="s">
        <v>62</v>
      </c>
      <c r="H233" s="7"/>
      <c r="I233" s="2" t="s">
        <v>523</v>
      </c>
      <c r="J233" s="2" t="s">
        <v>937</v>
      </c>
      <c r="K233" s="2" t="s">
        <v>304</v>
      </c>
      <c r="L233" s="2" t="s">
        <v>938</v>
      </c>
      <c r="M233" s="8" t="str">
        <f>HYPERLINK("http://slimages.macys.com/is/image/MCY/9628116 ")</f>
        <v xml:space="preserve">http://slimages.macys.com/is/image/MCY/9628116 </v>
      </c>
    </row>
    <row r="234" spans="1:13" ht="60" x14ac:dyDescent="0.25">
      <c r="A234" s="7" t="s">
        <v>13359</v>
      </c>
      <c r="B234" s="2" t="s">
        <v>4113</v>
      </c>
      <c r="C234" s="4">
        <v>1</v>
      </c>
      <c r="D234" s="5">
        <v>6.35</v>
      </c>
      <c r="E234" s="5">
        <v>14.77</v>
      </c>
      <c r="F234" s="4">
        <v>18206110</v>
      </c>
      <c r="G234" s="2" t="s">
        <v>36</v>
      </c>
      <c r="H234" s="7" t="s">
        <v>442</v>
      </c>
      <c r="I234" s="2" t="s">
        <v>153</v>
      </c>
      <c r="J234" s="2" t="s">
        <v>154</v>
      </c>
      <c r="K234" s="2" t="s">
        <v>304</v>
      </c>
      <c r="L234" s="2" t="s">
        <v>119</v>
      </c>
      <c r="M234" s="8" t="str">
        <f>HYPERLINK("http://slimages.macys.com/is/image/MCY/13382326 ")</f>
        <v xml:space="preserve">http://slimages.macys.com/is/image/MCY/13382326 </v>
      </c>
    </row>
    <row r="235" spans="1:13" ht="120" x14ac:dyDescent="0.25">
      <c r="A235" s="7" t="s">
        <v>11060</v>
      </c>
      <c r="B235" s="2" t="s">
        <v>13360</v>
      </c>
      <c r="C235" s="4">
        <v>1</v>
      </c>
      <c r="D235" s="5">
        <v>6.33</v>
      </c>
      <c r="E235" s="5">
        <v>12.99</v>
      </c>
      <c r="F235" s="4" t="s">
        <v>9568</v>
      </c>
      <c r="G235" s="2" t="s">
        <v>62</v>
      </c>
      <c r="H235" s="7" t="s">
        <v>63</v>
      </c>
      <c r="I235" s="2" t="s">
        <v>515</v>
      </c>
      <c r="J235" s="2" t="s">
        <v>516</v>
      </c>
      <c r="K235" s="2" t="s">
        <v>304</v>
      </c>
      <c r="L235" s="2" t="s">
        <v>1784</v>
      </c>
      <c r="M235" s="8" t="str">
        <f>HYPERLINK("http://slimages.macys.com/is/image/MCY/12387468 ")</f>
        <v xml:space="preserve">http://slimages.macys.com/is/image/MCY/12387468 </v>
      </c>
    </row>
    <row r="236" spans="1:13" ht="60" x14ac:dyDescent="0.25">
      <c r="A236" s="7" t="s">
        <v>479</v>
      </c>
      <c r="B236" s="2" t="s">
        <v>480</v>
      </c>
      <c r="C236" s="4">
        <v>1</v>
      </c>
      <c r="D236" s="5">
        <v>6.25</v>
      </c>
      <c r="E236" s="5">
        <v>11.99</v>
      </c>
      <c r="F236" s="4" t="s">
        <v>481</v>
      </c>
      <c r="G236" s="2" t="s">
        <v>62</v>
      </c>
      <c r="H236" s="7" t="s">
        <v>482</v>
      </c>
      <c r="I236" s="2" t="s">
        <v>483</v>
      </c>
      <c r="J236" s="2" t="s">
        <v>484</v>
      </c>
      <c r="K236" s="2" t="s">
        <v>304</v>
      </c>
      <c r="L236" s="2" t="s">
        <v>206</v>
      </c>
      <c r="M236" s="8" t="str">
        <f>HYPERLINK("http://slimages.macys.com/is/image/MCY/8550083 ")</f>
        <v xml:space="preserve">http://slimages.macys.com/is/image/MCY/8550083 </v>
      </c>
    </row>
    <row r="237" spans="1:13" ht="60" x14ac:dyDescent="0.25">
      <c r="A237" s="7" t="s">
        <v>13361</v>
      </c>
      <c r="B237" s="2" t="s">
        <v>13362</v>
      </c>
      <c r="C237" s="4">
        <v>1</v>
      </c>
      <c r="D237" s="5">
        <v>6.1</v>
      </c>
      <c r="E237" s="5">
        <v>14.99</v>
      </c>
      <c r="F237" s="4" t="s">
        <v>13363</v>
      </c>
      <c r="G237" s="2" t="s">
        <v>657</v>
      </c>
      <c r="H237" s="7" t="s">
        <v>144</v>
      </c>
      <c r="I237" s="2" t="s">
        <v>80</v>
      </c>
      <c r="J237" s="2" t="s">
        <v>167</v>
      </c>
      <c r="K237" s="2" t="s">
        <v>304</v>
      </c>
      <c r="L237" s="2" t="s">
        <v>119</v>
      </c>
      <c r="M237" s="8" t="str">
        <f>HYPERLINK("http://slimages.macys.com/is/image/MCY/12800654 ")</f>
        <v xml:space="preserve">http://slimages.macys.com/is/image/MCY/12800654 </v>
      </c>
    </row>
    <row r="238" spans="1:13" ht="60" x14ac:dyDescent="0.25">
      <c r="A238" s="7" t="s">
        <v>13364</v>
      </c>
      <c r="B238" s="2" t="s">
        <v>4969</v>
      </c>
      <c r="C238" s="4">
        <v>1</v>
      </c>
      <c r="D238" s="5">
        <v>6</v>
      </c>
      <c r="E238" s="5">
        <v>10.99</v>
      </c>
      <c r="F238" s="4" t="s">
        <v>4970</v>
      </c>
      <c r="G238" s="2" t="s">
        <v>28</v>
      </c>
      <c r="H238" s="7" t="s">
        <v>311</v>
      </c>
      <c r="I238" s="2" t="s">
        <v>80</v>
      </c>
      <c r="J238" s="2" t="s">
        <v>1857</v>
      </c>
      <c r="K238" s="2" t="s">
        <v>304</v>
      </c>
      <c r="L238" s="2" t="s">
        <v>119</v>
      </c>
      <c r="M238" s="8" t="str">
        <f>HYPERLINK("http://slimages.macys.com/is/image/MCY/11207821 ")</f>
        <v xml:space="preserve">http://slimages.macys.com/is/image/MCY/11207821 </v>
      </c>
    </row>
    <row r="239" spans="1:13" ht="60" x14ac:dyDescent="0.25">
      <c r="A239" s="7" t="s">
        <v>13365</v>
      </c>
      <c r="B239" s="2" t="s">
        <v>3382</v>
      </c>
      <c r="C239" s="4">
        <v>1</v>
      </c>
      <c r="D239" s="5">
        <v>6</v>
      </c>
      <c r="E239" s="5">
        <v>10.99</v>
      </c>
      <c r="F239" s="4" t="s">
        <v>3383</v>
      </c>
      <c r="G239" s="2" t="s">
        <v>48</v>
      </c>
      <c r="H239" s="7" t="s">
        <v>311</v>
      </c>
      <c r="I239" s="2" t="s">
        <v>80</v>
      </c>
      <c r="J239" s="2" t="s">
        <v>1857</v>
      </c>
      <c r="K239" s="2" t="s">
        <v>304</v>
      </c>
      <c r="L239" s="2" t="s">
        <v>119</v>
      </c>
      <c r="M239" s="8" t="str">
        <f>HYPERLINK("http://slimages.macys.com/is/image/MCY/12742372 ")</f>
        <v xml:space="preserve">http://slimages.macys.com/is/image/MCY/12742372 </v>
      </c>
    </row>
    <row r="240" spans="1:13" ht="60" x14ac:dyDescent="0.25">
      <c r="A240" s="7" t="s">
        <v>11087</v>
      </c>
      <c r="B240" s="2" t="s">
        <v>11077</v>
      </c>
      <c r="C240" s="4">
        <v>1</v>
      </c>
      <c r="D240" s="5">
        <v>6</v>
      </c>
      <c r="E240" s="5">
        <v>15.99</v>
      </c>
      <c r="F240" s="4" t="s">
        <v>11078</v>
      </c>
      <c r="G240" s="2" t="s">
        <v>28</v>
      </c>
      <c r="H240" s="7"/>
      <c r="I240" s="2" t="s">
        <v>321</v>
      </c>
      <c r="J240" s="2" t="s">
        <v>492</v>
      </c>
      <c r="K240" s="2" t="s">
        <v>304</v>
      </c>
      <c r="L240" s="2" t="s">
        <v>493</v>
      </c>
      <c r="M240" s="8" t="str">
        <f>HYPERLINK("http://slimages.macys.com/is/image/MCY/12045177 ")</f>
        <v xml:space="preserve">http://slimages.macys.com/is/image/MCY/12045177 </v>
      </c>
    </row>
    <row r="241" spans="1:13" ht="84" x14ac:dyDescent="0.25">
      <c r="A241" s="7" t="s">
        <v>1865</v>
      </c>
      <c r="B241" s="2" t="s">
        <v>1862</v>
      </c>
      <c r="C241" s="4">
        <v>1</v>
      </c>
      <c r="D241" s="5">
        <v>6</v>
      </c>
      <c r="E241" s="5">
        <v>14.99</v>
      </c>
      <c r="F241" s="4" t="s">
        <v>1863</v>
      </c>
      <c r="G241" s="2" t="s">
        <v>195</v>
      </c>
      <c r="H241" s="7" t="s">
        <v>68</v>
      </c>
      <c r="I241" s="2" t="s">
        <v>73</v>
      </c>
      <c r="J241" s="2" t="s">
        <v>778</v>
      </c>
      <c r="K241" s="2" t="s">
        <v>304</v>
      </c>
      <c r="L241" s="2" t="s">
        <v>1864</v>
      </c>
      <c r="M241" s="8" t="str">
        <f>HYPERLINK("http://slimages.macys.com/is/image/MCY/15296484 ")</f>
        <v xml:space="preserve">http://slimages.macys.com/is/image/MCY/15296484 </v>
      </c>
    </row>
    <row r="242" spans="1:13" ht="60" x14ac:dyDescent="0.25">
      <c r="A242" s="7" t="s">
        <v>13366</v>
      </c>
      <c r="B242" s="2" t="s">
        <v>3382</v>
      </c>
      <c r="C242" s="4">
        <v>1</v>
      </c>
      <c r="D242" s="5">
        <v>6</v>
      </c>
      <c r="E242" s="5">
        <v>10.99</v>
      </c>
      <c r="F242" s="4" t="s">
        <v>3383</v>
      </c>
      <c r="G242" s="2" t="s">
        <v>134</v>
      </c>
      <c r="H242" s="7" t="s">
        <v>311</v>
      </c>
      <c r="I242" s="2" t="s">
        <v>80</v>
      </c>
      <c r="J242" s="2" t="s">
        <v>1857</v>
      </c>
      <c r="K242" s="2" t="s">
        <v>304</v>
      </c>
      <c r="L242" s="2" t="s">
        <v>119</v>
      </c>
      <c r="M242" s="8" t="str">
        <f>HYPERLINK("http://slimages.macys.com/is/image/MCY/12742372 ")</f>
        <v xml:space="preserve">http://slimages.macys.com/is/image/MCY/12742372 </v>
      </c>
    </row>
    <row r="243" spans="1:13" ht="60" x14ac:dyDescent="0.25">
      <c r="A243" s="7" t="s">
        <v>13367</v>
      </c>
      <c r="B243" s="2" t="s">
        <v>3382</v>
      </c>
      <c r="C243" s="4">
        <v>1</v>
      </c>
      <c r="D243" s="5">
        <v>6</v>
      </c>
      <c r="E243" s="5">
        <v>10.99</v>
      </c>
      <c r="F243" s="4" t="s">
        <v>3383</v>
      </c>
      <c r="G243" s="2" t="s">
        <v>48</v>
      </c>
      <c r="H243" s="7" t="s">
        <v>68</v>
      </c>
      <c r="I243" s="2" t="s">
        <v>80</v>
      </c>
      <c r="J243" s="2" t="s">
        <v>1857</v>
      </c>
      <c r="K243" s="2" t="s">
        <v>304</v>
      </c>
      <c r="L243" s="2" t="s">
        <v>119</v>
      </c>
      <c r="M243" s="8" t="str">
        <f>HYPERLINK("http://slimages.macys.com/is/image/MCY/12742372 ")</f>
        <v xml:space="preserve">http://slimages.macys.com/is/image/MCY/12742372 </v>
      </c>
    </row>
    <row r="244" spans="1:13" ht="60" x14ac:dyDescent="0.25">
      <c r="A244" s="7" t="s">
        <v>4124</v>
      </c>
      <c r="B244" s="2" t="s">
        <v>4121</v>
      </c>
      <c r="C244" s="4">
        <v>1</v>
      </c>
      <c r="D244" s="5">
        <v>5.95</v>
      </c>
      <c r="E244" s="5">
        <v>16.8</v>
      </c>
      <c r="F244" s="4" t="s">
        <v>4122</v>
      </c>
      <c r="G244" s="2" t="s">
        <v>86</v>
      </c>
      <c r="H244" s="7" t="s">
        <v>590</v>
      </c>
      <c r="I244" s="2" t="s">
        <v>483</v>
      </c>
      <c r="J244" s="2" t="s">
        <v>536</v>
      </c>
      <c r="K244" s="2" t="s">
        <v>304</v>
      </c>
      <c r="L244" s="2" t="s">
        <v>4123</v>
      </c>
      <c r="M244" s="8" t="str">
        <f>HYPERLINK("http://slimages.macys.com/is/image/MCY/13061384 ")</f>
        <v xml:space="preserve">http://slimages.macys.com/is/image/MCY/13061384 </v>
      </c>
    </row>
    <row r="245" spans="1:13" ht="60" x14ac:dyDescent="0.25">
      <c r="A245" s="7" t="s">
        <v>1038</v>
      </c>
      <c r="B245" s="2" t="s">
        <v>1039</v>
      </c>
      <c r="C245" s="4">
        <v>3</v>
      </c>
      <c r="D245" s="5">
        <v>5.87</v>
      </c>
      <c r="E245" s="5">
        <v>16</v>
      </c>
      <c r="F245" s="4" t="s">
        <v>1040</v>
      </c>
      <c r="G245" s="2" t="s">
        <v>1041</v>
      </c>
      <c r="H245" s="7" t="s">
        <v>72</v>
      </c>
      <c r="I245" s="2" t="s">
        <v>523</v>
      </c>
      <c r="J245" s="2" t="s">
        <v>1042</v>
      </c>
      <c r="K245" s="2" t="s">
        <v>304</v>
      </c>
      <c r="L245" s="2" t="s">
        <v>1043</v>
      </c>
      <c r="M245" s="8" t="str">
        <f>HYPERLINK("http://slimages.macys.com/is/image/MCY/11647558 ")</f>
        <v xml:space="preserve">http://slimages.macys.com/is/image/MCY/11647558 </v>
      </c>
    </row>
    <row r="246" spans="1:13" ht="60" x14ac:dyDescent="0.25">
      <c r="A246" s="7" t="s">
        <v>1048</v>
      </c>
      <c r="B246" s="2" t="s">
        <v>1039</v>
      </c>
      <c r="C246" s="4">
        <v>6</v>
      </c>
      <c r="D246" s="5">
        <v>5.87</v>
      </c>
      <c r="E246" s="5">
        <v>16</v>
      </c>
      <c r="F246" s="4" t="s">
        <v>1040</v>
      </c>
      <c r="G246" s="2" t="s">
        <v>1041</v>
      </c>
      <c r="H246" s="7" t="s">
        <v>789</v>
      </c>
      <c r="I246" s="2" t="s">
        <v>523</v>
      </c>
      <c r="J246" s="2" t="s">
        <v>1042</v>
      </c>
      <c r="K246" s="2" t="s">
        <v>304</v>
      </c>
      <c r="L246" s="2" t="s">
        <v>1043</v>
      </c>
      <c r="M246" s="8" t="str">
        <f>HYPERLINK("http://slimages.macys.com/is/image/MCY/11647558 ")</f>
        <v xml:space="preserve">http://slimages.macys.com/is/image/MCY/11647558 </v>
      </c>
    </row>
    <row r="247" spans="1:13" ht="60" x14ac:dyDescent="0.25">
      <c r="A247" s="7" t="s">
        <v>3392</v>
      </c>
      <c r="B247" s="2" t="s">
        <v>3393</v>
      </c>
      <c r="C247" s="4">
        <v>1</v>
      </c>
      <c r="D247" s="5">
        <v>5.8</v>
      </c>
      <c r="E247" s="5">
        <v>13.19</v>
      </c>
      <c r="F247" s="4">
        <v>17892010</v>
      </c>
      <c r="G247" s="2"/>
      <c r="H247" s="7" t="s">
        <v>233</v>
      </c>
      <c r="I247" s="2" t="s">
        <v>153</v>
      </c>
      <c r="J247" s="2" t="s">
        <v>154</v>
      </c>
      <c r="K247" s="2" t="s">
        <v>304</v>
      </c>
      <c r="L247" s="2" t="s">
        <v>38</v>
      </c>
      <c r="M247" s="8" t="str">
        <f>HYPERLINK("http://slimages.macys.com/is/image/MCY/13341121 ")</f>
        <v xml:space="preserve">http://slimages.macys.com/is/image/MCY/13341121 </v>
      </c>
    </row>
    <row r="248" spans="1:13" ht="60" x14ac:dyDescent="0.25">
      <c r="A248" s="7" t="s">
        <v>13368</v>
      </c>
      <c r="B248" s="2" t="s">
        <v>13369</v>
      </c>
      <c r="C248" s="4">
        <v>2</v>
      </c>
      <c r="D248" s="5">
        <v>5.75</v>
      </c>
      <c r="E248" s="5">
        <v>14.99</v>
      </c>
      <c r="F248" s="4" t="s">
        <v>13370</v>
      </c>
      <c r="G248" s="2" t="s">
        <v>253</v>
      </c>
      <c r="H248" s="7" t="s">
        <v>1720</v>
      </c>
      <c r="I248" s="2" t="s">
        <v>30</v>
      </c>
      <c r="J248" s="2" t="s">
        <v>1890</v>
      </c>
      <c r="K248" s="2" t="s">
        <v>304</v>
      </c>
      <c r="L248" s="2" t="s">
        <v>3073</v>
      </c>
      <c r="M248" s="8" t="str">
        <f>HYPERLINK("http://slimages.macys.com/is/image/MCY/2895342 ")</f>
        <v xml:space="preserve">http://slimages.macys.com/is/image/MCY/2895342 </v>
      </c>
    </row>
    <row r="249" spans="1:13" ht="60" x14ac:dyDescent="0.25">
      <c r="A249" s="7" t="s">
        <v>13371</v>
      </c>
      <c r="B249" s="2" t="s">
        <v>1888</v>
      </c>
      <c r="C249" s="4">
        <v>1</v>
      </c>
      <c r="D249" s="5">
        <v>5.75</v>
      </c>
      <c r="E249" s="5">
        <v>14.99</v>
      </c>
      <c r="F249" s="4" t="s">
        <v>1889</v>
      </c>
      <c r="G249" s="2" t="s">
        <v>476</v>
      </c>
      <c r="H249" s="7"/>
      <c r="I249" s="2" t="s">
        <v>30</v>
      </c>
      <c r="J249" s="2" t="s">
        <v>1890</v>
      </c>
      <c r="K249" s="2" t="s">
        <v>304</v>
      </c>
      <c r="L249" s="2" t="s">
        <v>416</v>
      </c>
      <c r="M249" s="8" t="str">
        <f>HYPERLINK("http://slimages.macys.com/is/image/MCY/12224320 ")</f>
        <v xml:space="preserve">http://slimages.macys.com/is/image/MCY/12224320 </v>
      </c>
    </row>
    <row r="250" spans="1:13" ht="60" x14ac:dyDescent="0.25">
      <c r="A250" s="7" t="s">
        <v>9009</v>
      </c>
      <c r="B250" s="2" t="s">
        <v>8305</v>
      </c>
      <c r="C250" s="4">
        <v>1</v>
      </c>
      <c r="D250" s="5">
        <v>5.75</v>
      </c>
      <c r="E250" s="5">
        <v>14.99</v>
      </c>
      <c r="F250" s="4" t="s">
        <v>8306</v>
      </c>
      <c r="G250" s="2" t="s">
        <v>353</v>
      </c>
      <c r="H250" s="7"/>
      <c r="I250" s="2" t="s">
        <v>30</v>
      </c>
      <c r="J250" s="2" t="s">
        <v>1890</v>
      </c>
      <c r="K250" s="2" t="s">
        <v>304</v>
      </c>
      <c r="L250" s="2" t="s">
        <v>416</v>
      </c>
      <c r="M250" s="8" t="str">
        <f>HYPERLINK("http://slimages.macys.com/is/image/MCY/12224270 ")</f>
        <v xml:space="preserve">http://slimages.macys.com/is/image/MCY/12224270 </v>
      </c>
    </row>
    <row r="251" spans="1:13" ht="60" x14ac:dyDescent="0.25">
      <c r="A251" s="7" t="s">
        <v>13372</v>
      </c>
      <c r="B251" s="2" t="s">
        <v>13373</v>
      </c>
      <c r="C251" s="4">
        <v>1</v>
      </c>
      <c r="D251" s="5">
        <v>5.7</v>
      </c>
      <c r="E251" s="5">
        <v>11.4</v>
      </c>
      <c r="F251" s="4">
        <v>37910610</v>
      </c>
      <c r="G251" s="2" t="s">
        <v>262</v>
      </c>
      <c r="H251" s="7" t="s">
        <v>311</v>
      </c>
      <c r="I251" s="2" t="s">
        <v>487</v>
      </c>
      <c r="J251" s="2" t="s">
        <v>488</v>
      </c>
      <c r="K251" s="2" t="s">
        <v>304</v>
      </c>
      <c r="L251" s="2" t="s">
        <v>38</v>
      </c>
      <c r="M251" s="8" t="str">
        <f>HYPERLINK("http://slimages.macys.com/is/image/MCY/13941818 ")</f>
        <v xml:space="preserve">http://slimages.macys.com/is/image/MCY/13941818 </v>
      </c>
    </row>
    <row r="252" spans="1:13" ht="60" x14ac:dyDescent="0.25">
      <c r="A252" s="7" t="s">
        <v>13374</v>
      </c>
      <c r="B252" s="2" t="s">
        <v>13373</v>
      </c>
      <c r="C252" s="4">
        <v>1</v>
      </c>
      <c r="D252" s="5">
        <v>5.7</v>
      </c>
      <c r="E252" s="5">
        <v>11.4</v>
      </c>
      <c r="F252" s="4">
        <v>37910610</v>
      </c>
      <c r="G252" s="2" t="s">
        <v>262</v>
      </c>
      <c r="H252" s="7" t="s">
        <v>166</v>
      </c>
      <c r="I252" s="2" t="s">
        <v>487</v>
      </c>
      <c r="J252" s="2" t="s">
        <v>488</v>
      </c>
      <c r="K252" s="2" t="s">
        <v>304</v>
      </c>
      <c r="L252" s="2" t="s">
        <v>38</v>
      </c>
      <c r="M252" s="8" t="str">
        <f>HYPERLINK("http://slimages.macys.com/is/image/MCY/13941818 ")</f>
        <v xml:space="preserve">http://slimages.macys.com/is/image/MCY/13941818 </v>
      </c>
    </row>
    <row r="253" spans="1:13" ht="96" x14ac:dyDescent="0.25">
      <c r="A253" s="7" t="s">
        <v>4157</v>
      </c>
      <c r="B253" s="2" t="s">
        <v>4152</v>
      </c>
      <c r="C253" s="4">
        <v>1</v>
      </c>
      <c r="D253" s="5">
        <v>5.67</v>
      </c>
      <c r="E253" s="5">
        <v>14.99</v>
      </c>
      <c r="F253" s="4" t="s">
        <v>4153</v>
      </c>
      <c r="G253" s="2" t="s">
        <v>41</v>
      </c>
      <c r="H253" s="7" t="s">
        <v>442</v>
      </c>
      <c r="I253" s="2" t="s">
        <v>483</v>
      </c>
      <c r="J253" s="2" t="s">
        <v>536</v>
      </c>
      <c r="K253" s="2" t="s">
        <v>304</v>
      </c>
      <c r="L253" s="2" t="s">
        <v>4154</v>
      </c>
      <c r="M253" s="8" t="str">
        <f>HYPERLINK("http://slimages.macys.com/is/image/MCY/14384813 ")</f>
        <v xml:space="preserve">http://slimages.macys.com/is/image/MCY/14384813 </v>
      </c>
    </row>
    <row r="254" spans="1:13" ht="96" x14ac:dyDescent="0.25">
      <c r="A254" s="7" t="s">
        <v>4158</v>
      </c>
      <c r="B254" s="2" t="s">
        <v>4152</v>
      </c>
      <c r="C254" s="4">
        <v>1</v>
      </c>
      <c r="D254" s="5">
        <v>5.67</v>
      </c>
      <c r="E254" s="5">
        <v>14.99</v>
      </c>
      <c r="F254" s="4" t="s">
        <v>4153</v>
      </c>
      <c r="G254" s="2" t="s">
        <v>41</v>
      </c>
      <c r="H254" s="7" t="s">
        <v>590</v>
      </c>
      <c r="I254" s="2" t="s">
        <v>483</v>
      </c>
      <c r="J254" s="2" t="s">
        <v>536</v>
      </c>
      <c r="K254" s="2" t="s">
        <v>304</v>
      </c>
      <c r="L254" s="2" t="s">
        <v>4154</v>
      </c>
      <c r="M254" s="8" t="str">
        <f>HYPERLINK("http://slimages.macys.com/is/image/MCY/14384813 ")</f>
        <v xml:space="preserve">http://slimages.macys.com/is/image/MCY/14384813 </v>
      </c>
    </row>
    <row r="255" spans="1:13" ht="96" x14ac:dyDescent="0.25">
      <c r="A255" s="7" t="s">
        <v>4151</v>
      </c>
      <c r="B255" s="2" t="s">
        <v>4152</v>
      </c>
      <c r="C255" s="4">
        <v>1</v>
      </c>
      <c r="D255" s="5">
        <v>5.67</v>
      </c>
      <c r="E255" s="5">
        <v>14.99</v>
      </c>
      <c r="F255" s="4" t="s">
        <v>4153</v>
      </c>
      <c r="G255" s="2" t="s">
        <v>41</v>
      </c>
      <c r="H255" s="7" t="s">
        <v>91</v>
      </c>
      <c r="I255" s="2" t="s">
        <v>483</v>
      </c>
      <c r="J255" s="2" t="s">
        <v>536</v>
      </c>
      <c r="K255" s="2" t="s">
        <v>304</v>
      </c>
      <c r="L255" s="2" t="s">
        <v>4154</v>
      </c>
      <c r="M255" s="8" t="str">
        <f>HYPERLINK("http://slimages.macys.com/is/image/MCY/14384813 ")</f>
        <v xml:space="preserve">http://slimages.macys.com/is/image/MCY/14384813 </v>
      </c>
    </row>
    <row r="256" spans="1:13" ht="84" x14ac:dyDescent="0.25">
      <c r="A256" s="7" t="s">
        <v>13375</v>
      </c>
      <c r="B256" s="2" t="s">
        <v>11605</v>
      </c>
      <c r="C256" s="4">
        <v>2</v>
      </c>
      <c r="D256" s="5">
        <v>5.64</v>
      </c>
      <c r="E256" s="5">
        <v>14.99</v>
      </c>
      <c r="F256" s="4" t="s">
        <v>11606</v>
      </c>
      <c r="G256" s="2" t="s">
        <v>134</v>
      </c>
      <c r="H256" s="7" t="s">
        <v>618</v>
      </c>
      <c r="I256" s="2" t="s">
        <v>483</v>
      </c>
      <c r="J256" s="2" t="s">
        <v>4858</v>
      </c>
      <c r="K256" s="2" t="s">
        <v>304</v>
      </c>
      <c r="L256" s="2" t="s">
        <v>5470</v>
      </c>
      <c r="M256" s="8" t="str">
        <f>HYPERLINK("http://slimages.macys.com/is/image/MCY/8256831 ")</f>
        <v xml:space="preserve">http://slimages.macys.com/is/image/MCY/8256831 </v>
      </c>
    </row>
    <row r="257" spans="1:13" ht="84" x14ac:dyDescent="0.25">
      <c r="A257" s="7" t="s">
        <v>13376</v>
      </c>
      <c r="B257" s="2" t="s">
        <v>11605</v>
      </c>
      <c r="C257" s="4">
        <v>1</v>
      </c>
      <c r="D257" s="5">
        <v>5.64</v>
      </c>
      <c r="E257" s="5">
        <v>14.99</v>
      </c>
      <c r="F257" s="4" t="s">
        <v>11606</v>
      </c>
      <c r="G257" s="2" t="s">
        <v>134</v>
      </c>
      <c r="H257" s="7" t="s">
        <v>5814</v>
      </c>
      <c r="I257" s="2" t="s">
        <v>483</v>
      </c>
      <c r="J257" s="2" t="s">
        <v>4858</v>
      </c>
      <c r="K257" s="2" t="s">
        <v>304</v>
      </c>
      <c r="L257" s="2" t="s">
        <v>5470</v>
      </c>
      <c r="M257" s="8" t="str">
        <f>HYPERLINK("http://slimages.macys.com/is/image/MCY/8256831 ")</f>
        <v xml:space="preserve">http://slimages.macys.com/is/image/MCY/8256831 </v>
      </c>
    </row>
    <row r="258" spans="1:13" ht="60" x14ac:dyDescent="0.25">
      <c r="A258" s="7" t="s">
        <v>2641</v>
      </c>
      <c r="B258" s="2" t="s">
        <v>2639</v>
      </c>
      <c r="C258" s="4">
        <v>1</v>
      </c>
      <c r="D258" s="5">
        <v>5.6</v>
      </c>
      <c r="E258" s="5">
        <v>13.99</v>
      </c>
      <c r="F258" s="4" t="s">
        <v>2640</v>
      </c>
      <c r="G258" s="2" t="s">
        <v>874</v>
      </c>
      <c r="H258" s="7" t="s">
        <v>42</v>
      </c>
      <c r="I258" s="2" t="s">
        <v>483</v>
      </c>
      <c r="J258" s="2" t="s">
        <v>536</v>
      </c>
      <c r="K258" s="2" t="s">
        <v>304</v>
      </c>
      <c r="L258" s="2" t="s">
        <v>125</v>
      </c>
      <c r="M258" s="8" t="str">
        <f>HYPERLINK("http://slimages.macys.com/is/image/MCY/14446785 ")</f>
        <v xml:space="preserve">http://slimages.macys.com/is/image/MCY/14446785 </v>
      </c>
    </row>
    <row r="259" spans="1:13" ht="60" x14ac:dyDescent="0.25">
      <c r="A259" s="7" t="s">
        <v>3405</v>
      </c>
      <c r="B259" s="2" t="s">
        <v>2639</v>
      </c>
      <c r="C259" s="4">
        <v>2</v>
      </c>
      <c r="D259" s="5">
        <v>5.6</v>
      </c>
      <c r="E259" s="5">
        <v>13.99</v>
      </c>
      <c r="F259" s="4" t="s">
        <v>2640</v>
      </c>
      <c r="G259" s="2" t="s">
        <v>874</v>
      </c>
      <c r="H259" s="7" t="s">
        <v>590</v>
      </c>
      <c r="I259" s="2" t="s">
        <v>483</v>
      </c>
      <c r="J259" s="2" t="s">
        <v>536</v>
      </c>
      <c r="K259" s="2" t="s">
        <v>304</v>
      </c>
      <c r="L259" s="2" t="s">
        <v>125</v>
      </c>
      <c r="M259" s="8" t="str">
        <f>HYPERLINK("http://slimages.macys.com/is/image/MCY/14446785 ")</f>
        <v xml:space="preserve">http://slimages.macys.com/is/image/MCY/14446785 </v>
      </c>
    </row>
    <row r="260" spans="1:13" ht="60" x14ac:dyDescent="0.25">
      <c r="A260" s="7" t="s">
        <v>2638</v>
      </c>
      <c r="B260" s="2" t="s">
        <v>2639</v>
      </c>
      <c r="C260" s="4">
        <v>1</v>
      </c>
      <c r="D260" s="5">
        <v>5.6</v>
      </c>
      <c r="E260" s="5">
        <v>13.99</v>
      </c>
      <c r="F260" s="4" t="s">
        <v>2640</v>
      </c>
      <c r="G260" s="2" t="s">
        <v>874</v>
      </c>
      <c r="H260" s="7" t="s">
        <v>91</v>
      </c>
      <c r="I260" s="2" t="s">
        <v>483</v>
      </c>
      <c r="J260" s="2" t="s">
        <v>536</v>
      </c>
      <c r="K260" s="2" t="s">
        <v>304</v>
      </c>
      <c r="L260" s="2" t="s">
        <v>125</v>
      </c>
      <c r="M260" s="8" t="str">
        <f>HYPERLINK("http://slimages.macys.com/is/image/MCY/14446785 ")</f>
        <v xml:space="preserve">http://slimages.macys.com/is/image/MCY/14446785 </v>
      </c>
    </row>
    <row r="261" spans="1:13" ht="60" x14ac:dyDescent="0.25">
      <c r="A261" s="7" t="s">
        <v>2642</v>
      </c>
      <c r="B261" s="2" t="s">
        <v>2639</v>
      </c>
      <c r="C261" s="4">
        <v>1</v>
      </c>
      <c r="D261" s="5">
        <v>5.6</v>
      </c>
      <c r="E261" s="5">
        <v>13.99</v>
      </c>
      <c r="F261" s="4" t="s">
        <v>2640</v>
      </c>
      <c r="G261" s="2" t="s">
        <v>874</v>
      </c>
      <c r="H261" s="7" t="s">
        <v>442</v>
      </c>
      <c r="I261" s="2" t="s">
        <v>483</v>
      </c>
      <c r="J261" s="2" t="s">
        <v>536</v>
      </c>
      <c r="K261" s="2" t="s">
        <v>304</v>
      </c>
      <c r="L261" s="2" t="s">
        <v>125</v>
      </c>
      <c r="M261" s="8" t="str">
        <f>HYPERLINK("http://slimages.macys.com/is/image/MCY/14446785 ")</f>
        <v xml:space="preserve">http://slimages.macys.com/is/image/MCY/14446785 </v>
      </c>
    </row>
    <row r="262" spans="1:13" ht="60" x14ac:dyDescent="0.25">
      <c r="A262" s="7" t="s">
        <v>13377</v>
      </c>
      <c r="B262" s="2" t="s">
        <v>3961</v>
      </c>
      <c r="C262" s="4">
        <v>2</v>
      </c>
      <c r="D262" s="5">
        <v>5.55</v>
      </c>
      <c r="E262" s="5">
        <v>11.1</v>
      </c>
      <c r="F262" s="4">
        <v>28441513</v>
      </c>
      <c r="G262" s="2"/>
      <c r="H262" s="7" t="s">
        <v>144</v>
      </c>
      <c r="I262" s="2" t="s">
        <v>487</v>
      </c>
      <c r="J262" s="2" t="s">
        <v>2424</v>
      </c>
      <c r="K262" s="2" t="s">
        <v>304</v>
      </c>
      <c r="L262" s="2" t="s">
        <v>206</v>
      </c>
      <c r="M262" s="8" t="str">
        <f>HYPERLINK("http://slimages.macys.com/is/image/MCY/14661875 ")</f>
        <v xml:space="preserve">http://slimages.macys.com/is/image/MCY/14661875 </v>
      </c>
    </row>
    <row r="263" spans="1:13" ht="60" x14ac:dyDescent="0.25">
      <c r="A263" s="7" t="s">
        <v>13378</v>
      </c>
      <c r="B263" s="2" t="s">
        <v>4163</v>
      </c>
      <c r="C263" s="4">
        <v>1</v>
      </c>
      <c r="D263" s="5">
        <v>5.55</v>
      </c>
      <c r="E263" s="5">
        <v>11.1</v>
      </c>
      <c r="F263" s="4">
        <v>28441514</v>
      </c>
      <c r="G263" s="2" t="s">
        <v>62</v>
      </c>
      <c r="H263" s="7" t="s">
        <v>209</v>
      </c>
      <c r="I263" s="2" t="s">
        <v>487</v>
      </c>
      <c r="J263" s="2" t="s">
        <v>2424</v>
      </c>
      <c r="K263" s="2" t="s">
        <v>304</v>
      </c>
      <c r="L263" s="2" t="s">
        <v>206</v>
      </c>
      <c r="M263" s="8" t="str">
        <f>HYPERLINK("http://slimages.macys.com/is/image/MCY/14661874 ")</f>
        <v xml:space="preserve">http://slimages.macys.com/is/image/MCY/14661874 </v>
      </c>
    </row>
    <row r="264" spans="1:13" ht="60" x14ac:dyDescent="0.25">
      <c r="A264" s="7" t="s">
        <v>1912</v>
      </c>
      <c r="B264" s="2" t="s">
        <v>1074</v>
      </c>
      <c r="C264" s="4">
        <v>1</v>
      </c>
      <c r="D264" s="5">
        <v>5.5</v>
      </c>
      <c r="E264" s="5">
        <v>12.99</v>
      </c>
      <c r="F264" s="4" t="s">
        <v>1075</v>
      </c>
      <c r="G264" s="2"/>
      <c r="H264" s="7" t="s">
        <v>42</v>
      </c>
      <c r="I264" s="2" t="s">
        <v>92</v>
      </c>
      <c r="J264" s="2" t="s">
        <v>1076</v>
      </c>
      <c r="K264" s="2" t="s">
        <v>304</v>
      </c>
      <c r="L264" s="2" t="s">
        <v>100</v>
      </c>
      <c r="M264" s="8" t="str">
        <f>HYPERLINK("http://slimages.macys.com/is/image/MCY/15654522 ")</f>
        <v xml:space="preserve">http://slimages.macys.com/is/image/MCY/15654522 </v>
      </c>
    </row>
    <row r="265" spans="1:13" ht="60" x14ac:dyDescent="0.25">
      <c r="A265" s="7" t="s">
        <v>6954</v>
      </c>
      <c r="B265" s="2" t="s">
        <v>521</v>
      </c>
      <c r="C265" s="4">
        <v>2</v>
      </c>
      <c r="D265" s="5">
        <v>5.5</v>
      </c>
      <c r="E265" s="5">
        <v>14</v>
      </c>
      <c r="F265" s="4" t="s">
        <v>522</v>
      </c>
      <c r="G265" s="2" t="s">
        <v>41</v>
      </c>
      <c r="H265" s="7"/>
      <c r="I265" s="2" t="s">
        <v>523</v>
      </c>
      <c r="J265" s="2" t="s">
        <v>524</v>
      </c>
      <c r="K265" s="2" t="s">
        <v>304</v>
      </c>
      <c r="L265" s="2" t="s">
        <v>224</v>
      </c>
      <c r="M265" s="8" t="str">
        <f>HYPERLINK("http://slimages.macys.com/is/image/MCY/11797079 ")</f>
        <v xml:space="preserve">http://slimages.macys.com/is/image/MCY/11797079 </v>
      </c>
    </row>
    <row r="266" spans="1:13" ht="180" x14ac:dyDescent="0.25">
      <c r="A266" s="7" t="s">
        <v>13379</v>
      </c>
      <c r="B266" s="2" t="s">
        <v>2645</v>
      </c>
      <c r="C266" s="4">
        <v>1</v>
      </c>
      <c r="D266" s="5">
        <v>5.5</v>
      </c>
      <c r="E266" s="5">
        <v>12.99</v>
      </c>
      <c r="F266" s="4" t="s">
        <v>2646</v>
      </c>
      <c r="G266" s="2" t="s">
        <v>41</v>
      </c>
      <c r="H266" s="7" t="s">
        <v>442</v>
      </c>
      <c r="I266" s="2" t="s">
        <v>135</v>
      </c>
      <c r="J266" s="2" t="s">
        <v>1076</v>
      </c>
      <c r="K266" s="2" t="s">
        <v>304</v>
      </c>
      <c r="L266" s="2" t="s">
        <v>2647</v>
      </c>
      <c r="M266" s="8" t="str">
        <f>HYPERLINK("http://slimages.macys.com/is/image/MCY/15654567 ")</f>
        <v xml:space="preserve">http://slimages.macys.com/is/image/MCY/15654567 </v>
      </c>
    </row>
    <row r="267" spans="1:13" ht="60" x14ac:dyDescent="0.25">
      <c r="A267" s="7" t="s">
        <v>5033</v>
      </c>
      <c r="B267" s="2" t="s">
        <v>521</v>
      </c>
      <c r="C267" s="4">
        <v>4</v>
      </c>
      <c r="D267" s="5">
        <v>5.5</v>
      </c>
      <c r="E267" s="5">
        <v>14</v>
      </c>
      <c r="F267" s="4" t="s">
        <v>522</v>
      </c>
      <c r="G267" s="2" t="s">
        <v>41</v>
      </c>
      <c r="H267" s="7"/>
      <c r="I267" s="2" t="s">
        <v>523</v>
      </c>
      <c r="J267" s="2" t="s">
        <v>524</v>
      </c>
      <c r="K267" s="2" t="s">
        <v>304</v>
      </c>
      <c r="L267" s="2" t="s">
        <v>224</v>
      </c>
      <c r="M267" s="8" t="str">
        <f>HYPERLINK("http://slimages.macys.com/is/image/MCY/11797079 ")</f>
        <v xml:space="preserve">http://slimages.macys.com/is/image/MCY/11797079 </v>
      </c>
    </row>
    <row r="268" spans="1:13" ht="60" x14ac:dyDescent="0.25">
      <c r="A268" s="7" t="s">
        <v>520</v>
      </c>
      <c r="B268" s="2" t="s">
        <v>521</v>
      </c>
      <c r="C268" s="4">
        <v>2</v>
      </c>
      <c r="D268" s="5">
        <v>5.5</v>
      </c>
      <c r="E268" s="5">
        <v>14</v>
      </c>
      <c r="F268" s="4" t="s">
        <v>522</v>
      </c>
      <c r="G268" s="2" t="s">
        <v>62</v>
      </c>
      <c r="H268" s="7"/>
      <c r="I268" s="2" t="s">
        <v>523</v>
      </c>
      <c r="J268" s="2" t="s">
        <v>524</v>
      </c>
      <c r="K268" s="2" t="s">
        <v>304</v>
      </c>
      <c r="L268" s="2" t="s">
        <v>224</v>
      </c>
      <c r="M268" s="8" t="str">
        <f>HYPERLINK("http://slimages.macys.com/is/image/MCY/11797079 ")</f>
        <v xml:space="preserve">http://slimages.macys.com/is/image/MCY/11797079 </v>
      </c>
    </row>
    <row r="269" spans="1:13" ht="60" x14ac:dyDescent="0.25">
      <c r="A269" s="7" t="s">
        <v>3412</v>
      </c>
      <c r="B269" s="2" t="s">
        <v>521</v>
      </c>
      <c r="C269" s="4">
        <v>2</v>
      </c>
      <c r="D269" s="5">
        <v>5.5</v>
      </c>
      <c r="E269" s="5">
        <v>14</v>
      </c>
      <c r="F269" s="4" t="s">
        <v>522</v>
      </c>
      <c r="G269" s="2" t="s">
        <v>41</v>
      </c>
      <c r="H269" s="7"/>
      <c r="I269" s="2" t="s">
        <v>523</v>
      </c>
      <c r="J269" s="2" t="s">
        <v>524</v>
      </c>
      <c r="K269" s="2" t="s">
        <v>304</v>
      </c>
      <c r="L269" s="2" t="s">
        <v>224</v>
      </c>
      <c r="M269" s="8" t="str">
        <f>HYPERLINK("http://slimages.macys.com/is/image/MCY/11797079 ")</f>
        <v xml:space="preserve">http://slimages.macys.com/is/image/MCY/11797079 </v>
      </c>
    </row>
    <row r="270" spans="1:13" ht="60" x14ac:dyDescent="0.25">
      <c r="A270" s="7" t="s">
        <v>6332</v>
      </c>
      <c r="B270" s="2" t="s">
        <v>521</v>
      </c>
      <c r="C270" s="4">
        <v>2</v>
      </c>
      <c r="D270" s="5">
        <v>5.5</v>
      </c>
      <c r="E270" s="5">
        <v>14</v>
      </c>
      <c r="F270" s="4" t="s">
        <v>522</v>
      </c>
      <c r="G270" s="2" t="s">
        <v>62</v>
      </c>
      <c r="H270" s="7"/>
      <c r="I270" s="2" t="s">
        <v>523</v>
      </c>
      <c r="J270" s="2" t="s">
        <v>524</v>
      </c>
      <c r="K270" s="2" t="s">
        <v>304</v>
      </c>
      <c r="L270" s="2" t="s">
        <v>224</v>
      </c>
      <c r="M270" s="8" t="str">
        <f>HYPERLINK("http://slimages.macys.com/is/image/MCY/11797079 ")</f>
        <v xml:space="preserve">http://slimages.macys.com/is/image/MCY/11797079 </v>
      </c>
    </row>
    <row r="271" spans="1:13" ht="60" x14ac:dyDescent="0.25">
      <c r="A271" s="7" t="s">
        <v>6333</v>
      </c>
      <c r="B271" s="2" t="s">
        <v>521</v>
      </c>
      <c r="C271" s="4">
        <v>2</v>
      </c>
      <c r="D271" s="5">
        <v>5.5</v>
      </c>
      <c r="E271" s="5">
        <v>14</v>
      </c>
      <c r="F271" s="4" t="s">
        <v>522</v>
      </c>
      <c r="G271" s="2" t="s">
        <v>62</v>
      </c>
      <c r="H271" s="7"/>
      <c r="I271" s="2" t="s">
        <v>523</v>
      </c>
      <c r="J271" s="2" t="s">
        <v>524</v>
      </c>
      <c r="K271" s="2" t="s">
        <v>304</v>
      </c>
      <c r="L271" s="2" t="s">
        <v>224</v>
      </c>
      <c r="M271" s="8" t="str">
        <f>HYPERLINK("http://slimages.macys.com/is/image/MCY/11797079 ")</f>
        <v xml:space="preserve">http://slimages.macys.com/is/image/MCY/11797079 </v>
      </c>
    </row>
    <row r="272" spans="1:13" ht="84" x14ac:dyDescent="0.25">
      <c r="A272" s="7" t="s">
        <v>4173</v>
      </c>
      <c r="B272" s="2" t="s">
        <v>4174</v>
      </c>
      <c r="C272" s="4">
        <v>1</v>
      </c>
      <c r="D272" s="5">
        <v>5.44</v>
      </c>
      <c r="E272" s="5">
        <v>14.99</v>
      </c>
      <c r="F272" s="4" t="s">
        <v>4175</v>
      </c>
      <c r="G272" s="2" t="s">
        <v>195</v>
      </c>
      <c r="H272" s="7" t="s">
        <v>149</v>
      </c>
      <c r="I272" s="2" t="s">
        <v>483</v>
      </c>
      <c r="J272" s="2" t="s">
        <v>4176</v>
      </c>
      <c r="K272" s="2" t="s">
        <v>304</v>
      </c>
      <c r="L272" s="2" t="s">
        <v>4177</v>
      </c>
      <c r="M272" s="8" t="str">
        <f>HYPERLINK("http://slimages.macys.com/is/image/MCY/14601081 ")</f>
        <v xml:space="preserve">http://slimages.macys.com/is/image/MCY/14601081 </v>
      </c>
    </row>
    <row r="273" spans="1:13" ht="84" x14ac:dyDescent="0.25">
      <c r="A273" s="7" t="s">
        <v>4178</v>
      </c>
      <c r="B273" s="2" t="s">
        <v>4174</v>
      </c>
      <c r="C273" s="4">
        <v>2</v>
      </c>
      <c r="D273" s="5">
        <v>5.44</v>
      </c>
      <c r="E273" s="5">
        <v>14.99</v>
      </c>
      <c r="F273" s="4" t="s">
        <v>4175</v>
      </c>
      <c r="G273" s="2" t="s">
        <v>195</v>
      </c>
      <c r="H273" s="7" t="s">
        <v>590</v>
      </c>
      <c r="I273" s="2" t="s">
        <v>483</v>
      </c>
      <c r="J273" s="2" t="s">
        <v>4176</v>
      </c>
      <c r="K273" s="2" t="s">
        <v>304</v>
      </c>
      <c r="L273" s="2" t="s">
        <v>4177</v>
      </c>
      <c r="M273" s="8" t="str">
        <f>HYPERLINK("http://slimages.macys.com/is/image/MCY/14601081 ")</f>
        <v xml:space="preserve">http://slimages.macys.com/is/image/MCY/14601081 </v>
      </c>
    </row>
    <row r="274" spans="1:13" ht="84" x14ac:dyDescent="0.25">
      <c r="A274" s="7" t="s">
        <v>4179</v>
      </c>
      <c r="B274" s="2" t="s">
        <v>4174</v>
      </c>
      <c r="C274" s="4">
        <v>3</v>
      </c>
      <c r="D274" s="5">
        <v>5.44</v>
      </c>
      <c r="E274" s="5">
        <v>14.99</v>
      </c>
      <c r="F274" s="4" t="s">
        <v>4175</v>
      </c>
      <c r="G274" s="2" t="s">
        <v>195</v>
      </c>
      <c r="H274" s="7" t="s">
        <v>442</v>
      </c>
      <c r="I274" s="2" t="s">
        <v>483</v>
      </c>
      <c r="J274" s="2" t="s">
        <v>4176</v>
      </c>
      <c r="K274" s="2" t="s">
        <v>304</v>
      </c>
      <c r="L274" s="2" t="s">
        <v>4177</v>
      </c>
      <c r="M274" s="8" t="str">
        <f>HYPERLINK("http://slimages.macys.com/is/image/MCY/14601081 ")</f>
        <v xml:space="preserve">http://slimages.macys.com/is/image/MCY/14601081 </v>
      </c>
    </row>
    <row r="275" spans="1:13" ht="84" x14ac:dyDescent="0.25">
      <c r="A275" s="7" t="s">
        <v>4180</v>
      </c>
      <c r="B275" s="2" t="s">
        <v>4174</v>
      </c>
      <c r="C275" s="4">
        <v>2</v>
      </c>
      <c r="D275" s="5">
        <v>5.44</v>
      </c>
      <c r="E275" s="5">
        <v>14.99</v>
      </c>
      <c r="F275" s="4" t="s">
        <v>4175</v>
      </c>
      <c r="G275" s="2" t="s">
        <v>195</v>
      </c>
      <c r="H275" s="7" t="s">
        <v>91</v>
      </c>
      <c r="I275" s="2" t="s">
        <v>483</v>
      </c>
      <c r="J275" s="2" t="s">
        <v>4176</v>
      </c>
      <c r="K275" s="2" t="s">
        <v>304</v>
      </c>
      <c r="L275" s="2" t="s">
        <v>4177</v>
      </c>
      <c r="M275" s="8" t="str">
        <f>HYPERLINK("http://slimages.macys.com/is/image/MCY/14601081 ")</f>
        <v xml:space="preserve">http://slimages.macys.com/is/image/MCY/14601081 </v>
      </c>
    </row>
    <row r="276" spans="1:13" ht="60" x14ac:dyDescent="0.25">
      <c r="A276" s="7" t="s">
        <v>5501</v>
      </c>
      <c r="B276" s="2" t="s">
        <v>1081</v>
      </c>
      <c r="C276" s="4">
        <v>1</v>
      </c>
      <c r="D276" s="5">
        <v>5.35</v>
      </c>
      <c r="E276" s="5">
        <v>13.99</v>
      </c>
      <c r="F276" s="4" t="s">
        <v>1082</v>
      </c>
      <c r="G276" s="2" t="s">
        <v>41</v>
      </c>
      <c r="H276" s="7" t="s">
        <v>149</v>
      </c>
      <c r="I276" s="2" t="s">
        <v>483</v>
      </c>
      <c r="J276" s="2" t="s">
        <v>536</v>
      </c>
      <c r="K276" s="2" t="s">
        <v>304</v>
      </c>
      <c r="L276" s="2" t="s">
        <v>125</v>
      </c>
      <c r="M276" s="8" t="str">
        <f>HYPERLINK("http://slimages.macys.com/is/image/MCY/14447244 ")</f>
        <v xml:space="preserve">http://slimages.macys.com/is/image/MCY/14447244 </v>
      </c>
    </row>
    <row r="277" spans="1:13" ht="60" x14ac:dyDescent="0.25">
      <c r="A277" s="7" t="s">
        <v>1080</v>
      </c>
      <c r="B277" s="2" t="s">
        <v>1081</v>
      </c>
      <c r="C277" s="4">
        <v>1</v>
      </c>
      <c r="D277" s="5">
        <v>5.35</v>
      </c>
      <c r="E277" s="5">
        <v>13.99</v>
      </c>
      <c r="F277" s="4" t="s">
        <v>1082</v>
      </c>
      <c r="G277" s="2" t="s">
        <v>41</v>
      </c>
      <c r="H277" s="7" t="s">
        <v>590</v>
      </c>
      <c r="I277" s="2" t="s">
        <v>483</v>
      </c>
      <c r="J277" s="2" t="s">
        <v>536</v>
      </c>
      <c r="K277" s="2" t="s">
        <v>304</v>
      </c>
      <c r="L277" s="2" t="s">
        <v>125</v>
      </c>
      <c r="M277" s="8" t="str">
        <f>HYPERLINK("http://slimages.macys.com/is/image/MCY/14447244 ")</f>
        <v xml:space="preserve">http://slimages.macys.com/is/image/MCY/14447244 </v>
      </c>
    </row>
    <row r="278" spans="1:13" ht="96" x14ac:dyDescent="0.25">
      <c r="A278" s="7" t="s">
        <v>13380</v>
      </c>
      <c r="B278" s="2" t="s">
        <v>13381</v>
      </c>
      <c r="C278" s="4">
        <v>1</v>
      </c>
      <c r="D278" s="5">
        <v>5.25</v>
      </c>
      <c r="E278" s="5">
        <v>14.99</v>
      </c>
      <c r="F278" s="4" t="s">
        <v>13382</v>
      </c>
      <c r="G278" s="2" t="s">
        <v>129</v>
      </c>
      <c r="H278" s="7" t="s">
        <v>144</v>
      </c>
      <c r="I278" s="2" t="s">
        <v>135</v>
      </c>
      <c r="J278" s="2" t="s">
        <v>1076</v>
      </c>
      <c r="K278" s="2" t="s">
        <v>304</v>
      </c>
      <c r="L278" s="2" t="s">
        <v>1948</v>
      </c>
      <c r="M278" s="8" t="str">
        <f>HYPERLINK("http://slimages.macys.com/is/image/MCY/15654539 ")</f>
        <v xml:space="preserve">http://slimages.macys.com/is/image/MCY/15654539 </v>
      </c>
    </row>
    <row r="279" spans="1:13" ht="96" x14ac:dyDescent="0.25">
      <c r="A279" s="7" t="s">
        <v>13383</v>
      </c>
      <c r="B279" s="2" t="s">
        <v>13381</v>
      </c>
      <c r="C279" s="4">
        <v>4</v>
      </c>
      <c r="D279" s="5">
        <v>5.25</v>
      </c>
      <c r="E279" s="5">
        <v>14.99</v>
      </c>
      <c r="F279" s="4" t="s">
        <v>13382</v>
      </c>
      <c r="G279" s="2" t="s">
        <v>129</v>
      </c>
      <c r="H279" s="7" t="s">
        <v>42</v>
      </c>
      <c r="I279" s="2" t="s">
        <v>135</v>
      </c>
      <c r="J279" s="2" t="s">
        <v>1076</v>
      </c>
      <c r="K279" s="2" t="s">
        <v>304</v>
      </c>
      <c r="L279" s="2" t="s">
        <v>1948</v>
      </c>
      <c r="M279" s="8" t="str">
        <f>HYPERLINK("http://slimages.macys.com/is/image/MCY/15654539 ")</f>
        <v xml:space="preserve">http://slimages.macys.com/is/image/MCY/15654539 </v>
      </c>
    </row>
    <row r="280" spans="1:13" ht="96" x14ac:dyDescent="0.25">
      <c r="A280" s="7" t="s">
        <v>13384</v>
      </c>
      <c r="B280" s="2" t="s">
        <v>2654</v>
      </c>
      <c r="C280" s="4">
        <v>1</v>
      </c>
      <c r="D280" s="5">
        <v>5.25</v>
      </c>
      <c r="E280" s="5">
        <v>14.99</v>
      </c>
      <c r="F280" s="4" t="s">
        <v>2655</v>
      </c>
      <c r="G280" s="2" t="s">
        <v>48</v>
      </c>
      <c r="H280" s="7" t="s">
        <v>144</v>
      </c>
      <c r="I280" s="2" t="s">
        <v>135</v>
      </c>
      <c r="J280" s="2" t="s">
        <v>1076</v>
      </c>
      <c r="K280" s="2" t="s">
        <v>304</v>
      </c>
      <c r="L280" s="2" t="s">
        <v>1948</v>
      </c>
      <c r="M280" s="8" t="str">
        <f>HYPERLINK("http://slimages.macys.com/is/image/MCY/15654520 ")</f>
        <v xml:space="preserve">http://slimages.macys.com/is/image/MCY/15654520 </v>
      </c>
    </row>
    <row r="281" spans="1:13" ht="96" x14ac:dyDescent="0.25">
      <c r="A281" s="7" t="s">
        <v>13385</v>
      </c>
      <c r="B281" s="2" t="s">
        <v>13381</v>
      </c>
      <c r="C281" s="4">
        <v>2</v>
      </c>
      <c r="D281" s="5">
        <v>5.25</v>
      </c>
      <c r="E281" s="5">
        <v>14.99</v>
      </c>
      <c r="F281" s="4" t="s">
        <v>13382</v>
      </c>
      <c r="G281" s="2" t="s">
        <v>129</v>
      </c>
      <c r="H281" s="7" t="s">
        <v>91</v>
      </c>
      <c r="I281" s="2" t="s">
        <v>135</v>
      </c>
      <c r="J281" s="2" t="s">
        <v>1076</v>
      </c>
      <c r="K281" s="2" t="s">
        <v>304</v>
      </c>
      <c r="L281" s="2" t="s">
        <v>1948</v>
      </c>
      <c r="M281" s="8" t="str">
        <f>HYPERLINK("http://slimages.macys.com/is/image/MCY/15654539 ")</f>
        <v xml:space="preserve">http://slimages.macys.com/is/image/MCY/15654539 </v>
      </c>
    </row>
    <row r="282" spans="1:13" ht="96" x14ac:dyDescent="0.25">
      <c r="A282" s="7" t="s">
        <v>2652</v>
      </c>
      <c r="B282" s="2" t="s">
        <v>2649</v>
      </c>
      <c r="C282" s="4">
        <v>2</v>
      </c>
      <c r="D282" s="5">
        <v>5.25</v>
      </c>
      <c r="E282" s="5">
        <v>14.99</v>
      </c>
      <c r="F282" s="4" t="s">
        <v>2650</v>
      </c>
      <c r="G282" s="2" t="s">
        <v>48</v>
      </c>
      <c r="H282" s="7" t="s">
        <v>91</v>
      </c>
      <c r="I282" s="2" t="s">
        <v>135</v>
      </c>
      <c r="J282" s="2" t="s">
        <v>1076</v>
      </c>
      <c r="K282" s="2" t="s">
        <v>304</v>
      </c>
      <c r="L282" s="2" t="s">
        <v>1948</v>
      </c>
      <c r="M282" s="8" t="str">
        <f>HYPERLINK("http://slimages.macys.com/is/image/MCY/15367911 ")</f>
        <v xml:space="preserve">http://slimages.macys.com/is/image/MCY/15367911 </v>
      </c>
    </row>
    <row r="283" spans="1:13" ht="96" x14ac:dyDescent="0.25">
      <c r="A283" s="7" t="s">
        <v>13386</v>
      </c>
      <c r="B283" s="2" t="s">
        <v>13381</v>
      </c>
      <c r="C283" s="4">
        <v>2</v>
      </c>
      <c r="D283" s="5">
        <v>5.25</v>
      </c>
      <c r="E283" s="5">
        <v>14.99</v>
      </c>
      <c r="F283" s="4" t="s">
        <v>13382</v>
      </c>
      <c r="G283" s="2" t="s">
        <v>129</v>
      </c>
      <c r="H283" s="7" t="s">
        <v>442</v>
      </c>
      <c r="I283" s="2" t="s">
        <v>135</v>
      </c>
      <c r="J283" s="2" t="s">
        <v>1076</v>
      </c>
      <c r="K283" s="2" t="s">
        <v>304</v>
      </c>
      <c r="L283" s="2" t="s">
        <v>1948</v>
      </c>
      <c r="M283" s="8" t="str">
        <f>HYPERLINK("http://slimages.macys.com/is/image/MCY/15654539 ")</f>
        <v xml:space="preserve">http://slimages.macys.com/is/image/MCY/15654539 </v>
      </c>
    </row>
    <row r="284" spans="1:13" ht="96" x14ac:dyDescent="0.25">
      <c r="A284" s="7" t="s">
        <v>13387</v>
      </c>
      <c r="B284" s="2" t="s">
        <v>2654</v>
      </c>
      <c r="C284" s="4">
        <v>1</v>
      </c>
      <c r="D284" s="5">
        <v>5.25</v>
      </c>
      <c r="E284" s="5">
        <v>14.99</v>
      </c>
      <c r="F284" s="4" t="s">
        <v>2655</v>
      </c>
      <c r="G284" s="2" t="s">
        <v>48</v>
      </c>
      <c r="H284" s="7" t="s">
        <v>68</v>
      </c>
      <c r="I284" s="2" t="s">
        <v>135</v>
      </c>
      <c r="J284" s="2" t="s">
        <v>1076</v>
      </c>
      <c r="K284" s="2" t="s">
        <v>304</v>
      </c>
      <c r="L284" s="2" t="s">
        <v>1948</v>
      </c>
      <c r="M284" s="8" t="str">
        <f>HYPERLINK("http://slimages.macys.com/is/image/MCY/15654520 ")</f>
        <v xml:space="preserve">http://slimages.macys.com/is/image/MCY/15654520 </v>
      </c>
    </row>
    <row r="285" spans="1:13" ht="60" x14ac:dyDescent="0.25">
      <c r="A285" s="7" t="s">
        <v>533</v>
      </c>
      <c r="B285" s="2" t="s">
        <v>534</v>
      </c>
      <c r="C285" s="4">
        <v>3</v>
      </c>
      <c r="D285" s="5">
        <v>5.0999999999999996</v>
      </c>
      <c r="E285" s="5">
        <v>13.5</v>
      </c>
      <c r="F285" s="4" t="s">
        <v>535</v>
      </c>
      <c r="G285" s="2" t="s">
        <v>86</v>
      </c>
      <c r="H285" s="7"/>
      <c r="I285" s="2" t="s">
        <v>483</v>
      </c>
      <c r="J285" s="2" t="s">
        <v>536</v>
      </c>
      <c r="K285" s="2" t="s">
        <v>304</v>
      </c>
      <c r="L285" s="2" t="s">
        <v>537</v>
      </c>
      <c r="M285" s="8" t="str">
        <f>HYPERLINK("http://slimages.macys.com/is/image/MCY/9157948 ")</f>
        <v xml:space="preserve">http://slimages.macys.com/is/image/MCY/9157948 </v>
      </c>
    </row>
    <row r="286" spans="1:13" ht="60" x14ac:dyDescent="0.25">
      <c r="A286" s="7" t="s">
        <v>3416</v>
      </c>
      <c r="B286" s="2" t="s">
        <v>534</v>
      </c>
      <c r="C286" s="4">
        <v>1</v>
      </c>
      <c r="D286" s="5">
        <v>5.0999999999999996</v>
      </c>
      <c r="E286" s="5">
        <v>13.5</v>
      </c>
      <c r="F286" s="4" t="s">
        <v>535</v>
      </c>
      <c r="G286" s="2" t="s">
        <v>297</v>
      </c>
      <c r="H286" s="7"/>
      <c r="I286" s="2" t="s">
        <v>483</v>
      </c>
      <c r="J286" s="2" t="s">
        <v>536</v>
      </c>
      <c r="K286" s="2" t="s">
        <v>304</v>
      </c>
      <c r="L286" s="2" t="s">
        <v>537</v>
      </c>
      <c r="M286" s="8" t="str">
        <f>HYPERLINK("http://slimages.macys.com/is/image/MCY/9157948 ")</f>
        <v xml:space="preserve">http://slimages.macys.com/is/image/MCY/9157948 </v>
      </c>
    </row>
    <row r="287" spans="1:13" ht="60" x14ac:dyDescent="0.25">
      <c r="A287" s="7" t="s">
        <v>4189</v>
      </c>
      <c r="B287" s="2" t="s">
        <v>534</v>
      </c>
      <c r="C287" s="4">
        <v>1</v>
      </c>
      <c r="D287" s="5">
        <v>5.0999999999999996</v>
      </c>
      <c r="E287" s="5">
        <v>13.5</v>
      </c>
      <c r="F287" s="4" t="s">
        <v>535</v>
      </c>
      <c r="G287" s="2" t="s">
        <v>86</v>
      </c>
      <c r="H287" s="7" t="s">
        <v>149</v>
      </c>
      <c r="I287" s="2" t="s">
        <v>483</v>
      </c>
      <c r="J287" s="2" t="s">
        <v>536</v>
      </c>
      <c r="K287" s="2" t="s">
        <v>304</v>
      </c>
      <c r="L287" s="2" t="s">
        <v>537</v>
      </c>
      <c r="M287" s="8" t="str">
        <f>HYPERLINK("http://slimages.macys.com/is/image/MCY/9157948 ")</f>
        <v xml:space="preserve">http://slimages.macys.com/is/image/MCY/9157948 </v>
      </c>
    </row>
    <row r="288" spans="1:13" ht="60" x14ac:dyDescent="0.25">
      <c r="A288" s="7" t="s">
        <v>3423</v>
      </c>
      <c r="B288" s="2" t="s">
        <v>534</v>
      </c>
      <c r="C288" s="4">
        <v>1</v>
      </c>
      <c r="D288" s="5">
        <v>5.0999999999999996</v>
      </c>
      <c r="E288" s="5">
        <v>13.5</v>
      </c>
      <c r="F288" s="4" t="s">
        <v>535</v>
      </c>
      <c r="G288" s="2" t="s">
        <v>86</v>
      </c>
      <c r="H288" s="7" t="s">
        <v>590</v>
      </c>
      <c r="I288" s="2" t="s">
        <v>483</v>
      </c>
      <c r="J288" s="2" t="s">
        <v>536</v>
      </c>
      <c r="K288" s="2" t="s">
        <v>304</v>
      </c>
      <c r="L288" s="2" t="s">
        <v>537</v>
      </c>
      <c r="M288" s="8" t="str">
        <f>HYPERLINK("http://slimages.macys.com/is/image/MCY/9157948 ")</f>
        <v xml:space="preserve">http://slimages.macys.com/is/image/MCY/9157948 </v>
      </c>
    </row>
    <row r="289" spans="1:13" ht="60" x14ac:dyDescent="0.25">
      <c r="A289" s="7" t="s">
        <v>1957</v>
      </c>
      <c r="B289" s="2" t="s">
        <v>534</v>
      </c>
      <c r="C289" s="4">
        <v>1</v>
      </c>
      <c r="D289" s="5">
        <v>5.0999999999999996</v>
      </c>
      <c r="E289" s="5">
        <v>13.5</v>
      </c>
      <c r="F289" s="4">
        <v>100006338</v>
      </c>
      <c r="G289" s="2" t="s">
        <v>86</v>
      </c>
      <c r="H289" s="7" t="s">
        <v>149</v>
      </c>
      <c r="I289" s="2" t="s">
        <v>483</v>
      </c>
      <c r="J289" s="2" t="s">
        <v>536</v>
      </c>
      <c r="K289" s="2" t="s">
        <v>304</v>
      </c>
      <c r="L289" s="2" t="s">
        <v>537</v>
      </c>
      <c r="M289" s="8" t="str">
        <f>HYPERLINK("http://slimages.macys.com/is/image/MCY/9157948 ")</f>
        <v xml:space="preserve">http://slimages.macys.com/is/image/MCY/9157948 </v>
      </c>
    </row>
    <row r="290" spans="1:13" ht="60" x14ac:dyDescent="0.25">
      <c r="A290" s="7" t="s">
        <v>13388</v>
      </c>
      <c r="B290" s="2" t="s">
        <v>13389</v>
      </c>
      <c r="C290" s="4">
        <v>1</v>
      </c>
      <c r="D290" s="5">
        <v>5</v>
      </c>
      <c r="E290" s="5">
        <v>11.37</v>
      </c>
      <c r="F290" s="4">
        <v>18486110</v>
      </c>
      <c r="G290" s="2" t="s">
        <v>28</v>
      </c>
      <c r="H290" s="7" t="s">
        <v>438</v>
      </c>
      <c r="I290" s="2" t="s">
        <v>153</v>
      </c>
      <c r="J290" s="2" t="s">
        <v>154</v>
      </c>
      <c r="K290" s="2" t="s">
        <v>304</v>
      </c>
      <c r="L290" s="2" t="s">
        <v>206</v>
      </c>
      <c r="M290" s="8" t="str">
        <f>HYPERLINK("http://slimages.macys.com/is/image/MCY/14888738 ")</f>
        <v xml:space="preserve">http://slimages.macys.com/is/image/MCY/14888738 </v>
      </c>
    </row>
    <row r="291" spans="1:13" ht="60" x14ac:dyDescent="0.25">
      <c r="A291" s="7" t="s">
        <v>13390</v>
      </c>
      <c r="B291" s="2" t="s">
        <v>13389</v>
      </c>
      <c r="C291" s="4">
        <v>1</v>
      </c>
      <c r="D291" s="5">
        <v>5</v>
      </c>
      <c r="E291" s="5">
        <v>11.37</v>
      </c>
      <c r="F291" s="4">
        <v>18486110</v>
      </c>
      <c r="G291" s="2" t="s">
        <v>28</v>
      </c>
      <c r="H291" s="7" t="s">
        <v>675</v>
      </c>
      <c r="I291" s="2" t="s">
        <v>153</v>
      </c>
      <c r="J291" s="2" t="s">
        <v>154</v>
      </c>
      <c r="K291" s="2" t="s">
        <v>304</v>
      </c>
      <c r="L291" s="2" t="s">
        <v>206</v>
      </c>
      <c r="M291" s="8" t="str">
        <f>HYPERLINK("http://slimages.macys.com/is/image/MCY/14888738 ")</f>
        <v xml:space="preserve">http://slimages.macys.com/is/image/MCY/14888738 </v>
      </c>
    </row>
    <row r="292" spans="1:13" ht="60" x14ac:dyDescent="0.25">
      <c r="A292" s="7" t="s">
        <v>13391</v>
      </c>
      <c r="B292" s="2" t="s">
        <v>13389</v>
      </c>
      <c r="C292" s="4">
        <v>1</v>
      </c>
      <c r="D292" s="5">
        <v>5</v>
      </c>
      <c r="E292" s="5">
        <v>11.37</v>
      </c>
      <c r="F292" s="4">
        <v>18486110</v>
      </c>
      <c r="G292" s="2" t="s">
        <v>28</v>
      </c>
      <c r="H292" s="7" t="s">
        <v>482</v>
      </c>
      <c r="I292" s="2" t="s">
        <v>153</v>
      </c>
      <c r="J292" s="2" t="s">
        <v>154</v>
      </c>
      <c r="K292" s="2" t="s">
        <v>304</v>
      </c>
      <c r="L292" s="2" t="s">
        <v>206</v>
      </c>
      <c r="M292" s="8" t="str">
        <f>HYPERLINK("http://slimages.macys.com/is/image/MCY/14888738 ")</f>
        <v xml:space="preserve">http://slimages.macys.com/is/image/MCY/14888738 </v>
      </c>
    </row>
    <row r="293" spans="1:13" ht="60" x14ac:dyDescent="0.25">
      <c r="A293" s="7" t="s">
        <v>13392</v>
      </c>
      <c r="B293" s="2" t="s">
        <v>13393</v>
      </c>
      <c r="C293" s="4">
        <v>1</v>
      </c>
      <c r="D293" s="5">
        <v>4.9000000000000004</v>
      </c>
      <c r="E293" s="5">
        <v>10.99</v>
      </c>
      <c r="F293" s="4" t="s">
        <v>13394</v>
      </c>
      <c r="G293" s="2" t="s">
        <v>41</v>
      </c>
      <c r="H293" s="7" t="s">
        <v>159</v>
      </c>
      <c r="I293" s="2" t="s">
        <v>468</v>
      </c>
      <c r="J293" s="2" t="s">
        <v>544</v>
      </c>
      <c r="K293" s="2" t="s">
        <v>304</v>
      </c>
      <c r="L293" s="2" t="s">
        <v>119</v>
      </c>
      <c r="M293" s="8" t="str">
        <f>HYPERLINK("http://slimages.macys.com/is/image/MCY/11950195 ")</f>
        <v xml:space="preserve">http://slimages.macys.com/is/image/MCY/11950195 </v>
      </c>
    </row>
    <row r="294" spans="1:13" ht="60" x14ac:dyDescent="0.25">
      <c r="A294" s="7" t="s">
        <v>3440</v>
      </c>
      <c r="B294" s="2" t="s">
        <v>2661</v>
      </c>
      <c r="C294" s="4">
        <v>1</v>
      </c>
      <c r="D294" s="5">
        <v>4.88</v>
      </c>
      <c r="E294" s="5">
        <v>12.99</v>
      </c>
      <c r="F294" s="4" t="s">
        <v>2662</v>
      </c>
      <c r="G294" s="2" t="s">
        <v>134</v>
      </c>
      <c r="H294" s="7" t="s">
        <v>442</v>
      </c>
      <c r="I294" s="2" t="s">
        <v>483</v>
      </c>
      <c r="J294" s="2" t="s">
        <v>536</v>
      </c>
      <c r="K294" s="2" t="s">
        <v>304</v>
      </c>
      <c r="L294" s="2" t="s">
        <v>38</v>
      </c>
      <c r="M294" s="8" t="str">
        <f>HYPERLINK("http://slimages.macys.com/is/image/MCY/14517553 ")</f>
        <v xml:space="preserve">http://slimages.macys.com/is/image/MCY/14517553 </v>
      </c>
    </row>
    <row r="295" spans="1:13" ht="60" x14ac:dyDescent="0.25">
      <c r="A295" s="7" t="s">
        <v>2663</v>
      </c>
      <c r="B295" s="2" t="s">
        <v>2661</v>
      </c>
      <c r="C295" s="4">
        <v>1</v>
      </c>
      <c r="D295" s="5">
        <v>4.88</v>
      </c>
      <c r="E295" s="5">
        <v>12.99</v>
      </c>
      <c r="F295" s="4" t="s">
        <v>2662</v>
      </c>
      <c r="G295" s="2" t="s">
        <v>134</v>
      </c>
      <c r="H295" s="7" t="s">
        <v>590</v>
      </c>
      <c r="I295" s="2" t="s">
        <v>483</v>
      </c>
      <c r="J295" s="2" t="s">
        <v>536</v>
      </c>
      <c r="K295" s="2" t="s">
        <v>304</v>
      </c>
      <c r="L295" s="2" t="s">
        <v>38</v>
      </c>
      <c r="M295" s="8" t="str">
        <f>HYPERLINK("http://slimages.macys.com/is/image/MCY/14517553 ")</f>
        <v xml:space="preserve">http://slimages.macys.com/is/image/MCY/14517553 </v>
      </c>
    </row>
    <row r="296" spans="1:13" ht="60" x14ac:dyDescent="0.25">
      <c r="A296" s="7" t="s">
        <v>2660</v>
      </c>
      <c r="B296" s="2" t="s">
        <v>2661</v>
      </c>
      <c r="C296" s="4">
        <v>1</v>
      </c>
      <c r="D296" s="5">
        <v>4.88</v>
      </c>
      <c r="E296" s="5">
        <v>12.99</v>
      </c>
      <c r="F296" s="4" t="s">
        <v>2662</v>
      </c>
      <c r="G296" s="2" t="s">
        <v>134</v>
      </c>
      <c r="H296" s="7" t="s">
        <v>91</v>
      </c>
      <c r="I296" s="2" t="s">
        <v>483</v>
      </c>
      <c r="J296" s="2" t="s">
        <v>536</v>
      </c>
      <c r="K296" s="2" t="s">
        <v>304</v>
      </c>
      <c r="L296" s="2" t="s">
        <v>38</v>
      </c>
      <c r="M296" s="8" t="str">
        <f>HYPERLINK("http://slimages.macys.com/is/image/MCY/14517553 ")</f>
        <v xml:space="preserve">http://slimages.macys.com/is/image/MCY/14517553 </v>
      </c>
    </row>
    <row r="297" spans="1:13" ht="60" x14ac:dyDescent="0.25">
      <c r="A297" s="7" t="s">
        <v>13395</v>
      </c>
      <c r="B297" s="2" t="s">
        <v>5472</v>
      </c>
      <c r="C297" s="4">
        <v>1</v>
      </c>
      <c r="D297" s="5">
        <v>4.8499999999999996</v>
      </c>
      <c r="E297" s="5">
        <v>5.99</v>
      </c>
      <c r="F297" s="4" t="s">
        <v>13396</v>
      </c>
      <c r="G297" s="2" t="s">
        <v>800</v>
      </c>
      <c r="H297" s="7" t="s">
        <v>68</v>
      </c>
      <c r="I297" s="2" t="s">
        <v>80</v>
      </c>
      <c r="J297" s="2" t="s">
        <v>1857</v>
      </c>
      <c r="K297" s="2" t="s">
        <v>304</v>
      </c>
      <c r="L297" s="2" t="s">
        <v>119</v>
      </c>
      <c r="M297" s="8" t="str">
        <f>HYPERLINK("http://slimages.macys.com/is/image/MCY/12802467 ")</f>
        <v xml:space="preserve">http://slimages.macys.com/is/image/MCY/12802467 </v>
      </c>
    </row>
    <row r="298" spans="1:13" ht="60" x14ac:dyDescent="0.25">
      <c r="A298" s="7" t="s">
        <v>5977</v>
      </c>
      <c r="B298" s="2" t="s">
        <v>5978</v>
      </c>
      <c r="C298" s="4">
        <v>1</v>
      </c>
      <c r="D298" s="5">
        <v>4.8499999999999996</v>
      </c>
      <c r="E298" s="5">
        <v>10.99</v>
      </c>
      <c r="F298" s="4" t="s">
        <v>5979</v>
      </c>
      <c r="G298" s="2" t="s">
        <v>86</v>
      </c>
      <c r="H298" s="7" t="s">
        <v>159</v>
      </c>
      <c r="I298" s="2" t="s">
        <v>389</v>
      </c>
      <c r="J298" s="2" t="s">
        <v>354</v>
      </c>
      <c r="K298" s="2" t="s">
        <v>304</v>
      </c>
      <c r="L298" s="2" t="s">
        <v>100</v>
      </c>
      <c r="M298" s="8" t="str">
        <f>HYPERLINK("http://slimages.macys.com/is/image/MCY/11135810 ")</f>
        <v xml:space="preserve">http://slimages.macys.com/is/image/MCY/11135810 </v>
      </c>
    </row>
    <row r="299" spans="1:13" ht="60" x14ac:dyDescent="0.25">
      <c r="A299" s="7" t="s">
        <v>1990</v>
      </c>
      <c r="B299" s="2" t="s">
        <v>1991</v>
      </c>
      <c r="C299" s="4">
        <v>1</v>
      </c>
      <c r="D299" s="5">
        <v>4.75</v>
      </c>
      <c r="E299" s="5">
        <v>8.99</v>
      </c>
      <c r="F299" s="4" t="s">
        <v>1992</v>
      </c>
      <c r="G299" s="2" t="s">
        <v>653</v>
      </c>
      <c r="H299" s="7" t="s">
        <v>284</v>
      </c>
      <c r="I299" s="2" t="s">
        <v>73</v>
      </c>
      <c r="J299" s="2" t="s">
        <v>1917</v>
      </c>
      <c r="K299" s="2" t="s">
        <v>304</v>
      </c>
      <c r="L299" s="2" t="s">
        <v>125</v>
      </c>
      <c r="M299" s="8" t="str">
        <f>HYPERLINK("http://slimages.macys.com/is/image/MCY/13726811 ")</f>
        <v xml:space="preserve">http://slimages.macys.com/is/image/MCY/13726811 </v>
      </c>
    </row>
    <row r="300" spans="1:13" ht="60" x14ac:dyDescent="0.25">
      <c r="A300" s="7" t="s">
        <v>13397</v>
      </c>
      <c r="B300" s="2" t="s">
        <v>4336</v>
      </c>
      <c r="C300" s="4">
        <v>1</v>
      </c>
      <c r="D300" s="5">
        <v>4.7</v>
      </c>
      <c r="E300" s="5">
        <v>10.99</v>
      </c>
      <c r="F300" s="4" t="s">
        <v>9093</v>
      </c>
      <c r="G300" s="2" t="s">
        <v>793</v>
      </c>
      <c r="H300" s="7" t="s">
        <v>284</v>
      </c>
      <c r="I300" s="2" t="s">
        <v>389</v>
      </c>
      <c r="J300" s="2" t="s">
        <v>354</v>
      </c>
      <c r="K300" s="2" t="s">
        <v>304</v>
      </c>
      <c r="L300" s="2" t="s">
        <v>596</v>
      </c>
      <c r="M300" s="8" t="str">
        <f>HYPERLINK("http://slimages.macys.com/is/image/MCY/11777149 ")</f>
        <v xml:space="preserve">http://slimages.macys.com/is/image/MCY/11777149 </v>
      </c>
    </row>
    <row r="301" spans="1:13" ht="60" x14ac:dyDescent="0.25">
      <c r="A301" s="7" t="s">
        <v>13398</v>
      </c>
      <c r="B301" s="2" t="s">
        <v>7743</v>
      </c>
      <c r="C301" s="4">
        <v>1</v>
      </c>
      <c r="D301" s="5">
        <v>4.6500000000000004</v>
      </c>
      <c r="E301" s="5">
        <v>12.99</v>
      </c>
      <c r="F301" s="4" t="s">
        <v>7744</v>
      </c>
      <c r="G301" s="2" t="s">
        <v>238</v>
      </c>
      <c r="H301" s="7" t="s">
        <v>228</v>
      </c>
      <c r="I301" s="2" t="s">
        <v>218</v>
      </c>
      <c r="J301" s="2" t="s">
        <v>1740</v>
      </c>
      <c r="K301" s="2" t="s">
        <v>304</v>
      </c>
      <c r="L301" s="2" t="s">
        <v>119</v>
      </c>
      <c r="M301" s="8" t="str">
        <f>HYPERLINK("http://slimages.macys.com/is/image/MCY/11952741 ")</f>
        <v xml:space="preserve">http://slimages.macys.com/is/image/MCY/11952741 </v>
      </c>
    </row>
    <row r="302" spans="1:13" ht="60" x14ac:dyDescent="0.25">
      <c r="A302" s="7" t="s">
        <v>8338</v>
      </c>
      <c r="B302" s="2" t="s">
        <v>8339</v>
      </c>
      <c r="C302" s="4">
        <v>2</v>
      </c>
      <c r="D302" s="5">
        <v>4.5999999999999996</v>
      </c>
      <c r="E302" s="5">
        <v>9.99</v>
      </c>
      <c r="F302" s="4" t="s">
        <v>8340</v>
      </c>
      <c r="G302" s="2" t="s">
        <v>582</v>
      </c>
      <c r="H302" s="7"/>
      <c r="I302" s="2" t="s">
        <v>483</v>
      </c>
      <c r="J302" s="2" t="s">
        <v>2710</v>
      </c>
      <c r="K302" s="2" t="s">
        <v>304</v>
      </c>
      <c r="L302" s="2" t="s">
        <v>2711</v>
      </c>
      <c r="M302" s="8" t="str">
        <f>HYPERLINK("http://slimages.macys.com/is/image/MCY/11636755 ")</f>
        <v xml:space="preserve">http://slimages.macys.com/is/image/MCY/11636755 </v>
      </c>
    </row>
    <row r="303" spans="1:13" ht="60" x14ac:dyDescent="0.25">
      <c r="A303" s="7" t="s">
        <v>13399</v>
      </c>
      <c r="B303" s="2" t="s">
        <v>8339</v>
      </c>
      <c r="C303" s="4">
        <v>1</v>
      </c>
      <c r="D303" s="5">
        <v>4.5999999999999996</v>
      </c>
      <c r="E303" s="5">
        <v>9.99</v>
      </c>
      <c r="F303" s="4" t="s">
        <v>8340</v>
      </c>
      <c r="G303" s="2" t="s">
        <v>582</v>
      </c>
      <c r="H303" s="7" t="s">
        <v>586</v>
      </c>
      <c r="I303" s="2" t="s">
        <v>483</v>
      </c>
      <c r="J303" s="2" t="s">
        <v>2710</v>
      </c>
      <c r="K303" s="2" t="s">
        <v>304</v>
      </c>
      <c r="L303" s="2" t="s">
        <v>2711</v>
      </c>
      <c r="M303" s="8" t="str">
        <f>HYPERLINK("http://slimages.macys.com/is/image/MCY/11636755 ")</f>
        <v xml:space="preserve">http://slimages.macys.com/is/image/MCY/11636755 </v>
      </c>
    </row>
    <row r="304" spans="1:13" ht="60" x14ac:dyDescent="0.25">
      <c r="A304" s="7" t="s">
        <v>8341</v>
      </c>
      <c r="B304" s="2" t="s">
        <v>8339</v>
      </c>
      <c r="C304" s="4">
        <v>1</v>
      </c>
      <c r="D304" s="5">
        <v>4.5999999999999996</v>
      </c>
      <c r="E304" s="5">
        <v>9.99</v>
      </c>
      <c r="F304" s="4" t="s">
        <v>8340</v>
      </c>
      <c r="G304" s="2" t="s">
        <v>582</v>
      </c>
      <c r="H304" s="7" t="s">
        <v>604</v>
      </c>
      <c r="I304" s="2" t="s">
        <v>483</v>
      </c>
      <c r="J304" s="2" t="s">
        <v>2710</v>
      </c>
      <c r="K304" s="2" t="s">
        <v>304</v>
      </c>
      <c r="L304" s="2" t="s">
        <v>2711</v>
      </c>
      <c r="M304" s="8" t="str">
        <f>HYPERLINK("http://slimages.macys.com/is/image/MCY/11636755 ")</f>
        <v xml:space="preserve">http://slimages.macys.com/is/image/MCY/11636755 </v>
      </c>
    </row>
    <row r="305" spans="1:13" ht="60" x14ac:dyDescent="0.25">
      <c r="A305" s="7" t="s">
        <v>13400</v>
      </c>
      <c r="B305" s="2" t="s">
        <v>11654</v>
      </c>
      <c r="C305" s="4">
        <v>1</v>
      </c>
      <c r="D305" s="5">
        <v>4.59</v>
      </c>
      <c r="E305" s="5">
        <v>11.99</v>
      </c>
      <c r="F305" s="4" t="s">
        <v>11655</v>
      </c>
      <c r="G305" s="2" t="s">
        <v>41</v>
      </c>
      <c r="H305" s="7" t="s">
        <v>442</v>
      </c>
      <c r="I305" s="2" t="s">
        <v>483</v>
      </c>
      <c r="J305" s="2" t="s">
        <v>536</v>
      </c>
      <c r="K305" s="2" t="s">
        <v>304</v>
      </c>
      <c r="L305" s="2" t="s">
        <v>119</v>
      </c>
      <c r="M305" s="8" t="str">
        <f>HYPERLINK("http://slimages.macys.com/is/image/MCY/12644560 ")</f>
        <v xml:space="preserve">http://slimages.macys.com/is/image/MCY/12644560 </v>
      </c>
    </row>
    <row r="306" spans="1:13" ht="60" x14ac:dyDescent="0.25">
      <c r="A306" s="7" t="s">
        <v>4211</v>
      </c>
      <c r="B306" s="2" t="s">
        <v>4212</v>
      </c>
      <c r="C306" s="4">
        <v>1</v>
      </c>
      <c r="D306" s="5">
        <v>4.5</v>
      </c>
      <c r="E306" s="5">
        <v>9.99</v>
      </c>
      <c r="F306" s="4" t="s">
        <v>4213</v>
      </c>
      <c r="G306" s="2" t="s">
        <v>41</v>
      </c>
      <c r="H306" s="7" t="s">
        <v>442</v>
      </c>
      <c r="I306" s="2" t="s">
        <v>135</v>
      </c>
      <c r="J306" s="2" t="s">
        <v>258</v>
      </c>
      <c r="K306" s="2" t="s">
        <v>304</v>
      </c>
      <c r="L306" s="2" t="s">
        <v>206</v>
      </c>
      <c r="M306" s="8" t="str">
        <f>HYPERLINK("http://slimages.macys.com/is/image/MCY/11858765 ")</f>
        <v xml:space="preserve">http://slimages.macys.com/is/image/MCY/11858765 </v>
      </c>
    </row>
    <row r="307" spans="1:13" ht="60" x14ac:dyDescent="0.25">
      <c r="A307" s="7" t="s">
        <v>13401</v>
      </c>
      <c r="B307" s="2" t="s">
        <v>2058</v>
      </c>
      <c r="C307" s="4">
        <v>1</v>
      </c>
      <c r="D307" s="5">
        <v>4.25</v>
      </c>
      <c r="E307" s="5">
        <v>7.99</v>
      </c>
      <c r="F307" s="4" t="s">
        <v>2059</v>
      </c>
      <c r="G307" s="2" t="s">
        <v>41</v>
      </c>
      <c r="H307" s="7" t="s">
        <v>63</v>
      </c>
      <c r="I307" s="2" t="s">
        <v>73</v>
      </c>
      <c r="J307" s="2" t="s">
        <v>1963</v>
      </c>
      <c r="K307" s="2" t="s">
        <v>304</v>
      </c>
      <c r="L307" s="2" t="s">
        <v>119</v>
      </c>
      <c r="M307" s="8" t="str">
        <f>HYPERLINK("http://slimages.macys.com/is/image/MCY/11272141 ")</f>
        <v xml:space="preserve">http://slimages.macys.com/is/image/MCY/11272141 </v>
      </c>
    </row>
    <row r="308" spans="1:13" ht="60" x14ac:dyDescent="0.25">
      <c r="A308" s="7" t="s">
        <v>8355</v>
      </c>
      <c r="B308" s="2" t="s">
        <v>2058</v>
      </c>
      <c r="C308" s="4">
        <v>1</v>
      </c>
      <c r="D308" s="5">
        <v>4.25</v>
      </c>
      <c r="E308" s="5">
        <v>7.99</v>
      </c>
      <c r="F308" s="4" t="s">
        <v>2059</v>
      </c>
      <c r="G308" s="2" t="s">
        <v>36</v>
      </c>
      <c r="H308" s="7" t="s">
        <v>68</v>
      </c>
      <c r="I308" s="2" t="s">
        <v>73</v>
      </c>
      <c r="J308" s="2" t="s">
        <v>1963</v>
      </c>
      <c r="K308" s="2" t="s">
        <v>304</v>
      </c>
      <c r="L308" s="2" t="s">
        <v>119</v>
      </c>
      <c r="M308" s="8" t="str">
        <f>HYPERLINK("http://slimages.macys.com/is/image/MCY/11272141 ")</f>
        <v xml:space="preserve">http://slimages.macys.com/is/image/MCY/11272141 </v>
      </c>
    </row>
    <row r="309" spans="1:13" ht="60" x14ac:dyDescent="0.25">
      <c r="A309" s="7" t="s">
        <v>13402</v>
      </c>
      <c r="B309" s="2" t="s">
        <v>2086</v>
      </c>
      <c r="C309" s="4">
        <v>1</v>
      </c>
      <c r="D309" s="5">
        <v>4.1500000000000004</v>
      </c>
      <c r="E309" s="5">
        <v>5.99</v>
      </c>
      <c r="F309" s="4" t="s">
        <v>2087</v>
      </c>
      <c r="G309" s="2" t="s">
        <v>262</v>
      </c>
      <c r="H309" s="7" t="s">
        <v>317</v>
      </c>
      <c r="I309" s="2" t="s">
        <v>80</v>
      </c>
      <c r="J309" s="2" t="s">
        <v>1857</v>
      </c>
      <c r="K309" s="2" t="s">
        <v>304</v>
      </c>
      <c r="L309" s="2" t="s">
        <v>119</v>
      </c>
      <c r="M309" s="8" t="str">
        <f>HYPERLINK("http://slimages.macys.com/is/image/MCY/14444269 ")</f>
        <v xml:space="preserve">http://slimages.macys.com/is/image/MCY/14444269 </v>
      </c>
    </row>
    <row r="310" spans="1:13" ht="60" x14ac:dyDescent="0.25">
      <c r="A310" s="7" t="s">
        <v>2094</v>
      </c>
      <c r="B310" s="2" t="s">
        <v>2095</v>
      </c>
      <c r="C310" s="4">
        <v>1</v>
      </c>
      <c r="D310" s="5">
        <v>4</v>
      </c>
      <c r="E310" s="5">
        <v>10.99</v>
      </c>
      <c r="F310" s="4" t="s">
        <v>2096</v>
      </c>
      <c r="G310" s="2" t="s">
        <v>28</v>
      </c>
      <c r="H310" s="7" t="s">
        <v>159</v>
      </c>
      <c r="I310" s="2" t="s">
        <v>389</v>
      </c>
      <c r="J310" s="2" t="s">
        <v>354</v>
      </c>
      <c r="K310" s="2" t="s">
        <v>304</v>
      </c>
      <c r="L310" s="2" t="s">
        <v>2097</v>
      </c>
      <c r="M310" s="8" t="str">
        <f>HYPERLINK("http://slimages.macys.com/is/image/MCY/12121841 ")</f>
        <v xml:space="preserve">http://slimages.macys.com/is/image/MCY/12121841 </v>
      </c>
    </row>
    <row r="311" spans="1:13" ht="60" x14ac:dyDescent="0.25">
      <c r="A311" s="7" t="s">
        <v>10251</v>
      </c>
      <c r="B311" s="2" t="s">
        <v>1153</v>
      </c>
      <c r="C311" s="4">
        <v>1</v>
      </c>
      <c r="D311" s="5">
        <v>4</v>
      </c>
      <c r="E311" s="5">
        <v>9.99</v>
      </c>
      <c r="F311" s="4" t="s">
        <v>1154</v>
      </c>
      <c r="G311" s="2" t="s">
        <v>86</v>
      </c>
      <c r="H311" s="7" t="s">
        <v>228</v>
      </c>
      <c r="I311" s="2" t="s">
        <v>468</v>
      </c>
      <c r="J311" s="2" t="s">
        <v>469</v>
      </c>
      <c r="K311" s="2" t="s">
        <v>304</v>
      </c>
      <c r="L311" s="2" t="s">
        <v>119</v>
      </c>
      <c r="M311" s="8" t="str">
        <f>HYPERLINK("http://slimages.macys.com/is/image/MCY/12506792 ")</f>
        <v xml:space="preserve">http://slimages.macys.com/is/image/MCY/12506792 </v>
      </c>
    </row>
    <row r="312" spans="1:13" ht="180" x14ac:dyDescent="0.25">
      <c r="A312" s="7" t="s">
        <v>12161</v>
      </c>
      <c r="B312" s="2" t="s">
        <v>12162</v>
      </c>
      <c r="C312" s="4">
        <v>1</v>
      </c>
      <c r="D312" s="5">
        <v>3.72</v>
      </c>
      <c r="E312" s="5">
        <v>15.99</v>
      </c>
      <c r="F312" s="4" t="s">
        <v>12163</v>
      </c>
      <c r="G312" s="2" t="s">
        <v>41</v>
      </c>
      <c r="H312" s="7" t="s">
        <v>531</v>
      </c>
      <c r="I312" s="2" t="s">
        <v>483</v>
      </c>
      <c r="J312" s="2" t="s">
        <v>5540</v>
      </c>
      <c r="K312" s="2" t="s">
        <v>304</v>
      </c>
      <c r="L312" s="2" t="s">
        <v>12164</v>
      </c>
      <c r="M312" s="8" t="str">
        <f>HYPERLINK("http://slimages.macys.com/is/image/MCY/11547254 ")</f>
        <v xml:space="preserve">http://slimages.macys.com/is/image/MCY/11547254 </v>
      </c>
    </row>
    <row r="313" spans="1:13" ht="60" x14ac:dyDescent="0.25">
      <c r="A313" s="7" t="s">
        <v>2115</v>
      </c>
      <c r="B313" s="2" t="s">
        <v>2113</v>
      </c>
      <c r="C313" s="4">
        <v>1</v>
      </c>
      <c r="D313" s="5">
        <v>3.58</v>
      </c>
      <c r="E313" s="5">
        <v>8.99</v>
      </c>
      <c r="F313" s="4" t="s">
        <v>2114</v>
      </c>
      <c r="G313" s="2" t="s">
        <v>297</v>
      </c>
      <c r="H313" s="7" t="s">
        <v>149</v>
      </c>
      <c r="I313" s="2" t="s">
        <v>483</v>
      </c>
      <c r="J313" s="2" t="s">
        <v>536</v>
      </c>
      <c r="K313" s="2" t="s">
        <v>304</v>
      </c>
      <c r="L313" s="2" t="s">
        <v>119</v>
      </c>
      <c r="M313" s="8" t="str">
        <f>HYPERLINK("http://slimages.macys.com/is/image/MCY/13987501 ")</f>
        <v xml:space="preserve">http://slimages.macys.com/is/image/MCY/13987501 </v>
      </c>
    </row>
    <row r="314" spans="1:13" ht="60" x14ac:dyDescent="0.25">
      <c r="A314" s="7" t="s">
        <v>13403</v>
      </c>
      <c r="B314" s="2" t="s">
        <v>13404</v>
      </c>
      <c r="C314" s="4">
        <v>1</v>
      </c>
      <c r="D314" s="5">
        <v>3.57</v>
      </c>
      <c r="E314" s="5">
        <v>7.99</v>
      </c>
      <c r="F314" s="4" t="s">
        <v>13405</v>
      </c>
      <c r="G314" s="2" t="s">
        <v>48</v>
      </c>
      <c r="H314" s="7" t="s">
        <v>514</v>
      </c>
      <c r="I314" s="2" t="s">
        <v>483</v>
      </c>
      <c r="J314" s="2" t="s">
        <v>536</v>
      </c>
      <c r="K314" s="2" t="s">
        <v>304</v>
      </c>
      <c r="L314" s="2" t="s">
        <v>119</v>
      </c>
      <c r="M314" s="8" t="str">
        <f>HYPERLINK("http://slimages.macys.com/is/image/MCY/14448637 ")</f>
        <v xml:space="preserve">http://slimages.macys.com/is/image/MCY/14448637 </v>
      </c>
    </row>
    <row r="315" spans="1:13" ht="60" x14ac:dyDescent="0.25">
      <c r="A315" s="7" t="s">
        <v>552</v>
      </c>
      <c r="B315" s="2" t="s">
        <v>553</v>
      </c>
      <c r="C315" s="4">
        <v>2</v>
      </c>
      <c r="D315" s="5">
        <v>3.54</v>
      </c>
      <c r="E315" s="5">
        <v>7.99</v>
      </c>
      <c r="F315" s="4" t="s">
        <v>554</v>
      </c>
      <c r="G315" s="2" t="s">
        <v>134</v>
      </c>
      <c r="H315" s="7" t="s">
        <v>514</v>
      </c>
      <c r="I315" s="2" t="s">
        <v>483</v>
      </c>
      <c r="J315" s="2" t="s">
        <v>536</v>
      </c>
      <c r="K315" s="2" t="s">
        <v>304</v>
      </c>
      <c r="L315" s="2" t="s">
        <v>119</v>
      </c>
      <c r="M315" s="8" t="str">
        <f>HYPERLINK("http://slimages.macys.com/is/image/MCY/14532191 ")</f>
        <v xml:space="preserve">http://slimages.macys.com/is/image/MCY/14532191 </v>
      </c>
    </row>
    <row r="316" spans="1:13" ht="60" x14ac:dyDescent="0.25">
      <c r="A316" s="7" t="s">
        <v>13406</v>
      </c>
      <c r="B316" s="2" t="s">
        <v>4275</v>
      </c>
      <c r="C316" s="4">
        <v>1</v>
      </c>
      <c r="D316" s="5">
        <v>3.54</v>
      </c>
      <c r="E316" s="5">
        <v>7.99</v>
      </c>
      <c r="F316" s="4" t="s">
        <v>4276</v>
      </c>
      <c r="G316" s="2" t="s">
        <v>657</v>
      </c>
      <c r="H316" s="7" t="s">
        <v>379</v>
      </c>
      <c r="I316" s="2" t="s">
        <v>292</v>
      </c>
      <c r="J316" s="2" t="s">
        <v>354</v>
      </c>
      <c r="K316" s="2" t="s">
        <v>304</v>
      </c>
      <c r="L316" s="2" t="s">
        <v>119</v>
      </c>
      <c r="M316" s="8" t="str">
        <f>HYPERLINK("http://slimages.macys.com/is/image/MCY/11279578 ")</f>
        <v xml:space="preserve">http://slimages.macys.com/is/image/MCY/11279578 </v>
      </c>
    </row>
    <row r="317" spans="1:13" ht="60" x14ac:dyDescent="0.25">
      <c r="A317" s="7" t="s">
        <v>4278</v>
      </c>
      <c r="B317" s="2" t="s">
        <v>553</v>
      </c>
      <c r="C317" s="4">
        <v>7</v>
      </c>
      <c r="D317" s="5">
        <v>3.54</v>
      </c>
      <c r="E317" s="5">
        <v>7.99</v>
      </c>
      <c r="F317" s="4" t="s">
        <v>554</v>
      </c>
      <c r="G317" s="2" t="s">
        <v>134</v>
      </c>
      <c r="H317" s="7" t="s">
        <v>1151</v>
      </c>
      <c r="I317" s="2" t="s">
        <v>483</v>
      </c>
      <c r="J317" s="2" t="s">
        <v>536</v>
      </c>
      <c r="K317" s="2" t="s">
        <v>304</v>
      </c>
      <c r="L317" s="2" t="s">
        <v>119</v>
      </c>
      <c r="M317" s="8" t="str">
        <f>HYPERLINK("http://slimages.macys.com/is/image/MCY/14532191 ")</f>
        <v xml:space="preserve">http://slimages.macys.com/is/image/MCY/14532191 </v>
      </c>
    </row>
    <row r="318" spans="1:13" ht="60" x14ac:dyDescent="0.25">
      <c r="A318" s="7" t="s">
        <v>13407</v>
      </c>
      <c r="B318" s="2" t="s">
        <v>3496</v>
      </c>
      <c r="C318" s="4">
        <v>1</v>
      </c>
      <c r="D318" s="5">
        <v>3.48</v>
      </c>
      <c r="E318" s="5">
        <v>5.99</v>
      </c>
      <c r="F318" s="4" t="s">
        <v>3497</v>
      </c>
      <c r="G318" s="2" t="s">
        <v>800</v>
      </c>
      <c r="H318" s="7" t="s">
        <v>317</v>
      </c>
      <c r="I318" s="2" t="s">
        <v>80</v>
      </c>
      <c r="J318" s="2" t="s">
        <v>1857</v>
      </c>
      <c r="K318" s="2" t="s">
        <v>304</v>
      </c>
      <c r="L318" s="2" t="s">
        <v>119</v>
      </c>
      <c r="M318" s="8" t="str">
        <f>HYPERLINK("http://slimages.macys.com/is/image/MCY/13362118 ")</f>
        <v xml:space="preserve">http://slimages.macys.com/is/image/MCY/13362118 </v>
      </c>
    </row>
    <row r="319" spans="1:13" ht="60" x14ac:dyDescent="0.25">
      <c r="A319" s="7" t="s">
        <v>10611</v>
      </c>
      <c r="B319" s="2" t="s">
        <v>2128</v>
      </c>
      <c r="C319" s="4">
        <v>1</v>
      </c>
      <c r="D319" s="5">
        <v>3.48</v>
      </c>
      <c r="E319" s="5">
        <v>5.99</v>
      </c>
      <c r="F319" s="4" t="s">
        <v>2129</v>
      </c>
      <c r="G319" s="2" t="s">
        <v>28</v>
      </c>
      <c r="H319" s="7" t="s">
        <v>311</v>
      </c>
      <c r="I319" s="2" t="s">
        <v>80</v>
      </c>
      <c r="J319" s="2" t="s">
        <v>1857</v>
      </c>
      <c r="K319" s="2" t="s">
        <v>304</v>
      </c>
      <c r="L319" s="2" t="s">
        <v>125</v>
      </c>
      <c r="M319" s="8" t="str">
        <f>HYPERLINK("http://slimages.macys.com/is/image/MCY/12751351 ")</f>
        <v xml:space="preserve">http://slimages.macys.com/is/image/MCY/12751351 </v>
      </c>
    </row>
    <row r="320" spans="1:13" ht="84" x14ac:dyDescent="0.25">
      <c r="A320" s="7" t="s">
        <v>1169</v>
      </c>
      <c r="B320" s="2" t="s">
        <v>1170</v>
      </c>
      <c r="C320" s="4">
        <v>1</v>
      </c>
      <c r="D320" s="5">
        <v>3.46</v>
      </c>
      <c r="E320" s="5">
        <v>8.99</v>
      </c>
      <c r="F320" s="4" t="s">
        <v>1171</v>
      </c>
      <c r="G320" s="2" t="s">
        <v>41</v>
      </c>
      <c r="H320" s="7" t="s">
        <v>531</v>
      </c>
      <c r="I320" s="2" t="s">
        <v>483</v>
      </c>
      <c r="J320" s="2" t="s">
        <v>484</v>
      </c>
      <c r="K320" s="2" t="s">
        <v>304</v>
      </c>
      <c r="L320" s="2" t="s">
        <v>532</v>
      </c>
      <c r="M320" s="8" t="str">
        <f>HYPERLINK("http://slimages.macys.com/is/image/MCY/8484391 ")</f>
        <v xml:space="preserve">http://slimages.macys.com/is/image/MCY/8484391 </v>
      </c>
    </row>
    <row r="321" spans="1:13" ht="60" x14ac:dyDescent="0.25">
      <c r="A321" s="7" t="s">
        <v>562</v>
      </c>
      <c r="B321" s="2" t="s">
        <v>563</v>
      </c>
      <c r="C321" s="4">
        <v>10</v>
      </c>
      <c r="D321" s="5">
        <v>3.46</v>
      </c>
      <c r="E321" s="5">
        <v>8.99</v>
      </c>
      <c r="F321" s="4">
        <v>100007426</v>
      </c>
      <c r="G321" s="2" t="s">
        <v>41</v>
      </c>
      <c r="H321" s="7" t="s">
        <v>531</v>
      </c>
      <c r="I321" s="2" t="s">
        <v>483</v>
      </c>
      <c r="J321" s="2" t="s">
        <v>484</v>
      </c>
      <c r="K321" s="2" t="s">
        <v>304</v>
      </c>
      <c r="L321" s="2" t="s">
        <v>119</v>
      </c>
      <c r="M321" s="8" t="str">
        <f>HYPERLINK("http://slimages.macys.com/is/image/MCY/9157888 ")</f>
        <v xml:space="preserve">http://slimages.macys.com/is/image/MCY/9157888 </v>
      </c>
    </row>
    <row r="322" spans="1:13" ht="60" x14ac:dyDescent="0.25">
      <c r="A322" s="7" t="s">
        <v>13408</v>
      </c>
      <c r="B322" s="2" t="s">
        <v>13409</v>
      </c>
      <c r="C322" s="4">
        <v>1</v>
      </c>
      <c r="D322" s="5">
        <v>3.37</v>
      </c>
      <c r="E322" s="5">
        <v>6.99</v>
      </c>
      <c r="F322" s="4">
        <v>10003047400</v>
      </c>
      <c r="G322" s="2" t="s">
        <v>129</v>
      </c>
      <c r="H322" s="7" t="s">
        <v>586</v>
      </c>
      <c r="I322" s="2" t="s">
        <v>483</v>
      </c>
      <c r="J322" s="2" t="s">
        <v>2710</v>
      </c>
      <c r="K322" s="2" t="s">
        <v>304</v>
      </c>
      <c r="L322" s="2" t="s">
        <v>2711</v>
      </c>
      <c r="M322" s="8" t="str">
        <f>HYPERLINK("http://slimages.macys.com/is/image/MCY/11011139 ")</f>
        <v xml:space="preserve">http://slimages.macys.com/is/image/MCY/11011139 </v>
      </c>
    </row>
    <row r="323" spans="1:13" ht="60" x14ac:dyDescent="0.25">
      <c r="A323" s="7" t="s">
        <v>13410</v>
      </c>
      <c r="B323" s="2" t="s">
        <v>13409</v>
      </c>
      <c r="C323" s="4">
        <v>2</v>
      </c>
      <c r="D323" s="5">
        <v>3.37</v>
      </c>
      <c r="E323" s="5">
        <v>6.99</v>
      </c>
      <c r="F323" s="4">
        <v>10003047400</v>
      </c>
      <c r="G323" s="2" t="s">
        <v>129</v>
      </c>
      <c r="H323" s="7" t="s">
        <v>604</v>
      </c>
      <c r="I323" s="2" t="s">
        <v>483</v>
      </c>
      <c r="J323" s="2" t="s">
        <v>2710</v>
      </c>
      <c r="K323" s="2" t="s">
        <v>304</v>
      </c>
      <c r="L323" s="2" t="s">
        <v>2711</v>
      </c>
      <c r="M323" s="8" t="str">
        <f>HYPERLINK("http://slimages.macys.com/is/image/MCY/11011139 ")</f>
        <v xml:space="preserve">http://slimages.macys.com/is/image/MCY/11011139 </v>
      </c>
    </row>
    <row r="324" spans="1:13" ht="60" x14ac:dyDescent="0.25">
      <c r="A324" s="7" t="s">
        <v>13411</v>
      </c>
      <c r="B324" s="2" t="s">
        <v>9712</v>
      </c>
      <c r="C324" s="4">
        <v>1</v>
      </c>
      <c r="D324" s="5">
        <v>3.3</v>
      </c>
      <c r="E324" s="5">
        <v>7.99</v>
      </c>
      <c r="F324" s="4" t="s">
        <v>9713</v>
      </c>
      <c r="G324" s="2" t="s">
        <v>41</v>
      </c>
      <c r="H324" s="7" t="s">
        <v>311</v>
      </c>
      <c r="I324" s="2" t="s">
        <v>1689</v>
      </c>
      <c r="J324" s="2" t="s">
        <v>354</v>
      </c>
      <c r="K324" s="2" t="s">
        <v>304</v>
      </c>
      <c r="L324" s="2" t="s">
        <v>119</v>
      </c>
      <c r="M324" s="8" t="str">
        <f>HYPERLINK("http://slimages.macys.com/is/image/MCY/11374695 ")</f>
        <v xml:space="preserve">http://slimages.macys.com/is/image/MCY/11374695 </v>
      </c>
    </row>
    <row r="325" spans="1:13" ht="60" x14ac:dyDescent="0.25">
      <c r="A325" s="7" t="s">
        <v>7849</v>
      </c>
      <c r="B325" s="2" t="s">
        <v>7850</v>
      </c>
      <c r="C325" s="4">
        <v>2</v>
      </c>
      <c r="D325" s="5">
        <v>3.3</v>
      </c>
      <c r="E325" s="5">
        <v>7.99</v>
      </c>
      <c r="F325" s="4" t="s">
        <v>7851</v>
      </c>
      <c r="G325" s="2" t="s">
        <v>41</v>
      </c>
      <c r="H325" s="7" t="s">
        <v>311</v>
      </c>
      <c r="I325" s="2" t="s">
        <v>1689</v>
      </c>
      <c r="J325" s="2" t="s">
        <v>354</v>
      </c>
      <c r="K325" s="2" t="s">
        <v>304</v>
      </c>
      <c r="L325" s="2" t="s">
        <v>119</v>
      </c>
      <c r="M325" s="8" t="str">
        <f>HYPERLINK("http://slimages.macys.com/is/image/MCY/11375045 ")</f>
        <v xml:space="preserve">http://slimages.macys.com/is/image/MCY/11375045 </v>
      </c>
    </row>
    <row r="326" spans="1:13" ht="60" x14ac:dyDescent="0.25">
      <c r="A326" s="7" t="s">
        <v>13412</v>
      </c>
      <c r="B326" s="2" t="s">
        <v>9712</v>
      </c>
      <c r="C326" s="4">
        <v>2</v>
      </c>
      <c r="D326" s="5">
        <v>3.3</v>
      </c>
      <c r="E326" s="5">
        <v>7.99</v>
      </c>
      <c r="F326" s="4" t="s">
        <v>9713</v>
      </c>
      <c r="G326" s="2" t="s">
        <v>41</v>
      </c>
      <c r="H326" s="7" t="s">
        <v>63</v>
      </c>
      <c r="I326" s="2" t="s">
        <v>1689</v>
      </c>
      <c r="J326" s="2" t="s">
        <v>354</v>
      </c>
      <c r="K326" s="2" t="s">
        <v>304</v>
      </c>
      <c r="L326" s="2" t="s">
        <v>119</v>
      </c>
      <c r="M326" s="8" t="str">
        <f>HYPERLINK("http://slimages.macys.com/is/image/MCY/11374695 ")</f>
        <v xml:space="preserve">http://slimages.macys.com/is/image/MCY/11374695 </v>
      </c>
    </row>
    <row r="327" spans="1:13" ht="60" x14ac:dyDescent="0.25">
      <c r="A327" s="7" t="s">
        <v>8388</v>
      </c>
      <c r="B327" s="2" t="s">
        <v>2138</v>
      </c>
      <c r="C327" s="4">
        <v>1</v>
      </c>
      <c r="D327" s="5">
        <v>3.3</v>
      </c>
      <c r="E327" s="5">
        <v>7.99</v>
      </c>
      <c r="F327" s="4" t="s">
        <v>2139</v>
      </c>
      <c r="G327" s="2" t="s">
        <v>62</v>
      </c>
      <c r="H327" s="7" t="s">
        <v>123</v>
      </c>
      <c r="I327" s="2" t="s">
        <v>1689</v>
      </c>
      <c r="J327" s="2" t="s">
        <v>354</v>
      </c>
      <c r="K327" s="2" t="s">
        <v>304</v>
      </c>
      <c r="L327" s="2" t="s">
        <v>119</v>
      </c>
      <c r="M327" s="8" t="str">
        <f>HYPERLINK("http://slimages.macys.com/is/image/MCY/10178138 ")</f>
        <v xml:space="preserve">http://slimages.macys.com/is/image/MCY/10178138 </v>
      </c>
    </row>
    <row r="328" spans="1:13" ht="60" x14ac:dyDescent="0.25">
      <c r="A328" s="7" t="s">
        <v>13413</v>
      </c>
      <c r="B328" s="2" t="s">
        <v>13414</v>
      </c>
      <c r="C328" s="4">
        <v>1</v>
      </c>
      <c r="D328" s="5">
        <v>3.3</v>
      </c>
      <c r="E328" s="5">
        <v>7.99</v>
      </c>
      <c r="F328" s="4" t="s">
        <v>13415</v>
      </c>
      <c r="G328" s="2" t="s">
        <v>41</v>
      </c>
      <c r="H328" s="7" t="s">
        <v>63</v>
      </c>
      <c r="I328" s="2" t="s">
        <v>1689</v>
      </c>
      <c r="J328" s="2" t="s">
        <v>354</v>
      </c>
      <c r="K328" s="2" t="s">
        <v>304</v>
      </c>
      <c r="L328" s="2" t="s">
        <v>119</v>
      </c>
      <c r="M328" s="8" t="str">
        <f>HYPERLINK("http://slimages.macys.com/is/image/MCY/11374689 ")</f>
        <v xml:space="preserve">http://slimages.macys.com/is/image/MCY/11374689 </v>
      </c>
    </row>
    <row r="329" spans="1:13" ht="60" x14ac:dyDescent="0.25">
      <c r="A329" s="7" t="s">
        <v>2141</v>
      </c>
      <c r="B329" s="2" t="s">
        <v>2138</v>
      </c>
      <c r="C329" s="4">
        <v>1</v>
      </c>
      <c r="D329" s="5">
        <v>3.3</v>
      </c>
      <c r="E329" s="5">
        <v>7.99</v>
      </c>
      <c r="F329" s="4" t="s">
        <v>2139</v>
      </c>
      <c r="G329" s="2" t="s">
        <v>62</v>
      </c>
      <c r="H329" s="7" t="s">
        <v>311</v>
      </c>
      <c r="I329" s="2" t="s">
        <v>1689</v>
      </c>
      <c r="J329" s="2" t="s">
        <v>354</v>
      </c>
      <c r="K329" s="2" t="s">
        <v>304</v>
      </c>
      <c r="L329" s="2" t="s">
        <v>119</v>
      </c>
      <c r="M329" s="8" t="str">
        <f>HYPERLINK("http://slimages.macys.com/is/image/MCY/10178138 ")</f>
        <v xml:space="preserve">http://slimages.macys.com/is/image/MCY/10178138 </v>
      </c>
    </row>
    <row r="330" spans="1:13" ht="60" x14ac:dyDescent="0.25">
      <c r="A330" s="7" t="s">
        <v>13416</v>
      </c>
      <c r="B330" s="2" t="s">
        <v>7868</v>
      </c>
      <c r="C330" s="4">
        <v>1</v>
      </c>
      <c r="D330" s="5">
        <v>3.29</v>
      </c>
      <c r="E330" s="5">
        <v>7.99</v>
      </c>
      <c r="F330" s="4" t="s">
        <v>7869</v>
      </c>
      <c r="G330" s="2" t="s">
        <v>86</v>
      </c>
      <c r="H330" s="7" t="s">
        <v>311</v>
      </c>
      <c r="I330" s="2" t="s">
        <v>1689</v>
      </c>
      <c r="J330" s="2" t="s">
        <v>354</v>
      </c>
      <c r="K330" s="2" t="s">
        <v>304</v>
      </c>
      <c r="L330" s="2" t="s">
        <v>119</v>
      </c>
      <c r="M330" s="8" t="str">
        <f>HYPERLINK("http://slimages.macys.com/is/image/MCY/11498872 ")</f>
        <v xml:space="preserve">http://slimages.macys.com/is/image/MCY/11498872 </v>
      </c>
    </row>
    <row r="331" spans="1:13" ht="60" x14ac:dyDescent="0.25">
      <c r="A331" s="7" t="s">
        <v>5634</v>
      </c>
      <c r="B331" s="2" t="s">
        <v>5635</v>
      </c>
      <c r="C331" s="4">
        <v>1</v>
      </c>
      <c r="D331" s="5">
        <v>3.29</v>
      </c>
      <c r="E331" s="5">
        <v>7.99</v>
      </c>
      <c r="F331" s="4" t="s">
        <v>5636</v>
      </c>
      <c r="G331" s="2" t="s">
        <v>103</v>
      </c>
      <c r="H331" s="7" t="s">
        <v>311</v>
      </c>
      <c r="I331" s="2" t="s">
        <v>1689</v>
      </c>
      <c r="J331" s="2" t="s">
        <v>354</v>
      </c>
      <c r="K331" s="2" t="s">
        <v>304</v>
      </c>
      <c r="L331" s="2" t="s">
        <v>119</v>
      </c>
      <c r="M331" s="8" t="str">
        <f>HYPERLINK("http://slimages.macys.com/is/image/MCY/11776815 ")</f>
        <v xml:space="preserve">http://slimages.macys.com/is/image/MCY/11776815 </v>
      </c>
    </row>
    <row r="332" spans="1:13" ht="60" x14ac:dyDescent="0.25">
      <c r="A332" s="7" t="s">
        <v>12185</v>
      </c>
      <c r="B332" s="2" t="s">
        <v>7868</v>
      </c>
      <c r="C332" s="4">
        <v>2</v>
      </c>
      <c r="D332" s="5">
        <v>3.29</v>
      </c>
      <c r="E332" s="5">
        <v>7.99</v>
      </c>
      <c r="F332" s="4" t="s">
        <v>7869</v>
      </c>
      <c r="G332" s="2" t="s">
        <v>86</v>
      </c>
      <c r="H332" s="7" t="s">
        <v>1151</v>
      </c>
      <c r="I332" s="2" t="s">
        <v>1689</v>
      </c>
      <c r="J332" s="2" t="s">
        <v>354</v>
      </c>
      <c r="K332" s="2" t="s">
        <v>304</v>
      </c>
      <c r="L332" s="2" t="s">
        <v>119</v>
      </c>
      <c r="M332" s="8" t="str">
        <f>HYPERLINK("http://slimages.macys.com/is/image/MCY/11498872 ")</f>
        <v xml:space="preserve">http://slimages.macys.com/is/image/MCY/11498872 </v>
      </c>
    </row>
    <row r="333" spans="1:13" ht="60" x14ac:dyDescent="0.25">
      <c r="A333" s="7" t="s">
        <v>13417</v>
      </c>
      <c r="B333" s="2" t="s">
        <v>13418</v>
      </c>
      <c r="C333" s="4">
        <v>1</v>
      </c>
      <c r="D333" s="5">
        <v>3.29</v>
      </c>
      <c r="E333" s="5">
        <v>7.99</v>
      </c>
      <c r="F333" s="4" t="s">
        <v>13419</v>
      </c>
      <c r="G333" s="2" t="s">
        <v>86</v>
      </c>
      <c r="H333" s="7" t="s">
        <v>123</v>
      </c>
      <c r="I333" s="2" t="s">
        <v>1689</v>
      </c>
      <c r="J333" s="2" t="s">
        <v>354</v>
      </c>
      <c r="K333" s="2" t="s">
        <v>304</v>
      </c>
      <c r="L333" s="2" t="s">
        <v>119</v>
      </c>
      <c r="M333" s="8" t="str">
        <f>HYPERLINK("http://slimages.macys.com/is/image/MCY/11501054 ")</f>
        <v xml:space="preserve">http://slimages.macys.com/is/image/MCY/11501054 </v>
      </c>
    </row>
    <row r="334" spans="1:13" ht="60" x14ac:dyDescent="0.25">
      <c r="A334" s="7" t="s">
        <v>7867</v>
      </c>
      <c r="B334" s="2" t="s">
        <v>7868</v>
      </c>
      <c r="C334" s="4">
        <v>2</v>
      </c>
      <c r="D334" s="5">
        <v>3.29</v>
      </c>
      <c r="E334" s="5">
        <v>7.99</v>
      </c>
      <c r="F334" s="4" t="s">
        <v>7869</v>
      </c>
      <c r="G334" s="2" t="s">
        <v>86</v>
      </c>
      <c r="H334" s="7" t="s">
        <v>514</v>
      </c>
      <c r="I334" s="2" t="s">
        <v>1689</v>
      </c>
      <c r="J334" s="2" t="s">
        <v>354</v>
      </c>
      <c r="K334" s="2" t="s">
        <v>304</v>
      </c>
      <c r="L334" s="2" t="s">
        <v>119</v>
      </c>
      <c r="M334" s="8" t="str">
        <f>HYPERLINK("http://slimages.macys.com/is/image/MCY/11498872 ")</f>
        <v xml:space="preserve">http://slimages.macys.com/is/image/MCY/11498872 </v>
      </c>
    </row>
    <row r="335" spans="1:13" ht="60" x14ac:dyDescent="0.25">
      <c r="A335" s="7" t="s">
        <v>12177</v>
      </c>
      <c r="B335" s="2" t="s">
        <v>7868</v>
      </c>
      <c r="C335" s="4">
        <v>1</v>
      </c>
      <c r="D335" s="5">
        <v>3.29</v>
      </c>
      <c r="E335" s="5">
        <v>7.99</v>
      </c>
      <c r="F335" s="4" t="s">
        <v>7869</v>
      </c>
      <c r="G335" s="2" t="s">
        <v>86</v>
      </c>
      <c r="H335" s="7" t="s">
        <v>123</v>
      </c>
      <c r="I335" s="2" t="s">
        <v>1689</v>
      </c>
      <c r="J335" s="2" t="s">
        <v>354</v>
      </c>
      <c r="K335" s="2" t="s">
        <v>304</v>
      </c>
      <c r="L335" s="2" t="s">
        <v>119</v>
      </c>
      <c r="M335" s="8" t="str">
        <f>HYPERLINK("http://slimages.macys.com/is/image/MCY/11498872 ")</f>
        <v xml:space="preserve">http://slimages.macys.com/is/image/MCY/11498872 </v>
      </c>
    </row>
    <row r="336" spans="1:13" ht="60" x14ac:dyDescent="0.25">
      <c r="A336" s="7" t="s">
        <v>13420</v>
      </c>
      <c r="B336" s="2" t="s">
        <v>13418</v>
      </c>
      <c r="C336" s="4">
        <v>1</v>
      </c>
      <c r="D336" s="5">
        <v>3.29</v>
      </c>
      <c r="E336" s="5">
        <v>7.99</v>
      </c>
      <c r="F336" s="4" t="s">
        <v>13419</v>
      </c>
      <c r="G336" s="2" t="s">
        <v>86</v>
      </c>
      <c r="H336" s="7" t="s">
        <v>514</v>
      </c>
      <c r="I336" s="2" t="s">
        <v>1689</v>
      </c>
      <c r="J336" s="2" t="s">
        <v>354</v>
      </c>
      <c r="K336" s="2" t="s">
        <v>304</v>
      </c>
      <c r="L336" s="2" t="s">
        <v>119</v>
      </c>
      <c r="M336" s="8" t="str">
        <f>HYPERLINK("http://slimages.macys.com/is/image/MCY/11501054 ")</f>
        <v xml:space="preserve">http://slimages.macys.com/is/image/MCY/11501054 </v>
      </c>
    </row>
    <row r="337" spans="1:13" ht="60" x14ac:dyDescent="0.25">
      <c r="A337" s="7" t="s">
        <v>13421</v>
      </c>
      <c r="B337" s="2" t="s">
        <v>11706</v>
      </c>
      <c r="C337" s="4">
        <v>1</v>
      </c>
      <c r="D337" s="5">
        <v>3.29</v>
      </c>
      <c r="E337" s="5">
        <v>7.99</v>
      </c>
      <c r="F337" s="4" t="s">
        <v>11707</v>
      </c>
      <c r="G337" s="2" t="s">
        <v>103</v>
      </c>
      <c r="H337" s="7" t="s">
        <v>1151</v>
      </c>
      <c r="I337" s="2" t="s">
        <v>1689</v>
      </c>
      <c r="J337" s="2" t="s">
        <v>354</v>
      </c>
      <c r="K337" s="2" t="s">
        <v>304</v>
      </c>
      <c r="L337" s="2" t="s">
        <v>119</v>
      </c>
      <c r="M337" s="8" t="str">
        <f>HYPERLINK("http://slimages.macys.com/is/image/MCY/11776834 ")</f>
        <v xml:space="preserve">http://slimages.macys.com/is/image/MCY/11776834 </v>
      </c>
    </row>
    <row r="338" spans="1:13" ht="60" x14ac:dyDescent="0.25">
      <c r="A338" s="7" t="s">
        <v>10621</v>
      </c>
      <c r="B338" s="2" t="s">
        <v>10622</v>
      </c>
      <c r="C338" s="4">
        <v>1</v>
      </c>
      <c r="D338" s="5">
        <v>3.25</v>
      </c>
      <c r="E338" s="5">
        <v>7.99</v>
      </c>
      <c r="F338" s="4" t="s">
        <v>10623</v>
      </c>
      <c r="G338" s="2" t="s">
        <v>595</v>
      </c>
      <c r="H338" s="7"/>
      <c r="I338" s="2" t="s">
        <v>523</v>
      </c>
      <c r="J338" s="2" t="s">
        <v>583</v>
      </c>
      <c r="K338" s="2" t="s">
        <v>304</v>
      </c>
      <c r="L338" s="2" t="s">
        <v>358</v>
      </c>
      <c r="M338" s="8" t="str">
        <f>HYPERLINK("http://slimages.macys.com/is/image/MCY/10085485 ")</f>
        <v xml:space="preserve">http://slimages.macys.com/is/image/MCY/10085485 </v>
      </c>
    </row>
    <row r="339" spans="1:13" ht="60" x14ac:dyDescent="0.25">
      <c r="A339" s="7" t="s">
        <v>1195</v>
      </c>
      <c r="B339" s="2" t="s">
        <v>1196</v>
      </c>
      <c r="C339" s="4">
        <v>4</v>
      </c>
      <c r="D339" s="5">
        <v>2.98</v>
      </c>
      <c r="E339" s="5">
        <v>7.99</v>
      </c>
      <c r="F339" s="4" t="s">
        <v>1197</v>
      </c>
      <c r="G339" s="2" t="s">
        <v>297</v>
      </c>
      <c r="H339" s="7" t="s">
        <v>514</v>
      </c>
      <c r="I339" s="2" t="s">
        <v>483</v>
      </c>
      <c r="J339" s="2" t="s">
        <v>536</v>
      </c>
      <c r="K339" s="2" t="s">
        <v>304</v>
      </c>
      <c r="L339" s="2" t="s">
        <v>100</v>
      </c>
      <c r="M339" s="8" t="str">
        <f>HYPERLINK("http://slimages.macys.com/is/image/MCY/14384900 ")</f>
        <v xml:space="preserve">http://slimages.macys.com/is/image/MCY/14384900 </v>
      </c>
    </row>
    <row r="340" spans="1:13" ht="60" x14ac:dyDescent="0.25">
      <c r="A340" s="7" t="s">
        <v>13422</v>
      </c>
      <c r="B340" s="2" t="s">
        <v>1196</v>
      </c>
      <c r="C340" s="4">
        <v>5</v>
      </c>
      <c r="D340" s="5">
        <v>2.98</v>
      </c>
      <c r="E340" s="5">
        <v>7.99</v>
      </c>
      <c r="F340" s="4" t="s">
        <v>1197</v>
      </c>
      <c r="G340" s="2" t="s">
        <v>297</v>
      </c>
      <c r="H340" s="7" t="s">
        <v>1151</v>
      </c>
      <c r="I340" s="2" t="s">
        <v>483</v>
      </c>
      <c r="J340" s="2" t="s">
        <v>536</v>
      </c>
      <c r="K340" s="2" t="s">
        <v>304</v>
      </c>
      <c r="L340" s="2" t="s">
        <v>100</v>
      </c>
      <c r="M340" s="8" t="str">
        <f>HYPERLINK("http://slimages.macys.com/is/image/MCY/14384900 ")</f>
        <v xml:space="preserve">http://slimages.macys.com/is/image/MCY/14384900 </v>
      </c>
    </row>
    <row r="341" spans="1:13" ht="60" x14ac:dyDescent="0.25">
      <c r="A341" s="7" t="s">
        <v>4388</v>
      </c>
      <c r="B341" s="2" t="s">
        <v>1196</v>
      </c>
      <c r="C341" s="4">
        <v>3</v>
      </c>
      <c r="D341" s="5">
        <v>2.98</v>
      </c>
      <c r="E341" s="5">
        <v>7.99</v>
      </c>
      <c r="F341" s="4" t="s">
        <v>1197</v>
      </c>
      <c r="G341" s="2" t="s">
        <v>297</v>
      </c>
      <c r="H341" s="7" t="s">
        <v>578</v>
      </c>
      <c r="I341" s="2" t="s">
        <v>483</v>
      </c>
      <c r="J341" s="2" t="s">
        <v>536</v>
      </c>
      <c r="K341" s="2" t="s">
        <v>304</v>
      </c>
      <c r="L341" s="2" t="s">
        <v>100</v>
      </c>
      <c r="M341" s="8" t="str">
        <f>HYPERLINK("http://slimages.macys.com/is/image/MCY/14384900 ")</f>
        <v xml:space="preserve">http://slimages.macys.com/is/image/MCY/14384900 </v>
      </c>
    </row>
    <row r="342" spans="1:13" ht="60" x14ac:dyDescent="0.25">
      <c r="A342" s="7" t="s">
        <v>13423</v>
      </c>
      <c r="B342" s="2" t="s">
        <v>2171</v>
      </c>
      <c r="C342" s="4">
        <v>3</v>
      </c>
      <c r="D342" s="5">
        <v>2.98</v>
      </c>
      <c r="E342" s="5">
        <v>6.99</v>
      </c>
      <c r="F342" s="4" t="s">
        <v>2172</v>
      </c>
      <c r="G342" s="2" t="s">
        <v>657</v>
      </c>
      <c r="H342" s="7" t="s">
        <v>442</v>
      </c>
      <c r="I342" s="2" t="s">
        <v>483</v>
      </c>
      <c r="J342" s="2" t="s">
        <v>536</v>
      </c>
      <c r="K342" s="2" t="s">
        <v>304</v>
      </c>
      <c r="L342" s="2" t="s">
        <v>119</v>
      </c>
      <c r="M342" s="8" t="str">
        <f>HYPERLINK("http://slimages.macys.com/is/image/MCY/13531944 ")</f>
        <v xml:space="preserve">http://slimages.macys.com/is/image/MCY/13531944 </v>
      </c>
    </row>
    <row r="343" spans="1:13" ht="60" x14ac:dyDescent="0.25">
      <c r="A343" s="7" t="s">
        <v>13424</v>
      </c>
      <c r="B343" s="2" t="s">
        <v>2171</v>
      </c>
      <c r="C343" s="4">
        <v>7</v>
      </c>
      <c r="D343" s="5">
        <v>2.98</v>
      </c>
      <c r="E343" s="5">
        <v>6.99</v>
      </c>
      <c r="F343" s="4" t="s">
        <v>2172</v>
      </c>
      <c r="G343" s="2" t="s">
        <v>657</v>
      </c>
      <c r="H343" s="7" t="s">
        <v>91</v>
      </c>
      <c r="I343" s="2" t="s">
        <v>483</v>
      </c>
      <c r="J343" s="2" t="s">
        <v>536</v>
      </c>
      <c r="K343" s="2" t="s">
        <v>304</v>
      </c>
      <c r="L343" s="2" t="s">
        <v>119</v>
      </c>
      <c r="M343" s="8" t="str">
        <f>HYPERLINK("http://slimages.macys.com/is/image/MCY/13531944 ")</f>
        <v xml:space="preserve">http://slimages.macys.com/is/image/MCY/13531944 </v>
      </c>
    </row>
    <row r="344" spans="1:13" ht="60" x14ac:dyDescent="0.25">
      <c r="A344" s="7" t="s">
        <v>2170</v>
      </c>
      <c r="B344" s="2" t="s">
        <v>2171</v>
      </c>
      <c r="C344" s="4">
        <v>7</v>
      </c>
      <c r="D344" s="5">
        <v>2.98</v>
      </c>
      <c r="E344" s="5">
        <v>6.99</v>
      </c>
      <c r="F344" s="4" t="s">
        <v>2172</v>
      </c>
      <c r="G344" s="2" t="s">
        <v>657</v>
      </c>
      <c r="H344" s="7" t="s">
        <v>42</v>
      </c>
      <c r="I344" s="2" t="s">
        <v>483</v>
      </c>
      <c r="J344" s="2" t="s">
        <v>536</v>
      </c>
      <c r="K344" s="2" t="s">
        <v>304</v>
      </c>
      <c r="L344" s="2" t="s">
        <v>119</v>
      </c>
      <c r="M344" s="8" t="str">
        <f>HYPERLINK("http://slimages.macys.com/is/image/MCY/13531944 ")</f>
        <v xml:space="preserve">http://slimages.macys.com/is/image/MCY/13531944 </v>
      </c>
    </row>
    <row r="345" spans="1:13" ht="60" x14ac:dyDescent="0.25">
      <c r="A345" s="7" t="s">
        <v>13425</v>
      </c>
      <c r="B345" s="2" t="s">
        <v>2171</v>
      </c>
      <c r="C345" s="4">
        <v>1</v>
      </c>
      <c r="D345" s="5">
        <v>2.98</v>
      </c>
      <c r="E345" s="5">
        <v>6.99</v>
      </c>
      <c r="F345" s="4" t="s">
        <v>2172</v>
      </c>
      <c r="G345" s="2" t="s">
        <v>657</v>
      </c>
      <c r="H345" s="7" t="s">
        <v>590</v>
      </c>
      <c r="I345" s="2" t="s">
        <v>483</v>
      </c>
      <c r="J345" s="2" t="s">
        <v>536</v>
      </c>
      <c r="K345" s="2" t="s">
        <v>304</v>
      </c>
      <c r="L345" s="2" t="s">
        <v>119</v>
      </c>
      <c r="M345" s="8" t="str">
        <f>HYPERLINK("http://slimages.macys.com/is/image/MCY/13531944 ")</f>
        <v xml:space="preserve">http://slimages.macys.com/is/image/MCY/13531944 </v>
      </c>
    </row>
    <row r="346" spans="1:13" ht="60" x14ac:dyDescent="0.25">
      <c r="A346" s="7" t="s">
        <v>3508</v>
      </c>
      <c r="B346" s="2" t="s">
        <v>2171</v>
      </c>
      <c r="C346" s="4">
        <v>1</v>
      </c>
      <c r="D346" s="5">
        <v>2.98</v>
      </c>
      <c r="E346" s="5">
        <v>6.99</v>
      </c>
      <c r="F346" s="4" t="s">
        <v>2172</v>
      </c>
      <c r="G346" s="2" t="s">
        <v>657</v>
      </c>
      <c r="H346" s="7" t="s">
        <v>149</v>
      </c>
      <c r="I346" s="2" t="s">
        <v>483</v>
      </c>
      <c r="J346" s="2" t="s">
        <v>536</v>
      </c>
      <c r="K346" s="2" t="s">
        <v>304</v>
      </c>
      <c r="L346" s="2" t="s">
        <v>119</v>
      </c>
      <c r="M346" s="8" t="str">
        <f>HYPERLINK("http://slimages.macys.com/is/image/MCY/13531944 ")</f>
        <v xml:space="preserve">http://slimages.macys.com/is/image/MCY/13531944 </v>
      </c>
    </row>
    <row r="347" spans="1:13" ht="60" x14ac:dyDescent="0.25">
      <c r="A347" s="7" t="s">
        <v>4395</v>
      </c>
      <c r="B347" s="2" t="s">
        <v>4396</v>
      </c>
      <c r="C347" s="4">
        <v>1</v>
      </c>
      <c r="D347" s="5">
        <v>2.97</v>
      </c>
      <c r="E347" s="5">
        <v>6.99</v>
      </c>
      <c r="F347" s="4" t="s">
        <v>4397</v>
      </c>
      <c r="G347" s="2" t="s">
        <v>129</v>
      </c>
      <c r="H347" s="7" t="s">
        <v>590</v>
      </c>
      <c r="I347" s="2" t="s">
        <v>483</v>
      </c>
      <c r="J347" s="2" t="s">
        <v>536</v>
      </c>
      <c r="K347" s="2" t="s">
        <v>304</v>
      </c>
      <c r="L347" s="2" t="s">
        <v>119</v>
      </c>
      <c r="M347" s="8" t="str">
        <f>HYPERLINK("http://slimages.macys.com/is/image/MCY/10097679 ")</f>
        <v xml:space="preserve">http://slimages.macys.com/is/image/MCY/10097679 </v>
      </c>
    </row>
    <row r="348" spans="1:13" ht="60" x14ac:dyDescent="0.25">
      <c r="A348" s="7" t="s">
        <v>587</v>
      </c>
      <c r="B348" s="2" t="s">
        <v>588</v>
      </c>
      <c r="C348" s="4">
        <v>28</v>
      </c>
      <c r="D348" s="5">
        <v>2.96</v>
      </c>
      <c r="E348" s="5">
        <v>6.99</v>
      </c>
      <c r="F348" s="4" t="s">
        <v>589</v>
      </c>
      <c r="G348" s="2" t="s">
        <v>134</v>
      </c>
      <c r="H348" s="7" t="s">
        <v>590</v>
      </c>
      <c r="I348" s="2" t="s">
        <v>483</v>
      </c>
      <c r="J348" s="2" t="s">
        <v>536</v>
      </c>
      <c r="K348" s="2" t="s">
        <v>304</v>
      </c>
      <c r="L348" s="2" t="s">
        <v>119</v>
      </c>
      <c r="M348" s="8" t="str">
        <f>HYPERLINK("http://slimages.macys.com/is/image/MCY/14532191 ")</f>
        <v xml:space="preserve">http://slimages.macys.com/is/image/MCY/14532191 </v>
      </c>
    </row>
    <row r="349" spans="1:13" ht="60" x14ac:dyDescent="0.25">
      <c r="A349" s="7" t="s">
        <v>4403</v>
      </c>
      <c r="B349" s="2" t="s">
        <v>588</v>
      </c>
      <c r="C349" s="4">
        <v>22</v>
      </c>
      <c r="D349" s="5">
        <v>2.96</v>
      </c>
      <c r="E349" s="5">
        <v>6.99</v>
      </c>
      <c r="F349" s="4" t="s">
        <v>589</v>
      </c>
      <c r="G349" s="2" t="s">
        <v>134</v>
      </c>
      <c r="H349" s="7" t="s">
        <v>149</v>
      </c>
      <c r="I349" s="2" t="s">
        <v>483</v>
      </c>
      <c r="J349" s="2" t="s">
        <v>536</v>
      </c>
      <c r="K349" s="2" t="s">
        <v>304</v>
      </c>
      <c r="L349" s="2" t="s">
        <v>119</v>
      </c>
      <c r="M349" s="8" t="str">
        <f>HYPERLINK("http://slimages.macys.com/is/image/MCY/14532191 ")</f>
        <v xml:space="preserve">http://slimages.macys.com/is/image/MCY/14532191 </v>
      </c>
    </row>
    <row r="350" spans="1:13" ht="60" x14ac:dyDescent="0.25">
      <c r="A350" s="7" t="s">
        <v>3509</v>
      </c>
      <c r="B350" s="2" t="s">
        <v>588</v>
      </c>
      <c r="C350" s="4">
        <v>38</v>
      </c>
      <c r="D350" s="5">
        <v>2.96</v>
      </c>
      <c r="E350" s="5">
        <v>6.99</v>
      </c>
      <c r="F350" s="4" t="s">
        <v>589</v>
      </c>
      <c r="G350" s="2" t="s">
        <v>134</v>
      </c>
      <c r="H350" s="7" t="s">
        <v>91</v>
      </c>
      <c r="I350" s="2" t="s">
        <v>483</v>
      </c>
      <c r="J350" s="2" t="s">
        <v>536</v>
      </c>
      <c r="K350" s="2" t="s">
        <v>304</v>
      </c>
      <c r="L350" s="2" t="s">
        <v>119</v>
      </c>
      <c r="M350" s="8" t="str">
        <f>HYPERLINK("http://slimages.macys.com/is/image/MCY/14532191 ")</f>
        <v xml:space="preserve">http://slimages.macys.com/is/image/MCY/14532191 </v>
      </c>
    </row>
    <row r="351" spans="1:13" ht="60" x14ac:dyDescent="0.25">
      <c r="A351" s="7" t="s">
        <v>4402</v>
      </c>
      <c r="B351" s="2" t="s">
        <v>588</v>
      </c>
      <c r="C351" s="4">
        <v>23</v>
      </c>
      <c r="D351" s="5">
        <v>2.96</v>
      </c>
      <c r="E351" s="5">
        <v>6.99</v>
      </c>
      <c r="F351" s="4" t="s">
        <v>589</v>
      </c>
      <c r="G351" s="2" t="s">
        <v>134</v>
      </c>
      <c r="H351" s="7" t="s">
        <v>442</v>
      </c>
      <c r="I351" s="2" t="s">
        <v>483</v>
      </c>
      <c r="J351" s="2" t="s">
        <v>536</v>
      </c>
      <c r="K351" s="2" t="s">
        <v>304</v>
      </c>
      <c r="L351" s="2" t="s">
        <v>119</v>
      </c>
      <c r="M351" s="8" t="str">
        <f>HYPERLINK("http://slimages.macys.com/is/image/MCY/14532191 ")</f>
        <v xml:space="preserve">http://slimages.macys.com/is/image/MCY/14532191 </v>
      </c>
    </row>
    <row r="352" spans="1:13" ht="60" x14ac:dyDescent="0.25">
      <c r="A352" s="7" t="s">
        <v>591</v>
      </c>
      <c r="B352" s="2" t="s">
        <v>588</v>
      </c>
      <c r="C352" s="4">
        <v>46</v>
      </c>
      <c r="D352" s="5">
        <v>2.96</v>
      </c>
      <c r="E352" s="5">
        <v>6.99</v>
      </c>
      <c r="F352" s="4" t="s">
        <v>589</v>
      </c>
      <c r="G352" s="2" t="s">
        <v>134</v>
      </c>
      <c r="H352" s="7" t="s">
        <v>42</v>
      </c>
      <c r="I352" s="2" t="s">
        <v>483</v>
      </c>
      <c r="J352" s="2" t="s">
        <v>536</v>
      </c>
      <c r="K352" s="2" t="s">
        <v>304</v>
      </c>
      <c r="L352" s="2" t="s">
        <v>119</v>
      </c>
      <c r="M352" s="8" t="str">
        <f>HYPERLINK("http://slimages.macys.com/is/image/MCY/14532191 ")</f>
        <v xml:space="preserve">http://slimages.macys.com/is/image/MCY/14532191 </v>
      </c>
    </row>
    <row r="353" spans="1:13" ht="60" x14ac:dyDescent="0.25">
      <c r="A353" s="7" t="s">
        <v>1201</v>
      </c>
      <c r="B353" s="2" t="s">
        <v>1202</v>
      </c>
      <c r="C353" s="4">
        <v>8</v>
      </c>
      <c r="D353" s="5">
        <v>2.94</v>
      </c>
      <c r="E353" s="5">
        <v>6.99</v>
      </c>
      <c r="F353" s="4" t="s">
        <v>1203</v>
      </c>
      <c r="G353" s="2" t="s">
        <v>86</v>
      </c>
      <c r="H353" s="7" t="s">
        <v>149</v>
      </c>
      <c r="I353" s="2" t="s">
        <v>483</v>
      </c>
      <c r="J353" s="2" t="s">
        <v>536</v>
      </c>
      <c r="K353" s="2" t="s">
        <v>304</v>
      </c>
      <c r="L353" s="2" t="s">
        <v>119</v>
      </c>
      <c r="M353" s="8" t="str">
        <f>HYPERLINK("http://slimages.macys.com/is/image/MCY/14384895 ")</f>
        <v xml:space="preserve">http://slimages.macys.com/is/image/MCY/14384895 </v>
      </c>
    </row>
    <row r="354" spans="1:13" ht="60" x14ac:dyDescent="0.25">
      <c r="A354" s="7" t="s">
        <v>13426</v>
      </c>
      <c r="B354" s="2" t="s">
        <v>1202</v>
      </c>
      <c r="C354" s="4">
        <v>6</v>
      </c>
      <c r="D354" s="5">
        <v>2.94</v>
      </c>
      <c r="E354" s="5">
        <v>6.99</v>
      </c>
      <c r="F354" s="4" t="s">
        <v>1203</v>
      </c>
      <c r="G354" s="2" t="s">
        <v>86</v>
      </c>
      <c r="H354" s="7" t="s">
        <v>590</v>
      </c>
      <c r="I354" s="2" t="s">
        <v>483</v>
      </c>
      <c r="J354" s="2" t="s">
        <v>536</v>
      </c>
      <c r="K354" s="2" t="s">
        <v>304</v>
      </c>
      <c r="L354" s="2" t="s">
        <v>119</v>
      </c>
      <c r="M354" s="8" t="str">
        <f>HYPERLINK("http://slimages.macys.com/is/image/MCY/14384895 ")</f>
        <v xml:space="preserve">http://slimages.macys.com/is/image/MCY/14384895 </v>
      </c>
    </row>
    <row r="355" spans="1:13" ht="60" x14ac:dyDescent="0.25">
      <c r="A355" s="7" t="s">
        <v>13427</v>
      </c>
      <c r="B355" s="2" t="s">
        <v>1202</v>
      </c>
      <c r="C355" s="4">
        <v>1</v>
      </c>
      <c r="D355" s="5">
        <v>2.94</v>
      </c>
      <c r="E355" s="5">
        <v>6.99</v>
      </c>
      <c r="F355" s="4" t="s">
        <v>1203</v>
      </c>
      <c r="G355" s="2" t="s">
        <v>86</v>
      </c>
      <c r="H355" s="7" t="s">
        <v>42</v>
      </c>
      <c r="I355" s="2" t="s">
        <v>483</v>
      </c>
      <c r="J355" s="2" t="s">
        <v>536</v>
      </c>
      <c r="K355" s="2" t="s">
        <v>304</v>
      </c>
      <c r="L355" s="2" t="s">
        <v>119</v>
      </c>
      <c r="M355" s="8" t="str">
        <f>HYPERLINK("http://slimages.macys.com/is/image/MCY/14384895 ")</f>
        <v xml:space="preserve">http://slimages.macys.com/is/image/MCY/14384895 </v>
      </c>
    </row>
    <row r="356" spans="1:13" ht="60" x14ac:dyDescent="0.25">
      <c r="A356" s="7" t="s">
        <v>2189</v>
      </c>
      <c r="B356" s="2" t="s">
        <v>2190</v>
      </c>
      <c r="C356" s="4">
        <v>2</v>
      </c>
      <c r="D356" s="5">
        <v>2.94</v>
      </c>
      <c r="E356" s="5">
        <v>7.99</v>
      </c>
      <c r="F356" s="4" t="s">
        <v>2191</v>
      </c>
      <c r="G356" s="2" t="s">
        <v>41</v>
      </c>
      <c r="H356" s="7" t="s">
        <v>1151</v>
      </c>
      <c r="I356" s="2" t="s">
        <v>483</v>
      </c>
      <c r="J356" s="2" t="s">
        <v>536</v>
      </c>
      <c r="K356" s="2" t="s">
        <v>304</v>
      </c>
      <c r="L356" s="2" t="s">
        <v>206</v>
      </c>
      <c r="M356" s="8" t="str">
        <f>HYPERLINK("http://slimages.macys.com/is/image/MCY/13385759 ")</f>
        <v xml:space="preserve">http://slimages.macys.com/is/image/MCY/13385759 </v>
      </c>
    </row>
    <row r="357" spans="1:13" ht="60" x14ac:dyDescent="0.25">
      <c r="A357" s="7" t="s">
        <v>9737</v>
      </c>
      <c r="B357" s="2" t="s">
        <v>2190</v>
      </c>
      <c r="C357" s="4">
        <v>2</v>
      </c>
      <c r="D357" s="5">
        <v>2.94</v>
      </c>
      <c r="E357" s="5">
        <v>7.99</v>
      </c>
      <c r="F357" s="4" t="s">
        <v>2191</v>
      </c>
      <c r="G357" s="2" t="s">
        <v>41</v>
      </c>
      <c r="H357" s="7" t="s">
        <v>578</v>
      </c>
      <c r="I357" s="2" t="s">
        <v>483</v>
      </c>
      <c r="J357" s="2" t="s">
        <v>536</v>
      </c>
      <c r="K357" s="2" t="s">
        <v>304</v>
      </c>
      <c r="L357" s="2" t="s">
        <v>206</v>
      </c>
      <c r="M357" s="8" t="str">
        <f>HYPERLINK("http://slimages.macys.com/is/image/MCY/13385759 ")</f>
        <v xml:space="preserve">http://slimages.macys.com/is/image/MCY/13385759 </v>
      </c>
    </row>
    <row r="358" spans="1:13" ht="60" x14ac:dyDescent="0.25">
      <c r="A358" s="7" t="s">
        <v>4404</v>
      </c>
      <c r="B358" s="2" t="s">
        <v>4405</v>
      </c>
      <c r="C358" s="4">
        <v>1</v>
      </c>
      <c r="D358" s="5">
        <v>2.94</v>
      </c>
      <c r="E358" s="5">
        <v>7.99</v>
      </c>
      <c r="F358" s="4" t="s">
        <v>4406</v>
      </c>
      <c r="G358" s="2" t="s">
        <v>28</v>
      </c>
      <c r="H358" s="7" t="s">
        <v>578</v>
      </c>
      <c r="I358" s="2" t="s">
        <v>483</v>
      </c>
      <c r="J358" s="2" t="s">
        <v>536</v>
      </c>
      <c r="K358" s="2" t="s">
        <v>304</v>
      </c>
      <c r="L358" s="2" t="s">
        <v>38</v>
      </c>
      <c r="M358" s="8" t="str">
        <f>HYPERLINK("http://slimages.macys.com/is/image/MCY/14384849 ")</f>
        <v xml:space="preserve">http://slimages.macys.com/is/image/MCY/14384849 </v>
      </c>
    </row>
    <row r="359" spans="1:13" ht="60" x14ac:dyDescent="0.25">
      <c r="A359" s="7" t="s">
        <v>1204</v>
      </c>
      <c r="B359" s="2" t="s">
        <v>1205</v>
      </c>
      <c r="C359" s="4">
        <v>1</v>
      </c>
      <c r="D359" s="5">
        <v>2.87</v>
      </c>
      <c r="E359" s="5">
        <v>7.99</v>
      </c>
      <c r="F359" s="4" t="s">
        <v>1206</v>
      </c>
      <c r="G359" s="2" t="s">
        <v>437</v>
      </c>
      <c r="H359" s="7" t="s">
        <v>531</v>
      </c>
      <c r="I359" s="2" t="s">
        <v>483</v>
      </c>
      <c r="J359" s="2" t="s">
        <v>536</v>
      </c>
      <c r="K359" s="2" t="s">
        <v>304</v>
      </c>
      <c r="L359" s="2" t="s">
        <v>1207</v>
      </c>
      <c r="M359" s="8" t="str">
        <f>HYPERLINK("http://slimages.macys.com/is/image/MCY/12466264 ")</f>
        <v xml:space="preserve">http://slimages.macys.com/is/image/MCY/12466264 </v>
      </c>
    </row>
    <row r="360" spans="1:13" ht="108" x14ac:dyDescent="0.25">
      <c r="A360" s="7" t="s">
        <v>2200</v>
      </c>
      <c r="B360" s="2" t="s">
        <v>598</v>
      </c>
      <c r="C360" s="4">
        <v>2</v>
      </c>
      <c r="D360" s="5">
        <v>2.84</v>
      </c>
      <c r="E360" s="5">
        <v>7.99</v>
      </c>
      <c r="F360" s="4" t="s">
        <v>599</v>
      </c>
      <c r="G360" s="2" t="s">
        <v>62</v>
      </c>
      <c r="H360" s="7" t="s">
        <v>149</v>
      </c>
      <c r="I360" s="2" t="s">
        <v>483</v>
      </c>
      <c r="J360" s="2" t="s">
        <v>536</v>
      </c>
      <c r="K360" s="2" t="s">
        <v>304</v>
      </c>
      <c r="L360" s="2" t="s">
        <v>600</v>
      </c>
      <c r="M360" s="8" t="str">
        <f>HYPERLINK("http://slimages.macys.com/is/image/MCY/14384837 ")</f>
        <v xml:space="preserve">http://slimages.macys.com/is/image/MCY/14384837 </v>
      </c>
    </row>
    <row r="361" spans="1:13" ht="60" x14ac:dyDescent="0.25">
      <c r="A361" s="7" t="s">
        <v>7129</v>
      </c>
      <c r="B361" s="2" t="s">
        <v>7127</v>
      </c>
      <c r="C361" s="4">
        <v>2</v>
      </c>
      <c r="D361" s="5">
        <v>2.84</v>
      </c>
      <c r="E361" s="5">
        <v>7.99</v>
      </c>
      <c r="F361" s="4" t="s">
        <v>7128</v>
      </c>
      <c r="G361" s="2" t="s">
        <v>28</v>
      </c>
      <c r="H361" s="7" t="s">
        <v>514</v>
      </c>
      <c r="I361" s="2" t="s">
        <v>483</v>
      </c>
      <c r="J361" s="2" t="s">
        <v>536</v>
      </c>
      <c r="K361" s="2" t="s">
        <v>304</v>
      </c>
      <c r="L361" s="2" t="s">
        <v>119</v>
      </c>
      <c r="M361" s="8" t="str">
        <f>HYPERLINK("http://slimages.macys.com/is/image/MCY/13987615 ")</f>
        <v xml:space="preserve">http://slimages.macys.com/is/image/MCY/13987615 </v>
      </c>
    </row>
    <row r="362" spans="1:13" ht="60" x14ac:dyDescent="0.25">
      <c r="A362" s="7" t="s">
        <v>7130</v>
      </c>
      <c r="B362" s="2" t="s">
        <v>7131</v>
      </c>
      <c r="C362" s="4">
        <v>2</v>
      </c>
      <c r="D362" s="5">
        <v>2.83</v>
      </c>
      <c r="E362" s="5">
        <v>7.99</v>
      </c>
      <c r="F362" s="4" t="s">
        <v>7132</v>
      </c>
      <c r="G362" s="2" t="s">
        <v>41</v>
      </c>
      <c r="H362" s="7" t="s">
        <v>578</v>
      </c>
      <c r="I362" s="2" t="s">
        <v>483</v>
      </c>
      <c r="J362" s="2" t="s">
        <v>536</v>
      </c>
      <c r="K362" s="2" t="s">
        <v>304</v>
      </c>
      <c r="L362" s="2" t="s">
        <v>38</v>
      </c>
      <c r="M362" s="8" t="str">
        <f>HYPERLINK("http://slimages.macys.com/is/image/MCY/13337389 ")</f>
        <v xml:space="preserve">http://slimages.macys.com/is/image/MCY/13337389 </v>
      </c>
    </row>
    <row r="363" spans="1:13" ht="60" x14ac:dyDescent="0.25">
      <c r="A363" s="7" t="s">
        <v>13428</v>
      </c>
      <c r="B363" s="2" t="s">
        <v>7131</v>
      </c>
      <c r="C363" s="4">
        <v>4</v>
      </c>
      <c r="D363" s="5">
        <v>2.83</v>
      </c>
      <c r="E363" s="5">
        <v>7.99</v>
      </c>
      <c r="F363" s="4" t="s">
        <v>7132</v>
      </c>
      <c r="G363" s="2" t="s">
        <v>41</v>
      </c>
      <c r="H363" s="7" t="s">
        <v>1151</v>
      </c>
      <c r="I363" s="2" t="s">
        <v>483</v>
      </c>
      <c r="J363" s="2" t="s">
        <v>536</v>
      </c>
      <c r="K363" s="2" t="s">
        <v>304</v>
      </c>
      <c r="L363" s="2" t="s">
        <v>38</v>
      </c>
      <c r="M363" s="8" t="str">
        <f>HYPERLINK("http://slimages.macys.com/is/image/MCY/13337389 ")</f>
        <v xml:space="preserve">http://slimages.macys.com/is/image/MCY/13337389 </v>
      </c>
    </row>
    <row r="364" spans="1:13" ht="60" x14ac:dyDescent="0.25">
      <c r="A364" s="7" t="s">
        <v>13429</v>
      </c>
      <c r="B364" s="2" t="s">
        <v>7131</v>
      </c>
      <c r="C364" s="4">
        <v>4</v>
      </c>
      <c r="D364" s="5">
        <v>2.83</v>
      </c>
      <c r="E364" s="5">
        <v>7.99</v>
      </c>
      <c r="F364" s="4" t="s">
        <v>7132</v>
      </c>
      <c r="G364" s="2" t="s">
        <v>41</v>
      </c>
      <c r="H364" s="7" t="s">
        <v>514</v>
      </c>
      <c r="I364" s="2" t="s">
        <v>483</v>
      </c>
      <c r="J364" s="2" t="s">
        <v>536</v>
      </c>
      <c r="K364" s="2" t="s">
        <v>304</v>
      </c>
      <c r="L364" s="2" t="s">
        <v>38</v>
      </c>
      <c r="M364" s="8" t="str">
        <f>HYPERLINK("http://slimages.macys.com/is/image/MCY/13337389 ")</f>
        <v xml:space="preserve">http://slimages.macys.com/is/image/MCY/13337389 </v>
      </c>
    </row>
    <row r="365" spans="1:13" ht="60" x14ac:dyDescent="0.25">
      <c r="A365" s="7" t="s">
        <v>2708</v>
      </c>
      <c r="B365" s="2" t="s">
        <v>2709</v>
      </c>
      <c r="C365" s="4">
        <v>2</v>
      </c>
      <c r="D365" s="5">
        <v>2.79</v>
      </c>
      <c r="E365" s="5">
        <v>6.99</v>
      </c>
      <c r="F365" s="4">
        <v>10004643300</v>
      </c>
      <c r="G365" s="2" t="s">
        <v>297</v>
      </c>
      <c r="H365" s="7" t="s">
        <v>586</v>
      </c>
      <c r="I365" s="2" t="s">
        <v>483</v>
      </c>
      <c r="J365" s="2" t="s">
        <v>2710</v>
      </c>
      <c r="K365" s="2" t="s">
        <v>304</v>
      </c>
      <c r="L365" s="2" t="s">
        <v>2711</v>
      </c>
      <c r="M365" s="8" t="str">
        <f>HYPERLINK("http://slimages.macys.com/is/image/MCY/11547123 ")</f>
        <v xml:space="preserve">http://slimages.macys.com/is/image/MCY/11547123 </v>
      </c>
    </row>
    <row r="366" spans="1:13" ht="60" x14ac:dyDescent="0.25">
      <c r="A366" s="7" t="s">
        <v>1216</v>
      </c>
      <c r="B366" s="2" t="s">
        <v>1217</v>
      </c>
      <c r="C366" s="4">
        <v>4</v>
      </c>
      <c r="D366" s="5">
        <v>2.77</v>
      </c>
      <c r="E366" s="5">
        <v>7.99</v>
      </c>
      <c r="F366" s="4">
        <v>10005049100</v>
      </c>
      <c r="G366" s="2" t="s">
        <v>527</v>
      </c>
      <c r="H366" s="7" t="s">
        <v>604</v>
      </c>
      <c r="I366" s="2" t="s">
        <v>483</v>
      </c>
      <c r="J366" s="2" t="s">
        <v>536</v>
      </c>
      <c r="K366" s="2" t="s">
        <v>304</v>
      </c>
      <c r="L366" s="2" t="s">
        <v>119</v>
      </c>
      <c r="M366" s="8" t="str">
        <f>HYPERLINK("http://slimages.macys.com/is/image/MCY/11520375 ")</f>
        <v xml:space="preserve">http://slimages.macys.com/is/image/MCY/11520375 </v>
      </c>
    </row>
    <row r="367" spans="1:13" ht="60" x14ac:dyDescent="0.25">
      <c r="A367" s="7" t="s">
        <v>5679</v>
      </c>
      <c r="B367" s="2" t="s">
        <v>1217</v>
      </c>
      <c r="C367" s="4">
        <v>4</v>
      </c>
      <c r="D367" s="5">
        <v>2.77</v>
      </c>
      <c r="E367" s="5">
        <v>7.99</v>
      </c>
      <c r="F367" s="4">
        <v>10005049100</v>
      </c>
      <c r="G367" s="2" t="s">
        <v>527</v>
      </c>
      <c r="H367" s="7"/>
      <c r="I367" s="2" t="s">
        <v>483</v>
      </c>
      <c r="J367" s="2" t="s">
        <v>536</v>
      </c>
      <c r="K367" s="2" t="s">
        <v>304</v>
      </c>
      <c r="L367" s="2" t="s">
        <v>119</v>
      </c>
      <c r="M367" s="8" t="str">
        <f>HYPERLINK("http://slimages.macys.com/is/image/MCY/11520375 ")</f>
        <v xml:space="preserve">http://slimages.macys.com/is/image/MCY/11520375 </v>
      </c>
    </row>
    <row r="368" spans="1:13" ht="60" x14ac:dyDescent="0.25">
      <c r="A368" s="7" t="s">
        <v>8421</v>
      </c>
      <c r="B368" s="2" t="s">
        <v>1217</v>
      </c>
      <c r="C368" s="4">
        <v>5</v>
      </c>
      <c r="D368" s="5">
        <v>2.77</v>
      </c>
      <c r="E368" s="5">
        <v>7.99</v>
      </c>
      <c r="F368" s="4">
        <v>10005049100</v>
      </c>
      <c r="G368" s="2" t="s">
        <v>527</v>
      </c>
      <c r="H368" s="7" t="s">
        <v>586</v>
      </c>
      <c r="I368" s="2" t="s">
        <v>483</v>
      </c>
      <c r="J368" s="2" t="s">
        <v>536</v>
      </c>
      <c r="K368" s="2" t="s">
        <v>304</v>
      </c>
      <c r="L368" s="2" t="s">
        <v>119</v>
      </c>
      <c r="M368" s="8" t="str">
        <f>HYPERLINK("http://slimages.macys.com/is/image/MCY/11520375 ")</f>
        <v xml:space="preserve">http://slimages.macys.com/is/image/MCY/11520375 </v>
      </c>
    </row>
    <row r="369" spans="1:13" ht="60" x14ac:dyDescent="0.25">
      <c r="A369" s="7" t="s">
        <v>2212</v>
      </c>
      <c r="B369" s="2" t="s">
        <v>2209</v>
      </c>
      <c r="C369" s="4">
        <v>3</v>
      </c>
      <c r="D369" s="5">
        <v>2.77</v>
      </c>
      <c r="E369" s="5">
        <v>7.99</v>
      </c>
      <c r="F369" s="4">
        <v>10004191600</v>
      </c>
      <c r="G369" s="2" t="s">
        <v>1360</v>
      </c>
      <c r="H369" s="7"/>
      <c r="I369" s="2" t="s">
        <v>483</v>
      </c>
      <c r="J369" s="2" t="s">
        <v>536</v>
      </c>
      <c r="K369" s="2" t="s">
        <v>304</v>
      </c>
      <c r="L369" s="2" t="s">
        <v>119</v>
      </c>
      <c r="M369" s="8" t="str">
        <f>HYPERLINK("http://slimages.macys.com/is/image/MCY/11547113 ")</f>
        <v xml:space="preserve">http://slimages.macys.com/is/image/MCY/11547113 </v>
      </c>
    </row>
    <row r="370" spans="1:13" ht="60" x14ac:dyDescent="0.25">
      <c r="A370" s="7" t="s">
        <v>13430</v>
      </c>
      <c r="B370" s="2" t="s">
        <v>13431</v>
      </c>
      <c r="C370" s="4">
        <v>1</v>
      </c>
      <c r="D370" s="5">
        <v>2.76</v>
      </c>
      <c r="E370" s="5">
        <v>7.99</v>
      </c>
      <c r="F370" s="4" t="s">
        <v>13432</v>
      </c>
      <c r="G370" s="2" t="s">
        <v>1147</v>
      </c>
      <c r="H370" s="7" t="s">
        <v>514</v>
      </c>
      <c r="I370" s="2" t="s">
        <v>483</v>
      </c>
      <c r="J370" s="2" t="s">
        <v>536</v>
      </c>
      <c r="K370" s="2" t="s">
        <v>304</v>
      </c>
      <c r="L370" s="2" t="s">
        <v>119</v>
      </c>
      <c r="M370" s="8" t="str">
        <f>HYPERLINK("http://slimages.macys.com/is/image/MCY/14385120 ")</f>
        <v xml:space="preserve">http://slimages.macys.com/is/image/MCY/14385120 </v>
      </c>
    </row>
    <row r="371" spans="1:13" ht="60" x14ac:dyDescent="0.25">
      <c r="A371" s="7" t="s">
        <v>4470</v>
      </c>
      <c r="B371" s="2" t="s">
        <v>2223</v>
      </c>
      <c r="C371" s="4">
        <v>2</v>
      </c>
      <c r="D371" s="5">
        <v>2.69</v>
      </c>
      <c r="E371" s="5">
        <v>5.99</v>
      </c>
      <c r="F371" s="4" t="s">
        <v>2224</v>
      </c>
      <c r="G371" s="2" t="s">
        <v>437</v>
      </c>
      <c r="H371" s="7" t="s">
        <v>590</v>
      </c>
      <c r="I371" s="2" t="s">
        <v>483</v>
      </c>
      <c r="J371" s="2" t="s">
        <v>536</v>
      </c>
      <c r="K371" s="2" t="s">
        <v>304</v>
      </c>
      <c r="L371" s="2" t="s">
        <v>206</v>
      </c>
      <c r="M371" s="8" t="str">
        <f>HYPERLINK("http://slimages.macys.com/is/image/MCY/11436881 ")</f>
        <v xml:space="preserve">http://slimages.macys.com/is/image/MCY/11436881 </v>
      </c>
    </row>
    <row r="372" spans="1:13" ht="60" x14ac:dyDescent="0.25">
      <c r="A372" s="7" t="s">
        <v>7890</v>
      </c>
      <c r="B372" s="2" t="s">
        <v>2223</v>
      </c>
      <c r="C372" s="4">
        <v>2</v>
      </c>
      <c r="D372" s="5">
        <v>2.69</v>
      </c>
      <c r="E372" s="5">
        <v>5.99</v>
      </c>
      <c r="F372" s="4" t="s">
        <v>2224</v>
      </c>
      <c r="G372" s="2" t="s">
        <v>437</v>
      </c>
      <c r="H372" s="7" t="s">
        <v>149</v>
      </c>
      <c r="I372" s="2" t="s">
        <v>483</v>
      </c>
      <c r="J372" s="2" t="s">
        <v>536</v>
      </c>
      <c r="K372" s="2" t="s">
        <v>304</v>
      </c>
      <c r="L372" s="2" t="s">
        <v>206</v>
      </c>
      <c r="M372" s="8" t="str">
        <f>HYPERLINK("http://slimages.macys.com/is/image/MCY/11436881 ")</f>
        <v xml:space="preserve">http://slimages.macys.com/is/image/MCY/11436881 </v>
      </c>
    </row>
    <row r="373" spans="1:13" ht="60" x14ac:dyDescent="0.25">
      <c r="A373" s="7" t="s">
        <v>9200</v>
      </c>
      <c r="B373" s="2" t="s">
        <v>2223</v>
      </c>
      <c r="C373" s="4">
        <v>1</v>
      </c>
      <c r="D373" s="5">
        <v>2.69</v>
      </c>
      <c r="E373" s="5">
        <v>5.99</v>
      </c>
      <c r="F373" s="4" t="s">
        <v>2224</v>
      </c>
      <c r="G373" s="2" t="s">
        <v>437</v>
      </c>
      <c r="H373" s="7" t="s">
        <v>91</v>
      </c>
      <c r="I373" s="2" t="s">
        <v>483</v>
      </c>
      <c r="J373" s="2" t="s">
        <v>536</v>
      </c>
      <c r="K373" s="2" t="s">
        <v>304</v>
      </c>
      <c r="L373" s="2" t="s">
        <v>206</v>
      </c>
      <c r="M373" s="8" t="str">
        <f>HYPERLINK("http://slimages.macys.com/is/image/MCY/11436881 ")</f>
        <v xml:space="preserve">http://slimages.macys.com/is/image/MCY/11436881 </v>
      </c>
    </row>
    <row r="374" spans="1:13" ht="60" x14ac:dyDescent="0.25">
      <c r="A374" s="7" t="s">
        <v>6489</v>
      </c>
      <c r="B374" s="2" t="s">
        <v>2223</v>
      </c>
      <c r="C374" s="4">
        <v>1</v>
      </c>
      <c r="D374" s="5">
        <v>2.69</v>
      </c>
      <c r="E374" s="5">
        <v>5.99</v>
      </c>
      <c r="F374" s="4" t="s">
        <v>2224</v>
      </c>
      <c r="G374" s="2" t="s">
        <v>62</v>
      </c>
      <c r="H374" s="7" t="s">
        <v>442</v>
      </c>
      <c r="I374" s="2" t="s">
        <v>483</v>
      </c>
      <c r="J374" s="2" t="s">
        <v>536</v>
      </c>
      <c r="K374" s="2" t="s">
        <v>304</v>
      </c>
      <c r="L374" s="2" t="s">
        <v>206</v>
      </c>
      <c r="M374" s="8" t="str">
        <f>HYPERLINK("http://slimages.macys.com/is/image/MCY/11436881 ")</f>
        <v xml:space="preserve">http://slimages.macys.com/is/image/MCY/11436881 </v>
      </c>
    </row>
    <row r="375" spans="1:13" ht="60" x14ac:dyDescent="0.25">
      <c r="A375" s="7" t="s">
        <v>4469</v>
      </c>
      <c r="B375" s="2" t="s">
        <v>2223</v>
      </c>
      <c r="C375" s="4">
        <v>3</v>
      </c>
      <c r="D375" s="5">
        <v>2.69</v>
      </c>
      <c r="E375" s="5">
        <v>5.99</v>
      </c>
      <c r="F375" s="4" t="s">
        <v>2224</v>
      </c>
      <c r="G375" s="2" t="s">
        <v>437</v>
      </c>
      <c r="H375" s="7" t="s">
        <v>442</v>
      </c>
      <c r="I375" s="2" t="s">
        <v>483</v>
      </c>
      <c r="J375" s="2" t="s">
        <v>536</v>
      </c>
      <c r="K375" s="2" t="s">
        <v>304</v>
      </c>
      <c r="L375" s="2" t="s">
        <v>206</v>
      </c>
      <c r="M375" s="8" t="str">
        <f>HYPERLINK("http://slimages.macys.com/is/image/MCY/11436881 ")</f>
        <v xml:space="preserve">http://slimages.macys.com/is/image/MCY/11436881 </v>
      </c>
    </row>
    <row r="376" spans="1:13" ht="60" x14ac:dyDescent="0.25">
      <c r="A376" s="7" t="s">
        <v>13433</v>
      </c>
      <c r="B376" s="2" t="s">
        <v>13434</v>
      </c>
      <c r="C376" s="4">
        <v>1</v>
      </c>
      <c r="D376" s="5">
        <v>2.68</v>
      </c>
      <c r="E376" s="5">
        <v>7.99</v>
      </c>
      <c r="F376" s="4" t="s">
        <v>13435</v>
      </c>
      <c r="G376" s="2" t="s">
        <v>36</v>
      </c>
      <c r="H376" s="7" t="s">
        <v>578</v>
      </c>
      <c r="I376" s="2" t="s">
        <v>483</v>
      </c>
      <c r="J376" s="2" t="s">
        <v>536</v>
      </c>
      <c r="K376" s="2" t="s">
        <v>304</v>
      </c>
      <c r="L376" s="2" t="s">
        <v>206</v>
      </c>
      <c r="M376" s="8" t="str">
        <f>HYPERLINK("http://slimages.macys.com/is/image/MCY/11334781 ")</f>
        <v xml:space="preserve">http://slimages.macys.com/is/image/MCY/11334781 </v>
      </c>
    </row>
    <row r="377" spans="1:13" ht="60" x14ac:dyDescent="0.25">
      <c r="A377" s="7" t="s">
        <v>13436</v>
      </c>
      <c r="B377" s="2" t="s">
        <v>2232</v>
      </c>
      <c r="C377" s="4">
        <v>1</v>
      </c>
      <c r="D377" s="5">
        <v>2.67</v>
      </c>
      <c r="E377" s="5">
        <v>6.99</v>
      </c>
      <c r="F377" s="4" t="s">
        <v>2233</v>
      </c>
      <c r="G377" s="2" t="s">
        <v>171</v>
      </c>
      <c r="H377" s="7" t="s">
        <v>442</v>
      </c>
      <c r="I377" s="2" t="s">
        <v>483</v>
      </c>
      <c r="J377" s="2" t="s">
        <v>536</v>
      </c>
      <c r="K377" s="2" t="s">
        <v>304</v>
      </c>
      <c r="L377" s="2" t="s">
        <v>119</v>
      </c>
      <c r="M377" s="8" t="str">
        <f>HYPERLINK("http://slimages.macys.com/is/image/MCY/11435785 ")</f>
        <v xml:space="preserve">http://slimages.macys.com/is/image/MCY/11435785 </v>
      </c>
    </row>
    <row r="378" spans="1:13" ht="84" x14ac:dyDescent="0.25">
      <c r="A378" s="7" t="s">
        <v>2227</v>
      </c>
      <c r="B378" s="2" t="s">
        <v>2228</v>
      </c>
      <c r="C378" s="4">
        <v>1</v>
      </c>
      <c r="D378" s="5">
        <v>2.67</v>
      </c>
      <c r="E378" s="5">
        <v>7.99</v>
      </c>
      <c r="F378" s="4" t="s">
        <v>2229</v>
      </c>
      <c r="G378" s="2" t="s">
        <v>527</v>
      </c>
      <c r="H378" s="7" t="s">
        <v>149</v>
      </c>
      <c r="I378" s="2" t="s">
        <v>483</v>
      </c>
      <c r="J378" s="2" t="s">
        <v>536</v>
      </c>
      <c r="K378" s="2" t="s">
        <v>304</v>
      </c>
      <c r="L378" s="2" t="s">
        <v>2230</v>
      </c>
      <c r="M378" s="8" t="str">
        <f>HYPERLINK("http://slimages.macys.com/is/image/MCY/14385110 ")</f>
        <v xml:space="preserve">http://slimages.macys.com/is/image/MCY/14385110 </v>
      </c>
    </row>
    <row r="379" spans="1:13" ht="60" x14ac:dyDescent="0.25">
      <c r="A379" s="7" t="s">
        <v>12204</v>
      </c>
      <c r="B379" s="2" t="s">
        <v>2232</v>
      </c>
      <c r="C379" s="4">
        <v>1</v>
      </c>
      <c r="D379" s="5">
        <v>2.67</v>
      </c>
      <c r="E379" s="5">
        <v>6.99</v>
      </c>
      <c r="F379" s="4" t="s">
        <v>2233</v>
      </c>
      <c r="G379" s="2" t="s">
        <v>171</v>
      </c>
      <c r="H379" s="7" t="s">
        <v>149</v>
      </c>
      <c r="I379" s="2" t="s">
        <v>483</v>
      </c>
      <c r="J379" s="2" t="s">
        <v>536</v>
      </c>
      <c r="K379" s="2" t="s">
        <v>304</v>
      </c>
      <c r="L379" s="2" t="s">
        <v>119</v>
      </c>
      <c r="M379" s="8" t="str">
        <f>HYPERLINK("http://slimages.macys.com/is/image/MCY/11435785 ")</f>
        <v xml:space="preserve">http://slimages.macys.com/is/image/MCY/11435785 </v>
      </c>
    </row>
    <row r="380" spans="1:13" ht="60" x14ac:dyDescent="0.25">
      <c r="A380" s="7" t="s">
        <v>12205</v>
      </c>
      <c r="B380" s="2" t="s">
        <v>2232</v>
      </c>
      <c r="C380" s="4">
        <v>1</v>
      </c>
      <c r="D380" s="5">
        <v>2.67</v>
      </c>
      <c r="E380" s="5">
        <v>6.99</v>
      </c>
      <c r="F380" s="4" t="s">
        <v>2233</v>
      </c>
      <c r="G380" s="2" t="s">
        <v>171</v>
      </c>
      <c r="H380" s="7"/>
      <c r="I380" s="2" t="s">
        <v>483</v>
      </c>
      <c r="J380" s="2" t="s">
        <v>536</v>
      </c>
      <c r="K380" s="2" t="s">
        <v>304</v>
      </c>
      <c r="L380" s="2" t="s">
        <v>119</v>
      </c>
      <c r="M380" s="8" t="str">
        <f>HYPERLINK("http://slimages.macys.com/is/image/MCY/11435785 ")</f>
        <v xml:space="preserve">http://slimages.macys.com/is/image/MCY/11435785 </v>
      </c>
    </row>
    <row r="381" spans="1:13" ht="60" x14ac:dyDescent="0.25">
      <c r="A381" s="7" t="s">
        <v>13437</v>
      </c>
      <c r="B381" s="2" t="s">
        <v>8429</v>
      </c>
      <c r="C381" s="4">
        <v>1</v>
      </c>
      <c r="D381" s="5">
        <v>2.65</v>
      </c>
      <c r="E381" s="5">
        <v>6.99</v>
      </c>
      <c r="F381" s="4">
        <v>10005486600</v>
      </c>
      <c r="G381" s="2" t="s">
        <v>41</v>
      </c>
      <c r="H381" s="7"/>
      <c r="I381" s="2" t="s">
        <v>483</v>
      </c>
      <c r="J381" s="2" t="s">
        <v>536</v>
      </c>
      <c r="K381" s="2" t="s">
        <v>304</v>
      </c>
      <c r="L381" s="2" t="s">
        <v>206</v>
      </c>
      <c r="M381" s="8" t="str">
        <f>HYPERLINK("http://slimages.macys.com/is/image/MCY/12466215 ")</f>
        <v xml:space="preserve">http://slimages.macys.com/is/image/MCY/12466215 </v>
      </c>
    </row>
    <row r="382" spans="1:13" ht="60" x14ac:dyDescent="0.25">
      <c r="A382" s="7" t="s">
        <v>8428</v>
      </c>
      <c r="B382" s="2" t="s">
        <v>8429</v>
      </c>
      <c r="C382" s="4">
        <v>1</v>
      </c>
      <c r="D382" s="5">
        <v>2.65</v>
      </c>
      <c r="E382" s="5">
        <v>6.99</v>
      </c>
      <c r="F382" s="4">
        <v>10005486600</v>
      </c>
      <c r="G382" s="2" t="s">
        <v>41</v>
      </c>
      <c r="H382" s="7" t="s">
        <v>482</v>
      </c>
      <c r="I382" s="2" t="s">
        <v>483</v>
      </c>
      <c r="J382" s="2" t="s">
        <v>536</v>
      </c>
      <c r="K382" s="2" t="s">
        <v>304</v>
      </c>
      <c r="L382" s="2" t="s">
        <v>206</v>
      </c>
      <c r="M382" s="8" t="str">
        <f>HYPERLINK("http://slimages.macys.com/is/image/MCY/12466215 ")</f>
        <v xml:space="preserve">http://slimages.macys.com/is/image/MCY/12466215 </v>
      </c>
    </row>
    <row r="383" spans="1:13" ht="60" x14ac:dyDescent="0.25">
      <c r="A383" s="7" t="s">
        <v>11224</v>
      </c>
      <c r="B383" s="2" t="s">
        <v>8429</v>
      </c>
      <c r="C383" s="4">
        <v>1</v>
      </c>
      <c r="D383" s="5">
        <v>2.65</v>
      </c>
      <c r="E383" s="5">
        <v>6.99</v>
      </c>
      <c r="F383" s="4">
        <v>10005486600</v>
      </c>
      <c r="G383" s="2" t="s">
        <v>41</v>
      </c>
      <c r="H383" s="7" t="s">
        <v>590</v>
      </c>
      <c r="I383" s="2" t="s">
        <v>483</v>
      </c>
      <c r="J383" s="2" t="s">
        <v>536</v>
      </c>
      <c r="K383" s="2" t="s">
        <v>304</v>
      </c>
      <c r="L383" s="2" t="s">
        <v>206</v>
      </c>
      <c r="M383" s="8" t="str">
        <f>HYPERLINK("http://slimages.macys.com/is/image/MCY/12466215 ")</f>
        <v xml:space="preserve">http://slimages.macys.com/is/image/MCY/12466215 </v>
      </c>
    </row>
    <row r="384" spans="1:13" ht="96" x14ac:dyDescent="0.25">
      <c r="A384" s="7" t="s">
        <v>8430</v>
      </c>
      <c r="B384" s="2" t="s">
        <v>8431</v>
      </c>
      <c r="C384" s="4">
        <v>3</v>
      </c>
      <c r="D384" s="5">
        <v>2.64</v>
      </c>
      <c r="E384" s="5">
        <v>6.99</v>
      </c>
      <c r="F384" s="4" t="s">
        <v>8432</v>
      </c>
      <c r="G384" s="2" t="s">
        <v>171</v>
      </c>
      <c r="H384" s="7" t="s">
        <v>604</v>
      </c>
      <c r="I384" s="2" t="s">
        <v>483</v>
      </c>
      <c r="J384" s="2" t="s">
        <v>536</v>
      </c>
      <c r="K384" s="2" t="s">
        <v>304</v>
      </c>
      <c r="L384" s="2" t="s">
        <v>8433</v>
      </c>
      <c r="M384" s="8" t="str">
        <f>HYPERLINK("http://slimages.macys.com/is/image/MCY/11435760 ")</f>
        <v xml:space="preserve">http://slimages.macys.com/is/image/MCY/11435760 </v>
      </c>
    </row>
    <row r="385" spans="1:13" ht="96" x14ac:dyDescent="0.25">
      <c r="A385" s="7" t="s">
        <v>8434</v>
      </c>
      <c r="B385" s="2" t="s">
        <v>8431</v>
      </c>
      <c r="C385" s="4">
        <v>3</v>
      </c>
      <c r="D385" s="5">
        <v>2.64</v>
      </c>
      <c r="E385" s="5">
        <v>6.99</v>
      </c>
      <c r="F385" s="4" t="s">
        <v>8432</v>
      </c>
      <c r="G385" s="2" t="s">
        <v>171</v>
      </c>
      <c r="H385" s="7" t="s">
        <v>586</v>
      </c>
      <c r="I385" s="2" t="s">
        <v>483</v>
      </c>
      <c r="J385" s="2" t="s">
        <v>536</v>
      </c>
      <c r="K385" s="2" t="s">
        <v>304</v>
      </c>
      <c r="L385" s="2" t="s">
        <v>8433</v>
      </c>
      <c r="M385" s="8" t="str">
        <f>HYPERLINK("http://slimages.macys.com/is/image/MCY/11435760 ")</f>
        <v xml:space="preserve">http://slimages.macys.com/is/image/MCY/11435760 </v>
      </c>
    </row>
    <row r="386" spans="1:13" ht="60" x14ac:dyDescent="0.25">
      <c r="A386" s="7" t="s">
        <v>2248</v>
      </c>
      <c r="B386" s="2" t="s">
        <v>2246</v>
      </c>
      <c r="C386" s="4">
        <v>1</v>
      </c>
      <c r="D386" s="5">
        <v>2.64</v>
      </c>
      <c r="E386" s="5">
        <v>6.99</v>
      </c>
      <c r="F386" s="4" t="s">
        <v>2247</v>
      </c>
      <c r="G386" s="2" t="s">
        <v>262</v>
      </c>
      <c r="H386" s="7" t="s">
        <v>590</v>
      </c>
      <c r="I386" s="2" t="s">
        <v>483</v>
      </c>
      <c r="J386" s="2" t="s">
        <v>536</v>
      </c>
      <c r="K386" s="2" t="s">
        <v>304</v>
      </c>
      <c r="L386" s="2" t="s">
        <v>119</v>
      </c>
      <c r="M386" s="8" t="str">
        <f>HYPERLINK("http://slimages.macys.com/is/image/MCY/13987489 ")</f>
        <v xml:space="preserve">http://slimages.macys.com/is/image/MCY/13987489 </v>
      </c>
    </row>
    <row r="387" spans="1:13" ht="60" x14ac:dyDescent="0.25">
      <c r="A387" s="7" t="s">
        <v>13438</v>
      </c>
      <c r="B387" s="2" t="s">
        <v>13439</v>
      </c>
      <c r="C387" s="4">
        <v>1</v>
      </c>
      <c r="D387" s="5">
        <v>2.64</v>
      </c>
      <c r="E387" s="5">
        <v>6.99</v>
      </c>
      <c r="F387" s="4">
        <v>100021554</v>
      </c>
      <c r="G387" s="2" t="s">
        <v>793</v>
      </c>
      <c r="H387" s="7" t="s">
        <v>149</v>
      </c>
      <c r="I387" s="2" t="s">
        <v>483</v>
      </c>
      <c r="J387" s="2" t="s">
        <v>536</v>
      </c>
      <c r="K387" s="2" t="s">
        <v>304</v>
      </c>
      <c r="L387" s="2" t="s">
        <v>119</v>
      </c>
      <c r="M387" s="8" t="str">
        <f>HYPERLINK("http://slimages.macys.com/is/image/MCY/10173243 ")</f>
        <v xml:space="preserve">http://slimages.macys.com/is/image/MCY/10173243 </v>
      </c>
    </row>
    <row r="388" spans="1:13" ht="60" x14ac:dyDescent="0.25">
      <c r="A388" s="7" t="s">
        <v>13440</v>
      </c>
      <c r="B388" s="2" t="s">
        <v>10659</v>
      </c>
      <c r="C388" s="4">
        <v>1</v>
      </c>
      <c r="D388" s="5">
        <v>2.63</v>
      </c>
      <c r="E388" s="5">
        <v>7.99</v>
      </c>
      <c r="F388" s="4">
        <v>10005379000</v>
      </c>
      <c r="G388" s="2" t="s">
        <v>1360</v>
      </c>
      <c r="H388" s="7" t="s">
        <v>149</v>
      </c>
      <c r="I388" s="2" t="s">
        <v>483</v>
      </c>
      <c r="J388" s="2" t="s">
        <v>536</v>
      </c>
      <c r="K388" s="2" t="s">
        <v>304</v>
      </c>
      <c r="L388" s="2" t="s">
        <v>100</v>
      </c>
      <c r="M388" s="8" t="str">
        <f>HYPERLINK("http://slimages.macys.com/is/image/MCY/12466200 ")</f>
        <v xml:space="preserve">http://slimages.macys.com/is/image/MCY/12466200 </v>
      </c>
    </row>
    <row r="389" spans="1:13" ht="60" x14ac:dyDescent="0.25">
      <c r="A389" s="7" t="s">
        <v>1245</v>
      </c>
      <c r="B389" s="2" t="s">
        <v>1246</v>
      </c>
      <c r="C389" s="4">
        <v>1</v>
      </c>
      <c r="D389" s="5">
        <v>2.62</v>
      </c>
      <c r="E389" s="5">
        <v>6.99</v>
      </c>
      <c r="F389" s="4" t="s">
        <v>1247</v>
      </c>
      <c r="G389" s="2" t="s">
        <v>41</v>
      </c>
      <c r="H389" s="7" t="s">
        <v>149</v>
      </c>
      <c r="I389" s="2" t="s">
        <v>483</v>
      </c>
      <c r="J389" s="2" t="s">
        <v>536</v>
      </c>
      <c r="K389" s="2" t="s">
        <v>304</v>
      </c>
      <c r="L389" s="2" t="s">
        <v>100</v>
      </c>
      <c r="M389" s="8" t="str">
        <f>HYPERLINK("http://slimages.macys.com/is/image/MCY/13337544 ")</f>
        <v xml:space="preserve">http://slimages.macys.com/is/image/MCY/13337544 </v>
      </c>
    </row>
    <row r="390" spans="1:13" ht="60" x14ac:dyDescent="0.25">
      <c r="A390" s="7" t="s">
        <v>2256</v>
      </c>
      <c r="B390" s="2" t="s">
        <v>2254</v>
      </c>
      <c r="C390" s="4">
        <v>1</v>
      </c>
      <c r="D390" s="5">
        <v>2.62</v>
      </c>
      <c r="E390" s="5">
        <v>5.99</v>
      </c>
      <c r="F390" s="4" t="s">
        <v>2255</v>
      </c>
      <c r="G390" s="2" t="s">
        <v>657</v>
      </c>
      <c r="H390" s="7" t="s">
        <v>149</v>
      </c>
      <c r="I390" s="2" t="s">
        <v>483</v>
      </c>
      <c r="J390" s="2" t="s">
        <v>536</v>
      </c>
      <c r="K390" s="2" t="s">
        <v>304</v>
      </c>
      <c r="L390" s="2" t="s">
        <v>119</v>
      </c>
      <c r="M390" s="8" t="str">
        <f>HYPERLINK("http://slimages.macys.com/is/image/MCY/12644604 ")</f>
        <v xml:space="preserve">http://slimages.macys.com/is/image/MCY/12644604 </v>
      </c>
    </row>
    <row r="391" spans="1:13" ht="60" x14ac:dyDescent="0.25">
      <c r="A391" s="7" t="s">
        <v>606</v>
      </c>
      <c r="B391" s="2" t="s">
        <v>607</v>
      </c>
      <c r="C391" s="4">
        <v>22</v>
      </c>
      <c r="D391" s="5">
        <v>2.62</v>
      </c>
      <c r="E391" s="5">
        <v>6.99</v>
      </c>
      <c r="F391" s="4" t="s">
        <v>608</v>
      </c>
      <c r="G391" s="2" t="s">
        <v>41</v>
      </c>
      <c r="H391" s="7" t="s">
        <v>42</v>
      </c>
      <c r="I391" s="2" t="s">
        <v>483</v>
      </c>
      <c r="J391" s="2" t="s">
        <v>536</v>
      </c>
      <c r="K391" s="2" t="s">
        <v>304</v>
      </c>
      <c r="L391" s="2" t="s">
        <v>100</v>
      </c>
      <c r="M391" s="8" t="str">
        <f>HYPERLINK("http://slimages.macys.com/is/image/MCY/13336572 ")</f>
        <v xml:space="preserve">http://slimages.macys.com/is/image/MCY/13336572 </v>
      </c>
    </row>
    <row r="392" spans="1:13" ht="60" x14ac:dyDescent="0.25">
      <c r="A392" s="7" t="s">
        <v>2268</v>
      </c>
      <c r="B392" s="2" t="s">
        <v>2254</v>
      </c>
      <c r="C392" s="4">
        <v>1</v>
      </c>
      <c r="D392" s="5">
        <v>2.62</v>
      </c>
      <c r="E392" s="5">
        <v>5.99</v>
      </c>
      <c r="F392" s="4" t="s">
        <v>2255</v>
      </c>
      <c r="G392" s="2" t="s">
        <v>657</v>
      </c>
      <c r="H392" s="7" t="s">
        <v>91</v>
      </c>
      <c r="I392" s="2" t="s">
        <v>483</v>
      </c>
      <c r="J392" s="2" t="s">
        <v>536</v>
      </c>
      <c r="K392" s="2" t="s">
        <v>304</v>
      </c>
      <c r="L392" s="2" t="s">
        <v>119</v>
      </c>
      <c r="M392" s="8" t="str">
        <f>HYPERLINK("http://slimages.macys.com/is/image/MCY/12644604 ")</f>
        <v xml:space="preserve">http://slimages.macys.com/is/image/MCY/12644604 </v>
      </c>
    </row>
    <row r="393" spans="1:13" ht="60" x14ac:dyDescent="0.25">
      <c r="A393" s="7" t="s">
        <v>4504</v>
      </c>
      <c r="B393" s="2" t="s">
        <v>607</v>
      </c>
      <c r="C393" s="4">
        <v>6</v>
      </c>
      <c r="D393" s="5">
        <v>2.62</v>
      </c>
      <c r="E393" s="5">
        <v>6.99</v>
      </c>
      <c r="F393" s="4" t="s">
        <v>608</v>
      </c>
      <c r="G393" s="2" t="s">
        <v>41</v>
      </c>
      <c r="H393" s="7" t="s">
        <v>149</v>
      </c>
      <c r="I393" s="2" t="s">
        <v>483</v>
      </c>
      <c r="J393" s="2" t="s">
        <v>536</v>
      </c>
      <c r="K393" s="2" t="s">
        <v>304</v>
      </c>
      <c r="L393" s="2" t="s">
        <v>100</v>
      </c>
      <c r="M393" s="8" t="str">
        <f>HYPERLINK("http://slimages.macys.com/is/image/MCY/13336572 ")</f>
        <v xml:space="preserve">http://slimages.macys.com/is/image/MCY/13336572 </v>
      </c>
    </row>
    <row r="394" spans="1:13" ht="60" x14ac:dyDescent="0.25">
      <c r="A394" s="7" t="s">
        <v>4505</v>
      </c>
      <c r="B394" s="2" t="s">
        <v>607</v>
      </c>
      <c r="C394" s="4">
        <v>8</v>
      </c>
      <c r="D394" s="5">
        <v>2.62</v>
      </c>
      <c r="E394" s="5">
        <v>6.99</v>
      </c>
      <c r="F394" s="4" t="s">
        <v>608</v>
      </c>
      <c r="G394" s="2" t="s">
        <v>41</v>
      </c>
      <c r="H394" s="7" t="s">
        <v>442</v>
      </c>
      <c r="I394" s="2" t="s">
        <v>483</v>
      </c>
      <c r="J394" s="2" t="s">
        <v>536</v>
      </c>
      <c r="K394" s="2" t="s">
        <v>304</v>
      </c>
      <c r="L394" s="2" t="s">
        <v>100</v>
      </c>
      <c r="M394" s="8" t="str">
        <f>HYPERLINK("http://slimages.macys.com/is/image/MCY/13336572 ")</f>
        <v xml:space="preserve">http://slimages.macys.com/is/image/MCY/13336572 </v>
      </c>
    </row>
    <row r="395" spans="1:13" ht="60" x14ac:dyDescent="0.25">
      <c r="A395" s="7" t="s">
        <v>4503</v>
      </c>
      <c r="B395" s="2" t="s">
        <v>607</v>
      </c>
      <c r="C395" s="4">
        <v>10</v>
      </c>
      <c r="D395" s="5">
        <v>2.62</v>
      </c>
      <c r="E395" s="5">
        <v>6.99</v>
      </c>
      <c r="F395" s="4" t="s">
        <v>608</v>
      </c>
      <c r="G395" s="2" t="s">
        <v>41</v>
      </c>
      <c r="H395" s="7" t="s">
        <v>590</v>
      </c>
      <c r="I395" s="2" t="s">
        <v>483</v>
      </c>
      <c r="J395" s="2" t="s">
        <v>536</v>
      </c>
      <c r="K395" s="2" t="s">
        <v>304</v>
      </c>
      <c r="L395" s="2" t="s">
        <v>100</v>
      </c>
      <c r="M395" s="8" t="str">
        <f>HYPERLINK("http://slimages.macys.com/is/image/MCY/13336572 ")</f>
        <v xml:space="preserve">http://slimages.macys.com/is/image/MCY/13336572 </v>
      </c>
    </row>
    <row r="396" spans="1:13" ht="60" x14ac:dyDescent="0.25">
      <c r="A396" s="7" t="s">
        <v>1238</v>
      </c>
      <c r="B396" s="2" t="s">
        <v>607</v>
      </c>
      <c r="C396" s="4">
        <v>15</v>
      </c>
      <c r="D396" s="5">
        <v>2.62</v>
      </c>
      <c r="E396" s="5">
        <v>6.99</v>
      </c>
      <c r="F396" s="4" t="s">
        <v>608</v>
      </c>
      <c r="G396" s="2" t="s">
        <v>41</v>
      </c>
      <c r="H396" s="7" t="s">
        <v>91</v>
      </c>
      <c r="I396" s="2" t="s">
        <v>483</v>
      </c>
      <c r="J396" s="2" t="s">
        <v>536</v>
      </c>
      <c r="K396" s="2" t="s">
        <v>304</v>
      </c>
      <c r="L396" s="2" t="s">
        <v>100</v>
      </c>
      <c r="M396" s="8" t="str">
        <f>HYPERLINK("http://slimages.macys.com/is/image/MCY/13336572 ")</f>
        <v xml:space="preserve">http://slimages.macys.com/is/image/MCY/13336572 </v>
      </c>
    </row>
    <row r="397" spans="1:13" ht="60" x14ac:dyDescent="0.25">
      <c r="A397" s="7" t="s">
        <v>1252</v>
      </c>
      <c r="B397" s="2" t="s">
        <v>1253</v>
      </c>
      <c r="C397" s="4">
        <v>1</v>
      </c>
      <c r="D397" s="5">
        <v>2.61</v>
      </c>
      <c r="E397" s="5">
        <v>6.99</v>
      </c>
      <c r="F397" s="4" t="s">
        <v>1254</v>
      </c>
      <c r="G397" s="2" t="s">
        <v>171</v>
      </c>
      <c r="H397" s="7" t="s">
        <v>149</v>
      </c>
      <c r="I397" s="2" t="s">
        <v>483</v>
      </c>
      <c r="J397" s="2" t="s">
        <v>536</v>
      </c>
      <c r="K397" s="2" t="s">
        <v>304</v>
      </c>
      <c r="L397" s="2" t="s">
        <v>38</v>
      </c>
      <c r="M397" s="8" t="str">
        <f>HYPERLINK("http://slimages.macys.com/is/image/MCY/13987491 ")</f>
        <v xml:space="preserve">http://slimages.macys.com/is/image/MCY/13987491 </v>
      </c>
    </row>
    <row r="398" spans="1:13" ht="60" x14ac:dyDescent="0.25">
      <c r="A398" s="7" t="s">
        <v>13441</v>
      </c>
      <c r="B398" s="2" t="s">
        <v>610</v>
      </c>
      <c r="C398" s="4">
        <v>1</v>
      </c>
      <c r="D398" s="5">
        <v>2.58</v>
      </c>
      <c r="E398" s="5">
        <v>6.99</v>
      </c>
      <c r="F398" s="4" t="s">
        <v>611</v>
      </c>
      <c r="G398" s="2" t="s">
        <v>297</v>
      </c>
      <c r="H398" s="7" t="s">
        <v>42</v>
      </c>
      <c r="I398" s="2" t="s">
        <v>483</v>
      </c>
      <c r="J398" s="2" t="s">
        <v>536</v>
      </c>
      <c r="K398" s="2" t="s">
        <v>304</v>
      </c>
      <c r="L398" s="2" t="s">
        <v>358</v>
      </c>
      <c r="M398" s="8" t="str">
        <f>HYPERLINK("http://slimages.macys.com/is/image/MCY/14384900 ")</f>
        <v xml:space="preserve">http://slimages.macys.com/is/image/MCY/14384900 </v>
      </c>
    </row>
    <row r="399" spans="1:13" ht="60" x14ac:dyDescent="0.25">
      <c r="A399" s="7" t="s">
        <v>13442</v>
      </c>
      <c r="B399" s="2" t="s">
        <v>610</v>
      </c>
      <c r="C399" s="4">
        <v>5</v>
      </c>
      <c r="D399" s="5">
        <v>2.58</v>
      </c>
      <c r="E399" s="5">
        <v>6.99</v>
      </c>
      <c r="F399" s="4" t="s">
        <v>611</v>
      </c>
      <c r="G399" s="2" t="s">
        <v>297</v>
      </c>
      <c r="H399" s="7" t="s">
        <v>91</v>
      </c>
      <c r="I399" s="2" t="s">
        <v>483</v>
      </c>
      <c r="J399" s="2" t="s">
        <v>536</v>
      </c>
      <c r="K399" s="2" t="s">
        <v>304</v>
      </c>
      <c r="L399" s="2" t="s">
        <v>358</v>
      </c>
      <c r="M399" s="8" t="str">
        <f>HYPERLINK("http://slimages.macys.com/is/image/MCY/14384900 ")</f>
        <v xml:space="preserve">http://slimages.macys.com/is/image/MCY/14384900 </v>
      </c>
    </row>
    <row r="400" spans="1:13" ht="60" x14ac:dyDescent="0.25">
      <c r="A400" s="7" t="s">
        <v>13443</v>
      </c>
      <c r="B400" s="2" t="s">
        <v>610</v>
      </c>
      <c r="C400" s="4">
        <v>2</v>
      </c>
      <c r="D400" s="5">
        <v>2.58</v>
      </c>
      <c r="E400" s="5">
        <v>6.99</v>
      </c>
      <c r="F400" s="4" t="s">
        <v>611</v>
      </c>
      <c r="G400" s="2" t="s">
        <v>297</v>
      </c>
      <c r="H400" s="7" t="s">
        <v>442</v>
      </c>
      <c r="I400" s="2" t="s">
        <v>483</v>
      </c>
      <c r="J400" s="2" t="s">
        <v>536</v>
      </c>
      <c r="K400" s="2" t="s">
        <v>304</v>
      </c>
      <c r="L400" s="2" t="s">
        <v>358</v>
      </c>
      <c r="M400" s="8" t="str">
        <f>HYPERLINK("http://slimages.macys.com/is/image/MCY/14384900 ")</f>
        <v xml:space="preserve">http://slimages.macys.com/is/image/MCY/14384900 </v>
      </c>
    </row>
    <row r="401" spans="1:13" ht="60" x14ac:dyDescent="0.25">
      <c r="A401" s="7" t="s">
        <v>7188</v>
      </c>
      <c r="B401" s="2" t="s">
        <v>1260</v>
      </c>
      <c r="C401" s="4">
        <v>1</v>
      </c>
      <c r="D401" s="5">
        <v>2.56</v>
      </c>
      <c r="E401" s="5">
        <v>6.99</v>
      </c>
      <c r="F401" s="4" t="s">
        <v>1261</v>
      </c>
      <c r="G401" s="2" t="s">
        <v>2107</v>
      </c>
      <c r="H401" s="7" t="s">
        <v>42</v>
      </c>
      <c r="I401" s="2" t="s">
        <v>483</v>
      </c>
      <c r="J401" s="2" t="s">
        <v>536</v>
      </c>
      <c r="K401" s="2" t="s">
        <v>304</v>
      </c>
      <c r="L401" s="2" t="s">
        <v>100</v>
      </c>
      <c r="M401" s="8" t="str">
        <f t="shared" ref="M401:M406" si="1">HYPERLINK("http://slimages.macys.com/is/image/MCY/11779082 ")</f>
        <v xml:space="preserve">http://slimages.macys.com/is/image/MCY/11779082 </v>
      </c>
    </row>
    <row r="402" spans="1:13" ht="60" x14ac:dyDescent="0.25">
      <c r="A402" s="7" t="s">
        <v>13444</v>
      </c>
      <c r="B402" s="2" t="s">
        <v>1260</v>
      </c>
      <c r="C402" s="4">
        <v>2</v>
      </c>
      <c r="D402" s="5">
        <v>2.56</v>
      </c>
      <c r="E402" s="5">
        <v>6.99</v>
      </c>
      <c r="F402" s="4" t="s">
        <v>1261</v>
      </c>
      <c r="G402" s="2" t="s">
        <v>1360</v>
      </c>
      <c r="H402" s="7" t="s">
        <v>149</v>
      </c>
      <c r="I402" s="2" t="s">
        <v>483</v>
      </c>
      <c r="J402" s="2" t="s">
        <v>536</v>
      </c>
      <c r="K402" s="2" t="s">
        <v>304</v>
      </c>
      <c r="L402" s="2" t="s">
        <v>100</v>
      </c>
      <c r="M402" s="8" t="str">
        <f t="shared" si="1"/>
        <v xml:space="preserve">http://slimages.macys.com/is/image/MCY/11779082 </v>
      </c>
    </row>
    <row r="403" spans="1:13" ht="60" x14ac:dyDescent="0.25">
      <c r="A403" s="7" t="s">
        <v>3517</v>
      </c>
      <c r="B403" s="2" t="s">
        <v>1260</v>
      </c>
      <c r="C403" s="4">
        <v>2</v>
      </c>
      <c r="D403" s="5">
        <v>2.56</v>
      </c>
      <c r="E403" s="5">
        <v>6.99</v>
      </c>
      <c r="F403" s="4" t="s">
        <v>1261</v>
      </c>
      <c r="G403" s="2" t="s">
        <v>437</v>
      </c>
      <c r="H403" s="7" t="s">
        <v>149</v>
      </c>
      <c r="I403" s="2" t="s">
        <v>483</v>
      </c>
      <c r="J403" s="2" t="s">
        <v>536</v>
      </c>
      <c r="K403" s="2" t="s">
        <v>304</v>
      </c>
      <c r="L403" s="2" t="s">
        <v>100</v>
      </c>
      <c r="M403" s="8" t="str">
        <f t="shared" si="1"/>
        <v xml:space="preserve">http://slimages.macys.com/is/image/MCY/11779082 </v>
      </c>
    </row>
    <row r="404" spans="1:13" ht="60" x14ac:dyDescent="0.25">
      <c r="A404" s="7" t="s">
        <v>6061</v>
      </c>
      <c r="B404" s="2" t="s">
        <v>1260</v>
      </c>
      <c r="C404" s="4">
        <v>5</v>
      </c>
      <c r="D404" s="5">
        <v>2.56</v>
      </c>
      <c r="E404" s="5">
        <v>6.99</v>
      </c>
      <c r="F404" s="4" t="s">
        <v>1261</v>
      </c>
      <c r="G404" s="2" t="s">
        <v>2107</v>
      </c>
      <c r="H404" s="7" t="s">
        <v>91</v>
      </c>
      <c r="I404" s="2" t="s">
        <v>483</v>
      </c>
      <c r="J404" s="2" t="s">
        <v>536</v>
      </c>
      <c r="K404" s="2" t="s">
        <v>304</v>
      </c>
      <c r="L404" s="2" t="s">
        <v>100</v>
      </c>
      <c r="M404" s="8" t="str">
        <f t="shared" si="1"/>
        <v xml:space="preserve">http://slimages.macys.com/is/image/MCY/11779082 </v>
      </c>
    </row>
    <row r="405" spans="1:13" ht="60" x14ac:dyDescent="0.25">
      <c r="A405" s="7" t="s">
        <v>13445</v>
      </c>
      <c r="B405" s="2" t="s">
        <v>1260</v>
      </c>
      <c r="C405" s="4">
        <v>1</v>
      </c>
      <c r="D405" s="5">
        <v>2.56</v>
      </c>
      <c r="E405" s="5">
        <v>6.99</v>
      </c>
      <c r="F405" s="4" t="s">
        <v>1261</v>
      </c>
      <c r="G405" s="2" t="s">
        <v>1360</v>
      </c>
      <c r="H405" s="7" t="s">
        <v>442</v>
      </c>
      <c r="I405" s="2" t="s">
        <v>483</v>
      </c>
      <c r="J405" s="2" t="s">
        <v>536</v>
      </c>
      <c r="K405" s="2" t="s">
        <v>304</v>
      </c>
      <c r="L405" s="2" t="s">
        <v>100</v>
      </c>
      <c r="M405" s="8" t="str">
        <f t="shared" si="1"/>
        <v xml:space="preserve">http://slimages.macys.com/is/image/MCY/11779082 </v>
      </c>
    </row>
    <row r="406" spans="1:13" ht="60" x14ac:dyDescent="0.25">
      <c r="A406" s="7" t="s">
        <v>13446</v>
      </c>
      <c r="B406" s="2" t="s">
        <v>1260</v>
      </c>
      <c r="C406" s="4">
        <v>1</v>
      </c>
      <c r="D406" s="5">
        <v>2.56</v>
      </c>
      <c r="E406" s="5">
        <v>6.99</v>
      </c>
      <c r="F406" s="4" t="s">
        <v>1261</v>
      </c>
      <c r="G406" s="2" t="s">
        <v>437</v>
      </c>
      <c r="H406" s="7" t="s">
        <v>590</v>
      </c>
      <c r="I406" s="2" t="s">
        <v>483</v>
      </c>
      <c r="J406" s="2" t="s">
        <v>536</v>
      </c>
      <c r="K406" s="2" t="s">
        <v>304</v>
      </c>
      <c r="L406" s="2" t="s">
        <v>100</v>
      </c>
      <c r="M406" s="8" t="str">
        <f t="shared" si="1"/>
        <v xml:space="preserve">http://slimages.macys.com/is/image/MCY/11779082 </v>
      </c>
    </row>
    <row r="407" spans="1:13" ht="60" x14ac:dyDescent="0.25">
      <c r="A407" s="7" t="s">
        <v>6534</v>
      </c>
      <c r="B407" s="2" t="s">
        <v>5694</v>
      </c>
      <c r="C407" s="4">
        <v>1</v>
      </c>
      <c r="D407" s="5">
        <v>2.5499999999999998</v>
      </c>
      <c r="E407" s="5">
        <v>6.99</v>
      </c>
      <c r="F407" s="4" t="s">
        <v>5695</v>
      </c>
      <c r="G407" s="2" t="s">
        <v>2107</v>
      </c>
      <c r="H407" s="7" t="s">
        <v>149</v>
      </c>
      <c r="I407" s="2" t="s">
        <v>483</v>
      </c>
      <c r="J407" s="2" t="s">
        <v>536</v>
      </c>
      <c r="K407" s="2" t="s">
        <v>304</v>
      </c>
      <c r="L407" s="2" t="s">
        <v>206</v>
      </c>
      <c r="M407" s="8" t="str">
        <f>HYPERLINK("http://slimages.macys.com/is/image/MCY/11436886 ")</f>
        <v xml:space="preserve">http://slimages.macys.com/is/image/MCY/11436886 </v>
      </c>
    </row>
    <row r="408" spans="1:13" ht="60" x14ac:dyDescent="0.25">
      <c r="A408" s="7" t="s">
        <v>4534</v>
      </c>
      <c r="B408" s="2" t="s">
        <v>2286</v>
      </c>
      <c r="C408" s="4">
        <v>1</v>
      </c>
      <c r="D408" s="5">
        <v>2.5499999999999998</v>
      </c>
      <c r="E408" s="5">
        <v>6.99</v>
      </c>
      <c r="F408" s="4" t="s">
        <v>2287</v>
      </c>
      <c r="G408" s="2" t="s">
        <v>297</v>
      </c>
      <c r="H408" s="7"/>
      <c r="I408" s="2" t="s">
        <v>483</v>
      </c>
      <c r="J408" s="2" t="s">
        <v>536</v>
      </c>
      <c r="K408" s="2" t="s">
        <v>304</v>
      </c>
      <c r="L408" s="2" t="s">
        <v>38</v>
      </c>
      <c r="M408" s="8" t="str">
        <f>HYPERLINK("http://slimages.macys.com/is/image/MCY/12465797 ")</f>
        <v xml:space="preserve">http://slimages.macys.com/is/image/MCY/12465797 </v>
      </c>
    </row>
    <row r="409" spans="1:13" ht="60" x14ac:dyDescent="0.25">
      <c r="A409" s="7" t="s">
        <v>6535</v>
      </c>
      <c r="B409" s="2" t="s">
        <v>5694</v>
      </c>
      <c r="C409" s="4">
        <v>1</v>
      </c>
      <c r="D409" s="5">
        <v>2.5499999999999998</v>
      </c>
      <c r="E409" s="5">
        <v>6.99</v>
      </c>
      <c r="F409" s="4" t="s">
        <v>5695</v>
      </c>
      <c r="G409" s="2" t="s">
        <v>2107</v>
      </c>
      <c r="H409" s="7" t="s">
        <v>590</v>
      </c>
      <c r="I409" s="2" t="s">
        <v>483</v>
      </c>
      <c r="J409" s="2" t="s">
        <v>536</v>
      </c>
      <c r="K409" s="2" t="s">
        <v>304</v>
      </c>
      <c r="L409" s="2" t="s">
        <v>206</v>
      </c>
      <c r="M409" s="8" t="str">
        <f>HYPERLINK("http://slimages.macys.com/is/image/MCY/11436886 ")</f>
        <v xml:space="preserve">http://slimages.macys.com/is/image/MCY/11436886 </v>
      </c>
    </row>
    <row r="410" spans="1:13" ht="60" x14ac:dyDescent="0.25">
      <c r="A410" s="7" t="s">
        <v>13447</v>
      </c>
      <c r="B410" s="2" t="s">
        <v>5710</v>
      </c>
      <c r="C410" s="4">
        <v>1</v>
      </c>
      <c r="D410" s="5">
        <v>2.54</v>
      </c>
      <c r="E410" s="5">
        <v>6.99</v>
      </c>
      <c r="F410" s="4">
        <v>10005487500</v>
      </c>
      <c r="G410" s="2" t="s">
        <v>1360</v>
      </c>
      <c r="H410" s="7" t="s">
        <v>442</v>
      </c>
      <c r="I410" s="2" t="s">
        <v>483</v>
      </c>
      <c r="J410" s="2" t="s">
        <v>536</v>
      </c>
      <c r="K410" s="2" t="s">
        <v>304</v>
      </c>
      <c r="L410" s="2" t="s">
        <v>38</v>
      </c>
      <c r="M410" s="8" t="str">
        <f>HYPERLINK("http://slimages.macys.com/is/image/MCY/12466277 ")</f>
        <v xml:space="preserve">http://slimages.macys.com/is/image/MCY/12466277 </v>
      </c>
    </row>
    <row r="411" spans="1:13" ht="60" x14ac:dyDescent="0.25">
      <c r="A411" s="7" t="s">
        <v>7190</v>
      </c>
      <c r="B411" s="2" t="s">
        <v>5710</v>
      </c>
      <c r="C411" s="4">
        <v>1</v>
      </c>
      <c r="D411" s="5">
        <v>2.54</v>
      </c>
      <c r="E411" s="5">
        <v>6.99</v>
      </c>
      <c r="F411" s="4">
        <v>10005487500</v>
      </c>
      <c r="G411" s="2" t="s">
        <v>1360</v>
      </c>
      <c r="H411" s="7" t="s">
        <v>482</v>
      </c>
      <c r="I411" s="2" t="s">
        <v>483</v>
      </c>
      <c r="J411" s="2" t="s">
        <v>536</v>
      </c>
      <c r="K411" s="2" t="s">
        <v>304</v>
      </c>
      <c r="L411" s="2" t="s">
        <v>38</v>
      </c>
      <c r="M411" s="8" t="str">
        <f>HYPERLINK("http://slimages.macys.com/is/image/MCY/12466277 ")</f>
        <v xml:space="preserve">http://slimages.macys.com/is/image/MCY/12466277 </v>
      </c>
    </row>
    <row r="412" spans="1:13" ht="60" x14ac:dyDescent="0.25">
      <c r="A412" s="7" t="s">
        <v>2721</v>
      </c>
      <c r="B412" s="2" t="s">
        <v>2722</v>
      </c>
      <c r="C412" s="4">
        <v>1</v>
      </c>
      <c r="D412" s="5">
        <v>2.54</v>
      </c>
      <c r="E412" s="5">
        <v>6.99</v>
      </c>
      <c r="F412" s="4">
        <v>10006317100</v>
      </c>
      <c r="G412" s="2" t="s">
        <v>1302</v>
      </c>
      <c r="H412" s="7" t="s">
        <v>149</v>
      </c>
      <c r="I412" s="2" t="s">
        <v>483</v>
      </c>
      <c r="J412" s="2" t="s">
        <v>536</v>
      </c>
      <c r="K412" s="2" t="s">
        <v>304</v>
      </c>
      <c r="L412" s="2" t="s">
        <v>38</v>
      </c>
      <c r="M412" s="8" t="str">
        <f>HYPERLINK("http://slimages.macys.com/is/image/MCY/13987493 ")</f>
        <v xml:space="preserve">http://slimages.macys.com/is/image/MCY/13987493 </v>
      </c>
    </row>
    <row r="413" spans="1:13" ht="60" x14ac:dyDescent="0.25">
      <c r="A413" s="7" t="s">
        <v>12224</v>
      </c>
      <c r="B413" s="2" t="s">
        <v>12221</v>
      </c>
      <c r="C413" s="4">
        <v>1</v>
      </c>
      <c r="D413" s="5">
        <v>2.54</v>
      </c>
      <c r="E413" s="5">
        <v>5.99</v>
      </c>
      <c r="F413" s="4" t="s">
        <v>12222</v>
      </c>
      <c r="G413" s="2" t="s">
        <v>86</v>
      </c>
      <c r="H413" s="7" t="s">
        <v>91</v>
      </c>
      <c r="I413" s="2" t="s">
        <v>483</v>
      </c>
      <c r="J413" s="2" t="s">
        <v>536</v>
      </c>
      <c r="K413" s="2" t="s">
        <v>304</v>
      </c>
      <c r="L413" s="2" t="s">
        <v>119</v>
      </c>
      <c r="M413" s="8" t="str">
        <f>HYPERLINK("http://slimages.macys.com/is/image/MCY/12776923 ")</f>
        <v xml:space="preserve">http://slimages.macys.com/is/image/MCY/12776923 </v>
      </c>
    </row>
    <row r="414" spans="1:13" ht="60" x14ac:dyDescent="0.25">
      <c r="A414" s="7" t="s">
        <v>6067</v>
      </c>
      <c r="B414" s="2" t="s">
        <v>5710</v>
      </c>
      <c r="C414" s="4">
        <v>1</v>
      </c>
      <c r="D414" s="5">
        <v>2.54</v>
      </c>
      <c r="E414" s="5">
        <v>6.99</v>
      </c>
      <c r="F414" s="4">
        <v>10005487500</v>
      </c>
      <c r="G414" s="2" t="s">
        <v>1360</v>
      </c>
      <c r="H414" s="7" t="s">
        <v>149</v>
      </c>
      <c r="I414" s="2" t="s">
        <v>483</v>
      </c>
      <c r="J414" s="2" t="s">
        <v>536</v>
      </c>
      <c r="K414" s="2" t="s">
        <v>304</v>
      </c>
      <c r="L414" s="2" t="s">
        <v>38</v>
      </c>
      <c r="M414" s="8" t="str">
        <f>HYPERLINK("http://slimages.macys.com/is/image/MCY/12466277 ")</f>
        <v xml:space="preserve">http://slimages.macys.com/is/image/MCY/12466277 </v>
      </c>
    </row>
    <row r="415" spans="1:13" ht="60" x14ac:dyDescent="0.25">
      <c r="A415" s="7" t="s">
        <v>10312</v>
      </c>
      <c r="B415" s="2" t="s">
        <v>4545</v>
      </c>
      <c r="C415" s="4">
        <v>1</v>
      </c>
      <c r="D415" s="5">
        <v>2.5299999999999998</v>
      </c>
      <c r="E415" s="5">
        <v>5.99</v>
      </c>
      <c r="F415" s="4" t="s">
        <v>4546</v>
      </c>
      <c r="G415" s="2" t="s">
        <v>657</v>
      </c>
      <c r="H415" s="7" t="s">
        <v>442</v>
      </c>
      <c r="I415" s="2" t="s">
        <v>483</v>
      </c>
      <c r="J415" s="2" t="s">
        <v>536</v>
      </c>
      <c r="K415" s="2" t="s">
        <v>304</v>
      </c>
      <c r="L415" s="2" t="s">
        <v>119</v>
      </c>
      <c r="M415" s="8" t="str">
        <f>HYPERLINK("http://slimages.macys.com/is/image/MCY/11856951 ")</f>
        <v xml:space="preserve">http://slimages.macys.com/is/image/MCY/11856951 </v>
      </c>
    </row>
    <row r="416" spans="1:13" ht="60" x14ac:dyDescent="0.25">
      <c r="A416" s="7" t="s">
        <v>6070</v>
      </c>
      <c r="B416" s="2" t="s">
        <v>1260</v>
      </c>
      <c r="C416" s="4">
        <v>1</v>
      </c>
      <c r="D416" s="5">
        <v>2.5299999999999998</v>
      </c>
      <c r="E416" s="5">
        <v>6.99</v>
      </c>
      <c r="F416" s="4" t="s">
        <v>1261</v>
      </c>
      <c r="G416" s="2" t="s">
        <v>2107</v>
      </c>
      <c r="H416" s="7" t="s">
        <v>149</v>
      </c>
      <c r="I416" s="2" t="s">
        <v>483</v>
      </c>
      <c r="J416" s="2" t="s">
        <v>536</v>
      </c>
      <c r="K416" s="2" t="s">
        <v>304</v>
      </c>
      <c r="L416" s="2" t="s">
        <v>100</v>
      </c>
      <c r="M416" s="8" t="str">
        <f>HYPERLINK("http://slimages.macys.com/is/image/MCY/11779082 ")</f>
        <v xml:space="preserve">http://slimages.macys.com/is/image/MCY/11779082 </v>
      </c>
    </row>
    <row r="417" spans="1:13" ht="60" x14ac:dyDescent="0.25">
      <c r="A417" s="7" t="s">
        <v>6069</v>
      </c>
      <c r="B417" s="2" t="s">
        <v>1260</v>
      </c>
      <c r="C417" s="4">
        <v>1</v>
      </c>
      <c r="D417" s="5">
        <v>2.5299999999999998</v>
      </c>
      <c r="E417" s="5">
        <v>6.99</v>
      </c>
      <c r="F417" s="4" t="s">
        <v>1261</v>
      </c>
      <c r="G417" s="2" t="s">
        <v>2107</v>
      </c>
      <c r="H417" s="7" t="s">
        <v>590</v>
      </c>
      <c r="I417" s="2" t="s">
        <v>483</v>
      </c>
      <c r="J417" s="2" t="s">
        <v>536</v>
      </c>
      <c r="K417" s="2" t="s">
        <v>304</v>
      </c>
      <c r="L417" s="2" t="s">
        <v>100</v>
      </c>
      <c r="M417" s="8" t="str">
        <f>HYPERLINK("http://slimages.macys.com/is/image/MCY/11779082 ")</f>
        <v xml:space="preserve">http://slimages.macys.com/is/image/MCY/11779082 </v>
      </c>
    </row>
    <row r="418" spans="1:13" ht="60" x14ac:dyDescent="0.25">
      <c r="A418" s="7" t="s">
        <v>13448</v>
      </c>
      <c r="B418" s="2" t="s">
        <v>1260</v>
      </c>
      <c r="C418" s="4">
        <v>2</v>
      </c>
      <c r="D418" s="5">
        <v>2.5299999999999998</v>
      </c>
      <c r="E418" s="5">
        <v>6.99</v>
      </c>
      <c r="F418" s="4" t="s">
        <v>1261</v>
      </c>
      <c r="G418" s="2" t="s">
        <v>2107</v>
      </c>
      <c r="H418" s="7" t="s">
        <v>442</v>
      </c>
      <c r="I418" s="2" t="s">
        <v>483</v>
      </c>
      <c r="J418" s="2" t="s">
        <v>536</v>
      </c>
      <c r="K418" s="2" t="s">
        <v>304</v>
      </c>
      <c r="L418" s="2" t="s">
        <v>100</v>
      </c>
      <c r="M418" s="8" t="str">
        <f>HYPERLINK("http://slimages.macys.com/is/image/MCY/11779082 ")</f>
        <v xml:space="preserve">http://slimages.macys.com/is/image/MCY/11779082 </v>
      </c>
    </row>
    <row r="419" spans="1:13" ht="60" x14ac:dyDescent="0.25">
      <c r="A419" s="7" t="s">
        <v>6068</v>
      </c>
      <c r="B419" s="2" t="s">
        <v>1260</v>
      </c>
      <c r="C419" s="4">
        <v>3</v>
      </c>
      <c r="D419" s="5">
        <v>2.5299999999999998</v>
      </c>
      <c r="E419" s="5">
        <v>6.99</v>
      </c>
      <c r="F419" s="4" t="s">
        <v>1261</v>
      </c>
      <c r="G419" s="2" t="s">
        <v>1265</v>
      </c>
      <c r="H419" s="7" t="s">
        <v>149</v>
      </c>
      <c r="I419" s="2" t="s">
        <v>483</v>
      </c>
      <c r="J419" s="2" t="s">
        <v>536</v>
      </c>
      <c r="K419" s="2" t="s">
        <v>304</v>
      </c>
      <c r="L419" s="2" t="s">
        <v>100</v>
      </c>
      <c r="M419" s="8" t="str">
        <f>HYPERLINK("http://slimages.macys.com/is/image/MCY/11779082 ")</f>
        <v xml:space="preserve">http://slimages.macys.com/is/image/MCY/11779082 </v>
      </c>
    </row>
    <row r="420" spans="1:13" ht="60" x14ac:dyDescent="0.25">
      <c r="A420" s="7" t="s">
        <v>13449</v>
      </c>
      <c r="B420" s="2" t="s">
        <v>4548</v>
      </c>
      <c r="C420" s="4">
        <v>1</v>
      </c>
      <c r="D420" s="5">
        <v>2.5299999999999998</v>
      </c>
      <c r="E420" s="5">
        <v>5.99</v>
      </c>
      <c r="F420" s="4" t="s">
        <v>4549</v>
      </c>
      <c r="G420" s="2" t="s">
        <v>28</v>
      </c>
      <c r="H420" s="7" t="s">
        <v>442</v>
      </c>
      <c r="I420" s="2" t="s">
        <v>483</v>
      </c>
      <c r="J420" s="2" t="s">
        <v>536</v>
      </c>
      <c r="K420" s="2" t="s">
        <v>304</v>
      </c>
      <c r="L420" s="2" t="s">
        <v>38</v>
      </c>
      <c r="M420" s="8" t="str">
        <f>HYPERLINK("http://slimages.macys.com/is/image/MCY/14384849 ")</f>
        <v xml:space="preserve">http://slimages.macys.com/is/image/MCY/14384849 </v>
      </c>
    </row>
    <row r="421" spans="1:13" ht="60" x14ac:dyDescent="0.25">
      <c r="A421" s="7" t="s">
        <v>6076</v>
      </c>
      <c r="B421" s="2" t="s">
        <v>2295</v>
      </c>
      <c r="C421" s="4">
        <v>1</v>
      </c>
      <c r="D421" s="5">
        <v>2.5099999999999998</v>
      </c>
      <c r="E421" s="5">
        <v>5.99</v>
      </c>
      <c r="F421" s="4" t="s">
        <v>2296</v>
      </c>
      <c r="G421" s="2" t="s">
        <v>28</v>
      </c>
      <c r="H421" s="7" t="s">
        <v>149</v>
      </c>
      <c r="I421" s="2" t="s">
        <v>483</v>
      </c>
      <c r="J421" s="2" t="s">
        <v>536</v>
      </c>
      <c r="K421" s="2" t="s">
        <v>304</v>
      </c>
      <c r="L421" s="2" t="s">
        <v>119</v>
      </c>
      <c r="M421" s="8" t="str">
        <f>HYPERLINK("http://slimages.macys.com/is/image/MCY/11436914 ")</f>
        <v xml:space="preserve">http://slimages.macys.com/is/image/MCY/11436914 </v>
      </c>
    </row>
    <row r="422" spans="1:13" ht="60" x14ac:dyDescent="0.25">
      <c r="A422" s="7" t="s">
        <v>9762</v>
      </c>
      <c r="B422" s="2" t="s">
        <v>6561</v>
      </c>
      <c r="C422" s="4">
        <v>2</v>
      </c>
      <c r="D422" s="5">
        <v>2.5</v>
      </c>
      <c r="E422" s="5">
        <v>5.99</v>
      </c>
      <c r="F422" s="4" t="s">
        <v>6562</v>
      </c>
      <c r="G422" s="2" t="s">
        <v>41</v>
      </c>
      <c r="H422" s="7" t="s">
        <v>590</v>
      </c>
      <c r="I422" s="2" t="s">
        <v>483</v>
      </c>
      <c r="J422" s="2" t="s">
        <v>536</v>
      </c>
      <c r="K422" s="2" t="s">
        <v>304</v>
      </c>
      <c r="L422" s="2" t="s">
        <v>100</v>
      </c>
      <c r="M422" s="8" t="str">
        <f>HYPERLINK("http://slimages.macys.com/is/image/MCY/11857323 ")</f>
        <v xml:space="preserve">http://slimages.macys.com/is/image/MCY/11857323 </v>
      </c>
    </row>
    <row r="423" spans="1:13" ht="60" x14ac:dyDescent="0.25">
      <c r="A423" s="7" t="s">
        <v>13450</v>
      </c>
      <c r="B423" s="2" t="s">
        <v>6561</v>
      </c>
      <c r="C423" s="4">
        <v>1</v>
      </c>
      <c r="D423" s="5">
        <v>2.5</v>
      </c>
      <c r="E423" s="5">
        <v>5.99</v>
      </c>
      <c r="F423" s="4" t="s">
        <v>6562</v>
      </c>
      <c r="G423" s="2" t="s">
        <v>41</v>
      </c>
      <c r="H423" s="7" t="s">
        <v>149</v>
      </c>
      <c r="I423" s="2" t="s">
        <v>483</v>
      </c>
      <c r="J423" s="2" t="s">
        <v>536</v>
      </c>
      <c r="K423" s="2" t="s">
        <v>304</v>
      </c>
      <c r="L423" s="2" t="s">
        <v>100</v>
      </c>
      <c r="M423" s="8" t="str">
        <f>HYPERLINK("http://slimages.macys.com/is/image/MCY/11857323 ")</f>
        <v xml:space="preserve">http://slimages.macys.com/is/image/MCY/11857323 </v>
      </c>
    </row>
    <row r="424" spans="1:13" ht="60" x14ac:dyDescent="0.25">
      <c r="A424" s="7" t="s">
        <v>9226</v>
      </c>
      <c r="B424" s="2" t="s">
        <v>6567</v>
      </c>
      <c r="C424" s="4">
        <v>2</v>
      </c>
      <c r="D424" s="5">
        <v>2.4900000000000002</v>
      </c>
      <c r="E424" s="5">
        <v>5.99</v>
      </c>
      <c r="F424" s="4" t="s">
        <v>6568</v>
      </c>
      <c r="G424" s="2" t="s">
        <v>353</v>
      </c>
      <c r="H424" s="7" t="s">
        <v>590</v>
      </c>
      <c r="I424" s="2" t="s">
        <v>483</v>
      </c>
      <c r="J424" s="2" t="s">
        <v>536</v>
      </c>
      <c r="K424" s="2" t="s">
        <v>304</v>
      </c>
      <c r="L424" s="2" t="s">
        <v>87</v>
      </c>
      <c r="M424" s="8" t="str">
        <f>HYPERLINK("http://slimages.macys.com/is/image/MCY/12462744 ")</f>
        <v xml:space="preserve">http://slimages.macys.com/is/image/MCY/12462744 </v>
      </c>
    </row>
    <row r="425" spans="1:13" ht="96" x14ac:dyDescent="0.25">
      <c r="A425" s="7" t="s">
        <v>2728</v>
      </c>
      <c r="B425" s="2" t="s">
        <v>2302</v>
      </c>
      <c r="C425" s="4">
        <v>1</v>
      </c>
      <c r="D425" s="5">
        <v>2.4900000000000002</v>
      </c>
      <c r="E425" s="5">
        <v>6.99</v>
      </c>
      <c r="F425" s="4" t="s">
        <v>2303</v>
      </c>
      <c r="G425" s="2" t="s">
        <v>134</v>
      </c>
      <c r="H425" s="7" t="s">
        <v>442</v>
      </c>
      <c r="I425" s="2" t="s">
        <v>483</v>
      </c>
      <c r="J425" s="2" t="s">
        <v>536</v>
      </c>
      <c r="K425" s="2" t="s">
        <v>304</v>
      </c>
      <c r="L425" s="2" t="s">
        <v>2304</v>
      </c>
      <c r="M425" s="8" t="str">
        <f>HYPERLINK("http://slimages.macys.com/is/image/MCY/13987461 ")</f>
        <v xml:space="preserve">http://slimages.macys.com/is/image/MCY/13987461 </v>
      </c>
    </row>
    <row r="426" spans="1:13" ht="60" x14ac:dyDescent="0.25">
      <c r="A426" s="7" t="s">
        <v>3529</v>
      </c>
      <c r="B426" s="2" t="s">
        <v>3527</v>
      </c>
      <c r="C426" s="4">
        <v>15</v>
      </c>
      <c r="D426" s="5">
        <v>2.48</v>
      </c>
      <c r="E426" s="5">
        <v>6.99</v>
      </c>
      <c r="F426" s="4" t="s">
        <v>3528</v>
      </c>
      <c r="G426" s="2" t="s">
        <v>595</v>
      </c>
      <c r="H426" s="7" t="s">
        <v>442</v>
      </c>
      <c r="I426" s="2" t="s">
        <v>483</v>
      </c>
      <c r="J426" s="2" t="s">
        <v>536</v>
      </c>
      <c r="K426" s="2" t="s">
        <v>304</v>
      </c>
      <c r="L426" s="2" t="s">
        <v>596</v>
      </c>
      <c r="M426" s="8" t="str">
        <f>HYPERLINK("http://slimages.macys.com/is/image/MCY/14799396 ")</f>
        <v xml:space="preserve">http://slimages.macys.com/is/image/MCY/14799396 </v>
      </c>
    </row>
    <row r="427" spans="1:13" ht="60" x14ac:dyDescent="0.25">
      <c r="A427" s="7" t="s">
        <v>621</v>
      </c>
      <c r="B427" s="2" t="s">
        <v>622</v>
      </c>
      <c r="C427" s="4">
        <v>1</v>
      </c>
      <c r="D427" s="5">
        <v>2.48</v>
      </c>
      <c r="E427" s="5">
        <v>7.99</v>
      </c>
      <c r="F427" s="4">
        <v>10005379300</v>
      </c>
      <c r="G427" s="2" t="s">
        <v>437</v>
      </c>
      <c r="H427" s="7" t="s">
        <v>590</v>
      </c>
      <c r="I427" s="2" t="s">
        <v>483</v>
      </c>
      <c r="J427" s="2" t="s">
        <v>536</v>
      </c>
      <c r="K427" s="2" t="s">
        <v>304</v>
      </c>
      <c r="L427" s="2" t="s">
        <v>623</v>
      </c>
      <c r="M427" s="8" t="str">
        <f>HYPERLINK("http://slimages.macys.com/is/image/MCY/12465415 ")</f>
        <v xml:space="preserve">http://slimages.macys.com/is/image/MCY/12465415 </v>
      </c>
    </row>
    <row r="428" spans="1:13" ht="60" x14ac:dyDescent="0.25">
      <c r="A428" s="7" t="s">
        <v>3526</v>
      </c>
      <c r="B428" s="2" t="s">
        <v>3527</v>
      </c>
      <c r="C428" s="4">
        <v>10</v>
      </c>
      <c r="D428" s="5">
        <v>2.48</v>
      </c>
      <c r="E428" s="5">
        <v>6.99</v>
      </c>
      <c r="F428" s="4" t="s">
        <v>3528</v>
      </c>
      <c r="G428" s="2" t="s">
        <v>595</v>
      </c>
      <c r="H428" s="7" t="s">
        <v>149</v>
      </c>
      <c r="I428" s="2" t="s">
        <v>483</v>
      </c>
      <c r="J428" s="2" t="s">
        <v>536</v>
      </c>
      <c r="K428" s="2" t="s">
        <v>304</v>
      </c>
      <c r="L428" s="2" t="s">
        <v>596</v>
      </c>
      <c r="M428" s="8" t="str">
        <f>HYPERLINK("http://slimages.macys.com/is/image/MCY/14799396 ")</f>
        <v xml:space="preserve">http://slimages.macys.com/is/image/MCY/14799396 </v>
      </c>
    </row>
    <row r="429" spans="1:13" ht="60" x14ac:dyDescent="0.25">
      <c r="A429" s="7" t="s">
        <v>4562</v>
      </c>
      <c r="B429" s="2" t="s">
        <v>3527</v>
      </c>
      <c r="C429" s="4">
        <v>16</v>
      </c>
      <c r="D429" s="5">
        <v>2.48</v>
      </c>
      <c r="E429" s="5">
        <v>6.99</v>
      </c>
      <c r="F429" s="4" t="s">
        <v>3528</v>
      </c>
      <c r="G429" s="2" t="s">
        <v>595</v>
      </c>
      <c r="H429" s="7" t="s">
        <v>590</v>
      </c>
      <c r="I429" s="2" t="s">
        <v>483</v>
      </c>
      <c r="J429" s="2" t="s">
        <v>536</v>
      </c>
      <c r="K429" s="2" t="s">
        <v>304</v>
      </c>
      <c r="L429" s="2" t="s">
        <v>596</v>
      </c>
      <c r="M429" s="8" t="str">
        <f>HYPERLINK("http://slimages.macys.com/is/image/MCY/14799396 ")</f>
        <v xml:space="preserve">http://slimages.macys.com/is/image/MCY/14799396 </v>
      </c>
    </row>
    <row r="430" spans="1:13" ht="60" x14ac:dyDescent="0.25">
      <c r="A430" s="7" t="s">
        <v>13451</v>
      </c>
      <c r="B430" s="2" t="s">
        <v>3527</v>
      </c>
      <c r="C430" s="4">
        <v>16</v>
      </c>
      <c r="D430" s="5">
        <v>2.48</v>
      </c>
      <c r="E430" s="5">
        <v>6.99</v>
      </c>
      <c r="F430" s="4" t="s">
        <v>3528</v>
      </c>
      <c r="G430" s="2" t="s">
        <v>595</v>
      </c>
      <c r="H430" s="7" t="s">
        <v>91</v>
      </c>
      <c r="I430" s="2" t="s">
        <v>483</v>
      </c>
      <c r="J430" s="2" t="s">
        <v>536</v>
      </c>
      <c r="K430" s="2" t="s">
        <v>304</v>
      </c>
      <c r="L430" s="2" t="s">
        <v>596</v>
      </c>
      <c r="M430" s="8" t="str">
        <f>HYPERLINK("http://slimages.macys.com/is/image/MCY/14799396 ")</f>
        <v xml:space="preserve">http://slimages.macys.com/is/image/MCY/14799396 </v>
      </c>
    </row>
    <row r="431" spans="1:13" ht="60" x14ac:dyDescent="0.25">
      <c r="A431" s="7" t="s">
        <v>13452</v>
      </c>
      <c r="B431" s="2" t="s">
        <v>3527</v>
      </c>
      <c r="C431" s="4">
        <v>37</v>
      </c>
      <c r="D431" s="5">
        <v>2.48</v>
      </c>
      <c r="E431" s="5">
        <v>6.99</v>
      </c>
      <c r="F431" s="4" t="s">
        <v>3528</v>
      </c>
      <c r="G431" s="2" t="s">
        <v>595</v>
      </c>
      <c r="H431" s="7" t="s">
        <v>42</v>
      </c>
      <c r="I431" s="2" t="s">
        <v>483</v>
      </c>
      <c r="J431" s="2" t="s">
        <v>536</v>
      </c>
      <c r="K431" s="2" t="s">
        <v>304</v>
      </c>
      <c r="L431" s="2" t="s">
        <v>596</v>
      </c>
      <c r="M431" s="8" t="str">
        <f>HYPERLINK("http://slimages.macys.com/is/image/MCY/14799396 ")</f>
        <v xml:space="preserve">http://slimages.macys.com/is/image/MCY/14799396 </v>
      </c>
    </row>
    <row r="432" spans="1:13" ht="96" x14ac:dyDescent="0.25">
      <c r="A432" s="7" t="s">
        <v>2317</v>
      </c>
      <c r="B432" s="2" t="s">
        <v>2318</v>
      </c>
      <c r="C432" s="4">
        <v>1</v>
      </c>
      <c r="D432" s="5">
        <v>2.4700000000000002</v>
      </c>
      <c r="E432" s="5">
        <v>6.99</v>
      </c>
      <c r="F432" s="4">
        <v>10006315800</v>
      </c>
      <c r="G432" s="2" t="s">
        <v>527</v>
      </c>
      <c r="H432" s="7" t="s">
        <v>149</v>
      </c>
      <c r="I432" s="2" t="s">
        <v>483</v>
      </c>
      <c r="J432" s="2" t="s">
        <v>536</v>
      </c>
      <c r="K432" s="2" t="s">
        <v>304</v>
      </c>
      <c r="L432" s="2" t="s">
        <v>2319</v>
      </c>
      <c r="M432" s="8" t="str">
        <f>HYPERLINK("http://slimages.macys.com/is/image/MCY/13987454 ")</f>
        <v xml:space="preserve">http://slimages.macys.com/is/image/MCY/13987454 </v>
      </c>
    </row>
    <row r="433" spans="1:13" ht="60" x14ac:dyDescent="0.25">
      <c r="A433" s="7" t="s">
        <v>13453</v>
      </c>
      <c r="B433" s="2" t="s">
        <v>9769</v>
      </c>
      <c r="C433" s="4">
        <v>2</v>
      </c>
      <c r="D433" s="5">
        <v>2.46</v>
      </c>
      <c r="E433" s="5">
        <v>7.99</v>
      </c>
      <c r="F433" s="4" t="s">
        <v>9770</v>
      </c>
      <c r="G433" s="2" t="s">
        <v>793</v>
      </c>
      <c r="H433" s="7" t="s">
        <v>514</v>
      </c>
      <c r="I433" s="2" t="s">
        <v>483</v>
      </c>
      <c r="J433" s="2" t="s">
        <v>536</v>
      </c>
      <c r="K433" s="2" t="s">
        <v>304</v>
      </c>
      <c r="L433" s="2" t="s">
        <v>119</v>
      </c>
      <c r="M433" s="8" t="str">
        <f>HYPERLINK("http://slimages.macys.com/is/image/MCY/13987430 ")</f>
        <v xml:space="preserve">http://slimages.macys.com/is/image/MCY/13987430 </v>
      </c>
    </row>
    <row r="434" spans="1:13" ht="60" x14ac:dyDescent="0.25">
      <c r="A434" s="7" t="s">
        <v>3538</v>
      </c>
      <c r="B434" s="2" t="s">
        <v>3533</v>
      </c>
      <c r="C434" s="4">
        <v>1</v>
      </c>
      <c r="D434" s="5">
        <v>2.42</v>
      </c>
      <c r="E434" s="5">
        <v>7.99</v>
      </c>
      <c r="F434" s="4" t="s">
        <v>3534</v>
      </c>
      <c r="G434" s="2" t="s">
        <v>48</v>
      </c>
      <c r="H434" s="7" t="s">
        <v>514</v>
      </c>
      <c r="I434" s="2" t="s">
        <v>483</v>
      </c>
      <c r="J434" s="2" t="s">
        <v>536</v>
      </c>
      <c r="K434" s="2" t="s">
        <v>304</v>
      </c>
      <c r="L434" s="2" t="s">
        <v>119</v>
      </c>
      <c r="M434" s="8" t="str">
        <f>HYPERLINK("http://slimages.macys.com/is/image/MCY/14380988 ")</f>
        <v xml:space="preserve">http://slimages.macys.com/is/image/MCY/14380988 </v>
      </c>
    </row>
    <row r="435" spans="1:13" ht="60" x14ac:dyDescent="0.25">
      <c r="A435" s="7" t="s">
        <v>2327</v>
      </c>
      <c r="B435" s="2" t="s">
        <v>1336</v>
      </c>
      <c r="C435" s="4">
        <v>1</v>
      </c>
      <c r="D435" s="5">
        <v>2.4</v>
      </c>
      <c r="E435" s="5">
        <v>5.99</v>
      </c>
      <c r="F435" s="4" t="s">
        <v>1337</v>
      </c>
      <c r="G435" s="2" t="s">
        <v>657</v>
      </c>
      <c r="H435" s="7" t="s">
        <v>442</v>
      </c>
      <c r="I435" s="2" t="s">
        <v>483</v>
      </c>
      <c r="J435" s="2" t="s">
        <v>536</v>
      </c>
      <c r="K435" s="2" t="s">
        <v>304</v>
      </c>
      <c r="L435" s="2" t="s">
        <v>119</v>
      </c>
      <c r="M435" s="8" t="str">
        <f>HYPERLINK("http://slimages.macys.com/is/image/MCY/13987252 ")</f>
        <v xml:space="preserve">http://slimages.macys.com/is/image/MCY/13987252 </v>
      </c>
    </row>
    <row r="436" spans="1:13" ht="60" x14ac:dyDescent="0.25">
      <c r="A436" s="7" t="s">
        <v>627</v>
      </c>
      <c r="B436" s="2" t="s">
        <v>628</v>
      </c>
      <c r="C436" s="4">
        <v>1</v>
      </c>
      <c r="D436" s="5">
        <v>2.36</v>
      </c>
      <c r="E436" s="5">
        <v>6.99</v>
      </c>
      <c r="F436" s="4" t="s">
        <v>629</v>
      </c>
      <c r="G436" s="2" t="s">
        <v>388</v>
      </c>
      <c r="H436" s="7" t="s">
        <v>149</v>
      </c>
      <c r="I436" s="2" t="s">
        <v>483</v>
      </c>
      <c r="J436" s="2" t="s">
        <v>536</v>
      </c>
      <c r="K436" s="2" t="s">
        <v>304</v>
      </c>
      <c r="L436" s="2" t="s">
        <v>87</v>
      </c>
      <c r="M436" s="8" t="str">
        <f>HYPERLINK("http://slimages.macys.com/is/image/MCY/14532052 ")</f>
        <v xml:space="preserve">http://slimages.macys.com/is/image/MCY/14532052 </v>
      </c>
    </row>
    <row r="437" spans="1:13" ht="60" x14ac:dyDescent="0.25">
      <c r="A437" s="7" t="s">
        <v>13454</v>
      </c>
      <c r="B437" s="2" t="s">
        <v>628</v>
      </c>
      <c r="C437" s="4">
        <v>1</v>
      </c>
      <c r="D437" s="5">
        <v>2.36</v>
      </c>
      <c r="E437" s="5">
        <v>6.99</v>
      </c>
      <c r="F437" s="4" t="s">
        <v>629</v>
      </c>
      <c r="G437" s="2" t="s">
        <v>388</v>
      </c>
      <c r="H437" s="7" t="s">
        <v>442</v>
      </c>
      <c r="I437" s="2" t="s">
        <v>483</v>
      </c>
      <c r="J437" s="2" t="s">
        <v>536</v>
      </c>
      <c r="K437" s="2" t="s">
        <v>304</v>
      </c>
      <c r="L437" s="2" t="s">
        <v>87</v>
      </c>
      <c r="M437" s="8" t="str">
        <f>HYPERLINK("http://slimages.macys.com/is/image/MCY/14532052 ")</f>
        <v xml:space="preserve">http://slimages.macys.com/is/image/MCY/14532052 </v>
      </c>
    </row>
    <row r="438" spans="1:13" ht="60" x14ac:dyDescent="0.25">
      <c r="A438" s="7" t="s">
        <v>5752</v>
      </c>
      <c r="B438" s="2" t="s">
        <v>628</v>
      </c>
      <c r="C438" s="4">
        <v>1</v>
      </c>
      <c r="D438" s="5">
        <v>2.36</v>
      </c>
      <c r="E438" s="5">
        <v>6.99</v>
      </c>
      <c r="F438" s="4" t="s">
        <v>629</v>
      </c>
      <c r="G438" s="2" t="s">
        <v>388</v>
      </c>
      <c r="H438" s="7" t="s">
        <v>590</v>
      </c>
      <c r="I438" s="2" t="s">
        <v>483</v>
      </c>
      <c r="J438" s="2" t="s">
        <v>536</v>
      </c>
      <c r="K438" s="2" t="s">
        <v>304</v>
      </c>
      <c r="L438" s="2" t="s">
        <v>87</v>
      </c>
      <c r="M438" s="8" t="str">
        <f>HYPERLINK("http://slimages.macys.com/is/image/MCY/14532052 ")</f>
        <v xml:space="preserve">http://slimages.macys.com/is/image/MCY/14532052 </v>
      </c>
    </row>
    <row r="439" spans="1:13" ht="60" x14ac:dyDescent="0.25">
      <c r="A439" s="7" t="s">
        <v>1358</v>
      </c>
      <c r="B439" s="2" t="s">
        <v>1359</v>
      </c>
      <c r="C439" s="4">
        <v>1</v>
      </c>
      <c r="D439" s="5">
        <v>2.33</v>
      </c>
      <c r="E439" s="5">
        <v>7.99</v>
      </c>
      <c r="F439" s="4">
        <v>10004191800</v>
      </c>
      <c r="G439" s="2" t="s">
        <v>1360</v>
      </c>
      <c r="H439" s="7" t="s">
        <v>531</v>
      </c>
      <c r="I439" s="2" t="s">
        <v>483</v>
      </c>
      <c r="J439" s="2" t="s">
        <v>536</v>
      </c>
      <c r="K439" s="2" t="s">
        <v>304</v>
      </c>
      <c r="L439" s="2" t="s">
        <v>38</v>
      </c>
      <c r="M439" s="8" t="str">
        <f>HYPERLINK("http://slimages.macys.com/is/image/MCY/11520378 ")</f>
        <v xml:space="preserve">http://slimages.macys.com/is/image/MCY/11520378 </v>
      </c>
    </row>
    <row r="440" spans="1:13" ht="60" x14ac:dyDescent="0.25">
      <c r="A440" s="7" t="s">
        <v>13455</v>
      </c>
      <c r="B440" s="2" t="s">
        <v>3543</v>
      </c>
      <c r="C440" s="4">
        <v>1</v>
      </c>
      <c r="D440" s="5">
        <v>2.3199999999999998</v>
      </c>
      <c r="E440" s="5">
        <v>6.99</v>
      </c>
      <c r="F440" s="4" t="s">
        <v>3544</v>
      </c>
      <c r="G440" s="2" t="s">
        <v>171</v>
      </c>
      <c r="H440" s="7" t="s">
        <v>149</v>
      </c>
      <c r="I440" s="2" t="s">
        <v>483</v>
      </c>
      <c r="J440" s="2" t="s">
        <v>536</v>
      </c>
      <c r="K440" s="2" t="s">
        <v>304</v>
      </c>
      <c r="L440" s="2" t="s">
        <v>38</v>
      </c>
      <c r="M440" s="8" t="str">
        <f>HYPERLINK("http://slimages.macys.com/is/image/MCY/14447992 ")</f>
        <v xml:space="preserve">http://slimages.macys.com/is/image/MCY/14447992 </v>
      </c>
    </row>
    <row r="441" spans="1:13" ht="60" x14ac:dyDescent="0.25">
      <c r="A441" s="7" t="s">
        <v>2347</v>
      </c>
      <c r="B441" s="2" t="s">
        <v>2348</v>
      </c>
      <c r="C441" s="4">
        <v>3</v>
      </c>
      <c r="D441" s="5">
        <v>2.31</v>
      </c>
      <c r="E441" s="5">
        <v>7.99</v>
      </c>
      <c r="F441" s="4">
        <v>10005380100</v>
      </c>
      <c r="G441" s="2" t="s">
        <v>1360</v>
      </c>
      <c r="H441" s="7" t="s">
        <v>531</v>
      </c>
      <c r="I441" s="2" t="s">
        <v>483</v>
      </c>
      <c r="J441" s="2" t="s">
        <v>536</v>
      </c>
      <c r="K441" s="2" t="s">
        <v>304</v>
      </c>
      <c r="L441" s="2" t="s">
        <v>87</v>
      </c>
      <c r="M441" s="8" t="str">
        <f>HYPERLINK("http://slimages.macys.com/is/image/MCY/12466174 ")</f>
        <v xml:space="preserve">http://slimages.macys.com/is/image/MCY/12466174 </v>
      </c>
    </row>
    <row r="442" spans="1:13" ht="60" x14ac:dyDescent="0.25">
      <c r="A442" s="7" t="s">
        <v>4580</v>
      </c>
      <c r="B442" s="2" t="s">
        <v>2350</v>
      </c>
      <c r="C442" s="4">
        <v>1</v>
      </c>
      <c r="D442" s="5">
        <v>2.31</v>
      </c>
      <c r="E442" s="5">
        <v>7.99</v>
      </c>
      <c r="F442" s="4" t="s">
        <v>2351</v>
      </c>
      <c r="G442" s="2" t="s">
        <v>657</v>
      </c>
      <c r="H442" s="7" t="s">
        <v>514</v>
      </c>
      <c r="I442" s="2" t="s">
        <v>483</v>
      </c>
      <c r="J442" s="2" t="s">
        <v>536</v>
      </c>
      <c r="K442" s="2" t="s">
        <v>304</v>
      </c>
      <c r="L442" s="2" t="s">
        <v>38</v>
      </c>
      <c r="M442" s="8" t="str">
        <f>HYPERLINK("http://slimages.macys.com/is/image/MCY/13987607 ")</f>
        <v xml:space="preserve">http://slimages.macys.com/is/image/MCY/13987607 </v>
      </c>
    </row>
    <row r="443" spans="1:13" ht="60" x14ac:dyDescent="0.25">
      <c r="A443" s="7" t="s">
        <v>5765</v>
      </c>
      <c r="B443" s="2" t="s">
        <v>2353</v>
      </c>
      <c r="C443" s="4">
        <v>1</v>
      </c>
      <c r="D443" s="5">
        <v>2.31</v>
      </c>
      <c r="E443" s="5">
        <v>7.99</v>
      </c>
      <c r="F443" s="4" t="s">
        <v>2354</v>
      </c>
      <c r="G443" s="2" t="s">
        <v>657</v>
      </c>
      <c r="H443" s="7" t="s">
        <v>514</v>
      </c>
      <c r="I443" s="2" t="s">
        <v>483</v>
      </c>
      <c r="J443" s="2" t="s">
        <v>536</v>
      </c>
      <c r="K443" s="2" t="s">
        <v>304</v>
      </c>
      <c r="L443" s="2" t="s">
        <v>119</v>
      </c>
      <c r="M443" s="8" t="str">
        <f>HYPERLINK("http://slimages.macys.com/is/image/MCY/13987628 ")</f>
        <v xml:space="preserve">http://slimages.macys.com/is/image/MCY/13987628 </v>
      </c>
    </row>
    <row r="444" spans="1:13" ht="60" x14ac:dyDescent="0.25">
      <c r="A444" s="7" t="s">
        <v>8027</v>
      </c>
      <c r="B444" s="2" t="s">
        <v>1365</v>
      </c>
      <c r="C444" s="4">
        <v>1</v>
      </c>
      <c r="D444" s="5">
        <v>2.29</v>
      </c>
      <c r="E444" s="5">
        <v>5.99</v>
      </c>
      <c r="F444" s="4" t="s">
        <v>1366</v>
      </c>
      <c r="G444" s="2" t="s">
        <v>62</v>
      </c>
      <c r="H444" s="7" t="s">
        <v>42</v>
      </c>
      <c r="I444" s="2" t="s">
        <v>483</v>
      </c>
      <c r="J444" s="2" t="s">
        <v>536</v>
      </c>
      <c r="K444" s="2" t="s">
        <v>304</v>
      </c>
      <c r="L444" s="2" t="s">
        <v>206</v>
      </c>
      <c r="M444" s="8" t="str">
        <f>HYPERLINK("http://slimages.macys.com/is/image/MCY/12463166 ")</f>
        <v xml:space="preserve">http://slimages.macys.com/is/image/MCY/12463166 </v>
      </c>
    </row>
    <row r="445" spans="1:13" ht="60" x14ac:dyDescent="0.25">
      <c r="A445" s="7" t="s">
        <v>9243</v>
      </c>
      <c r="B445" s="2" t="s">
        <v>4587</v>
      </c>
      <c r="C445" s="4">
        <v>1</v>
      </c>
      <c r="D445" s="5">
        <v>2.27</v>
      </c>
      <c r="E445" s="5">
        <v>5.99</v>
      </c>
      <c r="F445" s="4" t="s">
        <v>4588</v>
      </c>
      <c r="G445" s="2" t="s">
        <v>129</v>
      </c>
      <c r="H445" s="7" t="s">
        <v>91</v>
      </c>
      <c r="I445" s="2" t="s">
        <v>483</v>
      </c>
      <c r="J445" s="2" t="s">
        <v>536</v>
      </c>
      <c r="K445" s="2" t="s">
        <v>304</v>
      </c>
      <c r="L445" s="2" t="s">
        <v>38</v>
      </c>
      <c r="M445" s="8" t="str">
        <f>HYPERLINK("http://slimages.macys.com/is/image/MCY/11857357 ")</f>
        <v xml:space="preserve">http://slimages.macys.com/is/image/MCY/11857357 </v>
      </c>
    </row>
    <row r="446" spans="1:13" ht="60" x14ac:dyDescent="0.25">
      <c r="A446" s="7" t="s">
        <v>10731</v>
      </c>
      <c r="B446" s="2" t="s">
        <v>631</v>
      </c>
      <c r="C446" s="4">
        <v>1</v>
      </c>
      <c r="D446" s="5">
        <v>2.27</v>
      </c>
      <c r="E446" s="5">
        <v>5.99</v>
      </c>
      <c r="F446" s="4" t="s">
        <v>632</v>
      </c>
      <c r="G446" s="2" t="s">
        <v>28</v>
      </c>
      <c r="H446" s="7" t="s">
        <v>149</v>
      </c>
      <c r="I446" s="2" t="s">
        <v>483</v>
      </c>
      <c r="J446" s="2" t="s">
        <v>536</v>
      </c>
      <c r="K446" s="2" t="s">
        <v>304</v>
      </c>
      <c r="L446" s="2" t="s">
        <v>38</v>
      </c>
      <c r="M446" s="8" t="str">
        <f>HYPERLINK("http://slimages.macys.com/is/image/MCY/11857610 ")</f>
        <v xml:space="preserve">http://slimages.macys.com/is/image/MCY/11857610 </v>
      </c>
    </row>
    <row r="447" spans="1:13" ht="60" x14ac:dyDescent="0.25">
      <c r="A447" s="7" t="s">
        <v>13456</v>
      </c>
      <c r="B447" s="2" t="s">
        <v>4598</v>
      </c>
      <c r="C447" s="4">
        <v>1</v>
      </c>
      <c r="D447" s="5">
        <v>2.2200000000000002</v>
      </c>
      <c r="E447" s="5">
        <v>5.99</v>
      </c>
      <c r="F447" s="4" t="s">
        <v>4599</v>
      </c>
      <c r="G447" s="2" t="s">
        <v>171</v>
      </c>
      <c r="H447" s="7" t="s">
        <v>149</v>
      </c>
      <c r="I447" s="2" t="s">
        <v>483</v>
      </c>
      <c r="J447" s="2" t="s">
        <v>536</v>
      </c>
      <c r="K447" s="2" t="s">
        <v>304</v>
      </c>
      <c r="L447" s="2" t="s">
        <v>119</v>
      </c>
      <c r="M447" s="8" t="str">
        <f>HYPERLINK("http://slimages.macys.com/is/image/MCY/14380996 ")</f>
        <v xml:space="preserve">http://slimages.macys.com/is/image/MCY/14380996 </v>
      </c>
    </row>
    <row r="448" spans="1:13" ht="60" x14ac:dyDescent="0.25">
      <c r="A448" s="7" t="s">
        <v>6086</v>
      </c>
      <c r="B448" s="2" t="s">
        <v>2392</v>
      </c>
      <c r="C448" s="4">
        <v>2</v>
      </c>
      <c r="D448" s="5">
        <v>2.21</v>
      </c>
      <c r="E448" s="5">
        <v>5.99</v>
      </c>
      <c r="F448" s="4" t="s">
        <v>2393</v>
      </c>
      <c r="G448" s="2" t="s">
        <v>858</v>
      </c>
      <c r="H448" s="7" t="s">
        <v>442</v>
      </c>
      <c r="I448" s="2" t="s">
        <v>483</v>
      </c>
      <c r="J448" s="2" t="s">
        <v>536</v>
      </c>
      <c r="K448" s="2" t="s">
        <v>304</v>
      </c>
      <c r="L448" s="2" t="s">
        <v>119</v>
      </c>
      <c r="M448" s="8" t="str">
        <f>HYPERLINK("http://slimages.macys.com/is/image/MCY/12644556 ")</f>
        <v xml:space="preserve">http://slimages.macys.com/is/image/MCY/12644556 </v>
      </c>
    </row>
    <row r="449" spans="1:13" ht="60" x14ac:dyDescent="0.25">
      <c r="A449" s="7" t="s">
        <v>6642</v>
      </c>
      <c r="B449" s="2" t="s">
        <v>2392</v>
      </c>
      <c r="C449" s="4">
        <v>1</v>
      </c>
      <c r="D449" s="5">
        <v>2.21</v>
      </c>
      <c r="E449" s="5">
        <v>5.99</v>
      </c>
      <c r="F449" s="4" t="s">
        <v>2393</v>
      </c>
      <c r="G449" s="2" t="s">
        <v>858</v>
      </c>
      <c r="H449" s="7" t="s">
        <v>91</v>
      </c>
      <c r="I449" s="2" t="s">
        <v>483</v>
      </c>
      <c r="J449" s="2" t="s">
        <v>536</v>
      </c>
      <c r="K449" s="2" t="s">
        <v>304</v>
      </c>
      <c r="L449" s="2" t="s">
        <v>119</v>
      </c>
      <c r="M449" s="8" t="str">
        <f>HYPERLINK("http://slimages.macys.com/is/image/MCY/12644556 ")</f>
        <v xml:space="preserve">http://slimages.macys.com/is/image/MCY/12644556 </v>
      </c>
    </row>
    <row r="450" spans="1:13" ht="60" x14ac:dyDescent="0.25">
      <c r="A450" s="7" t="s">
        <v>7276</v>
      </c>
      <c r="B450" s="2" t="s">
        <v>1388</v>
      </c>
      <c r="C450" s="4">
        <v>1</v>
      </c>
      <c r="D450" s="5">
        <v>2.21</v>
      </c>
      <c r="E450" s="5">
        <v>5.99</v>
      </c>
      <c r="F450" s="4" t="s">
        <v>1389</v>
      </c>
      <c r="G450" s="2" t="s">
        <v>129</v>
      </c>
      <c r="H450" s="7" t="s">
        <v>442</v>
      </c>
      <c r="I450" s="2" t="s">
        <v>483</v>
      </c>
      <c r="J450" s="2" t="s">
        <v>536</v>
      </c>
      <c r="K450" s="2" t="s">
        <v>304</v>
      </c>
      <c r="L450" s="2" t="s">
        <v>38</v>
      </c>
      <c r="M450" s="8" t="str">
        <f>HYPERLINK("http://slimages.macys.com/is/image/MCY/13987618 ")</f>
        <v xml:space="preserve">http://slimages.macys.com/is/image/MCY/13987618 </v>
      </c>
    </row>
    <row r="451" spans="1:13" ht="84" x14ac:dyDescent="0.25">
      <c r="A451" s="7" t="s">
        <v>636</v>
      </c>
      <c r="B451" s="2" t="s">
        <v>637</v>
      </c>
      <c r="C451" s="4">
        <v>1</v>
      </c>
      <c r="D451" s="5">
        <v>2.21</v>
      </c>
      <c r="E451" s="5">
        <v>6.99</v>
      </c>
      <c r="F451" s="4" t="s">
        <v>638</v>
      </c>
      <c r="G451" s="2" t="s">
        <v>171</v>
      </c>
      <c r="H451" s="7" t="s">
        <v>604</v>
      </c>
      <c r="I451" s="2" t="s">
        <v>483</v>
      </c>
      <c r="J451" s="2" t="s">
        <v>536</v>
      </c>
      <c r="K451" s="2" t="s">
        <v>304</v>
      </c>
      <c r="L451" s="2" t="s">
        <v>639</v>
      </c>
      <c r="M451" s="8" t="str">
        <f>HYPERLINK("http://slimages.macys.com/is/image/MCY/13987507 ")</f>
        <v xml:space="preserve">http://slimages.macys.com/is/image/MCY/13987507 </v>
      </c>
    </row>
    <row r="452" spans="1:13" ht="84" x14ac:dyDescent="0.25">
      <c r="A452" s="7" t="s">
        <v>2733</v>
      </c>
      <c r="B452" s="2" t="s">
        <v>637</v>
      </c>
      <c r="C452" s="4">
        <v>3</v>
      </c>
      <c r="D452" s="5">
        <v>2.21</v>
      </c>
      <c r="E452" s="5">
        <v>6.99</v>
      </c>
      <c r="F452" s="4" t="s">
        <v>638</v>
      </c>
      <c r="G452" s="2" t="s">
        <v>171</v>
      </c>
      <c r="H452" s="7" t="s">
        <v>586</v>
      </c>
      <c r="I452" s="2" t="s">
        <v>483</v>
      </c>
      <c r="J452" s="2" t="s">
        <v>536</v>
      </c>
      <c r="K452" s="2" t="s">
        <v>304</v>
      </c>
      <c r="L452" s="2" t="s">
        <v>639</v>
      </c>
      <c r="M452" s="8" t="str">
        <f>HYPERLINK("http://slimages.macys.com/is/image/MCY/13987507 ")</f>
        <v xml:space="preserve">http://slimages.macys.com/is/image/MCY/13987507 </v>
      </c>
    </row>
    <row r="453" spans="1:13" ht="60" x14ac:dyDescent="0.25">
      <c r="A453" s="7" t="s">
        <v>1393</v>
      </c>
      <c r="B453" s="2" t="s">
        <v>1394</v>
      </c>
      <c r="C453" s="4">
        <v>1</v>
      </c>
      <c r="D453" s="5">
        <v>2.17</v>
      </c>
      <c r="E453" s="5">
        <v>4.99</v>
      </c>
      <c r="F453" s="4">
        <v>10000297900</v>
      </c>
      <c r="G453" s="2" t="s">
        <v>582</v>
      </c>
      <c r="H453" s="7" t="s">
        <v>531</v>
      </c>
      <c r="I453" s="2" t="s">
        <v>483</v>
      </c>
      <c r="J453" s="2" t="s">
        <v>536</v>
      </c>
      <c r="K453" s="2" t="s">
        <v>304</v>
      </c>
      <c r="L453" s="2" t="s">
        <v>38</v>
      </c>
      <c r="M453" s="8" t="str">
        <f>HYPERLINK("http://slimages.macys.com/is/image/MCY/11547503 ")</f>
        <v xml:space="preserve">http://slimages.macys.com/is/image/MCY/11547503 </v>
      </c>
    </row>
    <row r="454" spans="1:13" ht="60" x14ac:dyDescent="0.25">
      <c r="A454" s="7" t="s">
        <v>9262</v>
      </c>
      <c r="B454" s="2" t="s">
        <v>2398</v>
      </c>
      <c r="C454" s="4">
        <v>1</v>
      </c>
      <c r="D454" s="5">
        <v>2.17</v>
      </c>
      <c r="E454" s="5">
        <v>5.99</v>
      </c>
      <c r="F454" s="4" t="s">
        <v>2399</v>
      </c>
      <c r="G454" s="2" t="s">
        <v>41</v>
      </c>
      <c r="H454" s="7" t="s">
        <v>42</v>
      </c>
      <c r="I454" s="2" t="s">
        <v>483</v>
      </c>
      <c r="J454" s="2" t="s">
        <v>536</v>
      </c>
      <c r="K454" s="2" t="s">
        <v>304</v>
      </c>
      <c r="L454" s="2" t="s">
        <v>87</v>
      </c>
      <c r="M454" s="8" t="str">
        <f>HYPERLINK("http://slimages.macys.com/is/image/MCY/12644613 ")</f>
        <v xml:space="preserve">http://slimages.macys.com/is/image/MCY/12644613 </v>
      </c>
    </row>
    <row r="455" spans="1:13" ht="60" x14ac:dyDescent="0.25">
      <c r="A455" s="7" t="s">
        <v>13457</v>
      </c>
      <c r="B455" s="2" t="s">
        <v>5795</v>
      </c>
      <c r="C455" s="4">
        <v>2</v>
      </c>
      <c r="D455" s="5">
        <v>2.08</v>
      </c>
      <c r="E455" s="5">
        <v>5.99</v>
      </c>
      <c r="F455" s="4" t="s">
        <v>5796</v>
      </c>
      <c r="G455" s="2" t="s">
        <v>28</v>
      </c>
      <c r="H455" s="7" t="s">
        <v>590</v>
      </c>
      <c r="I455" s="2" t="s">
        <v>483</v>
      </c>
      <c r="J455" s="2" t="s">
        <v>536</v>
      </c>
      <c r="K455" s="2" t="s">
        <v>304</v>
      </c>
      <c r="L455" s="2" t="s">
        <v>206</v>
      </c>
      <c r="M455" s="8" t="str">
        <f>HYPERLINK("http://slimages.macys.com/is/image/MCY/11856654 ")</f>
        <v xml:space="preserve">http://slimages.macys.com/is/image/MCY/11856654 </v>
      </c>
    </row>
    <row r="456" spans="1:13" ht="60" x14ac:dyDescent="0.25">
      <c r="A456" s="7" t="s">
        <v>5794</v>
      </c>
      <c r="B456" s="2" t="s">
        <v>5795</v>
      </c>
      <c r="C456" s="4">
        <v>1</v>
      </c>
      <c r="D456" s="5">
        <v>2.08</v>
      </c>
      <c r="E456" s="5">
        <v>5.99</v>
      </c>
      <c r="F456" s="4" t="s">
        <v>5796</v>
      </c>
      <c r="G456" s="2" t="s">
        <v>28</v>
      </c>
      <c r="H456" s="7" t="s">
        <v>42</v>
      </c>
      <c r="I456" s="2" t="s">
        <v>483</v>
      </c>
      <c r="J456" s="2" t="s">
        <v>536</v>
      </c>
      <c r="K456" s="2" t="s">
        <v>304</v>
      </c>
      <c r="L456" s="2" t="s">
        <v>206</v>
      </c>
      <c r="M456" s="8" t="str">
        <f>HYPERLINK("http://slimages.macys.com/is/image/MCY/11856654 ")</f>
        <v xml:space="preserve">http://slimages.macys.com/is/image/MCY/11856654 </v>
      </c>
    </row>
    <row r="457" spans="1:13" ht="60" x14ac:dyDescent="0.25">
      <c r="A457" s="7" t="s">
        <v>13458</v>
      </c>
      <c r="B457" s="2" t="s">
        <v>5795</v>
      </c>
      <c r="C457" s="4">
        <v>2</v>
      </c>
      <c r="D457" s="5">
        <v>2.08</v>
      </c>
      <c r="E457" s="5">
        <v>5.99</v>
      </c>
      <c r="F457" s="4" t="s">
        <v>5796</v>
      </c>
      <c r="G457" s="2" t="s">
        <v>28</v>
      </c>
      <c r="H457" s="7" t="s">
        <v>442</v>
      </c>
      <c r="I457" s="2" t="s">
        <v>483</v>
      </c>
      <c r="J457" s="2" t="s">
        <v>536</v>
      </c>
      <c r="K457" s="2" t="s">
        <v>304</v>
      </c>
      <c r="L457" s="2" t="s">
        <v>206</v>
      </c>
      <c r="M457" s="8" t="str">
        <f>HYPERLINK("http://slimages.macys.com/is/image/MCY/11856654 ")</f>
        <v xml:space="preserve">http://slimages.macys.com/is/image/MCY/11856654 </v>
      </c>
    </row>
    <row r="458" spans="1:13" ht="60" x14ac:dyDescent="0.25">
      <c r="A458" s="7" t="s">
        <v>13459</v>
      </c>
      <c r="B458" s="2" t="s">
        <v>5795</v>
      </c>
      <c r="C458" s="4">
        <v>4</v>
      </c>
      <c r="D458" s="5">
        <v>2.08</v>
      </c>
      <c r="E458" s="5">
        <v>5.99</v>
      </c>
      <c r="F458" s="4" t="s">
        <v>5796</v>
      </c>
      <c r="G458" s="2" t="s">
        <v>28</v>
      </c>
      <c r="H458" s="7" t="s">
        <v>91</v>
      </c>
      <c r="I458" s="2" t="s">
        <v>483</v>
      </c>
      <c r="J458" s="2" t="s">
        <v>536</v>
      </c>
      <c r="K458" s="2" t="s">
        <v>304</v>
      </c>
      <c r="L458" s="2" t="s">
        <v>206</v>
      </c>
      <c r="M458" s="8" t="str">
        <f>HYPERLINK("http://slimages.macys.com/is/image/MCY/11856654 ")</f>
        <v xml:space="preserve">http://slimages.macys.com/is/image/MCY/11856654 </v>
      </c>
    </row>
    <row r="459" spans="1:13" ht="60" x14ac:dyDescent="0.25">
      <c r="A459" s="7" t="s">
        <v>13460</v>
      </c>
      <c r="B459" s="2" t="s">
        <v>5795</v>
      </c>
      <c r="C459" s="4">
        <v>1</v>
      </c>
      <c r="D459" s="5">
        <v>2.08</v>
      </c>
      <c r="E459" s="5">
        <v>5.99</v>
      </c>
      <c r="F459" s="4" t="s">
        <v>5796</v>
      </c>
      <c r="G459" s="2" t="s">
        <v>28</v>
      </c>
      <c r="H459" s="7" t="s">
        <v>149</v>
      </c>
      <c r="I459" s="2" t="s">
        <v>483</v>
      </c>
      <c r="J459" s="2" t="s">
        <v>536</v>
      </c>
      <c r="K459" s="2" t="s">
        <v>304</v>
      </c>
      <c r="L459" s="2" t="s">
        <v>206</v>
      </c>
      <c r="M459" s="8" t="str">
        <f>HYPERLINK("http://slimages.macys.com/is/image/MCY/11856654 ")</f>
        <v xml:space="preserve">http://slimages.macys.com/is/image/MCY/11856654 </v>
      </c>
    </row>
    <row r="460" spans="1:13" ht="60" x14ac:dyDescent="0.25">
      <c r="A460" s="7" t="s">
        <v>10326</v>
      </c>
      <c r="B460" s="2" t="s">
        <v>10327</v>
      </c>
      <c r="C460" s="4">
        <v>1</v>
      </c>
      <c r="D460" s="5">
        <v>1.97</v>
      </c>
      <c r="E460" s="5">
        <v>5.99</v>
      </c>
      <c r="F460" s="4" t="s">
        <v>10328</v>
      </c>
      <c r="G460" s="2" t="s">
        <v>48</v>
      </c>
      <c r="H460" s="7" t="s">
        <v>91</v>
      </c>
      <c r="I460" s="2" t="s">
        <v>483</v>
      </c>
      <c r="J460" s="2" t="s">
        <v>536</v>
      </c>
      <c r="K460" s="2" t="s">
        <v>304</v>
      </c>
      <c r="L460" s="2" t="s">
        <v>596</v>
      </c>
      <c r="M460" s="8" t="str">
        <f>HYPERLINK("http://slimages.macys.com/is/image/MCY/11436833 ")</f>
        <v xml:space="preserve">http://slimages.macys.com/is/image/MCY/11436833 </v>
      </c>
    </row>
    <row r="461" spans="1:13" ht="60" x14ac:dyDescent="0.25">
      <c r="A461" s="7" t="s">
        <v>7301</v>
      </c>
      <c r="B461" s="2" t="s">
        <v>7297</v>
      </c>
      <c r="C461" s="4">
        <v>1</v>
      </c>
      <c r="D461" s="5">
        <v>1.97</v>
      </c>
      <c r="E461" s="5">
        <v>5.99</v>
      </c>
      <c r="F461" s="4" t="s">
        <v>7298</v>
      </c>
      <c r="G461" s="2" t="s">
        <v>657</v>
      </c>
      <c r="H461" s="7" t="s">
        <v>42</v>
      </c>
      <c r="I461" s="2" t="s">
        <v>483</v>
      </c>
      <c r="J461" s="2" t="s">
        <v>536</v>
      </c>
      <c r="K461" s="2" t="s">
        <v>304</v>
      </c>
      <c r="L461" s="2" t="s">
        <v>119</v>
      </c>
      <c r="M461" s="8" t="str">
        <f>HYPERLINK("http://slimages.macys.com/is/image/MCY/12636887 ")</f>
        <v xml:space="preserve">http://slimages.macys.com/is/image/MCY/12636887 </v>
      </c>
    </row>
    <row r="462" spans="1:13" ht="60" x14ac:dyDescent="0.25">
      <c r="A462" s="7" t="s">
        <v>2415</v>
      </c>
      <c r="B462" s="2" t="s">
        <v>2416</v>
      </c>
      <c r="C462" s="4">
        <v>1</v>
      </c>
      <c r="D462" s="5">
        <v>1.47</v>
      </c>
      <c r="E462" s="5">
        <v>3.99</v>
      </c>
      <c r="F462" s="4" t="s">
        <v>2417</v>
      </c>
      <c r="G462" s="2" t="s">
        <v>297</v>
      </c>
      <c r="H462" s="7" t="s">
        <v>531</v>
      </c>
      <c r="I462" s="2" t="s">
        <v>483</v>
      </c>
      <c r="J462" s="2" t="s">
        <v>536</v>
      </c>
      <c r="K462" s="2" t="s">
        <v>304</v>
      </c>
      <c r="L462" s="2" t="s">
        <v>206</v>
      </c>
      <c r="M462" s="8" t="str">
        <f>HYPERLINK("http://slimages.macys.com/is/image/MCY/13987503 ")</f>
        <v xml:space="preserve">http://slimages.macys.com/is/image/MCY/13987503 </v>
      </c>
    </row>
    <row r="463" spans="1:13" ht="60" x14ac:dyDescent="0.25">
      <c r="A463" s="7" t="s">
        <v>2418</v>
      </c>
      <c r="B463" s="2" t="s">
        <v>2419</v>
      </c>
      <c r="C463" s="4">
        <v>1</v>
      </c>
      <c r="D463" s="5">
        <v>1.42</v>
      </c>
      <c r="E463" s="5">
        <v>3.99</v>
      </c>
      <c r="F463" s="4" t="s">
        <v>2420</v>
      </c>
      <c r="G463" s="2" t="s">
        <v>134</v>
      </c>
      <c r="H463" s="7" t="s">
        <v>531</v>
      </c>
      <c r="I463" s="2" t="s">
        <v>483</v>
      </c>
      <c r="J463" s="2" t="s">
        <v>536</v>
      </c>
      <c r="K463" s="2" t="s">
        <v>304</v>
      </c>
      <c r="L463" s="2" t="s">
        <v>2421</v>
      </c>
      <c r="M463" s="8" t="str">
        <f>HYPERLINK("http://slimages.macys.com/is/image/MCY/13987505 ")</f>
        <v xml:space="preserve">http://slimages.macys.com/is/image/MCY/13987505 </v>
      </c>
    </row>
    <row r="464" spans="1:13" ht="60" x14ac:dyDescent="0.25">
      <c r="A464" s="7" t="s">
        <v>13461</v>
      </c>
      <c r="B464" s="2" t="s">
        <v>9272</v>
      </c>
      <c r="C464" s="4">
        <v>3</v>
      </c>
      <c r="D464" s="5">
        <v>1.2</v>
      </c>
      <c r="E464" s="5">
        <v>2.99</v>
      </c>
      <c r="F464" s="4" t="s">
        <v>9273</v>
      </c>
      <c r="G464" s="2" t="s">
        <v>62</v>
      </c>
      <c r="H464" s="7" t="s">
        <v>604</v>
      </c>
      <c r="I464" s="2" t="s">
        <v>483</v>
      </c>
      <c r="J464" s="2" t="s">
        <v>2710</v>
      </c>
      <c r="K464" s="2" t="s">
        <v>304</v>
      </c>
      <c r="L464" s="2" t="s">
        <v>3452</v>
      </c>
      <c r="M464" s="8" t="str">
        <f>HYPERLINK("http://slimages.macys.com/is/image/MCY/11072328 ")</f>
        <v xml:space="preserve">http://slimages.macys.com/is/image/MCY/11072328 </v>
      </c>
    </row>
    <row r="465" spans="1:13" ht="60" x14ac:dyDescent="0.25">
      <c r="A465" s="7" t="s">
        <v>13462</v>
      </c>
      <c r="B465" s="2" t="s">
        <v>9272</v>
      </c>
      <c r="C465" s="4">
        <v>2</v>
      </c>
      <c r="D465" s="5">
        <v>1.2</v>
      </c>
      <c r="E465" s="5">
        <v>2.99</v>
      </c>
      <c r="F465" s="4" t="s">
        <v>9273</v>
      </c>
      <c r="G465" s="2" t="s">
        <v>62</v>
      </c>
      <c r="H465" s="7"/>
      <c r="I465" s="2" t="s">
        <v>483</v>
      </c>
      <c r="J465" s="2" t="s">
        <v>2710</v>
      </c>
      <c r="K465" s="2" t="s">
        <v>304</v>
      </c>
      <c r="L465" s="2" t="s">
        <v>3452</v>
      </c>
      <c r="M465" s="8" t="str">
        <f>HYPERLINK("http://slimages.macys.com/is/image/MCY/11072328 ")</f>
        <v xml:space="preserve">http://slimages.macys.com/is/image/MCY/11072328 </v>
      </c>
    </row>
    <row r="466" spans="1:13" ht="60" x14ac:dyDescent="0.25">
      <c r="A466" s="7" t="s">
        <v>13463</v>
      </c>
      <c r="B466" s="2" t="s">
        <v>9272</v>
      </c>
      <c r="C466" s="4">
        <v>3</v>
      </c>
      <c r="D466" s="5">
        <v>1.2</v>
      </c>
      <c r="E466" s="5">
        <v>2.99</v>
      </c>
      <c r="F466" s="4" t="s">
        <v>9273</v>
      </c>
      <c r="G466" s="2" t="s">
        <v>858</v>
      </c>
      <c r="H466" s="7" t="s">
        <v>586</v>
      </c>
      <c r="I466" s="2" t="s">
        <v>483</v>
      </c>
      <c r="J466" s="2" t="s">
        <v>2710</v>
      </c>
      <c r="K466" s="2" t="s">
        <v>304</v>
      </c>
      <c r="L466" s="2" t="s">
        <v>3452</v>
      </c>
      <c r="M466" s="8" t="str">
        <f>HYPERLINK("http://slimages.macys.com/is/image/MCY/11072328 ")</f>
        <v xml:space="preserve">http://slimages.macys.com/is/image/MCY/11072328 </v>
      </c>
    </row>
    <row r="467" spans="1:13" ht="60" x14ac:dyDescent="0.25">
      <c r="A467" s="7" t="s">
        <v>9271</v>
      </c>
      <c r="B467" s="2" t="s">
        <v>9272</v>
      </c>
      <c r="C467" s="4">
        <v>2</v>
      </c>
      <c r="D467" s="5">
        <v>1.2</v>
      </c>
      <c r="E467" s="5">
        <v>2.99</v>
      </c>
      <c r="F467" s="4" t="s">
        <v>9273</v>
      </c>
      <c r="G467" s="2" t="s">
        <v>62</v>
      </c>
      <c r="H467" s="7" t="s">
        <v>586</v>
      </c>
      <c r="I467" s="2" t="s">
        <v>483</v>
      </c>
      <c r="J467" s="2" t="s">
        <v>2710</v>
      </c>
      <c r="K467" s="2" t="s">
        <v>304</v>
      </c>
      <c r="L467" s="2" t="s">
        <v>3452</v>
      </c>
      <c r="M467" s="8" t="str">
        <f>HYPERLINK("http://slimages.macys.com/is/image/MCY/11072328 ")</f>
        <v xml:space="preserve">http://slimages.macys.com/is/image/MCY/11072328 </v>
      </c>
    </row>
    <row r="468" spans="1:13" ht="60" x14ac:dyDescent="0.25">
      <c r="A468" s="7" t="s">
        <v>13464</v>
      </c>
      <c r="B468" s="2" t="s">
        <v>9272</v>
      </c>
      <c r="C468" s="4">
        <v>3</v>
      </c>
      <c r="D468" s="5">
        <v>1.2</v>
      </c>
      <c r="E468" s="5">
        <v>2.99</v>
      </c>
      <c r="F468" s="4" t="s">
        <v>9273</v>
      </c>
      <c r="G468" s="2" t="s">
        <v>858</v>
      </c>
      <c r="H468" s="7" t="s">
        <v>604</v>
      </c>
      <c r="I468" s="2" t="s">
        <v>483</v>
      </c>
      <c r="J468" s="2" t="s">
        <v>2710</v>
      </c>
      <c r="K468" s="2" t="s">
        <v>304</v>
      </c>
      <c r="L468" s="2" t="s">
        <v>3452</v>
      </c>
      <c r="M468" s="8" t="str">
        <f>HYPERLINK("http://slimages.macys.com/is/image/MCY/11072328 ")</f>
        <v xml:space="preserve">http://slimages.macys.com/is/image/MCY/11072328 </v>
      </c>
    </row>
    <row r="469" spans="1:13" ht="36" x14ac:dyDescent="0.25">
      <c r="A469" s="7" t="s">
        <v>13465</v>
      </c>
      <c r="B469" s="2" t="s">
        <v>3563</v>
      </c>
      <c r="C469" s="4">
        <v>3</v>
      </c>
      <c r="D469" s="5">
        <v>11</v>
      </c>
      <c r="E469" s="5">
        <v>34</v>
      </c>
      <c r="F469" s="4" t="s">
        <v>3563</v>
      </c>
      <c r="G469" s="2" t="s">
        <v>41</v>
      </c>
      <c r="H469" s="7" t="s">
        <v>2740</v>
      </c>
      <c r="I469" s="2" t="s">
        <v>50</v>
      </c>
      <c r="J469" s="2" t="s">
        <v>650</v>
      </c>
      <c r="K469" s="2"/>
      <c r="L469" s="2"/>
      <c r="M469" s="8"/>
    </row>
    <row r="470" spans="1:13" ht="36" x14ac:dyDescent="0.25">
      <c r="A470" s="7" t="s">
        <v>13466</v>
      </c>
      <c r="B470" s="2" t="s">
        <v>3563</v>
      </c>
      <c r="C470" s="4">
        <v>1</v>
      </c>
      <c r="D470" s="5">
        <v>11</v>
      </c>
      <c r="E470" s="5">
        <v>34</v>
      </c>
      <c r="F470" s="4" t="s">
        <v>3563</v>
      </c>
      <c r="G470" s="2" t="s">
        <v>41</v>
      </c>
      <c r="H470" s="7" t="s">
        <v>179</v>
      </c>
      <c r="I470" s="2" t="s">
        <v>50</v>
      </c>
      <c r="J470" s="2" t="s">
        <v>650</v>
      </c>
      <c r="K470" s="2"/>
      <c r="L470" s="2"/>
      <c r="M470" s="8"/>
    </row>
    <row r="471" spans="1:13" ht="36" x14ac:dyDescent="0.25">
      <c r="A471" s="7" t="s">
        <v>13467</v>
      </c>
      <c r="B471" s="2" t="s">
        <v>3563</v>
      </c>
      <c r="C471" s="4">
        <v>2</v>
      </c>
      <c r="D471" s="5">
        <v>11</v>
      </c>
      <c r="E471" s="5">
        <v>34</v>
      </c>
      <c r="F471" s="4" t="s">
        <v>3563</v>
      </c>
      <c r="G471" s="2" t="s">
        <v>41</v>
      </c>
      <c r="H471" s="7" t="s">
        <v>2872</v>
      </c>
      <c r="I471" s="2" t="s">
        <v>50</v>
      </c>
      <c r="J471" s="2" t="s">
        <v>650</v>
      </c>
      <c r="K471" s="2"/>
      <c r="L471" s="2"/>
      <c r="M471" s="8"/>
    </row>
    <row r="472" spans="1:13" ht="36" x14ac:dyDescent="0.25">
      <c r="A472" s="7" t="s">
        <v>13468</v>
      </c>
      <c r="B472" s="2" t="s">
        <v>3563</v>
      </c>
      <c r="C472" s="4">
        <v>1</v>
      </c>
      <c r="D472" s="5">
        <v>11</v>
      </c>
      <c r="E472" s="5">
        <v>34</v>
      </c>
      <c r="F472" s="4" t="s">
        <v>3563</v>
      </c>
      <c r="G472" s="2" t="s">
        <v>41</v>
      </c>
      <c r="H472" s="7" t="s">
        <v>177</v>
      </c>
      <c r="I472" s="2" t="s">
        <v>50</v>
      </c>
      <c r="J472" s="2" t="s">
        <v>650</v>
      </c>
      <c r="K472" s="2"/>
      <c r="L472" s="2"/>
      <c r="M472" s="8"/>
    </row>
    <row r="473" spans="1:13" ht="36" x14ac:dyDescent="0.25">
      <c r="A473" s="7" t="s">
        <v>13469</v>
      </c>
      <c r="B473" s="2" t="s">
        <v>3563</v>
      </c>
      <c r="C473" s="4">
        <v>1</v>
      </c>
      <c r="D473" s="5">
        <v>11</v>
      </c>
      <c r="E473" s="5">
        <v>34</v>
      </c>
      <c r="F473" s="4" t="s">
        <v>3563</v>
      </c>
      <c r="G473" s="2" t="s">
        <v>41</v>
      </c>
      <c r="H473" s="7" t="s">
        <v>961</v>
      </c>
      <c r="I473" s="2" t="s">
        <v>50</v>
      </c>
      <c r="J473" s="2" t="s">
        <v>650</v>
      </c>
      <c r="K473" s="2"/>
      <c r="L473" s="2"/>
      <c r="M473" s="8"/>
    </row>
    <row r="474" spans="1:13" ht="36" x14ac:dyDescent="0.25">
      <c r="A474" s="7" t="s">
        <v>13470</v>
      </c>
      <c r="B474" s="2" t="s">
        <v>3563</v>
      </c>
      <c r="C474" s="4">
        <v>1</v>
      </c>
      <c r="D474" s="5">
        <v>11</v>
      </c>
      <c r="E474" s="5">
        <v>34</v>
      </c>
      <c r="F474" s="4" t="s">
        <v>3563</v>
      </c>
      <c r="G474" s="2" t="s">
        <v>41</v>
      </c>
      <c r="H474" s="7" t="s">
        <v>311</v>
      </c>
      <c r="I474" s="2" t="s">
        <v>50</v>
      </c>
      <c r="J474" s="2" t="s">
        <v>650</v>
      </c>
      <c r="K474" s="2"/>
      <c r="L474" s="2"/>
      <c r="M474" s="8"/>
    </row>
    <row r="475" spans="1:13" ht="36" x14ac:dyDescent="0.25">
      <c r="A475" s="7" t="s">
        <v>13471</v>
      </c>
      <c r="B475" s="2" t="s">
        <v>13472</v>
      </c>
      <c r="C475" s="4">
        <v>1</v>
      </c>
      <c r="D475" s="5">
        <v>10.5</v>
      </c>
      <c r="E475" s="5">
        <v>23.99</v>
      </c>
      <c r="F475" s="4" t="s">
        <v>8186</v>
      </c>
      <c r="G475" s="2" t="s">
        <v>41</v>
      </c>
      <c r="H475" s="7" t="s">
        <v>531</v>
      </c>
      <c r="I475" s="2" t="s">
        <v>815</v>
      </c>
      <c r="J475" s="2" t="s">
        <v>778</v>
      </c>
      <c r="K475" s="2"/>
      <c r="L475" s="2"/>
      <c r="M475" s="8"/>
    </row>
    <row r="476" spans="1:13" ht="36" x14ac:dyDescent="0.25">
      <c r="A476" s="7" t="s">
        <v>13473</v>
      </c>
      <c r="B476" s="2" t="s">
        <v>6097</v>
      </c>
      <c r="C476" s="4">
        <v>1</v>
      </c>
      <c r="D476" s="5">
        <v>10.5</v>
      </c>
      <c r="E476" s="5">
        <v>36</v>
      </c>
      <c r="F476" s="4" t="s">
        <v>6098</v>
      </c>
      <c r="G476" s="2" t="s">
        <v>657</v>
      </c>
      <c r="H476" s="7" t="s">
        <v>123</v>
      </c>
      <c r="I476" s="2" t="s">
        <v>50</v>
      </c>
      <c r="J476" s="2" t="s">
        <v>650</v>
      </c>
      <c r="K476" s="2"/>
      <c r="L476" s="2"/>
      <c r="M476" s="8"/>
    </row>
    <row r="477" spans="1:13" ht="36" x14ac:dyDescent="0.25">
      <c r="A477" s="7" t="s">
        <v>13474</v>
      </c>
      <c r="B477" s="2" t="s">
        <v>3583</v>
      </c>
      <c r="C477" s="4">
        <v>1</v>
      </c>
      <c r="D477" s="5">
        <v>10.25</v>
      </c>
      <c r="E477" s="5">
        <v>34</v>
      </c>
      <c r="F477" s="4" t="s">
        <v>3584</v>
      </c>
      <c r="G477" s="2" t="s">
        <v>28</v>
      </c>
      <c r="H477" s="7" t="s">
        <v>311</v>
      </c>
      <c r="I477" s="2" t="s">
        <v>50</v>
      </c>
      <c r="J477" s="2" t="s">
        <v>650</v>
      </c>
      <c r="K477" s="2"/>
      <c r="L477" s="2"/>
      <c r="M477" s="8"/>
    </row>
    <row r="478" spans="1:13" ht="36" x14ac:dyDescent="0.25">
      <c r="A478" s="7" t="s">
        <v>13475</v>
      </c>
      <c r="B478" s="2" t="s">
        <v>3583</v>
      </c>
      <c r="C478" s="4">
        <v>2</v>
      </c>
      <c r="D478" s="5">
        <v>10.25</v>
      </c>
      <c r="E478" s="5">
        <v>34</v>
      </c>
      <c r="F478" s="4" t="s">
        <v>3584</v>
      </c>
      <c r="G478" s="2" t="s">
        <v>28</v>
      </c>
      <c r="H478" s="7" t="s">
        <v>123</v>
      </c>
      <c r="I478" s="2" t="s">
        <v>50</v>
      </c>
      <c r="J478" s="2" t="s">
        <v>650</v>
      </c>
      <c r="K478" s="2"/>
      <c r="L478" s="2"/>
      <c r="M478" s="8"/>
    </row>
    <row r="479" spans="1:13" ht="36" x14ac:dyDescent="0.25">
      <c r="A479" s="7" t="s">
        <v>13476</v>
      </c>
      <c r="B479" s="2" t="s">
        <v>3583</v>
      </c>
      <c r="C479" s="4">
        <v>1</v>
      </c>
      <c r="D479" s="5">
        <v>10.25</v>
      </c>
      <c r="E479" s="5">
        <v>34</v>
      </c>
      <c r="F479" s="4" t="s">
        <v>3584</v>
      </c>
      <c r="G479" s="2" t="s">
        <v>28</v>
      </c>
      <c r="H479" s="7" t="s">
        <v>2740</v>
      </c>
      <c r="I479" s="2" t="s">
        <v>50</v>
      </c>
      <c r="J479" s="2" t="s">
        <v>650</v>
      </c>
      <c r="K479" s="2"/>
      <c r="L479" s="2"/>
      <c r="M479" s="8"/>
    </row>
    <row r="480" spans="1:13" ht="36" x14ac:dyDescent="0.25">
      <c r="A480" s="7" t="s">
        <v>13477</v>
      </c>
      <c r="B480" s="2" t="s">
        <v>3583</v>
      </c>
      <c r="C480" s="4">
        <v>2</v>
      </c>
      <c r="D480" s="5">
        <v>10.25</v>
      </c>
      <c r="E480" s="5">
        <v>34</v>
      </c>
      <c r="F480" s="4" t="s">
        <v>3584</v>
      </c>
      <c r="G480" s="2" t="s">
        <v>28</v>
      </c>
      <c r="H480" s="7" t="s">
        <v>179</v>
      </c>
      <c r="I480" s="2" t="s">
        <v>50</v>
      </c>
      <c r="J480" s="2" t="s">
        <v>650</v>
      </c>
      <c r="K480" s="2"/>
      <c r="L480" s="2"/>
      <c r="M480" s="8"/>
    </row>
    <row r="481" spans="1:13" ht="36" x14ac:dyDescent="0.25">
      <c r="A481" s="7" t="s">
        <v>13478</v>
      </c>
      <c r="B481" s="2" t="s">
        <v>3583</v>
      </c>
      <c r="C481" s="4">
        <v>2</v>
      </c>
      <c r="D481" s="5">
        <v>10.25</v>
      </c>
      <c r="E481" s="5">
        <v>34</v>
      </c>
      <c r="F481" s="4" t="s">
        <v>3584</v>
      </c>
      <c r="G481" s="2" t="s">
        <v>28</v>
      </c>
      <c r="H481" s="7" t="s">
        <v>166</v>
      </c>
      <c r="I481" s="2" t="s">
        <v>50</v>
      </c>
      <c r="J481" s="2" t="s">
        <v>650</v>
      </c>
      <c r="K481" s="2"/>
      <c r="L481" s="2"/>
      <c r="M481" s="8"/>
    </row>
    <row r="482" spans="1:13" ht="48" x14ac:dyDescent="0.25">
      <c r="A482" s="7" t="s">
        <v>13479</v>
      </c>
      <c r="B482" s="2" t="s">
        <v>4619</v>
      </c>
      <c r="C482" s="4">
        <v>2</v>
      </c>
      <c r="D482" s="5">
        <v>9.65</v>
      </c>
      <c r="E482" s="5">
        <v>19.3</v>
      </c>
      <c r="F482" s="4">
        <v>37865410</v>
      </c>
      <c r="G482" s="2"/>
      <c r="H482" s="7" t="s">
        <v>179</v>
      </c>
      <c r="I482" s="2" t="s">
        <v>487</v>
      </c>
      <c r="J482" s="2" t="s">
        <v>488</v>
      </c>
      <c r="K482" s="2"/>
      <c r="L482" s="2"/>
      <c r="M482" s="8"/>
    </row>
    <row r="483" spans="1:13" ht="36" x14ac:dyDescent="0.25">
      <c r="A483" s="7" t="s">
        <v>13480</v>
      </c>
      <c r="B483" s="2" t="s">
        <v>5115</v>
      </c>
      <c r="C483" s="4">
        <v>1</v>
      </c>
      <c r="D483" s="5">
        <v>9.25</v>
      </c>
      <c r="E483" s="5">
        <v>34</v>
      </c>
      <c r="F483" s="4" t="s">
        <v>5116</v>
      </c>
      <c r="G483" s="2" t="s">
        <v>437</v>
      </c>
      <c r="H483" s="7" t="s">
        <v>179</v>
      </c>
      <c r="I483" s="2" t="s">
        <v>50</v>
      </c>
      <c r="J483" s="2" t="s">
        <v>650</v>
      </c>
      <c r="K483" s="2"/>
      <c r="L483" s="2"/>
      <c r="M483" s="8"/>
    </row>
    <row r="484" spans="1:13" ht="24" x14ac:dyDescent="0.25">
      <c r="A484" s="7" t="s">
        <v>7303</v>
      </c>
      <c r="B484" s="2" t="s">
        <v>7304</v>
      </c>
      <c r="C484" s="4">
        <v>1</v>
      </c>
      <c r="D484" s="5">
        <v>8.01</v>
      </c>
      <c r="E484" s="5">
        <v>17.989999999999998</v>
      </c>
      <c r="F484" s="4" t="s">
        <v>7305</v>
      </c>
      <c r="G484" s="2" t="s">
        <v>527</v>
      </c>
      <c r="H484" s="7" t="s">
        <v>228</v>
      </c>
      <c r="I484" s="2" t="s">
        <v>80</v>
      </c>
      <c r="J484" s="2" t="s">
        <v>160</v>
      </c>
      <c r="K484" s="2"/>
      <c r="L484" s="2"/>
      <c r="M484" s="8"/>
    </row>
    <row r="485" spans="1:13" ht="36" x14ac:dyDescent="0.25">
      <c r="A485" s="7" t="s">
        <v>13481</v>
      </c>
      <c r="B485" s="2" t="s">
        <v>6662</v>
      </c>
      <c r="C485" s="4">
        <v>1</v>
      </c>
      <c r="D485" s="5">
        <v>7.05</v>
      </c>
      <c r="E485" s="5">
        <v>16.04</v>
      </c>
      <c r="F485" s="4">
        <v>17862810</v>
      </c>
      <c r="G485" s="2" t="s">
        <v>79</v>
      </c>
      <c r="H485" s="7" t="s">
        <v>438</v>
      </c>
      <c r="I485" s="2" t="s">
        <v>153</v>
      </c>
      <c r="J485" s="2" t="s">
        <v>154</v>
      </c>
      <c r="K485" s="2"/>
      <c r="L485" s="2"/>
      <c r="M485" s="8"/>
    </row>
  </sheetData>
  <pageMargins left="0.5" right="0.5" top="0.25" bottom="0.25" header="0.3" footer="0.3"/>
  <pageSetup scale="65" orientation="landscape" horizontalDpi="0" verticalDpi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593"/>
  <sheetViews>
    <sheetView workbookViewId="0">
      <selection activeCell="N4" sqref="N4"/>
    </sheetView>
  </sheetViews>
  <sheetFormatPr defaultRowHeight="15" x14ac:dyDescent="0.25"/>
  <cols>
    <col min="1" max="1" width="14.28515625" customWidth="1"/>
    <col min="2" max="2" width="46.28515625" customWidth="1"/>
    <col min="3" max="3" width="13.140625" customWidth="1"/>
    <col min="4" max="4" width="10.85546875" customWidth="1"/>
    <col min="5" max="5" width="12" customWidth="1"/>
    <col min="6" max="6" width="15" customWidth="1"/>
    <col min="7" max="7" width="10.28515625" customWidth="1"/>
    <col min="8" max="8" width="11" customWidth="1"/>
    <col min="9" max="11" width="11.42578125" customWidth="1"/>
    <col min="12" max="12" width="8" customWidth="1"/>
    <col min="13" max="13" width="10.85546875" customWidth="1"/>
    <col min="14" max="14" width="12.140625" customWidth="1"/>
    <col min="15" max="15" width="36.5703125" bestFit="1" customWidth="1"/>
    <col min="16" max="17" width="20.7109375" customWidth="1"/>
    <col min="18" max="18" width="64.28515625" customWidth="1"/>
  </cols>
  <sheetData>
    <row r="1" spans="1:13" ht="36" x14ac:dyDescent="0.25">
      <c r="A1" s="29" t="s">
        <v>0</v>
      </c>
      <c r="B1" s="29" t="s">
        <v>1</v>
      </c>
      <c r="C1" s="29" t="s">
        <v>2</v>
      </c>
      <c r="D1" s="29" t="s">
        <v>3</v>
      </c>
      <c r="E1" s="29" t="s">
        <v>4</v>
      </c>
      <c r="F1" s="29" t="s">
        <v>5</v>
      </c>
      <c r="G1" s="29" t="s">
        <v>6</v>
      </c>
      <c r="H1" s="29" t="s">
        <v>7</v>
      </c>
      <c r="I1" s="29" t="s">
        <v>8</v>
      </c>
      <c r="J1" s="29" t="s">
        <v>9</v>
      </c>
    </row>
    <row r="2" spans="1:13" ht="48" x14ac:dyDescent="0.25">
      <c r="A2" s="2" t="s">
        <v>10</v>
      </c>
      <c r="B2" s="3">
        <v>12407310</v>
      </c>
      <c r="C2" s="2" t="s">
        <v>11</v>
      </c>
      <c r="D2" s="2" t="s">
        <v>12</v>
      </c>
      <c r="E2" s="4">
        <v>1</v>
      </c>
      <c r="F2" s="4">
        <v>9</v>
      </c>
      <c r="G2" s="2">
        <v>270</v>
      </c>
      <c r="H2" s="5">
        <v>7417.21</v>
      </c>
      <c r="I2" s="5">
        <v>17948.990000000002</v>
      </c>
      <c r="J2" s="2">
        <v>1147</v>
      </c>
    </row>
    <row r="4" spans="1:13" s="6" customFormat="1" x14ac:dyDescent="0.25"/>
    <row r="7" spans="1:13" s="6" customFormat="1" x14ac:dyDescent="0.25"/>
    <row r="8" spans="1:13" ht="36" x14ac:dyDescent="0.25">
      <c r="A8" s="29" t="s">
        <v>13</v>
      </c>
      <c r="B8" s="29" t="s">
        <v>14</v>
      </c>
      <c r="C8" s="29" t="s">
        <v>15</v>
      </c>
      <c r="D8" s="29" t="s">
        <v>16</v>
      </c>
      <c r="E8" s="29" t="s">
        <v>17</v>
      </c>
      <c r="F8" s="29" t="s">
        <v>18</v>
      </c>
      <c r="G8" s="29" t="s">
        <v>19</v>
      </c>
      <c r="H8" s="29" t="s">
        <v>20</v>
      </c>
      <c r="I8" s="29" t="s">
        <v>21</v>
      </c>
      <c r="J8" s="29" t="s">
        <v>22</v>
      </c>
      <c r="K8" s="29" t="s">
        <v>2737</v>
      </c>
      <c r="L8" s="29" t="s">
        <v>23</v>
      </c>
      <c r="M8" s="29" t="s">
        <v>24</v>
      </c>
    </row>
    <row r="9" spans="1:13" ht="60" x14ac:dyDescent="0.25">
      <c r="A9" s="7" t="s">
        <v>12309</v>
      </c>
      <c r="B9" s="2" t="s">
        <v>12310</v>
      </c>
      <c r="C9" s="4">
        <v>4</v>
      </c>
      <c r="D9" s="5">
        <v>38</v>
      </c>
      <c r="E9" s="5">
        <v>76.989999999999995</v>
      </c>
      <c r="F9" s="4" t="s">
        <v>4631</v>
      </c>
      <c r="G9" s="2" t="s">
        <v>262</v>
      </c>
      <c r="H9" s="7" t="s">
        <v>2740</v>
      </c>
      <c r="I9" s="2" t="s">
        <v>30</v>
      </c>
      <c r="J9" s="2" t="s">
        <v>2986</v>
      </c>
      <c r="K9" s="2" t="s">
        <v>304</v>
      </c>
      <c r="L9" s="2" t="s">
        <v>712</v>
      </c>
      <c r="M9" s="8" t="str">
        <f>HYPERLINK("http://slimages.macys.com/is/image/MCY/12237744 ")</f>
        <v xml:space="preserve">http://slimages.macys.com/is/image/MCY/12237744 </v>
      </c>
    </row>
    <row r="10" spans="1:13" ht="60" x14ac:dyDescent="0.25">
      <c r="A10" s="7" t="s">
        <v>12311</v>
      </c>
      <c r="B10" s="2" t="s">
        <v>12312</v>
      </c>
      <c r="C10" s="4">
        <v>3</v>
      </c>
      <c r="D10" s="5">
        <v>38</v>
      </c>
      <c r="E10" s="5">
        <v>76.989999999999995</v>
      </c>
      <c r="F10" s="4" t="s">
        <v>11237</v>
      </c>
      <c r="G10" s="2" t="s">
        <v>1302</v>
      </c>
      <c r="H10" s="7" t="s">
        <v>97</v>
      </c>
      <c r="I10" s="2" t="s">
        <v>30</v>
      </c>
      <c r="J10" s="2" t="s">
        <v>2986</v>
      </c>
      <c r="K10" s="2" t="s">
        <v>304</v>
      </c>
      <c r="L10" s="2" t="s">
        <v>11238</v>
      </c>
      <c r="M10" s="8" t="str">
        <f>HYPERLINK("http://slimages.macys.com/is/image/MCY/12239134 ")</f>
        <v xml:space="preserve">http://slimages.macys.com/is/image/MCY/12239134 </v>
      </c>
    </row>
    <row r="11" spans="1:13" ht="60" x14ac:dyDescent="0.25">
      <c r="A11" s="7" t="s">
        <v>12313</v>
      </c>
      <c r="B11" s="2" t="s">
        <v>12314</v>
      </c>
      <c r="C11" s="4">
        <v>1</v>
      </c>
      <c r="D11" s="5">
        <v>38</v>
      </c>
      <c r="E11" s="5">
        <v>76.989999999999995</v>
      </c>
      <c r="F11" s="4" t="s">
        <v>11237</v>
      </c>
      <c r="G11" s="2" t="s">
        <v>1302</v>
      </c>
      <c r="H11" s="7" t="s">
        <v>177</v>
      </c>
      <c r="I11" s="2" t="s">
        <v>30</v>
      </c>
      <c r="J11" s="2" t="s">
        <v>2986</v>
      </c>
      <c r="K11" s="2" t="s">
        <v>304</v>
      </c>
      <c r="L11" s="2" t="s">
        <v>11238</v>
      </c>
      <c r="M11" s="8" t="str">
        <f>HYPERLINK("http://slimages.macys.com/is/image/MCY/12239134 ")</f>
        <v xml:space="preserve">http://slimages.macys.com/is/image/MCY/12239134 </v>
      </c>
    </row>
    <row r="12" spans="1:13" ht="60" x14ac:dyDescent="0.25">
      <c r="A12" s="7" t="s">
        <v>12315</v>
      </c>
      <c r="B12" s="2" t="s">
        <v>12316</v>
      </c>
      <c r="C12" s="4">
        <v>1</v>
      </c>
      <c r="D12" s="5">
        <v>38</v>
      </c>
      <c r="E12" s="5">
        <v>76.989999999999995</v>
      </c>
      <c r="F12" s="4" t="s">
        <v>4631</v>
      </c>
      <c r="G12" s="2" t="s">
        <v>262</v>
      </c>
      <c r="H12" s="7" t="s">
        <v>177</v>
      </c>
      <c r="I12" s="2" t="s">
        <v>30</v>
      </c>
      <c r="J12" s="2" t="s">
        <v>2986</v>
      </c>
      <c r="K12" s="2" t="s">
        <v>304</v>
      </c>
      <c r="L12" s="2" t="s">
        <v>712</v>
      </c>
      <c r="M12" s="8" t="str">
        <f>HYPERLINK("http://slimages.macys.com/is/image/MCY/12237744 ")</f>
        <v xml:space="preserve">http://slimages.macys.com/is/image/MCY/12237744 </v>
      </c>
    </row>
    <row r="13" spans="1:13" ht="60" x14ac:dyDescent="0.25">
      <c r="A13" s="7" t="s">
        <v>11802</v>
      </c>
      <c r="B13" s="2" t="s">
        <v>12317</v>
      </c>
      <c r="C13" s="4">
        <v>2</v>
      </c>
      <c r="D13" s="5">
        <v>38</v>
      </c>
      <c r="E13" s="5">
        <v>76.989999999999995</v>
      </c>
      <c r="F13" s="4" t="s">
        <v>4631</v>
      </c>
      <c r="G13" s="2" t="s">
        <v>262</v>
      </c>
      <c r="H13" s="7" t="s">
        <v>172</v>
      </c>
      <c r="I13" s="2" t="s">
        <v>30</v>
      </c>
      <c r="J13" s="2" t="s">
        <v>2986</v>
      </c>
      <c r="K13" s="2" t="s">
        <v>304</v>
      </c>
      <c r="L13" s="2" t="s">
        <v>712</v>
      </c>
      <c r="M13" s="8" t="str">
        <f>HYPERLINK("http://slimages.macys.com/is/image/MCY/12237744 ")</f>
        <v xml:space="preserve">http://slimages.macys.com/is/image/MCY/12237744 </v>
      </c>
    </row>
    <row r="14" spans="1:13" ht="60" x14ac:dyDescent="0.25">
      <c r="A14" s="7" t="s">
        <v>10333</v>
      </c>
      <c r="B14" s="2" t="s">
        <v>12318</v>
      </c>
      <c r="C14" s="4">
        <v>5</v>
      </c>
      <c r="D14" s="5">
        <v>38</v>
      </c>
      <c r="E14" s="5">
        <v>76.989999999999995</v>
      </c>
      <c r="F14" s="4" t="s">
        <v>4631</v>
      </c>
      <c r="G14" s="2" t="s">
        <v>262</v>
      </c>
      <c r="H14" s="7" t="s">
        <v>97</v>
      </c>
      <c r="I14" s="2" t="s">
        <v>30</v>
      </c>
      <c r="J14" s="2" t="s">
        <v>2986</v>
      </c>
      <c r="K14" s="2" t="s">
        <v>304</v>
      </c>
      <c r="L14" s="2" t="s">
        <v>712</v>
      </c>
      <c r="M14" s="8" t="str">
        <f>HYPERLINK("http://slimages.macys.com/is/image/MCY/12237744 ")</f>
        <v xml:space="preserve">http://slimages.macys.com/is/image/MCY/12237744 </v>
      </c>
    </row>
    <row r="15" spans="1:13" ht="60" x14ac:dyDescent="0.25">
      <c r="A15" s="7" t="s">
        <v>12319</v>
      </c>
      <c r="B15" s="2" t="s">
        <v>12320</v>
      </c>
      <c r="C15" s="4">
        <v>4</v>
      </c>
      <c r="D15" s="5">
        <v>38</v>
      </c>
      <c r="E15" s="5">
        <v>71.989999999999995</v>
      </c>
      <c r="F15" s="4" t="s">
        <v>7312</v>
      </c>
      <c r="G15" s="2" t="s">
        <v>814</v>
      </c>
      <c r="H15" s="7" t="s">
        <v>1411</v>
      </c>
      <c r="I15" s="2" t="s">
        <v>30</v>
      </c>
      <c r="J15" s="2" t="s">
        <v>1409</v>
      </c>
      <c r="K15" s="2" t="s">
        <v>304</v>
      </c>
      <c r="L15" s="2" t="s">
        <v>38</v>
      </c>
      <c r="M15" s="8" t="str">
        <f>HYPERLINK("http://slimages.macys.com/is/image/MCY/11714437 ")</f>
        <v xml:space="preserve">http://slimages.macys.com/is/image/MCY/11714437 </v>
      </c>
    </row>
    <row r="16" spans="1:13" ht="60" x14ac:dyDescent="0.25">
      <c r="A16" s="7" t="s">
        <v>12321</v>
      </c>
      <c r="B16" s="2" t="s">
        <v>12322</v>
      </c>
      <c r="C16" s="4">
        <v>1</v>
      </c>
      <c r="D16" s="5">
        <v>38</v>
      </c>
      <c r="E16" s="5">
        <v>71.989999999999995</v>
      </c>
      <c r="F16" s="4" t="s">
        <v>7312</v>
      </c>
      <c r="G16" s="2" t="s">
        <v>814</v>
      </c>
      <c r="H16" s="7" t="s">
        <v>56</v>
      </c>
      <c r="I16" s="2" t="s">
        <v>30</v>
      </c>
      <c r="J16" s="2" t="s">
        <v>1409</v>
      </c>
      <c r="K16" s="2" t="s">
        <v>304</v>
      </c>
      <c r="L16" s="2" t="s">
        <v>38</v>
      </c>
      <c r="M16" s="8" t="str">
        <f>HYPERLINK("http://slimages.macys.com/is/image/MCY/11714437 ")</f>
        <v xml:space="preserve">http://slimages.macys.com/is/image/MCY/11714437 </v>
      </c>
    </row>
    <row r="17" spans="1:13" ht="60" x14ac:dyDescent="0.25">
      <c r="A17" s="7" t="s">
        <v>12323</v>
      </c>
      <c r="B17" s="2" t="s">
        <v>12324</v>
      </c>
      <c r="C17" s="4">
        <v>1</v>
      </c>
      <c r="D17" s="5">
        <v>38</v>
      </c>
      <c r="E17" s="5">
        <v>71.989999999999995</v>
      </c>
      <c r="F17" s="4" t="s">
        <v>7309</v>
      </c>
      <c r="G17" s="2" t="s">
        <v>41</v>
      </c>
      <c r="H17" s="7" t="s">
        <v>177</v>
      </c>
      <c r="I17" s="2" t="s">
        <v>30</v>
      </c>
      <c r="J17" s="2" t="s">
        <v>1409</v>
      </c>
      <c r="K17" s="2" t="s">
        <v>304</v>
      </c>
      <c r="L17" s="2" t="s">
        <v>100</v>
      </c>
      <c r="M17" s="8" t="str">
        <f>HYPERLINK("http://slimages.macys.com/is/image/MCY/11714503 ")</f>
        <v xml:space="preserve">http://slimages.macys.com/is/image/MCY/11714503 </v>
      </c>
    </row>
    <row r="18" spans="1:13" ht="60" x14ac:dyDescent="0.25">
      <c r="A18" s="7" t="s">
        <v>7310</v>
      </c>
      <c r="B18" s="2" t="s">
        <v>12325</v>
      </c>
      <c r="C18" s="4">
        <v>2</v>
      </c>
      <c r="D18" s="5">
        <v>38</v>
      </c>
      <c r="E18" s="5">
        <v>71.989999999999995</v>
      </c>
      <c r="F18" s="4" t="s">
        <v>7312</v>
      </c>
      <c r="G18" s="2" t="s">
        <v>814</v>
      </c>
      <c r="H18" s="7" t="s">
        <v>172</v>
      </c>
      <c r="I18" s="2" t="s">
        <v>30</v>
      </c>
      <c r="J18" s="2" t="s">
        <v>1409</v>
      </c>
      <c r="K18" s="2" t="s">
        <v>304</v>
      </c>
      <c r="L18" s="2" t="s">
        <v>38</v>
      </c>
      <c r="M18" s="8" t="str">
        <f>HYPERLINK("http://slimages.macys.com/is/image/MCY/11714437 ")</f>
        <v xml:space="preserve">http://slimages.macys.com/is/image/MCY/11714437 </v>
      </c>
    </row>
    <row r="19" spans="1:13" ht="60" x14ac:dyDescent="0.25">
      <c r="A19" s="7" t="s">
        <v>12326</v>
      </c>
      <c r="B19" s="2" t="s">
        <v>12327</v>
      </c>
      <c r="C19" s="4">
        <v>1</v>
      </c>
      <c r="D19" s="5">
        <v>38</v>
      </c>
      <c r="E19" s="5">
        <v>71.989999999999995</v>
      </c>
      <c r="F19" s="4" t="s">
        <v>1408</v>
      </c>
      <c r="G19" s="2" t="s">
        <v>814</v>
      </c>
      <c r="H19" s="7" t="s">
        <v>177</v>
      </c>
      <c r="I19" s="2" t="s">
        <v>30</v>
      </c>
      <c r="J19" s="2" t="s">
        <v>1409</v>
      </c>
      <c r="K19" s="2" t="s">
        <v>304</v>
      </c>
      <c r="L19" s="2" t="s">
        <v>206</v>
      </c>
      <c r="M19" s="8" t="str">
        <f>HYPERLINK("http://slimages.macys.com/is/image/MCY/11603207 ")</f>
        <v xml:space="preserve">http://slimages.macys.com/is/image/MCY/11603207 </v>
      </c>
    </row>
    <row r="20" spans="1:13" ht="60" x14ac:dyDescent="0.25">
      <c r="A20" s="7" t="s">
        <v>8086</v>
      </c>
      <c r="B20" s="2" t="s">
        <v>12328</v>
      </c>
      <c r="C20" s="4">
        <v>2</v>
      </c>
      <c r="D20" s="5">
        <v>38</v>
      </c>
      <c r="E20" s="5">
        <v>71.989999999999995</v>
      </c>
      <c r="F20" s="4" t="s">
        <v>1408</v>
      </c>
      <c r="G20" s="2" t="s">
        <v>814</v>
      </c>
      <c r="H20" s="7" t="s">
        <v>97</v>
      </c>
      <c r="I20" s="2" t="s">
        <v>30</v>
      </c>
      <c r="J20" s="2" t="s">
        <v>1409</v>
      </c>
      <c r="K20" s="2" t="s">
        <v>304</v>
      </c>
      <c r="L20" s="2" t="s">
        <v>206</v>
      </c>
      <c r="M20" s="8" t="str">
        <f>HYPERLINK("http://slimages.macys.com/is/image/MCY/11603207 ")</f>
        <v xml:space="preserve">http://slimages.macys.com/is/image/MCY/11603207 </v>
      </c>
    </row>
    <row r="21" spans="1:13" ht="60" x14ac:dyDescent="0.25">
      <c r="A21" s="7" t="s">
        <v>8087</v>
      </c>
      <c r="B21" s="2" t="s">
        <v>12329</v>
      </c>
      <c r="C21" s="4">
        <v>2</v>
      </c>
      <c r="D21" s="5">
        <v>38</v>
      </c>
      <c r="E21" s="5">
        <v>71.989999999999995</v>
      </c>
      <c r="F21" s="4" t="s">
        <v>1408</v>
      </c>
      <c r="G21" s="2" t="s">
        <v>814</v>
      </c>
      <c r="H21" s="7" t="s">
        <v>56</v>
      </c>
      <c r="I21" s="2" t="s">
        <v>30</v>
      </c>
      <c r="J21" s="2" t="s">
        <v>1409</v>
      </c>
      <c r="K21" s="2" t="s">
        <v>304</v>
      </c>
      <c r="L21" s="2" t="s">
        <v>206</v>
      </c>
      <c r="M21" s="8" t="str">
        <f>HYPERLINK("http://slimages.macys.com/is/image/MCY/11603207 ")</f>
        <v xml:space="preserve">http://slimages.macys.com/is/image/MCY/11603207 </v>
      </c>
    </row>
    <row r="22" spans="1:13" ht="60" x14ac:dyDescent="0.25">
      <c r="A22" s="7" t="s">
        <v>12330</v>
      </c>
      <c r="B22" s="2" t="s">
        <v>12331</v>
      </c>
      <c r="C22" s="4">
        <v>3</v>
      </c>
      <c r="D22" s="5">
        <v>24.75</v>
      </c>
      <c r="E22" s="5">
        <v>55</v>
      </c>
      <c r="F22" s="4">
        <v>323712247002</v>
      </c>
      <c r="G22" s="2" t="s">
        <v>129</v>
      </c>
      <c r="H22" s="7" t="s">
        <v>228</v>
      </c>
      <c r="I22" s="2" t="s">
        <v>204</v>
      </c>
      <c r="J22" s="2" t="s">
        <v>205</v>
      </c>
      <c r="K22" s="2" t="s">
        <v>304</v>
      </c>
      <c r="L22" s="2" t="s">
        <v>12332</v>
      </c>
      <c r="M22" s="8" t="str">
        <f>HYPERLINK("http://slimages.macys.com/is/image/MCY/10785338 ")</f>
        <v xml:space="preserve">http://slimages.macys.com/is/image/MCY/10785338 </v>
      </c>
    </row>
    <row r="23" spans="1:13" ht="60" x14ac:dyDescent="0.25">
      <c r="A23" s="7" t="s">
        <v>12333</v>
      </c>
      <c r="B23" s="2" t="s">
        <v>12334</v>
      </c>
      <c r="C23" s="4">
        <v>2</v>
      </c>
      <c r="D23" s="5">
        <v>24.75</v>
      </c>
      <c r="E23" s="5">
        <v>55</v>
      </c>
      <c r="F23" s="4">
        <v>323712247002</v>
      </c>
      <c r="G23" s="2" t="s">
        <v>129</v>
      </c>
      <c r="H23" s="7" t="s">
        <v>217</v>
      </c>
      <c r="I23" s="2" t="s">
        <v>204</v>
      </c>
      <c r="J23" s="2" t="s">
        <v>205</v>
      </c>
      <c r="K23" s="2" t="s">
        <v>304</v>
      </c>
      <c r="L23" s="2" t="s">
        <v>12332</v>
      </c>
      <c r="M23" s="8" t="str">
        <f>HYPERLINK("http://slimages.macys.com/is/image/MCY/10785338 ")</f>
        <v xml:space="preserve">http://slimages.macys.com/is/image/MCY/10785338 </v>
      </c>
    </row>
    <row r="24" spans="1:13" ht="132" x14ac:dyDescent="0.25">
      <c r="A24" s="7" t="s">
        <v>12335</v>
      </c>
      <c r="B24" s="2" t="s">
        <v>12336</v>
      </c>
      <c r="C24" s="4">
        <v>1</v>
      </c>
      <c r="D24" s="5">
        <v>23</v>
      </c>
      <c r="E24" s="5">
        <v>51.99</v>
      </c>
      <c r="F24" s="4" t="s">
        <v>4666</v>
      </c>
      <c r="G24" s="2" t="s">
        <v>657</v>
      </c>
      <c r="H24" s="7" t="s">
        <v>166</v>
      </c>
      <c r="I24" s="2" t="s">
        <v>3129</v>
      </c>
      <c r="J24" s="2" t="s">
        <v>4667</v>
      </c>
      <c r="K24" s="2" t="s">
        <v>304</v>
      </c>
      <c r="L24" s="2" t="s">
        <v>4668</v>
      </c>
      <c r="M24" s="8" t="str">
        <f>HYPERLINK("http://slimages.macys.com/is/image/MCY/8687592 ")</f>
        <v xml:space="preserve">http://slimages.macys.com/is/image/MCY/8687592 </v>
      </c>
    </row>
    <row r="25" spans="1:13" ht="60" x14ac:dyDescent="0.25">
      <c r="A25" s="7" t="s">
        <v>12337</v>
      </c>
      <c r="B25" s="2" t="s">
        <v>12338</v>
      </c>
      <c r="C25" s="4">
        <v>1</v>
      </c>
      <c r="D25" s="5">
        <v>21.75</v>
      </c>
      <c r="E25" s="5">
        <v>59.99</v>
      </c>
      <c r="F25" s="4" t="s">
        <v>12339</v>
      </c>
      <c r="G25" s="2" t="s">
        <v>698</v>
      </c>
      <c r="H25" s="7" t="s">
        <v>172</v>
      </c>
      <c r="I25" s="2" t="s">
        <v>668</v>
      </c>
      <c r="J25" s="2" t="s">
        <v>5228</v>
      </c>
      <c r="K25" s="2" t="s">
        <v>304</v>
      </c>
      <c r="L25" s="2" t="s">
        <v>3629</v>
      </c>
      <c r="M25" s="8" t="str">
        <f>HYPERLINK("http://slimages.macys.com/is/image/MCY/12267007 ")</f>
        <v xml:space="preserve">http://slimages.macys.com/is/image/MCY/12267007 </v>
      </c>
    </row>
    <row r="26" spans="1:13" ht="60" x14ac:dyDescent="0.25">
      <c r="A26" s="7" t="s">
        <v>12340</v>
      </c>
      <c r="B26" s="2" t="s">
        <v>12341</v>
      </c>
      <c r="C26" s="4">
        <v>1</v>
      </c>
      <c r="D26" s="5">
        <v>18.5</v>
      </c>
      <c r="E26" s="5">
        <v>36.99</v>
      </c>
      <c r="F26" s="4" t="s">
        <v>12342</v>
      </c>
      <c r="G26" s="2" t="s">
        <v>171</v>
      </c>
      <c r="H26" s="7" t="s">
        <v>2791</v>
      </c>
      <c r="I26" s="2" t="s">
        <v>30</v>
      </c>
      <c r="J26" s="2" t="s">
        <v>31</v>
      </c>
      <c r="K26" s="2" t="s">
        <v>304</v>
      </c>
      <c r="L26" s="2" t="s">
        <v>100</v>
      </c>
      <c r="M26" s="8" t="str">
        <f>HYPERLINK("http://slimages.macys.com/is/image/MCY/11831203 ")</f>
        <v xml:space="preserve">http://slimages.macys.com/is/image/MCY/11831203 </v>
      </c>
    </row>
    <row r="27" spans="1:13" ht="60" x14ac:dyDescent="0.25">
      <c r="A27" s="7" t="s">
        <v>12343</v>
      </c>
      <c r="B27" s="2" t="s">
        <v>12344</v>
      </c>
      <c r="C27" s="4">
        <v>1</v>
      </c>
      <c r="D27" s="5">
        <v>18.5</v>
      </c>
      <c r="E27" s="5">
        <v>36.99</v>
      </c>
      <c r="F27" s="4" t="s">
        <v>12342</v>
      </c>
      <c r="G27" s="2" t="s">
        <v>171</v>
      </c>
      <c r="H27" s="7" t="s">
        <v>37</v>
      </c>
      <c r="I27" s="2" t="s">
        <v>30</v>
      </c>
      <c r="J27" s="2" t="s">
        <v>31</v>
      </c>
      <c r="K27" s="2" t="s">
        <v>304</v>
      </c>
      <c r="L27" s="2" t="s">
        <v>100</v>
      </c>
      <c r="M27" s="8" t="str">
        <f>HYPERLINK("http://slimages.macys.com/is/image/MCY/11831203 ")</f>
        <v xml:space="preserve">http://slimages.macys.com/is/image/MCY/11831203 </v>
      </c>
    </row>
    <row r="28" spans="1:13" ht="60" x14ac:dyDescent="0.25">
      <c r="A28" s="7" t="s">
        <v>12345</v>
      </c>
      <c r="B28" s="2" t="s">
        <v>12346</v>
      </c>
      <c r="C28" s="4">
        <v>1</v>
      </c>
      <c r="D28" s="5">
        <v>18.5</v>
      </c>
      <c r="E28" s="5">
        <v>36.99</v>
      </c>
      <c r="F28" s="4" t="s">
        <v>12342</v>
      </c>
      <c r="G28" s="2" t="s">
        <v>171</v>
      </c>
      <c r="H28" s="7" t="s">
        <v>662</v>
      </c>
      <c r="I28" s="2" t="s">
        <v>30</v>
      </c>
      <c r="J28" s="2" t="s">
        <v>31</v>
      </c>
      <c r="K28" s="2" t="s">
        <v>304</v>
      </c>
      <c r="L28" s="2" t="s">
        <v>100</v>
      </c>
      <c r="M28" s="8" t="str">
        <f>HYPERLINK("http://slimages.macys.com/is/image/MCY/11831203 ")</f>
        <v xml:space="preserve">http://slimages.macys.com/is/image/MCY/11831203 </v>
      </c>
    </row>
    <row r="29" spans="1:13" ht="60" x14ac:dyDescent="0.25">
      <c r="A29" s="7" t="s">
        <v>12347</v>
      </c>
      <c r="B29" s="2" t="s">
        <v>12348</v>
      </c>
      <c r="C29" s="4">
        <v>1</v>
      </c>
      <c r="D29" s="5">
        <v>17.8</v>
      </c>
      <c r="E29" s="5">
        <v>44.5</v>
      </c>
      <c r="F29" s="4" t="s">
        <v>6699</v>
      </c>
      <c r="G29" s="2" t="s">
        <v>79</v>
      </c>
      <c r="H29" s="7" t="s">
        <v>166</v>
      </c>
      <c r="I29" s="2" t="s">
        <v>690</v>
      </c>
      <c r="J29" s="2" t="s">
        <v>58</v>
      </c>
      <c r="K29" s="2" t="s">
        <v>304</v>
      </c>
      <c r="L29" s="2" t="s">
        <v>87</v>
      </c>
      <c r="M29" s="8" t="str">
        <f>HYPERLINK("http://slimages.macys.com/is/image/MCY/13049212 ")</f>
        <v xml:space="preserve">http://slimages.macys.com/is/image/MCY/13049212 </v>
      </c>
    </row>
    <row r="30" spans="1:13" ht="60" x14ac:dyDescent="0.25">
      <c r="A30" s="7" t="s">
        <v>12349</v>
      </c>
      <c r="B30" s="2" t="s">
        <v>12350</v>
      </c>
      <c r="C30" s="4">
        <v>1</v>
      </c>
      <c r="D30" s="5">
        <v>15.8</v>
      </c>
      <c r="E30" s="5">
        <v>39.5</v>
      </c>
      <c r="F30" s="4" t="s">
        <v>12351</v>
      </c>
      <c r="G30" s="2" t="s">
        <v>698</v>
      </c>
      <c r="H30" s="7"/>
      <c r="I30" s="2" t="s">
        <v>57</v>
      </c>
      <c r="J30" s="2" t="s">
        <v>58</v>
      </c>
      <c r="K30" s="2" t="s">
        <v>304</v>
      </c>
      <c r="L30" s="2" t="s">
        <v>119</v>
      </c>
      <c r="M30" s="8" t="str">
        <f>HYPERLINK("http://slimages.macys.com/is/image/MCY/13787082 ")</f>
        <v xml:space="preserve">http://slimages.macys.com/is/image/MCY/13787082 </v>
      </c>
    </row>
    <row r="31" spans="1:13" ht="60" x14ac:dyDescent="0.25">
      <c r="A31" s="7" t="s">
        <v>12352</v>
      </c>
      <c r="B31" s="2" t="s">
        <v>12353</v>
      </c>
      <c r="C31" s="4">
        <v>1</v>
      </c>
      <c r="D31" s="5">
        <v>15.73</v>
      </c>
      <c r="E31" s="5">
        <v>42.5</v>
      </c>
      <c r="F31" s="4" t="s">
        <v>12354</v>
      </c>
      <c r="G31" s="2" t="s">
        <v>800</v>
      </c>
      <c r="H31" s="7" t="s">
        <v>123</v>
      </c>
      <c r="I31" s="2" t="s">
        <v>880</v>
      </c>
      <c r="J31" s="2" t="s">
        <v>881</v>
      </c>
      <c r="K31" s="2" t="s">
        <v>304</v>
      </c>
      <c r="L31" s="2" t="s">
        <v>1748</v>
      </c>
      <c r="M31" s="8" t="str">
        <f>HYPERLINK("http://slimages.macys.com/is/image/MCY/13298652 ")</f>
        <v xml:space="preserve">http://slimages.macys.com/is/image/MCY/13298652 </v>
      </c>
    </row>
    <row r="32" spans="1:13" ht="60" x14ac:dyDescent="0.25">
      <c r="A32" s="7" t="s">
        <v>12355</v>
      </c>
      <c r="B32" s="2" t="s">
        <v>12356</v>
      </c>
      <c r="C32" s="4">
        <v>1</v>
      </c>
      <c r="D32" s="5">
        <v>15.57</v>
      </c>
      <c r="E32" s="5">
        <v>31.99</v>
      </c>
      <c r="F32" s="4" t="s">
        <v>12357</v>
      </c>
      <c r="G32" s="2" t="s">
        <v>165</v>
      </c>
      <c r="H32" s="7" t="s">
        <v>159</v>
      </c>
      <c r="I32" s="2" t="s">
        <v>80</v>
      </c>
      <c r="J32" s="2" t="s">
        <v>160</v>
      </c>
      <c r="K32" s="2" t="s">
        <v>304</v>
      </c>
      <c r="L32" s="2" t="s">
        <v>125</v>
      </c>
      <c r="M32" s="8" t="str">
        <f>HYPERLINK("http://slimages.macys.com/is/image/MCY/11791342 ")</f>
        <v xml:space="preserve">http://slimages.macys.com/is/image/MCY/11791342 </v>
      </c>
    </row>
    <row r="33" spans="1:13" ht="60" x14ac:dyDescent="0.25">
      <c r="A33" s="7" t="s">
        <v>12358</v>
      </c>
      <c r="B33" s="2" t="s">
        <v>12359</v>
      </c>
      <c r="C33" s="4">
        <v>2</v>
      </c>
      <c r="D33" s="5">
        <v>15.57</v>
      </c>
      <c r="E33" s="5">
        <v>31.99</v>
      </c>
      <c r="F33" s="4" t="s">
        <v>12357</v>
      </c>
      <c r="G33" s="2" t="s">
        <v>165</v>
      </c>
      <c r="H33" s="7" t="s">
        <v>228</v>
      </c>
      <c r="I33" s="2" t="s">
        <v>80</v>
      </c>
      <c r="J33" s="2" t="s">
        <v>160</v>
      </c>
      <c r="K33" s="2" t="s">
        <v>304</v>
      </c>
      <c r="L33" s="2" t="s">
        <v>125</v>
      </c>
      <c r="M33" s="8" t="str">
        <f>HYPERLINK("http://slimages.macys.com/is/image/MCY/11791342 ")</f>
        <v xml:space="preserve">http://slimages.macys.com/is/image/MCY/11791342 </v>
      </c>
    </row>
    <row r="34" spans="1:13" ht="60" x14ac:dyDescent="0.25">
      <c r="A34" s="7" t="s">
        <v>12360</v>
      </c>
      <c r="B34" s="2" t="s">
        <v>12361</v>
      </c>
      <c r="C34" s="4">
        <v>1</v>
      </c>
      <c r="D34" s="5">
        <v>15.57</v>
      </c>
      <c r="E34" s="5">
        <v>31.99</v>
      </c>
      <c r="F34" s="4" t="s">
        <v>12357</v>
      </c>
      <c r="G34" s="2" t="s">
        <v>165</v>
      </c>
      <c r="H34" s="7" t="s">
        <v>284</v>
      </c>
      <c r="I34" s="2" t="s">
        <v>80</v>
      </c>
      <c r="J34" s="2" t="s">
        <v>160</v>
      </c>
      <c r="K34" s="2" t="s">
        <v>304</v>
      </c>
      <c r="L34" s="2" t="s">
        <v>125</v>
      </c>
      <c r="M34" s="8" t="str">
        <f>HYPERLINK("http://slimages.macys.com/is/image/MCY/11791342 ")</f>
        <v xml:space="preserve">http://slimages.macys.com/is/image/MCY/11791342 </v>
      </c>
    </row>
    <row r="35" spans="1:13" ht="60" x14ac:dyDescent="0.25">
      <c r="A35" s="7" t="s">
        <v>12362</v>
      </c>
      <c r="B35" s="2" t="s">
        <v>12363</v>
      </c>
      <c r="C35" s="4">
        <v>1</v>
      </c>
      <c r="D35" s="5">
        <v>15</v>
      </c>
      <c r="E35" s="5">
        <v>37.5</v>
      </c>
      <c r="F35" s="4" t="s">
        <v>5177</v>
      </c>
      <c r="G35" s="2" t="s">
        <v>41</v>
      </c>
      <c r="H35" s="7" t="s">
        <v>144</v>
      </c>
      <c r="I35" s="2" t="s">
        <v>690</v>
      </c>
      <c r="J35" s="2" t="s">
        <v>58</v>
      </c>
      <c r="K35" s="2" t="s">
        <v>304</v>
      </c>
      <c r="L35" s="2" t="s">
        <v>100</v>
      </c>
      <c r="M35" s="8" t="str">
        <f>HYPERLINK("http://slimages.macys.com/is/image/MCY/13049148 ")</f>
        <v xml:space="preserve">http://slimages.macys.com/is/image/MCY/13049148 </v>
      </c>
    </row>
    <row r="36" spans="1:13" ht="60" x14ac:dyDescent="0.25">
      <c r="A36" s="7" t="s">
        <v>2978</v>
      </c>
      <c r="B36" s="2" t="s">
        <v>12364</v>
      </c>
      <c r="C36" s="4">
        <v>1</v>
      </c>
      <c r="D36" s="5">
        <v>15</v>
      </c>
      <c r="E36" s="5">
        <v>39.99</v>
      </c>
      <c r="F36" s="4" t="s">
        <v>1478</v>
      </c>
      <c r="G36" s="2" t="s">
        <v>36</v>
      </c>
      <c r="H36" s="7" t="s">
        <v>590</v>
      </c>
      <c r="I36" s="2" t="s">
        <v>92</v>
      </c>
      <c r="J36" s="2" t="s">
        <v>187</v>
      </c>
      <c r="K36" s="2" t="s">
        <v>304</v>
      </c>
      <c r="L36" s="2" t="s">
        <v>1479</v>
      </c>
      <c r="M36" s="8" t="str">
        <f>HYPERLINK("http://slimages.macys.com/is/image/MCY/13310887 ")</f>
        <v xml:space="preserve">http://slimages.macys.com/is/image/MCY/13310887 </v>
      </c>
    </row>
    <row r="37" spans="1:13" ht="108" x14ac:dyDescent="0.25">
      <c r="A37" s="7" t="s">
        <v>12365</v>
      </c>
      <c r="B37" s="2" t="s">
        <v>12366</v>
      </c>
      <c r="C37" s="4">
        <v>1</v>
      </c>
      <c r="D37" s="5">
        <v>15</v>
      </c>
      <c r="E37" s="5">
        <v>39.99</v>
      </c>
      <c r="F37" s="4" t="s">
        <v>12367</v>
      </c>
      <c r="G37" s="2" t="s">
        <v>1265</v>
      </c>
      <c r="H37" s="7" t="s">
        <v>42</v>
      </c>
      <c r="I37" s="2" t="s">
        <v>92</v>
      </c>
      <c r="J37" s="2" t="s">
        <v>239</v>
      </c>
      <c r="K37" s="2" t="s">
        <v>304</v>
      </c>
      <c r="L37" s="2" t="s">
        <v>12368</v>
      </c>
      <c r="M37" s="8" t="str">
        <f>HYPERLINK("http://slimages.macys.com/is/image/MCY/11703711 ")</f>
        <v xml:space="preserve">http://slimages.macys.com/is/image/MCY/11703711 </v>
      </c>
    </row>
    <row r="38" spans="1:13" ht="60" x14ac:dyDescent="0.25">
      <c r="A38" s="7" t="s">
        <v>5188</v>
      </c>
      <c r="B38" s="2" t="s">
        <v>12369</v>
      </c>
      <c r="C38" s="4">
        <v>1</v>
      </c>
      <c r="D38" s="5">
        <v>14.62</v>
      </c>
      <c r="E38" s="5">
        <v>39.5</v>
      </c>
      <c r="F38" s="4" t="s">
        <v>1489</v>
      </c>
      <c r="G38" s="2" t="s">
        <v>28</v>
      </c>
      <c r="H38" s="7" t="s">
        <v>248</v>
      </c>
      <c r="I38" s="2" t="s">
        <v>880</v>
      </c>
      <c r="J38" s="2" t="s">
        <v>881</v>
      </c>
      <c r="K38" s="2" t="s">
        <v>304</v>
      </c>
      <c r="L38" s="2" t="s">
        <v>119</v>
      </c>
      <c r="M38" s="8" t="str">
        <f>HYPERLINK("http://slimages.macys.com/is/image/MCY/12051814 ")</f>
        <v xml:space="preserve">http://slimages.macys.com/is/image/MCY/12051814 </v>
      </c>
    </row>
    <row r="39" spans="1:13" ht="60" x14ac:dyDescent="0.25">
      <c r="A39" s="7" t="s">
        <v>8143</v>
      </c>
      <c r="B39" s="2" t="s">
        <v>12370</v>
      </c>
      <c r="C39" s="4">
        <v>1</v>
      </c>
      <c r="D39" s="5">
        <v>14.5</v>
      </c>
      <c r="E39" s="5">
        <v>29.99</v>
      </c>
      <c r="F39" s="4" t="s">
        <v>8141</v>
      </c>
      <c r="G39" s="2" t="s">
        <v>171</v>
      </c>
      <c r="H39" s="7"/>
      <c r="I39" s="2" t="s">
        <v>30</v>
      </c>
      <c r="J39" s="2" t="s">
        <v>2986</v>
      </c>
      <c r="K39" s="2" t="s">
        <v>304</v>
      </c>
      <c r="L39" s="2" t="s">
        <v>335</v>
      </c>
      <c r="M39" s="8" t="str">
        <f>HYPERLINK("http://slimages.macys.com/is/image/MCY/11603502 ")</f>
        <v xml:space="preserve">http://slimages.macys.com/is/image/MCY/11603502 </v>
      </c>
    </row>
    <row r="40" spans="1:13" ht="60" x14ac:dyDescent="0.25">
      <c r="A40" s="7" t="s">
        <v>12371</v>
      </c>
      <c r="B40" s="2" t="s">
        <v>12372</v>
      </c>
      <c r="C40" s="4">
        <v>1</v>
      </c>
      <c r="D40" s="5">
        <v>13.88</v>
      </c>
      <c r="E40" s="5">
        <v>37.5</v>
      </c>
      <c r="F40" s="4" t="s">
        <v>1508</v>
      </c>
      <c r="G40" s="2" t="s">
        <v>800</v>
      </c>
      <c r="H40" s="7" t="s">
        <v>311</v>
      </c>
      <c r="I40" s="2" t="s">
        <v>880</v>
      </c>
      <c r="J40" s="2" t="s">
        <v>881</v>
      </c>
      <c r="K40" s="2" t="s">
        <v>304</v>
      </c>
      <c r="L40" s="2" t="s">
        <v>119</v>
      </c>
      <c r="M40" s="8" t="str">
        <f>HYPERLINK("http://slimages.macys.com/is/image/MCY/13358906 ")</f>
        <v xml:space="preserve">http://slimages.macys.com/is/image/MCY/13358906 </v>
      </c>
    </row>
    <row r="41" spans="1:13" ht="72" x14ac:dyDescent="0.25">
      <c r="A41" s="7" t="s">
        <v>8648</v>
      </c>
      <c r="B41" s="2" t="s">
        <v>12373</v>
      </c>
      <c r="C41" s="4">
        <v>1</v>
      </c>
      <c r="D41" s="5">
        <v>13.8</v>
      </c>
      <c r="E41" s="5">
        <v>33.99</v>
      </c>
      <c r="F41" s="4" t="s">
        <v>1511</v>
      </c>
      <c r="G41" s="2" t="s">
        <v>698</v>
      </c>
      <c r="H41" s="7" t="s">
        <v>228</v>
      </c>
      <c r="I41" s="2" t="s">
        <v>321</v>
      </c>
      <c r="J41" s="2" t="s">
        <v>1512</v>
      </c>
      <c r="K41" s="2" t="s">
        <v>304</v>
      </c>
      <c r="L41" s="2" t="s">
        <v>1117</v>
      </c>
      <c r="M41" s="8" t="str">
        <f>HYPERLINK("http://slimages.macys.com/is/image/MCY/10750360 ")</f>
        <v xml:space="preserve">http://slimages.macys.com/is/image/MCY/10750360 </v>
      </c>
    </row>
    <row r="42" spans="1:13" ht="60" x14ac:dyDescent="0.25">
      <c r="A42" s="7" t="s">
        <v>12374</v>
      </c>
      <c r="B42" s="2" t="s">
        <v>12375</v>
      </c>
      <c r="C42" s="4">
        <v>1</v>
      </c>
      <c r="D42" s="5">
        <v>13.25</v>
      </c>
      <c r="E42" s="5">
        <v>26.99</v>
      </c>
      <c r="F42" s="4" t="s">
        <v>12376</v>
      </c>
      <c r="G42" s="2" t="s">
        <v>134</v>
      </c>
      <c r="H42" s="7" t="s">
        <v>317</v>
      </c>
      <c r="I42" s="2" t="s">
        <v>380</v>
      </c>
      <c r="J42" s="2" t="s">
        <v>258</v>
      </c>
      <c r="K42" s="2" t="s">
        <v>304</v>
      </c>
      <c r="L42" s="2" t="s">
        <v>75</v>
      </c>
      <c r="M42" s="8" t="str">
        <f>HYPERLINK("http://slimages.macys.com/is/image/MCY/15968087 ")</f>
        <v xml:space="preserve">http://slimages.macys.com/is/image/MCY/15968087 </v>
      </c>
    </row>
    <row r="43" spans="1:13" ht="60" x14ac:dyDescent="0.25">
      <c r="A43" s="7" t="s">
        <v>12377</v>
      </c>
      <c r="B43" s="2" t="s">
        <v>12378</v>
      </c>
      <c r="C43" s="4">
        <v>1</v>
      </c>
      <c r="D43" s="5">
        <v>13.25</v>
      </c>
      <c r="E43" s="5">
        <v>26.99</v>
      </c>
      <c r="F43" s="4" t="s">
        <v>12379</v>
      </c>
      <c r="G43" s="2" t="s">
        <v>353</v>
      </c>
      <c r="H43" s="7" t="s">
        <v>123</v>
      </c>
      <c r="I43" s="2" t="s">
        <v>380</v>
      </c>
      <c r="J43" s="2" t="s">
        <v>258</v>
      </c>
      <c r="K43" s="2" t="s">
        <v>304</v>
      </c>
      <c r="L43" s="2" t="s">
        <v>206</v>
      </c>
      <c r="M43" s="8" t="str">
        <f>HYPERLINK("http://slimages.macys.com/is/image/MCY/8656541 ")</f>
        <v xml:space="preserve">http://slimages.macys.com/is/image/MCY/8656541 </v>
      </c>
    </row>
    <row r="44" spans="1:13" ht="60" x14ac:dyDescent="0.25">
      <c r="A44" s="7" t="s">
        <v>12380</v>
      </c>
      <c r="B44" s="2" t="s">
        <v>12381</v>
      </c>
      <c r="C44" s="4">
        <v>1</v>
      </c>
      <c r="D44" s="5">
        <v>13</v>
      </c>
      <c r="E44" s="5">
        <v>24.99</v>
      </c>
      <c r="F44" s="4" t="s">
        <v>6158</v>
      </c>
      <c r="G44" s="2" t="s">
        <v>353</v>
      </c>
      <c r="H44" s="7" t="s">
        <v>12382</v>
      </c>
      <c r="I44" s="2" t="s">
        <v>257</v>
      </c>
      <c r="J44" s="2" t="s">
        <v>258</v>
      </c>
      <c r="K44" s="2" t="s">
        <v>304</v>
      </c>
      <c r="L44" s="2" t="s">
        <v>87</v>
      </c>
      <c r="M44" s="8" t="str">
        <f>HYPERLINK("http://slimages.macys.com/is/image/MCY/1653082 ")</f>
        <v xml:space="preserve">http://slimages.macys.com/is/image/MCY/1653082 </v>
      </c>
    </row>
    <row r="45" spans="1:13" ht="60" x14ac:dyDescent="0.25">
      <c r="A45" s="7" t="s">
        <v>12383</v>
      </c>
      <c r="B45" s="2" t="s">
        <v>12384</v>
      </c>
      <c r="C45" s="4">
        <v>1</v>
      </c>
      <c r="D45" s="5">
        <v>13</v>
      </c>
      <c r="E45" s="5">
        <v>29.99</v>
      </c>
      <c r="F45" s="4" t="s">
        <v>8676</v>
      </c>
      <c r="G45" s="2" t="s">
        <v>262</v>
      </c>
      <c r="H45" s="7" t="s">
        <v>179</v>
      </c>
      <c r="I45" s="2" t="s">
        <v>30</v>
      </c>
      <c r="J45" s="2" t="s">
        <v>2986</v>
      </c>
      <c r="K45" s="2" t="s">
        <v>304</v>
      </c>
      <c r="L45" s="2" t="s">
        <v>100</v>
      </c>
      <c r="M45" s="8" t="str">
        <f>HYPERLINK("http://slimages.macys.com/is/image/MCY/11603247 ")</f>
        <v xml:space="preserve">http://slimages.macys.com/is/image/MCY/11603247 </v>
      </c>
    </row>
    <row r="46" spans="1:13" ht="60" x14ac:dyDescent="0.25">
      <c r="A46" s="7" t="s">
        <v>3759</v>
      </c>
      <c r="B46" s="2" t="s">
        <v>12385</v>
      </c>
      <c r="C46" s="4">
        <v>1</v>
      </c>
      <c r="D46" s="5">
        <v>12.92</v>
      </c>
      <c r="E46" s="5">
        <v>34.99</v>
      </c>
      <c r="F46" s="4" t="s">
        <v>3761</v>
      </c>
      <c r="G46" s="2" t="s">
        <v>62</v>
      </c>
      <c r="H46" s="7" t="s">
        <v>228</v>
      </c>
      <c r="I46" s="2" t="s">
        <v>218</v>
      </c>
      <c r="J46" s="2" t="s">
        <v>1740</v>
      </c>
      <c r="K46" s="2" t="s">
        <v>304</v>
      </c>
      <c r="L46" s="2" t="s">
        <v>3452</v>
      </c>
      <c r="M46" s="8" t="str">
        <f>HYPERLINK("http://slimages.macys.com/is/image/MCY/11946901 ")</f>
        <v xml:space="preserve">http://slimages.macys.com/is/image/MCY/11946901 </v>
      </c>
    </row>
    <row r="47" spans="1:13" ht="60" x14ac:dyDescent="0.25">
      <c r="A47" s="7" t="s">
        <v>3778</v>
      </c>
      <c r="B47" s="2" t="s">
        <v>12386</v>
      </c>
      <c r="C47" s="4">
        <v>2</v>
      </c>
      <c r="D47" s="5">
        <v>12.5</v>
      </c>
      <c r="E47" s="5">
        <v>36</v>
      </c>
      <c r="F47" s="4" t="s">
        <v>3780</v>
      </c>
      <c r="G47" s="2" t="s">
        <v>800</v>
      </c>
      <c r="H47" s="7" t="s">
        <v>166</v>
      </c>
      <c r="I47" s="2" t="s">
        <v>80</v>
      </c>
      <c r="J47" s="2" t="s">
        <v>647</v>
      </c>
      <c r="K47" s="2" t="s">
        <v>304</v>
      </c>
      <c r="L47" s="2" t="s">
        <v>119</v>
      </c>
      <c r="M47" s="8" t="str">
        <f>HYPERLINK("http://slimages.macys.com/is/image/MCY/12283251 ")</f>
        <v xml:space="preserve">http://slimages.macys.com/is/image/MCY/12283251 </v>
      </c>
    </row>
    <row r="48" spans="1:13" ht="60" x14ac:dyDescent="0.25">
      <c r="A48" s="7" t="s">
        <v>12387</v>
      </c>
      <c r="B48" s="2" t="s">
        <v>12388</v>
      </c>
      <c r="C48" s="4">
        <v>2</v>
      </c>
      <c r="D48" s="5">
        <v>12.5</v>
      </c>
      <c r="E48" s="5">
        <v>36</v>
      </c>
      <c r="F48" s="4" t="s">
        <v>12389</v>
      </c>
      <c r="G48" s="2" t="s">
        <v>62</v>
      </c>
      <c r="H48" s="7" t="s">
        <v>166</v>
      </c>
      <c r="I48" s="2" t="s">
        <v>80</v>
      </c>
      <c r="J48" s="2" t="s">
        <v>647</v>
      </c>
      <c r="K48" s="2" t="s">
        <v>304</v>
      </c>
      <c r="L48" s="2" t="s">
        <v>125</v>
      </c>
      <c r="M48" s="8" t="str">
        <f>HYPERLINK("http://slimages.macys.com/is/image/MCY/12283879 ")</f>
        <v xml:space="preserve">http://slimages.macys.com/is/image/MCY/12283879 </v>
      </c>
    </row>
    <row r="49" spans="1:13" ht="60" x14ac:dyDescent="0.25">
      <c r="A49" s="7" t="s">
        <v>12390</v>
      </c>
      <c r="B49" s="2" t="s">
        <v>12391</v>
      </c>
      <c r="C49" s="4">
        <v>2</v>
      </c>
      <c r="D49" s="5">
        <v>12.5</v>
      </c>
      <c r="E49" s="5">
        <v>36</v>
      </c>
      <c r="F49" s="4" t="s">
        <v>12392</v>
      </c>
      <c r="G49" s="2" t="s">
        <v>41</v>
      </c>
      <c r="H49" s="7" t="s">
        <v>166</v>
      </c>
      <c r="I49" s="2" t="s">
        <v>80</v>
      </c>
      <c r="J49" s="2" t="s">
        <v>647</v>
      </c>
      <c r="K49" s="2" t="s">
        <v>304</v>
      </c>
      <c r="L49" s="2" t="s">
        <v>125</v>
      </c>
      <c r="M49" s="8" t="str">
        <f>HYPERLINK("http://slimages.macys.com/is/image/MCY/12283196 ")</f>
        <v xml:space="preserve">http://slimages.macys.com/is/image/MCY/12283196 </v>
      </c>
    </row>
    <row r="50" spans="1:13" ht="60" x14ac:dyDescent="0.25">
      <c r="A50" s="7" t="s">
        <v>10867</v>
      </c>
      <c r="B50" s="2" t="s">
        <v>12393</v>
      </c>
      <c r="C50" s="4">
        <v>6</v>
      </c>
      <c r="D50" s="5">
        <v>11.75</v>
      </c>
      <c r="E50" s="5">
        <v>28.99</v>
      </c>
      <c r="F50" s="4" t="s">
        <v>10866</v>
      </c>
      <c r="G50" s="2" t="s">
        <v>28</v>
      </c>
      <c r="H50" s="7" t="s">
        <v>159</v>
      </c>
      <c r="I50" s="2" t="s">
        <v>321</v>
      </c>
      <c r="J50" s="2" t="s">
        <v>3099</v>
      </c>
      <c r="K50" s="2" t="s">
        <v>304</v>
      </c>
      <c r="L50" s="2" t="s">
        <v>125</v>
      </c>
      <c r="M50" s="8" t="str">
        <f>HYPERLINK("http://slimages.macys.com/is/image/MCY/11641279 ")</f>
        <v xml:space="preserve">http://slimages.macys.com/is/image/MCY/11641279 </v>
      </c>
    </row>
    <row r="51" spans="1:13" ht="60" x14ac:dyDescent="0.25">
      <c r="A51" s="7" t="s">
        <v>12394</v>
      </c>
      <c r="B51" s="2" t="s">
        <v>12395</v>
      </c>
      <c r="C51" s="4">
        <v>2</v>
      </c>
      <c r="D51" s="5">
        <v>11.75</v>
      </c>
      <c r="E51" s="5">
        <v>28.99</v>
      </c>
      <c r="F51" s="4" t="s">
        <v>10866</v>
      </c>
      <c r="G51" s="2" t="s">
        <v>28</v>
      </c>
      <c r="H51" s="7" t="s">
        <v>228</v>
      </c>
      <c r="I51" s="2" t="s">
        <v>321</v>
      </c>
      <c r="J51" s="2" t="s">
        <v>3099</v>
      </c>
      <c r="K51" s="2" t="s">
        <v>304</v>
      </c>
      <c r="L51" s="2" t="s">
        <v>125</v>
      </c>
      <c r="M51" s="8" t="str">
        <f>HYPERLINK("http://slimages.macys.com/is/image/MCY/11641279 ")</f>
        <v xml:space="preserve">http://slimages.macys.com/is/image/MCY/11641279 </v>
      </c>
    </row>
    <row r="52" spans="1:13" ht="60" x14ac:dyDescent="0.25">
      <c r="A52" s="7" t="s">
        <v>12396</v>
      </c>
      <c r="B52" s="2" t="s">
        <v>12397</v>
      </c>
      <c r="C52" s="4">
        <v>7</v>
      </c>
      <c r="D52" s="5">
        <v>11.75</v>
      </c>
      <c r="E52" s="5">
        <v>28.99</v>
      </c>
      <c r="F52" s="4" t="s">
        <v>9366</v>
      </c>
      <c r="G52" s="2"/>
      <c r="H52" s="7" t="s">
        <v>284</v>
      </c>
      <c r="I52" s="2" t="s">
        <v>321</v>
      </c>
      <c r="J52" s="2" t="s">
        <v>3099</v>
      </c>
      <c r="K52" s="2" t="s">
        <v>304</v>
      </c>
      <c r="L52" s="2" t="s">
        <v>125</v>
      </c>
      <c r="M52" s="8" t="str">
        <f>HYPERLINK("http://slimages.macys.com/is/image/MCY/11641226 ")</f>
        <v xml:space="preserve">http://slimages.macys.com/is/image/MCY/11641226 </v>
      </c>
    </row>
    <row r="53" spans="1:13" ht="60" x14ac:dyDescent="0.25">
      <c r="A53" s="7" t="s">
        <v>12398</v>
      </c>
      <c r="B53" s="2" t="s">
        <v>12399</v>
      </c>
      <c r="C53" s="4">
        <v>5</v>
      </c>
      <c r="D53" s="5">
        <v>11.75</v>
      </c>
      <c r="E53" s="5">
        <v>28.99</v>
      </c>
      <c r="F53" s="4" t="s">
        <v>12400</v>
      </c>
      <c r="G53" s="2" t="s">
        <v>1747</v>
      </c>
      <c r="H53" s="7" t="s">
        <v>159</v>
      </c>
      <c r="I53" s="2" t="s">
        <v>321</v>
      </c>
      <c r="J53" s="2" t="s">
        <v>3099</v>
      </c>
      <c r="K53" s="2" t="s">
        <v>304</v>
      </c>
      <c r="L53" s="2" t="s">
        <v>125</v>
      </c>
      <c r="M53" s="8" t="str">
        <f>HYPERLINK("http://slimages.macys.com/is/image/MCY/11641458 ")</f>
        <v xml:space="preserve">http://slimages.macys.com/is/image/MCY/11641458 </v>
      </c>
    </row>
    <row r="54" spans="1:13" ht="60" x14ac:dyDescent="0.25">
      <c r="A54" s="7" t="s">
        <v>9879</v>
      </c>
      <c r="B54" s="2" t="s">
        <v>12401</v>
      </c>
      <c r="C54" s="4">
        <v>4</v>
      </c>
      <c r="D54" s="5">
        <v>11.75</v>
      </c>
      <c r="E54" s="5">
        <v>28.99</v>
      </c>
      <c r="F54" s="4" t="s">
        <v>4825</v>
      </c>
      <c r="G54" s="2" t="s">
        <v>129</v>
      </c>
      <c r="H54" s="7" t="s">
        <v>228</v>
      </c>
      <c r="I54" s="2" t="s">
        <v>321</v>
      </c>
      <c r="J54" s="2" t="s">
        <v>3099</v>
      </c>
      <c r="K54" s="2" t="s">
        <v>304</v>
      </c>
      <c r="L54" s="2" t="s">
        <v>125</v>
      </c>
      <c r="M54" s="8" t="str">
        <f>HYPERLINK("http://slimages.macys.com/is/image/MCY/11641256 ")</f>
        <v xml:space="preserve">http://slimages.macys.com/is/image/MCY/11641256 </v>
      </c>
    </row>
    <row r="55" spans="1:13" ht="60" x14ac:dyDescent="0.25">
      <c r="A55" s="7" t="s">
        <v>12402</v>
      </c>
      <c r="B55" s="2" t="s">
        <v>12403</v>
      </c>
      <c r="C55" s="4">
        <v>5</v>
      </c>
      <c r="D55" s="5">
        <v>11.75</v>
      </c>
      <c r="E55" s="5">
        <v>28.99</v>
      </c>
      <c r="F55" s="4" t="s">
        <v>9366</v>
      </c>
      <c r="G55" s="2"/>
      <c r="H55" s="7" t="s">
        <v>228</v>
      </c>
      <c r="I55" s="2" t="s">
        <v>321</v>
      </c>
      <c r="J55" s="2" t="s">
        <v>3099</v>
      </c>
      <c r="K55" s="2" t="s">
        <v>304</v>
      </c>
      <c r="L55" s="2" t="s">
        <v>125</v>
      </c>
      <c r="M55" s="8" t="str">
        <f>HYPERLINK("http://slimages.macys.com/is/image/MCY/11641226 ")</f>
        <v xml:space="preserve">http://slimages.macys.com/is/image/MCY/11641226 </v>
      </c>
    </row>
    <row r="56" spans="1:13" ht="60" x14ac:dyDescent="0.25">
      <c r="A56" s="7" t="s">
        <v>12404</v>
      </c>
      <c r="B56" s="2" t="s">
        <v>12405</v>
      </c>
      <c r="C56" s="4">
        <v>2</v>
      </c>
      <c r="D56" s="5">
        <v>11.75</v>
      </c>
      <c r="E56" s="5">
        <v>28.99</v>
      </c>
      <c r="F56" s="4" t="s">
        <v>4825</v>
      </c>
      <c r="G56" s="2" t="s">
        <v>129</v>
      </c>
      <c r="H56" s="7" t="s">
        <v>284</v>
      </c>
      <c r="I56" s="2" t="s">
        <v>321</v>
      </c>
      <c r="J56" s="2" t="s">
        <v>3099</v>
      </c>
      <c r="K56" s="2" t="s">
        <v>304</v>
      </c>
      <c r="L56" s="2" t="s">
        <v>125</v>
      </c>
      <c r="M56" s="8" t="str">
        <f>HYPERLINK("http://slimages.macys.com/is/image/MCY/11641256 ")</f>
        <v xml:space="preserve">http://slimages.macys.com/is/image/MCY/11641256 </v>
      </c>
    </row>
    <row r="57" spans="1:13" ht="60" x14ac:dyDescent="0.25">
      <c r="A57" s="7" t="s">
        <v>10864</v>
      </c>
      <c r="B57" s="2" t="s">
        <v>12406</v>
      </c>
      <c r="C57" s="4">
        <v>3</v>
      </c>
      <c r="D57" s="5">
        <v>11.75</v>
      </c>
      <c r="E57" s="5">
        <v>28.99</v>
      </c>
      <c r="F57" s="4" t="s">
        <v>10866</v>
      </c>
      <c r="G57" s="2" t="s">
        <v>28</v>
      </c>
      <c r="H57" s="7" t="s">
        <v>284</v>
      </c>
      <c r="I57" s="2" t="s">
        <v>321</v>
      </c>
      <c r="J57" s="2" t="s">
        <v>3099</v>
      </c>
      <c r="K57" s="2" t="s">
        <v>304</v>
      </c>
      <c r="L57" s="2" t="s">
        <v>125</v>
      </c>
      <c r="M57" s="8" t="str">
        <f>HYPERLINK("http://slimages.macys.com/is/image/MCY/11641279 ")</f>
        <v xml:space="preserve">http://slimages.macys.com/is/image/MCY/11641279 </v>
      </c>
    </row>
    <row r="58" spans="1:13" ht="60" x14ac:dyDescent="0.25">
      <c r="A58" s="7" t="s">
        <v>3096</v>
      </c>
      <c r="B58" s="2" t="s">
        <v>12407</v>
      </c>
      <c r="C58" s="4">
        <v>4</v>
      </c>
      <c r="D58" s="5">
        <v>11.75</v>
      </c>
      <c r="E58" s="5">
        <v>28.99</v>
      </c>
      <c r="F58" s="4" t="s">
        <v>3098</v>
      </c>
      <c r="G58" s="2" t="s">
        <v>1747</v>
      </c>
      <c r="H58" s="7" t="s">
        <v>228</v>
      </c>
      <c r="I58" s="2" t="s">
        <v>321</v>
      </c>
      <c r="J58" s="2" t="s">
        <v>3099</v>
      </c>
      <c r="K58" s="2" t="s">
        <v>304</v>
      </c>
      <c r="L58" s="2" t="s">
        <v>125</v>
      </c>
      <c r="M58" s="8" t="str">
        <f>HYPERLINK("http://slimages.macys.com/is/image/MCY/11641610 ")</f>
        <v xml:space="preserve">http://slimages.macys.com/is/image/MCY/11641610 </v>
      </c>
    </row>
    <row r="59" spans="1:13" ht="60" x14ac:dyDescent="0.25">
      <c r="A59" s="7" t="s">
        <v>9880</v>
      </c>
      <c r="B59" s="2" t="s">
        <v>12408</v>
      </c>
      <c r="C59" s="4">
        <v>7</v>
      </c>
      <c r="D59" s="5">
        <v>11.75</v>
      </c>
      <c r="E59" s="5">
        <v>28.99</v>
      </c>
      <c r="F59" s="4" t="s">
        <v>3098</v>
      </c>
      <c r="G59" s="2" t="s">
        <v>1747</v>
      </c>
      <c r="H59" s="7" t="s">
        <v>159</v>
      </c>
      <c r="I59" s="2" t="s">
        <v>321</v>
      </c>
      <c r="J59" s="2" t="s">
        <v>3099</v>
      </c>
      <c r="K59" s="2" t="s">
        <v>304</v>
      </c>
      <c r="L59" s="2" t="s">
        <v>125</v>
      </c>
      <c r="M59" s="8" t="str">
        <f>HYPERLINK("http://slimages.macys.com/is/image/MCY/11641610 ")</f>
        <v xml:space="preserve">http://slimages.macys.com/is/image/MCY/11641610 </v>
      </c>
    </row>
    <row r="60" spans="1:13" ht="60" x14ac:dyDescent="0.25">
      <c r="A60" s="7" t="s">
        <v>12409</v>
      </c>
      <c r="B60" s="2" t="s">
        <v>12410</v>
      </c>
      <c r="C60" s="4">
        <v>1</v>
      </c>
      <c r="D60" s="5">
        <v>11.75</v>
      </c>
      <c r="E60" s="5">
        <v>28.99</v>
      </c>
      <c r="F60" s="4" t="s">
        <v>3098</v>
      </c>
      <c r="G60" s="2" t="s">
        <v>1747</v>
      </c>
      <c r="H60" s="7" t="s">
        <v>217</v>
      </c>
      <c r="I60" s="2" t="s">
        <v>321</v>
      </c>
      <c r="J60" s="2" t="s">
        <v>3099</v>
      </c>
      <c r="K60" s="2" t="s">
        <v>304</v>
      </c>
      <c r="L60" s="2" t="s">
        <v>125</v>
      </c>
      <c r="M60" s="8" t="str">
        <f>HYPERLINK("http://slimages.macys.com/is/image/MCY/11641610 ")</f>
        <v xml:space="preserve">http://slimages.macys.com/is/image/MCY/11641610 </v>
      </c>
    </row>
    <row r="61" spans="1:13" ht="60" x14ac:dyDescent="0.25">
      <c r="A61" s="7" t="s">
        <v>12411</v>
      </c>
      <c r="B61" s="2" t="s">
        <v>12412</v>
      </c>
      <c r="C61" s="4">
        <v>7</v>
      </c>
      <c r="D61" s="5">
        <v>11.75</v>
      </c>
      <c r="E61" s="5">
        <v>28.99</v>
      </c>
      <c r="F61" s="4" t="s">
        <v>3098</v>
      </c>
      <c r="G61" s="2" t="s">
        <v>1747</v>
      </c>
      <c r="H61" s="7" t="s">
        <v>284</v>
      </c>
      <c r="I61" s="2" t="s">
        <v>321</v>
      </c>
      <c r="J61" s="2" t="s">
        <v>3099</v>
      </c>
      <c r="K61" s="2" t="s">
        <v>304</v>
      </c>
      <c r="L61" s="2" t="s">
        <v>125</v>
      </c>
      <c r="M61" s="8" t="str">
        <f>HYPERLINK("http://slimages.macys.com/is/image/MCY/11641610 ")</f>
        <v xml:space="preserve">http://slimages.macys.com/is/image/MCY/11641610 </v>
      </c>
    </row>
    <row r="62" spans="1:13" ht="60" x14ac:dyDescent="0.25">
      <c r="A62" s="7" t="s">
        <v>11876</v>
      </c>
      <c r="B62" s="2" t="s">
        <v>12413</v>
      </c>
      <c r="C62" s="4">
        <v>6</v>
      </c>
      <c r="D62" s="5">
        <v>11.75</v>
      </c>
      <c r="E62" s="5">
        <v>28.99</v>
      </c>
      <c r="F62" s="4" t="s">
        <v>9366</v>
      </c>
      <c r="G62" s="2"/>
      <c r="H62" s="7" t="s">
        <v>159</v>
      </c>
      <c r="I62" s="2" t="s">
        <v>321</v>
      </c>
      <c r="J62" s="2" t="s">
        <v>3099</v>
      </c>
      <c r="K62" s="2" t="s">
        <v>304</v>
      </c>
      <c r="L62" s="2" t="s">
        <v>125</v>
      </c>
      <c r="M62" s="8" t="str">
        <f>HYPERLINK("http://slimages.macys.com/is/image/MCY/11641226 ")</f>
        <v xml:space="preserve">http://slimages.macys.com/is/image/MCY/11641226 </v>
      </c>
    </row>
    <row r="63" spans="1:13" ht="60" x14ac:dyDescent="0.25">
      <c r="A63" s="7" t="s">
        <v>12414</v>
      </c>
      <c r="B63" s="2" t="s">
        <v>12415</v>
      </c>
      <c r="C63" s="4">
        <v>2</v>
      </c>
      <c r="D63" s="5">
        <v>11.75</v>
      </c>
      <c r="E63" s="5">
        <v>28.99</v>
      </c>
      <c r="F63" s="4" t="s">
        <v>12400</v>
      </c>
      <c r="G63" s="2" t="s">
        <v>1747</v>
      </c>
      <c r="H63" s="7" t="s">
        <v>284</v>
      </c>
      <c r="I63" s="2" t="s">
        <v>321</v>
      </c>
      <c r="J63" s="2" t="s">
        <v>3099</v>
      </c>
      <c r="K63" s="2" t="s">
        <v>304</v>
      </c>
      <c r="L63" s="2" t="s">
        <v>125</v>
      </c>
      <c r="M63" s="8" t="str">
        <f>HYPERLINK("http://slimages.macys.com/is/image/MCY/11641458 ")</f>
        <v xml:space="preserve">http://slimages.macys.com/is/image/MCY/11641458 </v>
      </c>
    </row>
    <row r="64" spans="1:13" ht="60" x14ac:dyDescent="0.25">
      <c r="A64" s="7" t="s">
        <v>9364</v>
      </c>
      <c r="B64" s="2" t="s">
        <v>12416</v>
      </c>
      <c r="C64" s="4">
        <v>2</v>
      </c>
      <c r="D64" s="5">
        <v>11.75</v>
      </c>
      <c r="E64" s="5">
        <v>28.99</v>
      </c>
      <c r="F64" s="4" t="s">
        <v>9366</v>
      </c>
      <c r="G64" s="2" t="s">
        <v>28</v>
      </c>
      <c r="H64" s="7" t="s">
        <v>228</v>
      </c>
      <c r="I64" s="2" t="s">
        <v>321</v>
      </c>
      <c r="J64" s="2" t="s">
        <v>3099</v>
      </c>
      <c r="K64" s="2" t="s">
        <v>304</v>
      </c>
      <c r="L64" s="2" t="s">
        <v>125</v>
      </c>
      <c r="M64" s="8" t="str">
        <f>HYPERLINK("http://slimages.macys.com/is/image/MCY/11641226 ")</f>
        <v xml:space="preserve">http://slimages.macys.com/is/image/MCY/11641226 </v>
      </c>
    </row>
    <row r="65" spans="1:13" ht="60" x14ac:dyDescent="0.25">
      <c r="A65" s="7" t="s">
        <v>12417</v>
      </c>
      <c r="B65" s="2" t="s">
        <v>12418</v>
      </c>
      <c r="C65" s="4">
        <v>5</v>
      </c>
      <c r="D65" s="5">
        <v>11.75</v>
      </c>
      <c r="E65" s="5">
        <v>28.99</v>
      </c>
      <c r="F65" s="4" t="s">
        <v>9366</v>
      </c>
      <c r="G65" s="2" t="s">
        <v>28</v>
      </c>
      <c r="H65" s="7" t="s">
        <v>159</v>
      </c>
      <c r="I65" s="2" t="s">
        <v>321</v>
      </c>
      <c r="J65" s="2" t="s">
        <v>3099</v>
      </c>
      <c r="K65" s="2" t="s">
        <v>304</v>
      </c>
      <c r="L65" s="2" t="s">
        <v>125</v>
      </c>
      <c r="M65" s="8" t="str">
        <f>HYPERLINK("http://slimages.macys.com/is/image/MCY/11641226 ")</f>
        <v xml:space="preserve">http://slimages.macys.com/is/image/MCY/11641226 </v>
      </c>
    </row>
    <row r="66" spans="1:13" ht="60" x14ac:dyDescent="0.25">
      <c r="A66" s="7" t="s">
        <v>11878</v>
      </c>
      <c r="B66" s="2" t="s">
        <v>12419</v>
      </c>
      <c r="C66" s="4">
        <v>1</v>
      </c>
      <c r="D66" s="5">
        <v>11.75</v>
      </c>
      <c r="E66" s="5">
        <v>28.99</v>
      </c>
      <c r="F66" s="4" t="s">
        <v>10866</v>
      </c>
      <c r="G66" s="2" t="s">
        <v>28</v>
      </c>
      <c r="H66" s="7" t="s">
        <v>217</v>
      </c>
      <c r="I66" s="2" t="s">
        <v>321</v>
      </c>
      <c r="J66" s="2" t="s">
        <v>3099</v>
      </c>
      <c r="K66" s="2" t="s">
        <v>304</v>
      </c>
      <c r="L66" s="2" t="s">
        <v>125</v>
      </c>
      <c r="M66" s="8" t="str">
        <f>HYPERLINK("http://slimages.macys.com/is/image/MCY/11641279 ")</f>
        <v xml:space="preserve">http://slimages.macys.com/is/image/MCY/11641279 </v>
      </c>
    </row>
    <row r="67" spans="1:13" ht="60" x14ac:dyDescent="0.25">
      <c r="A67" s="7" t="s">
        <v>11877</v>
      </c>
      <c r="B67" s="2" t="s">
        <v>12420</v>
      </c>
      <c r="C67" s="4">
        <v>4</v>
      </c>
      <c r="D67" s="5">
        <v>11.75</v>
      </c>
      <c r="E67" s="5">
        <v>28.99</v>
      </c>
      <c r="F67" s="4" t="s">
        <v>9366</v>
      </c>
      <c r="G67" s="2" t="s">
        <v>28</v>
      </c>
      <c r="H67" s="7" t="s">
        <v>284</v>
      </c>
      <c r="I67" s="2" t="s">
        <v>321</v>
      </c>
      <c r="J67" s="2" t="s">
        <v>3099</v>
      </c>
      <c r="K67" s="2" t="s">
        <v>304</v>
      </c>
      <c r="L67" s="2" t="s">
        <v>125</v>
      </c>
      <c r="M67" s="8" t="str">
        <f>HYPERLINK("http://slimages.macys.com/is/image/MCY/11641226 ")</f>
        <v xml:space="preserve">http://slimages.macys.com/is/image/MCY/11641226 </v>
      </c>
    </row>
    <row r="68" spans="1:13" ht="60" x14ac:dyDescent="0.25">
      <c r="A68" s="7" t="s">
        <v>12421</v>
      </c>
      <c r="B68" s="2" t="s">
        <v>12422</v>
      </c>
      <c r="C68" s="4">
        <v>1</v>
      </c>
      <c r="D68" s="5">
        <v>11.75</v>
      </c>
      <c r="E68" s="5">
        <v>28.99</v>
      </c>
      <c r="F68" s="4" t="s">
        <v>9366</v>
      </c>
      <c r="G68" s="2"/>
      <c r="H68" s="7" t="s">
        <v>217</v>
      </c>
      <c r="I68" s="2" t="s">
        <v>321</v>
      </c>
      <c r="J68" s="2" t="s">
        <v>3099</v>
      </c>
      <c r="K68" s="2" t="s">
        <v>304</v>
      </c>
      <c r="L68" s="2" t="s">
        <v>125</v>
      </c>
      <c r="M68" s="8" t="str">
        <f>HYPERLINK("http://slimages.macys.com/is/image/MCY/11641226 ")</f>
        <v xml:space="preserve">http://slimages.macys.com/is/image/MCY/11641226 </v>
      </c>
    </row>
    <row r="69" spans="1:13" ht="60" x14ac:dyDescent="0.25">
      <c r="A69" s="7" t="s">
        <v>12423</v>
      </c>
      <c r="B69" s="2" t="s">
        <v>12424</v>
      </c>
      <c r="C69" s="4">
        <v>1</v>
      </c>
      <c r="D69" s="5">
        <v>11.5</v>
      </c>
      <c r="E69" s="5">
        <v>27.99</v>
      </c>
      <c r="F69" s="4" t="s">
        <v>12425</v>
      </c>
      <c r="G69" s="2" t="s">
        <v>698</v>
      </c>
      <c r="H69" s="7" t="s">
        <v>228</v>
      </c>
      <c r="I69" s="2" t="s">
        <v>321</v>
      </c>
      <c r="J69" s="2" t="s">
        <v>4829</v>
      </c>
      <c r="K69" s="2" t="s">
        <v>304</v>
      </c>
      <c r="L69" s="2" t="s">
        <v>125</v>
      </c>
      <c r="M69" s="8" t="str">
        <f>HYPERLINK("http://slimages.macys.com/is/image/MCY/12339092 ")</f>
        <v xml:space="preserve">http://slimages.macys.com/is/image/MCY/12339092 </v>
      </c>
    </row>
    <row r="70" spans="1:13" ht="60" x14ac:dyDescent="0.25">
      <c r="A70" s="7" t="s">
        <v>12426</v>
      </c>
      <c r="B70" s="2" t="s">
        <v>12427</v>
      </c>
      <c r="C70" s="4">
        <v>2</v>
      </c>
      <c r="D70" s="5">
        <v>11.2</v>
      </c>
      <c r="E70" s="5">
        <v>24.99</v>
      </c>
      <c r="F70" s="4" t="s">
        <v>12428</v>
      </c>
      <c r="G70" s="2" t="s">
        <v>353</v>
      </c>
      <c r="H70" s="7" t="s">
        <v>228</v>
      </c>
      <c r="I70" s="2" t="s">
        <v>80</v>
      </c>
      <c r="J70" s="2" t="s">
        <v>2967</v>
      </c>
      <c r="K70" s="2" t="s">
        <v>304</v>
      </c>
      <c r="L70" s="2" t="s">
        <v>125</v>
      </c>
      <c r="M70" s="8" t="str">
        <f>HYPERLINK("http://slimages.macys.com/is/image/MCY/9874898 ")</f>
        <v xml:space="preserve">http://slimages.macys.com/is/image/MCY/9874898 </v>
      </c>
    </row>
    <row r="71" spans="1:13" ht="60" x14ac:dyDescent="0.25">
      <c r="A71" s="7" t="s">
        <v>12429</v>
      </c>
      <c r="B71" s="2" t="s">
        <v>12430</v>
      </c>
      <c r="C71" s="4">
        <v>1</v>
      </c>
      <c r="D71" s="5">
        <v>11.2</v>
      </c>
      <c r="E71" s="5">
        <v>24.99</v>
      </c>
      <c r="F71" s="4" t="s">
        <v>12428</v>
      </c>
      <c r="G71" s="2" t="s">
        <v>353</v>
      </c>
      <c r="H71" s="7" t="s">
        <v>217</v>
      </c>
      <c r="I71" s="2" t="s">
        <v>80</v>
      </c>
      <c r="J71" s="2" t="s">
        <v>2967</v>
      </c>
      <c r="K71" s="2" t="s">
        <v>304</v>
      </c>
      <c r="L71" s="2" t="s">
        <v>125</v>
      </c>
      <c r="M71" s="8" t="str">
        <f>HYPERLINK("http://slimages.macys.com/is/image/MCY/9874898 ")</f>
        <v xml:space="preserve">http://slimages.macys.com/is/image/MCY/9874898 </v>
      </c>
    </row>
    <row r="72" spans="1:13" ht="60" x14ac:dyDescent="0.25">
      <c r="A72" s="7" t="s">
        <v>12431</v>
      </c>
      <c r="B72" s="2" t="s">
        <v>12432</v>
      </c>
      <c r="C72" s="4">
        <v>2</v>
      </c>
      <c r="D72" s="5">
        <v>11.2</v>
      </c>
      <c r="E72" s="5">
        <v>24.99</v>
      </c>
      <c r="F72" s="4" t="s">
        <v>12428</v>
      </c>
      <c r="G72" s="2" t="s">
        <v>353</v>
      </c>
      <c r="H72" s="7" t="s">
        <v>159</v>
      </c>
      <c r="I72" s="2" t="s">
        <v>80</v>
      </c>
      <c r="J72" s="2" t="s">
        <v>2967</v>
      </c>
      <c r="K72" s="2" t="s">
        <v>304</v>
      </c>
      <c r="L72" s="2" t="s">
        <v>125</v>
      </c>
      <c r="M72" s="8" t="str">
        <f>HYPERLINK("http://slimages.macys.com/is/image/MCY/9874898 ")</f>
        <v xml:space="preserve">http://slimages.macys.com/is/image/MCY/9874898 </v>
      </c>
    </row>
    <row r="73" spans="1:13" ht="60" x14ac:dyDescent="0.25">
      <c r="A73" s="7" t="s">
        <v>12433</v>
      </c>
      <c r="B73" s="2" t="s">
        <v>12434</v>
      </c>
      <c r="C73" s="4">
        <v>1</v>
      </c>
      <c r="D73" s="5">
        <v>10.97</v>
      </c>
      <c r="E73" s="5">
        <v>24.99</v>
      </c>
      <c r="F73" s="4" t="s">
        <v>12435</v>
      </c>
      <c r="G73" s="2" t="s">
        <v>134</v>
      </c>
      <c r="H73" s="7" t="s">
        <v>228</v>
      </c>
      <c r="I73" s="2" t="s">
        <v>218</v>
      </c>
      <c r="J73" s="2" t="s">
        <v>219</v>
      </c>
      <c r="K73" s="2" t="s">
        <v>304</v>
      </c>
      <c r="L73" s="2" t="s">
        <v>358</v>
      </c>
      <c r="M73" s="8" t="str">
        <f>HYPERLINK("http://slimages.macys.com/is/image/MCY/10021614 ")</f>
        <v xml:space="preserve">http://slimages.macys.com/is/image/MCY/10021614 </v>
      </c>
    </row>
    <row r="74" spans="1:13" ht="60" x14ac:dyDescent="0.25">
      <c r="A74" s="7" t="s">
        <v>12436</v>
      </c>
      <c r="B74" s="2" t="s">
        <v>12437</v>
      </c>
      <c r="C74" s="4">
        <v>2</v>
      </c>
      <c r="D74" s="5">
        <v>10.79</v>
      </c>
      <c r="E74" s="5">
        <v>27.99</v>
      </c>
      <c r="F74" s="4" t="s">
        <v>7382</v>
      </c>
      <c r="G74" s="2" t="s">
        <v>353</v>
      </c>
      <c r="H74" s="7" t="s">
        <v>228</v>
      </c>
      <c r="I74" s="2" t="s">
        <v>515</v>
      </c>
      <c r="J74" s="2" t="s">
        <v>1971</v>
      </c>
      <c r="K74" s="2" t="s">
        <v>304</v>
      </c>
      <c r="L74" s="2" t="s">
        <v>125</v>
      </c>
      <c r="M74" s="8" t="str">
        <f>HYPERLINK("http://slimages.macys.com/is/image/MCY/12687227 ")</f>
        <v xml:space="preserve">http://slimages.macys.com/is/image/MCY/12687227 </v>
      </c>
    </row>
    <row r="75" spans="1:13" ht="60" x14ac:dyDescent="0.25">
      <c r="A75" s="7" t="s">
        <v>7381</v>
      </c>
      <c r="B75" s="2" t="s">
        <v>12438</v>
      </c>
      <c r="C75" s="4">
        <v>4</v>
      </c>
      <c r="D75" s="5">
        <v>10.79</v>
      </c>
      <c r="E75" s="5">
        <v>27.99</v>
      </c>
      <c r="F75" s="4" t="s">
        <v>7382</v>
      </c>
      <c r="G75" s="2" t="s">
        <v>353</v>
      </c>
      <c r="H75" s="7" t="s">
        <v>196</v>
      </c>
      <c r="I75" s="2" t="s">
        <v>515</v>
      </c>
      <c r="J75" s="2" t="s">
        <v>1971</v>
      </c>
      <c r="K75" s="2" t="s">
        <v>304</v>
      </c>
      <c r="L75" s="2" t="s">
        <v>125</v>
      </c>
      <c r="M75" s="8" t="str">
        <f>HYPERLINK("http://slimages.macys.com/is/image/MCY/12687227 ")</f>
        <v xml:space="preserve">http://slimages.macys.com/is/image/MCY/12687227 </v>
      </c>
    </row>
    <row r="76" spans="1:13" ht="60" x14ac:dyDescent="0.25">
      <c r="A76" s="7" t="s">
        <v>9377</v>
      </c>
      <c r="B76" s="2" t="s">
        <v>12439</v>
      </c>
      <c r="C76" s="4">
        <v>3</v>
      </c>
      <c r="D76" s="5">
        <v>10.79</v>
      </c>
      <c r="E76" s="5">
        <v>27.99</v>
      </c>
      <c r="F76" s="4" t="s">
        <v>7382</v>
      </c>
      <c r="G76" s="2" t="s">
        <v>353</v>
      </c>
      <c r="H76" s="7" t="s">
        <v>284</v>
      </c>
      <c r="I76" s="2" t="s">
        <v>515</v>
      </c>
      <c r="J76" s="2" t="s">
        <v>1971</v>
      </c>
      <c r="K76" s="2" t="s">
        <v>304</v>
      </c>
      <c r="L76" s="2" t="s">
        <v>125</v>
      </c>
      <c r="M76" s="8" t="str">
        <f>HYPERLINK("http://slimages.macys.com/is/image/MCY/12687227 ")</f>
        <v xml:space="preserve">http://slimages.macys.com/is/image/MCY/12687227 </v>
      </c>
    </row>
    <row r="77" spans="1:13" ht="60" x14ac:dyDescent="0.25">
      <c r="A77" s="7" t="s">
        <v>7383</v>
      </c>
      <c r="B77" s="2" t="s">
        <v>12440</v>
      </c>
      <c r="C77" s="4">
        <v>3</v>
      </c>
      <c r="D77" s="5">
        <v>10.79</v>
      </c>
      <c r="E77" s="5">
        <v>27.99</v>
      </c>
      <c r="F77" s="4" t="s">
        <v>7382</v>
      </c>
      <c r="G77" s="2" t="s">
        <v>353</v>
      </c>
      <c r="H77" s="7" t="s">
        <v>159</v>
      </c>
      <c r="I77" s="2" t="s">
        <v>515</v>
      </c>
      <c r="J77" s="2" t="s">
        <v>1971</v>
      </c>
      <c r="K77" s="2" t="s">
        <v>304</v>
      </c>
      <c r="L77" s="2" t="s">
        <v>125</v>
      </c>
      <c r="M77" s="8" t="str">
        <f>HYPERLINK("http://slimages.macys.com/is/image/MCY/12687227 ")</f>
        <v xml:space="preserve">http://slimages.macys.com/is/image/MCY/12687227 </v>
      </c>
    </row>
    <row r="78" spans="1:13" ht="60" x14ac:dyDescent="0.25">
      <c r="A78" s="7" t="s">
        <v>11900</v>
      </c>
      <c r="B78" s="2" t="s">
        <v>12441</v>
      </c>
      <c r="C78" s="4">
        <v>1</v>
      </c>
      <c r="D78" s="5">
        <v>10.57</v>
      </c>
      <c r="E78" s="5">
        <v>24.99</v>
      </c>
      <c r="F78" s="4" t="s">
        <v>5265</v>
      </c>
      <c r="G78" s="2" t="s">
        <v>62</v>
      </c>
      <c r="H78" s="7" t="s">
        <v>159</v>
      </c>
      <c r="I78" s="2" t="s">
        <v>515</v>
      </c>
      <c r="J78" s="2" t="s">
        <v>827</v>
      </c>
      <c r="K78" s="2" t="s">
        <v>304</v>
      </c>
      <c r="L78" s="2" t="s">
        <v>358</v>
      </c>
      <c r="M78" s="8" t="str">
        <f>HYPERLINK("http://slimages.macys.com/is/image/MCY/12687309 ")</f>
        <v xml:space="preserve">http://slimages.macys.com/is/image/MCY/12687309 </v>
      </c>
    </row>
    <row r="79" spans="1:13" ht="60" x14ac:dyDescent="0.25">
      <c r="A79" s="7" t="s">
        <v>5264</v>
      </c>
      <c r="B79" s="2" t="s">
        <v>12442</v>
      </c>
      <c r="C79" s="4">
        <v>1</v>
      </c>
      <c r="D79" s="5">
        <v>10.57</v>
      </c>
      <c r="E79" s="5">
        <v>24.99</v>
      </c>
      <c r="F79" s="4" t="s">
        <v>5265</v>
      </c>
      <c r="G79" s="2" t="s">
        <v>62</v>
      </c>
      <c r="H79" s="7" t="s">
        <v>196</v>
      </c>
      <c r="I79" s="2" t="s">
        <v>515</v>
      </c>
      <c r="J79" s="2" t="s">
        <v>827</v>
      </c>
      <c r="K79" s="2" t="s">
        <v>304</v>
      </c>
      <c r="L79" s="2" t="s">
        <v>358</v>
      </c>
      <c r="M79" s="8" t="str">
        <f>HYPERLINK("http://slimages.macys.com/is/image/MCY/12687309 ")</f>
        <v xml:space="preserve">http://slimages.macys.com/is/image/MCY/12687309 </v>
      </c>
    </row>
    <row r="80" spans="1:13" ht="72" x14ac:dyDescent="0.25">
      <c r="A80" s="7" t="s">
        <v>12443</v>
      </c>
      <c r="B80" s="2" t="s">
        <v>12444</v>
      </c>
      <c r="C80" s="4">
        <v>1</v>
      </c>
      <c r="D80" s="5">
        <v>10.5</v>
      </c>
      <c r="E80" s="5">
        <v>19.989999999999998</v>
      </c>
      <c r="F80" s="4" t="s">
        <v>8720</v>
      </c>
      <c r="G80" s="2" t="s">
        <v>667</v>
      </c>
      <c r="H80" s="7" t="s">
        <v>91</v>
      </c>
      <c r="I80" s="2" t="s">
        <v>92</v>
      </c>
      <c r="J80" s="2" t="s">
        <v>778</v>
      </c>
      <c r="K80" s="2" t="s">
        <v>304</v>
      </c>
      <c r="L80" s="2" t="s">
        <v>8721</v>
      </c>
      <c r="M80" s="8" t="str">
        <f>HYPERLINK("http://slimages.macys.com/is/image/MCY/12953521 ")</f>
        <v xml:space="preserve">http://slimages.macys.com/is/image/MCY/12953521 </v>
      </c>
    </row>
    <row r="81" spans="1:13" ht="72" x14ac:dyDescent="0.25">
      <c r="A81" s="7" t="s">
        <v>8718</v>
      </c>
      <c r="B81" s="2" t="s">
        <v>12445</v>
      </c>
      <c r="C81" s="4">
        <v>1</v>
      </c>
      <c r="D81" s="5">
        <v>10.5</v>
      </c>
      <c r="E81" s="5">
        <v>19.989999999999998</v>
      </c>
      <c r="F81" s="4" t="s">
        <v>8720</v>
      </c>
      <c r="G81" s="2" t="s">
        <v>667</v>
      </c>
      <c r="H81" s="7" t="s">
        <v>442</v>
      </c>
      <c r="I81" s="2" t="s">
        <v>92</v>
      </c>
      <c r="J81" s="2" t="s">
        <v>778</v>
      </c>
      <c r="K81" s="2" t="s">
        <v>304</v>
      </c>
      <c r="L81" s="2" t="s">
        <v>8721</v>
      </c>
      <c r="M81" s="8" t="str">
        <f>HYPERLINK("http://slimages.macys.com/is/image/MCY/12953521 ")</f>
        <v xml:space="preserve">http://slimages.macys.com/is/image/MCY/12953521 </v>
      </c>
    </row>
    <row r="82" spans="1:13" ht="72" x14ac:dyDescent="0.25">
      <c r="A82" s="7" t="s">
        <v>12446</v>
      </c>
      <c r="B82" s="2" t="s">
        <v>12447</v>
      </c>
      <c r="C82" s="4">
        <v>3</v>
      </c>
      <c r="D82" s="5">
        <v>10.5</v>
      </c>
      <c r="E82" s="5">
        <v>19.989999999999998</v>
      </c>
      <c r="F82" s="4" t="s">
        <v>8720</v>
      </c>
      <c r="G82" s="2" t="s">
        <v>667</v>
      </c>
      <c r="H82" s="7" t="s">
        <v>42</v>
      </c>
      <c r="I82" s="2" t="s">
        <v>92</v>
      </c>
      <c r="J82" s="2" t="s">
        <v>778</v>
      </c>
      <c r="K82" s="2" t="s">
        <v>304</v>
      </c>
      <c r="L82" s="2" t="s">
        <v>8721</v>
      </c>
      <c r="M82" s="8" t="str">
        <f>HYPERLINK("http://slimages.macys.com/is/image/MCY/12953521 ")</f>
        <v xml:space="preserve">http://slimages.macys.com/is/image/MCY/12953521 </v>
      </c>
    </row>
    <row r="83" spans="1:13" ht="60" x14ac:dyDescent="0.25">
      <c r="A83" s="7" t="s">
        <v>12448</v>
      </c>
      <c r="B83" s="2" t="s">
        <v>12449</v>
      </c>
      <c r="C83" s="4">
        <v>1</v>
      </c>
      <c r="D83" s="5">
        <v>10.27</v>
      </c>
      <c r="E83" s="5">
        <v>24.99</v>
      </c>
      <c r="F83" s="4" t="s">
        <v>10424</v>
      </c>
      <c r="G83" s="2" t="s">
        <v>62</v>
      </c>
      <c r="H83" s="7" t="s">
        <v>159</v>
      </c>
      <c r="I83" s="2" t="s">
        <v>515</v>
      </c>
      <c r="J83" s="2" t="s">
        <v>827</v>
      </c>
      <c r="K83" s="2" t="s">
        <v>304</v>
      </c>
      <c r="L83" s="2" t="s">
        <v>125</v>
      </c>
      <c r="M83" s="8" t="str">
        <f>HYPERLINK("http://slimages.macys.com/is/image/MCY/12052315 ")</f>
        <v xml:space="preserve">http://slimages.macys.com/is/image/MCY/12052315 </v>
      </c>
    </row>
    <row r="84" spans="1:13" ht="60" x14ac:dyDescent="0.25">
      <c r="A84" s="7" t="s">
        <v>12450</v>
      </c>
      <c r="B84" s="2" t="s">
        <v>12451</v>
      </c>
      <c r="C84" s="4">
        <v>1</v>
      </c>
      <c r="D84" s="5">
        <v>10.25</v>
      </c>
      <c r="E84" s="5">
        <v>28.99</v>
      </c>
      <c r="F84" s="4" t="s">
        <v>8736</v>
      </c>
      <c r="G84" s="2" t="s">
        <v>310</v>
      </c>
      <c r="H84" s="7" t="s">
        <v>179</v>
      </c>
      <c r="I84" s="2" t="s">
        <v>312</v>
      </c>
      <c r="J84" s="2" t="s">
        <v>313</v>
      </c>
      <c r="K84" s="2" t="s">
        <v>304</v>
      </c>
      <c r="L84" s="2" t="s">
        <v>38</v>
      </c>
      <c r="M84" s="8" t="str">
        <f>HYPERLINK("http://slimages.macys.com/is/image/MCY/12291177 ")</f>
        <v xml:space="preserve">http://slimages.macys.com/is/image/MCY/12291177 </v>
      </c>
    </row>
    <row r="85" spans="1:13" ht="60" x14ac:dyDescent="0.25">
      <c r="A85" s="7" t="s">
        <v>12452</v>
      </c>
      <c r="B85" s="2" t="s">
        <v>12453</v>
      </c>
      <c r="C85" s="4">
        <v>1</v>
      </c>
      <c r="D85" s="5">
        <v>10.25</v>
      </c>
      <c r="E85" s="5">
        <v>28.99</v>
      </c>
      <c r="F85" s="4" t="s">
        <v>8736</v>
      </c>
      <c r="G85" s="2" t="s">
        <v>310</v>
      </c>
      <c r="H85" s="7" t="s">
        <v>311</v>
      </c>
      <c r="I85" s="2" t="s">
        <v>312</v>
      </c>
      <c r="J85" s="2" t="s">
        <v>313</v>
      </c>
      <c r="K85" s="2" t="s">
        <v>304</v>
      </c>
      <c r="L85" s="2" t="s">
        <v>38</v>
      </c>
      <c r="M85" s="8" t="str">
        <f>HYPERLINK("http://slimages.macys.com/is/image/MCY/12291177 ")</f>
        <v xml:space="preserve">http://slimages.macys.com/is/image/MCY/12291177 </v>
      </c>
    </row>
    <row r="86" spans="1:13" ht="60" x14ac:dyDescent="0.25">
      <c r="A86" s="7" t="s">
        <v>7390</v>
      </c>
      <c r="B86" s="2" t="s">
        <v>12454</v>
      </c>
      <c r="C86" s="4">
        <v>1</v>
      </c>
      <c r="D86" s="5">
        <v>10.06</v>
      </c>
      <c r="E86" s="5">
        <v>22.99</v>
      </c>
      <c r="F86" s="4" t="s">
        <v>1621</v>
      </c>
      <c r="G86" s="2" t="s">
        <v>171</v>
      </c>
      <c r="H86" s="7" t="s">
        <v>63</v>
      </c>
      <c r="I86" s="2" t="s">
        <v>515</v>
      </c>
      <c r="J86" s="2" t="s">
        <v>516</v>
      </c>
      <c r="K86" s="2" t="s">
        <v>304</v>
      </c>
      <c r="L86" s="2" t="s">
        <v>358</v>
      </c>
      <c r="M86" s="8" t="str">
        <f>HYPERLINK("http://slimages.macys.com/is/image/MCY/11606059 ")</f>
        <v xml:space="preserve">http://slimages.macys.com/is/image/MCY/11606059 </v>
      </c>
    </row>
    <row r="87" spans="1:13" ht="132" x14ac:dyDescent="0.25">
      <c r="A87" s="7" t="s">
        <v>10908</v>
      </c>
      <c r="B87" s="2" t="s">
        <v>12455</v>
      </c>
      <c r="C87" s="4">
        <v>1</v>
      </c>
      <c r="D87" s="5">
        <v>9.9</v>
      </c>
      <c r="E87" s="5">
        <v>22.52</v>
      </c>
      <c r="F87" s="4">
        <v>18505910</v>
      </c>
      <c r="G87" s="2" t="s">
        <v>36</v>
      </c>
      <c r="H87" s="7" t="s">
        <v>482</v>
      </c>
      <c r="I87" s="2" t="s">
        <v>153</v>
      </c>
      <c r="J87" s="2" t="s">
        <v>154</v>
      </c>
      <c r="K87" s="2" t="s">
        <v>304</v>
      </c>
      <c r="L87" s="2" t="s">
        <v>831</v>
      </c>
      <c r="M87" s="8" t="str">
        <f>HYPERLINK("http://slimages.macys.com/is/image/MCY/13382390 ")</f>
        <v xml:space="preserve">http://slimages.macys.com/is/image/MCY/13382390 </v>
      </c>
    </row>
    <row r="88" spans="1:13" ht="84" x14ac:dyDescent="0.25">
      <c r="A88" s="7" t="s">
        <v>6188</v>
      </c>
      <c r="B88" s="2" t="s">
        <v>12456</v>
      </c>
      <c r="C88" s="4">
        <v>1</v>
      </c>
      <c r="D88" s="5">
        <v>9.76</v>
      </c>
      <c r="E88" s="5">
        <v>21.99</v>
      </c>
      <c r="F88" s="4" t="s">
        <v>6190</v>
      </c>
      <c r="G88" s="2" t="s">
        <v>36</v>
      </c>
      <c r="H88" s="7" t="s">
        <v>228</v>
      </c>
      <c r="I88" s="2" t="s">
        <v>515</v>
      </c>
      <c r="J88" s="2" t="s">
        <v>827</v>
      </c>
      <c r="K88" s="2" t="s">
        <v>304</v>
      </c>
      <c r="L88" s="2" t="s">
        <v>6191</v>
      </c>
      <c r="M88" s="8" t="str">
        <f>HYPERLINK("http://slimages.macys.com/is/image/MCY/12508250 ")</f>
        <v xml:space="preserve">http://slimages.macys.com/is/image/MCY/12508250 </v>
      </c>
    </row>
    <row r="89" spans="1:13" ht="72" x14ac:dyDescent="0.25">
      <c r="A89" s="7" t="s">
        <v>9934</v>
      </c>
      <c r="B89" s="2" t="s">
        <v>12457</v>
      </c>
      <c r="C89" s="4">
        <v>1</v>
      </c>
      <c r="D89" s="5">
        <v>9.75</v>
      </c>
      <c r="E89" s="5">
        <v>24.99</v>
      </c>
      <c r="F89" s="4" t="s">
        <v>8763</v>
      </c>
      <c r="G89" s="2" t="s">
        <v>653</v>
      </c>
      <c r="H89" s="7" t="s">
        <v>266</v>
      </c>
      <c r="I89" s="2" t="s">
        <v>321</v>
      </c>
      <c r="J89" s="2" t="s">
        <v>8764</v>
      </c>
      <c r="K89" s="2" t="s">
        <v>304</v>
      </c>
      <c r="L89" s="2" t="s">
        <v>1117</v>
      </c>
      <c r="M89" s="8" t="str">
        <f>HYPERLINK("http://slimages.macys.com/is/image/MCY/11724581 ")</f>
        <v xml:space="preserve">http://slimages.macys.com/is/image/MCY/11724581 </v>
      </c>
    </row>
    <row r="90" spans="1:13" ht="60" x14ac:dyDescent="0.25">
      <c r="A90" s="7" t="s">
        <v>12458</v>
      </c>
      <c r="B90" s="2" t="s">
        <v>12459</v>
      </c>
      <c r="C90" s="4">
        <v>1</v>
      </c>
      <c r="D90" s="5">
        <v>9.75</v>
      </c>
      <c r="E90" s="5">
        <v>24.99</v>
      </c>
      <c r="F90" s="4" t="s">
        <v>9937</v>
      </c>
      <c r="G90" s="2" t="s">
        <v>238</v>
      </c>
      <c r="H90" s="7" t="s">
        <v>159</v>
      </c>
      <c r="I90" s="2" t="s">
        <v>218</v>
      </c>
      <c r="J90" s="2" t="s">
        <v>1740</v>
      </c>
      <c r="K90" s="2" t="s">
        <v>304</v>
      </c>
      <c r="L90" s="2" t="s">
        <v>1207</v>
      </c>
      <c r="M90" s="8" t="str">
        <f>HYPERLINK("http://slimages.macys.com/is/image/MCY/11952921 ")</f>
        <v xml:space="preserve">http://slimages.macys.com/is/image/MCY/11952921 </v>
      </c>
    </row>
    <row r="91" spans="1:13" ht="84" x14ac:dyDescent="0.25">
      <c r="A91" s="7" t="s">
        <v>12460</v>
      </c>
      <c r="B91" s="2" t="s">
        <v>12461</v>
      </c>
      <c r="C91" s="4">
        <v>1</v>
      </c>
      <c r="D91" s="5">
        <v>9.75</v>
      </c>
      <c r="E91" s="5">
        <v>24.99</v>
      </c>
      <c r="F91" s="4" t="s">
        <v>8759</v>
      </c>
      <c r="G91" s="2" t="s">
        <v>892</v>
      </c>
      <c r="H91" s="7" t="s">
        <v>266</v>
      </c>
      <c r="I91" s="2" t="s">
        <v>321</v>
      </c>
      <c r="J91" s="2" t="s">
        <v>1631</v>
      </c>
      <c r="K91" s="2" t="s">
        <v>304</v>
      </c>
      <c r="L91" s="2" t="s">
        <v>1516</v>
      </c>
      <c r="M91" s="8" t="str">
        <f>HYPERLINK("http://slimages.macys.com/is/image/MCY/11545091 ")</f>
        <v xml:space="preserve">http://slimages.macys.com/is/image/MCY/11545091 </v>
      </c>
    </row>
    <row r="92" spans="1:13" ht="72" x14ac:dyDescent="0.25">
      <c r="A92" s="7" t="s">
        <v>12462</v>
      </c>
      <c r="B92" s="2" t="s">
        <v>12463</v>
      </c>
      <c r="C92" s="4">
        <v>1</v>
      </c>
      <c r="D92" s="5">
        <v>9.75</v>
      </c>
      <c r="E92" s="5">
        <v>24.99</v>
      </c>
      <c r="F92" s="4" t="s">
        <v>8763</v>
      </c>
      <c r="G92" s="2" t="s">
        <v>653</v>
      </c>
      <c r="H92" s="7" t="s">
        <v>172</v>
      </c>
      <c r="I92" s="2" t="s">
        <v>321</v>
      </c>
      <c r="J92" s="2" t="s">
        <v>8764</v>
      </c>
      <c r="K92" s="2" t="s">
        <v>304</v>
      </c>
      <c r="L92" s="2" t="s">
        <v>1117</v>
      </c>
      <c r="M92" s="8" t="str">
        <f>HYPERLINK("http://slimages.macys.com/is/image/MCY/11724581 ")</f>
        <v xml:space="preserve">http://slimages.macys.com/is/image/MCY/11724581 </v>
      </c>
    </row>
    <row r="93" spans="1:13" ht="72" x14ac:dyDescent="0.25">
      <c r="A93" s="7" t="s">
        <v>9933</v>
      </c>
      <c r="B93" s="2" t="s">
        <v>12464</v>
      </c>
      <c r="C93" s="4">
        <v>1</v>
      </c>
      <c r="D93" s="5">
        <v>9.75</v>
      </c>
      <c r="E93" s="5">
        <v>24.99</v>
      </c>
      <c r="F93" s="4" t="s">
        <v>9395</v>
      </c>
      <c r="G93" s="2" t="s">
        <v>667</v>
      </c>
      <c r="H93" s="7" t="s">
        <v>248</v>
      </c>
      <c r="I93" s="2" t="s">
        <v>321</v>
      </c>
      <c r="J93" s="2" t="s">
        <v>8764</v>
      </c>
      <c r="K93" s="2" t="s">
        <v>304</v>
      </c>
      <c r="L93" s="2" t="s">
        <v>1117</v>
      </c>
      <c r="M93" s="8" t="str">
        <f>HYPERLINK("http://slimages.macys.com/is/image/MCY/11724596 ")</f>
        <v xml:space="preserve">http://slimages.macys.com/is/image/MCY/11724596 </v>
      </c>
    </row>
    <row r="94" spans="1:13" ht="60" x14ac:dyDescent="0.25">
      <c r="A94" s="7" t="s">
        <v>12465</v>
      </c>
      <c r="B94" s="2" t="s">
        <v>12466</v>
      </c>
      <c r="C94" s="4">
        <v>2</v>
      </c>
      <c r="D94" s="5">
        <v>9.58</v>
      </c>
      <c r="E94" s="5">
        <v>26.99</v>
      </c>
      <c r="F94" s="4" t="s">
        <v>9403</v>
      </c>
      <c r="G94" s="2" t="s">
        <v>86</v>
      </c>
      <c r="H94" s="7" t="s">
        <v>159</v>
      </c>
      <c r="I94" s="2" t="s">
        <v>389</v>
      </c>
      <c r="J94" s="2" t="s">
        <v>354</v>
      </c>
      <c r="K94" s="2" t="s">
        <v>304</v>
      </c>
      <c r="L94" s="2" t="s">
        <v>119</v>
      </c>
      <c r="M94" s="8" t="str">
        <f>HYPERLINK("http://slimages.macys.com/is/image/MCY/12654942 ")</f>
        <v xml:space="preserve">http://slimages.macys.com/is/image/MCY/12654942 </v>
      </c>
    </row>
    <row r="95" spans="1:13" ht="60" x14ac:dyDescent="0.25">
      <c r="A95" s="7" t="s">
        <v>12467</v>
      </c>
      <c r="B95" s="2" t="s">
        <v>12468</v>
      </c>
      <c r="C95" s="4">
        <v>1</v>
      </c>
      <c r="D95" s="5">
        <v>9.5</v>
      </c>
      <c r="E95" s="5">
        <v>21.99</v>
      </c>
      <c r="F95" s="4" t="s">
        <v>7414</v>
      </c>
      <c r="G95" s="2" t="s">
        <v>892</v>
      </c>
      <c r="H95" s="7" t="s">
        <v>179</v>
      </c>
      <c r="I95" s="2" t="s">
        <v>321</v>
      </c>
      <c r="J95" s="2" t="s">
        <v>1671</v>
      </c>
      <c r="K95" s="2" t="s">
        <v>304</v>
      </c>
      <c r="L95" s="2" t="s">
        <v>125</v>
      </c>
      <c r="M95" s="8" t="str">
        <f>HYPERLINK("http://slimages.macys.com/is/image/MCY/11647208 ")</f>
        <v xml:space="preserve">http://slimages.macys.com/is/image/MCY/11647208 </v>
      </c>
    </row>
    <row r="96" spans="1:13" ht="60" x14ac:dyDescent="0.25">
      <c r="A96" s="7" t="s">
        <v>12469</v>
      </c>
      <c r="B96" s="2" t="s">
        <v>12470</v>
      </c>
      <c r="C96" s="4">
        <v>3</v>
      </c>
      <c r="D96" s="5">
        <v>9.5</v>
      </c>
      <c r="E96" s="5">
        <v>21.99</v>
      </c>
      <c r="F96" s="4" t="s">
        <v>7414</v>
      </c>
      <c r="G96" s="2" t="s">
        <v>892</v>
      </c>
      <c r="H96" s="7"/>
      <c r="I96" s="2" t="s">
        <v>321</v>
      </c>
      <c r="J96" s="2" t="s">
        <v>1671</v>
      </c>
      <c r="K96" s="2" t="s">
        <v>304</v>
      </c>
      <c r="L96" s="2" t="s">
        <v>125</v>
      </c>
      <c r="M96" s="8" t="str">
        <f>HYPERLINK("http://slimages.macys.com/is/image/MCY/11647208 ")</f>
        <v xml:space="preserve">http://slimages.macys.com/is/image/MCY/11647208 </v>
      </c>
    </row>
    <row r="97" spans="1:13" ht="60" x14ac:dyDescent="0.25">
      <c r="A97" s="7" t="s">
        <v>12471</v>
      </c>
      <c r="B97" s="2" t="s">
        <v>12472</v>
      </c>
      <c r="C97" s="4">
        <v>1</v>
      </c>
      <c r="D97" s="5">
        <v>9.4700000000000006</v>
      </c>
      <c r="E97" s="5">
        <v>22.99</v>
      </c>
      <c r="F97" s="4" t="s">
        <v>5293</v>
      </c>
      <c r="G97" s="2" t="s">
        <v>171</v>
      </c>
      <c r="H97" s="7" t="s">
        <v>228</v>
      </c>
      <c r="I97" s="2" t="s">
        <v>292</v>
      </c>
      <c r="J97" s="2" t="s">
        <v>293</v>
      </c>
      <c r="K97" s="2" t="s">
        <v>304</v>
      </c>
      <c r="L97" s="2" t="s">
        <v>596</v>
      </c>
      <c r="M97" s="8" t="str">
        <f>HYPERLINK("http://slimages.macys.com/is/image/MCY/13938956 ")</f>
        <v xml:space="preserve">http://slimages.macys.com/is/image/MCY/13938956 </v>
      </c>
    </row>
    <row r="98" spans="1:13" ht="60" x14ac:dyDescent="0.25">
      <c r="A98" s="7" t="s">
        <v>12473</v>
      </c>
      <c r="B98" s="2" t="s">
        <v>12474</v>
      </c>
      <c r="C98" s="4">
        <v>2</v>
      </c>
      <c r="D98" s="5">
        <v>9.44</v>
      </c>
      <c r="E98" s="5">
        <v>24.99</v>
      </c>
      <c r="F98" s="4" t="s">
        <v>5301</v>
      </c>
      <c r="G98" s="2" t="s">
        <v>165</v>
      </c>
      <c r="H98" s="7" t="s">
        <v>228</v>
      </c>
      <c r="I98" s="2" t="s">
        <v>515</v>
      </c>
      <c r="J98" s="2" t="s">
        <v>827</v>
      </c>
      <c r="K98" s="2" t="s">
        <v>304</v>
      </c>
      <c r="L98" s="2" t="s">
        <v>358</v>
      </c>
      <c r="M98" s="8" t="str">
        <f>HYPERLINK("http://slimages.macys.com/is/image/MCY/8137359 ")</f>
        <v xml:space="preserve">http://slimages.macys.com/is/image/MCY/8137359 </v>
      </c>
    </row>
    <row r="99" spans="1:13" ht="60" x14ac:dyDescent="0.25">
      <c r="A99" s="7" t="s">
        <v>5299</v>
      </c>
      <c r="B99" s="2" t="s">
        <v>12475</v>
      </c>
      <c r="C99" s="4">
        <v>1</v>
      </c>
      <c r="D99" s="5">
        <v>9.44</v>
      </c>
      <c r="E99" s="5">
        <v>24.99</v>
      </c>
      <c r="F99" s="4" t="s">
        <v>5301</v>
      </c>
      <c r="G99" s="2" t="s">
        <v>165</v>
      </c>
      <c r="H99" s="7" t="s">
        <v>284</v>
      </c>
      <c r="I99" s="2" t="s">
        <v>515</v>
      </c>
      <c r="J99" s="2" t="s">
        <v>827</v>
      </c>
      <c r="K99" s="2" t="s">
        <v>304</v>
      </c>
      <c r="L99" s="2" t="s">
        <v>358</v>
      </c>
      <c r="M99" s="8" t="str">
        <f>HYPERLINK("http://slimages.macys.com/is/image/MCY/8137359 ")</f>
        <v xml:space="preserve">http://slimages.macys.com/is/image/MCY/8137359 </v>
      </c>
    </row>
    <row r="100" spans="1:13" ht="60" x14ac:dyDescent="0.25">
      <c r="A100" s="7" t="s">
        <v>12476</v>
      </c>
      <c r="B100" s="2" t="s">
        <v>12477</v>
      </c>
      <c r="C100" s="4">
        <v>2</v>
      </c>
      <c r="D100" s="5">
        <v>9.25</v>
      </c>
      <c r="E100" s="5">
        <v>21.99</v>
      </c>
      <c r="F100" s="4" t="s">
        <v>7435</v>
      </c>
      <c r="G100" s="2" t="s">
        <v>62</v>
      </c>
      <c r="H100" s="7" t="s">
        <v>166</v>
      </c>
      <c r="I100" s="2" t="s">
        <v>218</v>
      </c>
      <c r="J100" s="2" t="s">
        <v>2008</v>
      </c>
      <c r="K100" s="2" t="s">
        <v>304</v>
      </c>
      <c r="L100" s="2" t="s">
        <v>119</v>
      </c>
      <c r="M100" s="8" t="str">
        <f>HYPERLINK("http://slimages.macys.com/is/image/MCY/12953518 ")</f>
        <v xml:space="preserve">http://slimages.macys.com/is/image/MCY/12953518 </v>
      </c>
    </row>
    <row r="101" spans="1:13" ht="60" x14ac:dyDescent="0.25">
      <c r="A101" s="7" t="s">
        <v>5321</v>
      </c>
      <c r="B101" s="2" t="s">
        <v>12478</v>
      </c>
      <c r="C101" s="4">
        <v>1</v>
      </c>
      <c r="D101" s="5">
        <v>9.1</v>
      </c>
      <c r="E101" s="5">
        <v>19.989999999999998</v>
      </c>
      <c r="F101" s="4" t="s">
        <v>841</v>
      </c>
      <c r="G101" s="2" t="s">
        <v>62</v>
      </c>
      <c r="H101" s="7" t="s">
        <v>248</v>
      </c>
      <c r="I101" s="2" t="s">
        <v>73</v>
      </c>
      <c r="J101" s="2" t="s">
        <v>249</v>
      </c>
      <c r="K101" s="2" t="s">
        <v>304</v>
      </c>
      <c r="L101" s="2" t="s">
        <v>335</v>
      </c>
      <c r="M101" s="8" t="str">
        <f>HYPERLINK("http://slimages.macys.com/is/image/MCY/14365354 ")</f>
        <v xml:space="preserve">http://slimages.macys.com/is/image/MCY/14365354 </v>
      </c>
    </row>
    <row r="102" spans="1:13" ht="60" x14ac:dyDescent="0.25">
      <c r="A102" s="7" t="s">
        <v>5889</v>
      </c>
      <c r="B102" s="2" t="s">
        <v>12479</v>
      </c>
      <c r="C102" s="4">
        <v>1</v>
      </c>
      <c r="D102" s="5">
        <v>9.1</v>
      </c>
      <c r="E102" s="5">
        <v>19.989999999999998</v>
      </c>
      <c r="F102" s="4" t="s">
        <v>841</v>
      </c>
      <c r="G102" s="2" t="s">
        <v>62</v>
      </c>
      <c r="H102" s="7" t="s">
        <v>172</v>
      </c>
      <c r="I102" s="2" t="s">
        <v>73</v>
      </c>
      <c r="J102" s="2" t="s">
        <v>249</v>
      </c>
      <c r="K102" s="2" t="s">
        <v>304</v>
      </c>
      <c r="L102" s="2" t="s">
        <v>335</v>
      </c>
      <c r="M102" s="8" t="str">
        <f>HYPERLINK("http://slimages.macys.com/is/image/MCY/14365354 ")</f>
        <v xml:space="preserve">http://slimages.macys.com/is/image/MCY/14365354 </v>
      </c>
    </row>
    <row r="103" spans="1:13" ht="60" x14ac:dyDescent="0.25">
      <c r="A103" s="7" t="s">
        <v>7445</v>
      </c>
      <c r="B103" s="2" t="s">
        <v>12480</v>
      </c>
      <c r="C103" s="4">
        <v>1</v>
      </c>
      <c r="D103" s="5">
        <v>9.09</v>
      </c>
      <c r="E103" s="5">
        <v>26.99</v>
      </c>
      <c r="F103" s="4" t="s">
        <v>6206</v>
      </c>
      <c r="G103" s="2" t="s">
        <v>86</v>
      </c>
      <c r="H103" s="7" t="s">
        <v>228</v>
      </c>
      <c r="I103" s="2" t="s">
        <v>389</v>
      </c>
      <c r="J103" s="2" t="s">
        <v>354</v>
      </c>
      <c r="K103" s="2" t="s">
        <v>304</v>
      </c>
      <c r="L103" s="2" t="s">
        <v>6207</v>
      </c>
      <c r="M103" s="8" t="str">
        <f>HYPERLINK("http://slimages.macys.com/is/image/MCY/13079495 ")</f>
        <v xml:space="preserve">http://slimages.macys.com/is/image/MCY/13079495 </v>
      </c>
    </row>
    <row r="104" spans="1:13" ht="60" x14ac:dyDescent="0.25">
      <c r="A104" s="7" t="s">
        <v>6204</v>
      </c>
      <c r="B104" s="2" t="s">
        <v>12481</v>
      </c>
      <c r="C104" s="4">
        <v>1</v>
      </c>
      <c r="D104" s="5">
        <v>9.09</v>
      </c>
      <c r="E104" s="5">
        <v>26.99</v>
      </c>
      <c r="F104" s="4" t="s">
        <v>6206</v>
      </c>
      <c r="G104" s="2" t="s">
        <v>86</v>
      </c>
      <c r="H104" s="7" t="s">
        <v>284</v>
      </c>
      <c r="I104" s="2" t="s">
        <v>389</v>
      </c>
      <c r="J104" s="2" t="s">
        <v>354</v>
      </c>
      <c r="K104" s="2" t="s">
        <v>304</v>
      </c>
      <c r="L104" s="2" t="s">
        <v>6207</v>
      </c>
      <c r="M104" s="8" t="str">
        <f>HYPERLINK("http://slimages.macys.com/is/image/MCY/13079495 ")</f>
        <v xml:space="preserve">http://slimages.macys.com/is/image/MCY/13079495 </v>
      </c>
    </row>
    <row r="105" spans="1:13" ht="60" x14ac:dyDescent="0.25">
      <c r="A105" s="7" t="s">
        <v>2537</v>
      </c>
      <c r="B105" s="2" t="s">
        <v>12482</v>
      </c>
      <c r="C105" s="4">
        <v>1</v>
      </c>
      <c r="D105" s="5">
        <v>9</v>
      </c>
      <c r="E105" s="5">
        <v>20.99</v>
      </c>
      <c r="F105" s="4" t="s">
        <v>2539</v>
      </c>
      <c r="G105" s="2" t="s">
        <v>86</v>
      </c>
      <c r="H105" s="7" t="s">
        <v>63</v>
      </c>
      <c r="I105" s="2" t="s">
        <v>173</v>
      </c>
      <c r="J105" s="2" t="s">
        <v>1967</v>
      </c>
      <c r="K105" s="2" t="s">
        <v>304</v>
      </c>
      <c r="L105" s="2" t="s">
        <v>2540</v>
      </c>
      <c r="M105" s="8" t="str">
        <f>HYPERLINK("http://slimages.macys.com/is/image/MCY/14315598 ")</f>
        <v xml:space="preserve">http://slimages.macys.com/is/image/MCY/14315598 </v>
      </c>
    </row>
    <row r="106" spans="1:13" ht="60" x14ac:dyDescent="0.25">
      <c r="A106" s="7" t="s">
        <v>12483</v>
      </c>
      <c r="B106" s="2" t="s">
        <v>12484</v>
      </c>
      <c r="C106" s="4">
        <v>1</v>
      </c>
      <c r="D106" s="5">
        <v>9</v>
      </c>
      <c r="E106" s="5">
        <v>18</v>
      </c>
      <c r="F106" s="4" t="s">
        <v>7526</v>
      </c>
      <c r="G106" s="2" t="s">
        <v>62</v>
      </c>
      <c r="H106" s="7"/>
      <c r="I106" s="2" t="s">
        <v>700</v>
      </c>
      <c r="J106" s="2" t="s">
        <v>7527</v>
      </c>
      <c r="K106" s="2" t="s">
        <v>304</v>
      </c>
      <c r="L106" s="2" t="s">
        <v>119</v>
      </c>
      <c r="M106" s="8" t="str">
        <f>HYPERLINK("http://slimages.macys.com/is/image/MCY/13850421 ")</f>
        <v xml:space="preserve">http://slimages.macys.com/is/image/MCY/13850421 </v>
      </c>
    </row>
    <row r="107" spans="1:13" ht="60" x14ac:dyDescent="0.25">
      <c r="A107" s="7" t="s">
        <v>8208</v>
      </c>
      <c r="B107" s="2" t="s">
        <v>12485</v>
      </c>
      <c r="C107" s="4">
        <v>1</v>
      </c>
      <c r="D107" s="5">
        <v>9</v>
      </c>
      <c r="E107" s="5">
        <v>20.99</v>
      </c>
      <c r="F107" s="4" t="s">
        <v>2539</v>
      </c>
      <c r="G107" s="2" t="s">
        <v>86</v>
      </c>
      <c r="H107" s="7" t="s">
        <v>311</v>
      </c>
      <c r="I107" s="2" t="s">
        <v>173</v>
      </c>
      <c r="J107" s="2" t="s">
        <v>1967</v>
      </c>
      <c r="K107" s="2" t="s">
        <v>304</v>
      </c>
      <c r="L107" s="2" t="s">
        <v>2540</v>
      </c>
      <c r="M107" s="8" t="str">
        <f>HYPERLINK("http://slimages.macys.com/is/image/MCY/14315598 ")</f>
        <v xml:space="preserve">http://slimages.macys.com/is/image/MCY/14315598 </v>
      </c>
    </row>
    <row r="108" spans="1:13" ht="60" x14ac:dyDescent="0.25">
      <c r="A108" s="7" t="s">
        <v>12486</v>
      </c>
      <c r="B108" s="2" t="s">
        <v>12487</v>
      </c>
      <c r="C108" s="4">
        <v>1</v>
      </c>
      <c r="D108" s="5">
        <v>8.92</v>
      </c>
      <c r="E108" s="5">
        <v>22.99</v>
      </c>
      <c r="F108" s="4" t="s">
        <v>9976</v>
      </c>
      <c r="G108" s="2" t="s">
        <v>353</v>
      </c>
      <c r="H108" s="7" t="s">
        <v>159</v>
      </c>
      <c r="I108" s="2" t="s">
        <v>292</v>
      </c>
      <c r="J108" s="2" t="s">
        <v>293</v>
      </c>
      <c r="K108" s="2" t="s">
        <v>304</v>
      </c>
      <c r="L108" s="2" t="s">
        <v>100</v>
      </c>
      <c r="M108" s="8" t="str">
        <f>HYPERLINK("http://slimages.macys.com/is/image/MCY/12000806 ")</f>
        <v xml:space="preserve">http://slimages.macys.com/is/image/MCY/12000806 </v>
      </c>
    </row>
    <row r="109" spans="1:13" ht="60" x14ac:dyDescent="0.25">
      <c r="A109" s="7" t="s">
        <v>870</v>
      </c>
      <c r="B109" s="2" t="s">
        <v>12488</v>
      </c>
      <c r="C109" s="4">
        <v>2</v>
      </c>
      <c r="D109" s="5">
        <v>8.75</v>
      </c>
      <c r="E109" s="5">
        <v>19.989999999999998</v>
      </c>
      <c r="F109" s="4" t="s">
        <v>854</v>
      </c>
      <c r="G109" s="2" t="s">
        <v>858</v>
      </c>
      <c r="H109" s="7"/>
      <c r="I109" s="2" t="s">
        <v>815</v>
      </c>
      <c r="J109" s="2" t="s">
        <v>778</v>
      </c>
      <c r="K109" s="2" t="s">
        <v>304</v>
      </c>
      <c r="L109" s="2" t="s">
        <v>125</v>
      </c>
      <c r="M109" s="8" t="str">
        <f>HYPERLINK("http://slimages.macys.com/is/image/MCY/11724609 ")</f>
        <v xml:space="preserve">http://slimages.macys.com/is/image/MCY/11724609 </v>
      </c>
    </row>
    <row r="110" spans="1:13" ht="60" x14ac:dyDescent="0.25">
      <c r="A110" s="7" t="s">
        <v>12489</v>
      </c>
      <c r="B110" s="2" t="s">
        <v>12490</v>
      </c>
      <c r="C110" s="4">
        <v>1</v>
      </c>
      <c r="D110" s="5">
        <v>8.65</v>
      </c>
      <c r="E110" s="5">
        <v>22.99</v>
      </c>
      <c r="F110" s="4" t="s">
        <v>12491</v>
      </c>
      <c r="G110" s="2" t="s">
        <v>892</v>
      </c>
      <c r="H110" s="7" t="s">
        <v>320</v>
      </c>
      <c r="I110" s="2" t="s">
        <v>321</v>
      </c>
      <c r="J110" s="2" t="s">
        <v>322</v>
      </c>
      <c r="K110" s="2" t="s">
        <v>304</v>
      </c>
      <c r="L110" s="2" t="s">
        <v>125</v>
      </c>
      <c r="M110" s="8" t="str">
        <f>HYPERLINK("http://slimages.macys.com/is/image/MCY/11539282 ")</f>
        <v xml:space="preserve">http://slimages.macys.com/is/image/MCY/11539282 </v>
      </c>
    </row>
    <row r="111" spans="1:13" ht="84" x14ac:dyDescent="0.25">
      <c r="A111" s="7" t="s">
        <v>12492</v>
      </c>
      <c r="B111" s="2" t="s">
        <v>12493</v>
      </c>
      <c r="C111" s="4">
        <v>1</v>
      </c>
      <c r="D111" s="5">
        <v>8.65</v>
      </c>
      <c r="E111" s="5">
        <v>22.99</v>
      </c>
      <c r="F111" s="4">
        <v>103407</v>
      </c>
      <c r="G111" s="2" t="s">
        <v>667</v>
      </c>
      <c r="H111" s="7" t="s">
        <v>177</v>
      </c>
      <c r="I111" s="2" t="s">
        <v>321</v>
      </c>
      <c r="J111" s="2" t="s">
        <v>322</v>
      </c>
      <c r="K111" s="2" t="s">
        <v>304</v>
      </c>
      <c r="L111" s="2" t="s">
        <v>1460</v>
      </c>
      <c r="M111" s="8" t="str">
        <f>HYPERLINK("http://slimages.macys.com/is/image/MCY/12037911 ")</f>
        <v xml:space="preserve">http://slimages.macys.com/is/image/MCY/12037911 </v>
      </c>
    </row>
    <row r="112" spans="1:13" ht="84" x14ac:dyDescent="0.25">
      <c r="A112" s="7" t="s">
        <v>1662</v>
      </c>
      <c r="B112" s="2" t="s">
        <v>12494</v>
      </c>
      <c r="C112" s="4">
        <v>1</v>
      </c>
      <c r="D112" s="5">
        <v>8.65</v>
      </c>
      <c r="E112" s="5">
        <v>22.99</v>
      </c>
      <c r="F112" s="4">
        <v>103406</v>
      </c>
      <c r="G112" s="2" t="s">
        <v>36</v>
      </c>
      <c r="H112" s="7" t="s">
        <v>172</v>
      </c>
      <c r="I112" s="2" t="s">
        <v>321</v>
      </c>
      <c r="J112" s="2" t="s">
        <v>322</v>
      </c>
      <c r="K112" s="2" t="s">
        <v>304</v>
      </c>
      <c r="L112" s="2" t="s">
        <v>1460</v>
      </c>
      <c r="M112" s="8" t="str">
        <f>HYPERLINK("http://slimages.macys.com/is/image/MCY/12045187 ")</f>
        <v xml:space="preserve">http://slimages.macys.com/is/image/MCY/12045187 </v>
      </c>
    </row>
    <row r="113" spans="1:13" ht="84" x14ac:dyDescent="0.25">
      <c r="A113" s="7" t="s">
        <v>3252</v>
      </c>
      <c r="B113" s="2" t="s">
        <v>12495</v>
      </c>
      <c r="C113" s="4">
        <v>1</v>
      </c>
      <c r="D113" s="5">
        <v>8.65</v>
      </c>
      <c r="E113" s="5">
        <v>22.99</v>
      </c>
      <c r="F113" s="4">
        <v>103402</v>
      </c>
      <c r="G113" s="2" t="s">
        <v>892</v>
      </c>
      <c r="H113" s="7" t="s">
        <v>172</v>
      </c>
      <c r="I113" s="2" t="s">
        <v>321</v>
      </c>
      <c r="J113" s="2" t="s">
        <v>322</v>
      </c>
      <c r="K113" s="2" t="s">
        <v>304</v>
      </c>
      <c r="L113" s="2" t="s">
        <v>1460</v>
      </c>
      <c r="M113" s="8" t="str">
        <f>HYPERLINK("http://slimages.macys.com/is/image/MCY/12045191 ")</f>
        <v xml:space="preserve">http://slimages.macys.com/is/image/MCY/12045191 </v>
      </c>
    </row>
    <row r="114" spans="1:13" ht="60" x14ac:dyDescent="0.25">
      <c r="A114" s="7" t="s">
        <v>12496</v>
      </c>
      <c r="B114" s="2" t="s">
        <v>12497</v>
      </c>
      <c r="C114" s="4">
        <v>1</v>
      </c>
      <c r="D114" s="5">
        <v>8.58</v>
      </c>
      <c r="E114" s="5">
        <v>24.5</v>
      </c>
      <c r="F114" s="4" t="s">
        <v>11461</v>
      </c>
      <c r="G114" s="2" t="s">
        <v>48</v>
      </c>
      <c r="H114" s="7" t="s">
        <v>248</v>
      </c>
      <c r="I114" s="2" t="s">
        <v>298</v>
      </c>
      <c r="J114" s="2" t="s">
        <v>99</v>
      </c>
      <c r="K114" s="2" t="s">
        <v>304</v>
      </c>
      <c r="L114" s="2" t="s">
        <v>119</v>
      </c>
      <c r="M114" s="8" t="str">
        <f>HYPERLINK("http://slimages.macys.com/is/image/MCY/13801724 ")</f>
        <v xml:space="preserve">http://slimages.macys.com/is/image/MCY/13801724 </v>
      </c>
    </row>
    <row r="115" spans="1:13" ht="60" x14ac:dyDescent="0.25">
      <c r="A115" s="7" t="s">
        <v>8796</v>
      </c>
      <c r="B115" s="2" t="s">
        <v>12498</v>
      </c>
      <c r="C115" s="4">
        <v>3</v>
      </c>
      <c r="D115" s="5">
        <v>8.58</v>
      </c>
      <c r="E115" s="5">
        <v>24.5</v>
      </c>
      <c r="F115" s="4" t="s">
        <v>8798</v>
      </c>
      <c r="G115" s="2" t="s">
        <v>2107</v>
      </c>
      <c r="H115" s="7" t="s">
        <v>266</v>
      </c>
      <c r="I115" s="2" t="s">
        <v>298</v>
      </c>
      <c r="J115" s="2" t="s">
        <v>99</v>
      </c>
      <c r="K115" s="2" t="s">
        <v>304</v>
      </c>
      <c r="L115" s="2" t="s">
        <v>335</v>
      </c>
      <c r="M115" s="8" t="str">
        <f>HYPERLINK("http://slimages.macys.com/is/image/MCY/13801779 ")</f>
        <v xml:space="preserve">http://slimages.macys.com/is/image/MCY/13801779 </v>
      </c>
    </row>
    <row r="116" spans="1:13" ht="96" x14ac:dyDescent="0.25">
      <c r="A116" s="7" t="s">
        <v>12499</v>
      </c>
      <c r="B116" s="2" t="s">
        <v>12500</v>
      </c>
      <c r="C116" s="4">
        <v>1</v>
      </c>
      <c r="D116" s="5">
        <v>8.5399999999999991</v>
      </c>
      <c r="E116" s="5">
        <v>21.99</v>
      </c>
      <c r="F116" s="4" t="s">
        <v>3255</v>
      </c>
      <c r="G116" s="2" t="s">
        <v>62</v>
      </c>
      <c r="H116" s="7" t="s">
        <v>166</v>
      </c>
      <c r="I116" s="2" t="s">
        <v>218</v>
      </c>
      <c r="J116" s="2" t="s">
        <v>2008</v>
      </c>
      <c r="K116" s="2" t="s">
        <v>304</v>
      </c>
      <c r="L116" s="2" t="s">
        <v>3256</v>
      </c>
      <c r="M116" s="8" t="str">
        <f>HYPERLINK("http://slimages.macys.com/is/image/MCY/12742405 ")</f>
        <v xml:space="preserve">http://slimages.macys.com/is/image/MCY/12742405 </v>
      </c>
    </row>
    <row r="117" spans="1:13" ht="96" x14ac:dyDescent="0.25">
      <c r="A117" s="7" t="s">
        <v>3253</v>
      </c>
      <c r="B117" s="2" t="s">
        <v>12501</v>
      </c>
      <c r="C117" s="4">
        <v>1</v>
      </c>
      <c r="D117" s="5">
        <v>8.5399999999999991</v>
      </c>
      <c r="E117" s="5">
        <v>21.99</v>
      </c>
      <c r="F117" s="4" t="s">
        <v>3255</v>
      </c>
      <c r="G117" s="2" t="s">
        <v>62</v>
      </c>
      <c r="H117" s="7" t="s">
        <v>209</v>
      </c>
      <c r="I117" s="2" t="s">
        <v>218</v>
      </c>
      <c r="J117" s="2" t="s">
        <v>2008</v>
      </c>
      <c r="K117" s="2" t="s">
        <v>304</v>
      </c>
      <c r="L117" s="2" t="s">
        <v>3256</v>
      </c>
      <c r="M117" s="8" t="str">
        <f>HYPERLINK("http://slimages.macys.com/is/image/MCY/12742405 ")</f>
        <v xml:space="preserve">http://slimages.macys.com/is/image/MCY/12742405 </v>
      </c>
    </row>
    <row r="118" spans="1:13" ht="60" x14ac:dyDescent="0.25">
      <c r="A118" s="7" t="s">
        <v>8212</v>
      </c>
      <c r="B118" s="2" t="s">
        <v>12502</v>
      </c>
      <c r="C118" s="4">
        <v>1</v>
      </c>
      <c r="D118" s="5">
        <v>8.5399999999999991</v>
      </c>
      <c r="E118" s="5">
        <v>21.99</v>
      </c>
      <c r="F118" s="4" t="s">
        <v>5358</v>
      </c>
      <c r="G118" s="2" t="s">
        <v>582</v>
      </c>
      <c r="H118" s="7" t="s">
        <v>228</v>
      </c>
      <c r="I118" s="2" t="s">
        <v>389</v>
      </c>
      <c r="J118" s="2" t="s">
        <v>354</v>
      </c>
      <c r="K118" s="2" t="s">
        <v>304</v>
      </c>
      <c r="L118" s="2" t="s">
        <v>119</v>
      </c>
      <c r="M118" s="8" t="str">
        <f>HYPERLINK("http://slimages.macys.com/is/image/MCY/12121633 ")</f>
        <v xml:space="preserve">http://slimages.macys.com/is/image/MCY/12121633 </v>
      </c>
    </row>
    <row r="119" spans="1:13" ht="60" x14ac:dyDescent="0.25">
      <c r="A119" s="7" t="s">
        <v>5356</v>
      </c>
      <c r="B119" s="2" t="s">
        <v>12503</v>
      </c>
      <c r="C119" s="4">
        <v>1</v>
      </c>
      <c r="D119" s="5">
        <v>8.5399999999999991</v>
      </c>
      <c r="E119" s="5">
        <v>21.99</v>
      </c>
      <c r="F119" s="4" t="s">
        <v>5358</v>
      </c>
      <c r="G119" s="2" t="s">
        <v>582</v>
      </c>
      <c r="H119" s="7" t="s">
        <v>159</v>
      </c>
      <c r="I119" s="2" t="s">
        <v>389</v>
      </c>
      <c r="J119" s="2" t="s">
        <v>354</v>
      </c>
      <c r="K119" s="2" t="s">
        <v>304</v>
      </c>
      <c r="L119" s="2" t="s">
        <v>119</v>
      </c>
      <c r="M119" s="8" t="str">
        <f>HYPERLINK("http://slimages.macys.com/is/image/MCY/12121633 ")</f>
        <v xml:space="preserve">http://slimages.macys.com/is/image/MCY/12121633 </v>
      </c>
    </row>
    <row r="120" spans="1:13" ht="60" x14ac:dyDescent="0.25">
      <c r="A120" s="7" t="s">
        <v>12504</v>
      </c>
      <c r="B120" s="2" t="s">
        <v>12505</v>
      </c>
      <c r="C120" s="4">
        <v>1</v>
      </c>
      <c r="D120" s="5">
        <v>8.5</v>
      </c>
      <c r="E120" s="5">
        <v>22</v>
      </c>
      <c r="F120" s="4" t="s">
        <v>5361</v>
      </c>
      <c r="G120" s="2"/>
      <c r="H120" s="7"/>
      <c r="I120" s="2" t="s">
        <v>321</v>
      </c>
      <c r="J120" s="2" t="s">
        <v>2557</v>
      </c>
      <c r="K120" s="2" t="s">
        <v>304</v>
      </c>
      <c r="L120" s="2" t="s">
        <v>5362</v>
      </c>
      <c r="M120" s="8" t="str">
        <f>HYPERLINK("http://slimages.macys.com/is/image/MCY/10749517 ")</f>
        <v xml:space="preserve">http://slimages.macys.com/is/image/MCY/10749517 </v>
      </c>
    </row>
    <row r="121" spans="1:13" ht="60" x14ac:dyDescent="0.25">
      <c r="A121" s="7" t="s">
        <v>12506</v>
      </c>
      <c r="B121" s="2" t="s">
        <v>12507</v>
      </c>
      <c r="C121" s="4">
        <v>1</v>
      </c>
      <c r="D121" s="5">
        <v>8.5</v>
      </c>
      <c r="E121" s="5">
        <v>18.989999999999998</v>
      </c>
      <c r="F121" s="4" t="s">
        <v>11464</v>
      </c>
      <c r="G121" s="2" t="s">
        <v>62</v>
      </c>
      <c r="H121" s="7" t="s">
        <v>166</v>
      </c>
      <c r="I121" s="2" t="s">
        <v>80</v>
      </c>
      <c r="J121" s="2" t="s">
        <v>124</v>
      </c>
      <c r="K121" s="2" t="s">
        <v>304</v>
      </c>
      <c r="L121" s="2" t="s">
        <v>125</v>
      </c>
      <c r="M121" s="8" t="str">
        <f>HYPERLINK("http://slimages.macys.com/is/image/MCY/12227188 ")</f>
        <v xml:space="preserve">http://slimages.macys.com/is/image/MCY/12227188 </v>
      </c>
    </row>
    <row r="122" spans="1:13" ht="60" x14ac:dyDescent="0.25">
      <c r="A122" s="7" t="s">
        <v>12508</v>
      </c>
      <c r="B122" s="2" t="s">
        <v>12509</v>
      </c>
      <c r="C122" s="4">
        <v>2</v>
      </c>
      <c r="D122" s="5">
        <v>8.5</v>
      </c>
      <c r="E122" s="5">
        <v>21.99</v>
      </c>
      <c r="F122" s="4" t="s">
        <v>11951</v>
      </c>
      <c r="G122" s="2" t="s">
        <v>800</v>
      </c>
      <c r="H122" s="7"/>
      <c r="I122" s="2" t="s">
        <v>321</v>
      </c>
      <c r="J122" s="2" t="s">
        <v>5901</v>
      </c>
      <c r="K122" s="2" t="s">
        <v>304</v>
      </c>
      <c r="L122" s="2" t="s">
        <v>358</v>
      </c>
      <c r="M122" s="8" t="str">
        <f>HYPERLINK("http://slimages.macys.com/is/image/MCY/11647250 ")</f>
        <v xml:space="preserve">http://slimages.macys.com/is/image/MCY/11647250 </v>
      </c>
    </row>
    <row r="123" spans="1:13" ht="60" x14ac:dyDescent="0.25">
      <c r="A123" s="7" t="s">
        <v>11950</v>
      </c>
      <c r="B123" s="2" t="s">
        <v>12510</v>
      </c>
      <c r="C123" s="4">
        <v>2</v>
      </c>
      <c r="D123" s="5">
        <v>8.5</v>
      </c>
      <c r="E123" s="5">
        <v>21.99</v>
      </c>
      <c r="F123" s="4" t="s">
        <v>11951</v>
      </c>
      <c r="G123" s="2" t="s">
        <v>800</v>
      </c>
      <c r="H123" s="7"/>
      <c r="I123" s="2" t="s">
        <v>321</v>
      </c>
      <c r="J123" s="2" t="s">
        <v>5901</v>
      </c>
      <c r="K123" s="2" t="s">
        <v>304</v>
      </c>
      <c r="L123" s="2" t="s">
        <v>358</v>
      </c>
      <c r="M123" s="8" t="str">
        <f>HYPERLINK("http://slimages.macys.com/is/image/MCY/11647250 ")</f>
        <v xml:space="preserve">http://slimages.macys.com/is/image/MCY/11647250 </v>
      </c>
    </row>
    <row r="124" spans="1:13" ht="60" x14ac:dyDescent="0.25">
      <c r="A124" s="7" t="s">
        <v>12511</v>
      </c>
      <c r="B124" s="2" t="s">
        <v>12512</v>
      </c>
      <c r="C124" s="4">
        <v>1</v>
      </c>
      <c r="D124" s="5">
        <v>8.5</v>
      </c>
      <c r="E124" s="5">
        <v>20</v>
      </c>
      <c r="F124" s="4" t="s">
        <v>12513</v>
      </c>
      <c r="G124" s="2" t="s">
        <v>86</v>
      </c>
      <c r="H124" s="7" t="s">
        <v>228</v>
      </c>
      <c r="I124" s="2" t="s">
        <v>468</v>
      </c>
      <c r="J124" s="2" t="s">
        <v>469</v>
      </c>
      <c r="K124" s="2" t="s">
        <v>304</v>
      </c>
      <c r="L124" s="2" t="s">
        <v>206</v>
      </c>
      <c r="M124" s="8" t="str">
        <f>HYPERLINK("http://slimages.macys.com/is/image/MCY/8929663 ")</f>
        <v xml:space="preserve">http://slimages.macys.com/is/image/MCY/8929663 </v>
      </c>
    </row>
    <row r="125" spans="1:13" ht="72" x14ac:dyDescent="0.25">
      <c r="A125" s="7" t="s">
        <v>3924</v>
      </c>
      <c r="B125" s="2" t="s">
        <v>12514</v>
      </c>
      <c r="C125" s="4">
        <v>1</v>
      </c>
      <c r="D125" s="5">
        <v>8.5</v>
      </c>
      <c r="E125" s="5">
        <v>20</v>
      </c>
      <c r="F125" s="4" t="s">
        <v>3926</v>
      </c>
      <c r="G125" s="2" t="s">
        <v>171</v>
      </c>
      <c r="H125" s="7" t="s">
        <v>618</v>
      </c>
      <c r="I125" s="2" t="s">
        <v>380</v>
      </c>
      <c r="J125" s="2" t="s">
        <v>381</v>
      </c>
      <c r="K125" s="2" t="s">
        <v>304</v>
      </c>
      <c r="L125" s="2" t="s">
        <v>382</v>
      </c>
      <c r="M125" s="8" t="str">
        <f>HYPERLINK("http://slimages.macys.com/is/image/MCY/12550115 ")</f>
        <v xml:space="preserve">http://slimages.macys.com/is/image/MCY/12550115 </v>
      </c>
    </row>
    <row r="126" spans="1:13" ht="60" x14ac:dyDescent="0.25">
      <c r="A126" s="7" t="s">
        <v>12515</v>
      </c>
      <c r="B126" s="2" t="s">
        <v>12516</v>
      </c>
      <c r="C126" s="4">
        <v>1</v>
      </c>
      <c r="D126" s="5">
        <v>8.5</v>
      </c>
      <c r="E126" s="5">
        <v>18.989999999999998</v>
      </c>
      <c r="F126" s="4" t="s">
        <v>11464</v>
      </c>
      <c r="G126" s="2" t="s">
        <v>62</v>
      </c>
      <c r="H126" s="7" t="s">
        <v>166</v>
      </c>
      <c r="I126" s="2" t="s">
        <v>80</v>
      </c>
      <c r="J126" s="2" t="s">
        <v>124</v>
      </c>
      <c r="K126" s="2" t="s">
        <v>304</v>
      </c>
      <c r="L126" s="2" t="s">
        <v>125</v>
      </c>
      <c r="M126" s="8" t="str">
        <f>HYPERLINK("http://slimages.macys.com/is/image/MCY/12227188 ")</f>
        <v xml:space="preserve">http://slimages.macys.com/is/image/MCY/12227188 </v>
      </c>
    </row>
    <row r="127" spans="1:13" ht="60" x14ac:dyDescent="0.25">
      <c r="A127" s="7" t="s">
        <v>12517</v>
      </c>
      <c r="B127" s="2" t="s">
        <v>12518</v>
      </c>
      <c r="C127" s="4">
        <v>1</v>
      </c>
      <c r="D127" s="5">
        <v>8.5</v>
      </c>
      <c r="E127" s="5">
        <v>18.989999999999998</v>
      </c>
      <c r="F127" s="4" t="s">
        <v>11464</v>
      </c>
      <c r="G127" s="2" t="s">
        <v>62</v>
      </c>
      <c r="H127" s="7" t="s">
        <v>311</v>
      </c>
      <c r="I127" s="2" t="s">
        <v>80</v>
      </c>
      <c r="J127" s="2" t="s">
        <v>124</v>
      </c>
      <c r="K127" s="2" t="s">
        <v>304</v>
      </c>
      <c r="L127" s="2" t="s">
        <v>125</v>
      </c>
      <c r="M127" s="8" t="str">
        <f>HYPERLINK("http://slimages.macys.com/is/image/MCY/12227188 ")</f>
        <v xml:space="preserve">http://slimages.macys.com/is/image/MCY/12227188 </v>
      </c>
    </row>
    <row r="128" spans="1:13" ht="60" x14ac:dyDescent="0.25">
      <c r="A128" s="7" t="s">
        <v>12519</v>
      </c>
      <c r="B128" s="2" t="s">
        <v>12520</v>
      </c>
      <c r="C128" s="4">
        <v>3</v>
      </c>
      <c r="D128" s="5">
        <v>8.5</v>
      </c>
      <c r="E128" s="5">
        <v>21.99</v>
      </c>
      <c r="F128" s="4" t="s">
        <v>11951</v>
      </c>
      <c r="G128" s="2" t="s">
        <v>800</v>
      </c>
      <c r="H128" s="7"/>
      <c r="I128" s="2" t="s">
        <v>321</v>
      </c>
      <c r="J128" s="2" t="s">
        <v>5901</v>
      </c>
      <c r="K128" s="2" t="s">
        <v>304</v>
      </c>
      <c r="L128" s="2" t="s">
        <v>358</v>
      </c>
      <c r="M128" s="8" t="str">
        <f>HYPERLINK("http://slimages.macys.com/is/image/MCY/11647250 ")</f>
        <v xml:space="preserve">http://slimages.macys.com/is/image/MCY/11647250 </v>
      </c>
    </row>
    <row r="129" spans="1:13" ht="60" x14ac:dyDescent="0.25">
      <c r="A129" s="7" t="s">
        <v>12521</v>
      </c>
      <c r="B129" s="2" t="s">
        <v>12522</v>
      </c>
      <c r="C129" s="4">
        <v>1</v>
      </c>
      <c r="D129" s="5">
        <v>8.5</v>
      </c>
      <c r="E129" s="5">
        <v>21.99</v>
      </c>
      <c r="F129" s="4" t="s">
        <v>11951</v>
      </c>
      <c r="G129" s="2" t="s">
        <v>800</v>
      </c>
      <c r="H129" s="7"/>
      <c r="I129" s="2" t="s">
        <v>321</v>
      </c>
      <c r="J129" s="2" t="s">
        <v>5901</v>
      </c>
      <c r="K129" s="2" t="s">
        <v>304</v>
      </c>
      <c r="L129" s="2" t="s">
        <v>358</v>
      </c>
      <c r="M129" s="8" t="str">
        <f>HYPERLINK("http://slimages.macys.com/is/image/MCY/11647250 ")</f>
        <v xml:space="preserve">http://slimages.macys.com/is/image/MCY/11647250 </v>
      </c>
    </row>
    <row r="130" spans="1:13" ht="60" x14ac:dyDescent="0.25">
      <c r="A130" s="7" t="s">
        <v>12523</v>
      </c>
      <c r="B130" s="2" t="s">
        <v>12524</v>
      </c>
      <c r="C130" s="4">
        <v>1</v>
      </c>
      <c r="D130" s="5">
        <v>8.4499999999999993</v>
      </c>
      <c r="E130" s="5">
        <v>22</v>
      </c>
      <c r="F130" s="4" t="s">
        <v>12525</v>
      </c>
      <c r="G130" s="2"/>
      <c r="H130" s="7" t="s">
        <v>177</v>
      </c>
      <c r="I130" s="2" t="s">
        <v>321</v>
      </c>
      <c r="J130" s="2" t="s">
        <v>2557</v>
      </c>
      <c r="K130" s="2" t="s">
        <v>304</v>
      </c>
      <c r="L130" s="2" t="s">
        <v>5362</v>
      </c>
      <c r="M130" s="8" t="str">
        <f>HYPERLINK("http://slimages.macys.com/is/image/MCY/10749600 ")</f>
        <v xml:space="preserve">http://slimages.macys.com/is/image/MCY/10749600 </v>
      </c>
    </row>
    <row r="131" spans="1:13" ht="60" x14ac:dyDescent="0.25">
      <c r="A131" s="7" t="s">
        <v>6222</v>
      </c>
      <c r="B131" s="2" t="s">
        <v>12526</v>
      </c>
      <c r="C131" s="4">
        <v>1</v>
      </c>
      <c r="D131" s="5">
        <v>8.4499999999999993</v>
      </c>
      <c r="E131" s="5">
        <v>16.989999999999998</v>
      </c>
      <c r="F131" s="4" t="s">
        <v>1674</v>
      </c>
      <c r="G131" s="2" t="s">
        <v>48</v>
      </c>
      <c r="H131" s="7" t="s">
        <v>228</v>
      </c>
      <c r="I131" s="2" t="s">
        <v>515</v>
      </c>
      <c r="J131" s="2" t="s">
        <v>827</v>
      </c>
      <c r="K131" s="2" t="s">
        <v>304</v>
      </c>
      <c r="L131" s="2" t="s">
        <v>358</v>
      </c>
      <c r="M131" s="8" t="str">
        <f>HYPERLINK("http://slimages.macys.com/is/image/MCY/12688126 ")</f>
        <v xml:space="preserve">http://slimages.macys.com/is/image/MCY/12688126 </v>
      </c>
    </row>
    <row r="132" spans="1:13" ht="60" x14ac:dyDescent="0.25">
      <c r="A132" s="7" t="s">
        <v>7470</v>
      </c>
      <c r="B132" s="2" t="s">
        <v>12527</v>
      </c>
      <c r="C132" s="4">
        <v>1</v>
      </c>
      <c r="D132" s="5">
        <v>8.3800000000000008</v>
      </c>
      <c r="E132" s="5">
        <v>24.99</v>
      </c>
      <c r="F132" s="4" t="s">
        <v>1688</v>
      </c>
      <c r="G132" s="2" t="s">
        <v>28</v>
      </c>
      <c r="H132" s="7" t="s">
        <v>514</v>
      </c>
      <c r="I132" s="2" t="s">
        <v>1689</v>
      </c>
      <c r="J132" s="2" t="s">
        <v>354</v>
      </c>
      <c r="K132" s="2" t="s">
        <v>304</v>
      </c>
      <c r="L132" s="2" t="s">
        <v>1569</v>
      </c>
      <c r="M132" s="8" t="str">
        <f>HYPERLINK("http://slimages.macys.com/is/image/MCY/13076988 ")</f>
        <v xml:space="preserve">http://slimages.macys.com/is/image/MCY/13076988 </v>
      </c>
    </row>
    <row r="133" spans="1:13" ht="60" x14ac:dyDescent="0.25">
      <c r="A133" s="7" t="s">
        <v>12528</v>
      </c>
      <c r="B133" s="2" t="s">
        <v>12529</v>
      </c>
      <c r="C133" s="4">
        <v>1</v>
      </c>
      <c r="D133" s="5">
        <v>8.3800000000000008</v>
      </c>
      <c r="E133" s="5">
        <v>24.99</v>
      </c>
      <c r="F133" s="4" t="s">
        <v>7473</v>
      </c>
      <c r="G133" s="2" t="s">
        <v>785</v>
      </c>
      <c r="H133" s="7" t="s">
        <v>63</v>
      </c>
      <c r="I133" s="2" t="s">
        <v>1689</v>
      </c>
      <c r="J133" s="2" t="s">
        <v>354</v>
      </c>
      <c r="K133" s="2" t="s">
        <v>304</v>
      </c>
      <c r="L133" s="2" t="s">
        <v>119</v>
      </c>
      <c r="M133" s="8" t="str">
        <f>HYPERLINK("http://slimages.macys.com/is/image/MCY/13824201 ")</f>
        <v xml:space="preserve">http://slimages.macys.com/is/image/MCY/13824201 </v>
      </c>
    </row>
    <row r="134" spans="1:13" ht="60" x14ac:dyDescent="0.25">
      <c r="A134" s="7" t="s">
        <v>9452</v>
      </c>
      <c r="B134" s="2" t="s">
        <v>12530</v>
      </c>
      <c r="C134" s="4">
        <v>1</v>
      </c>
      <c r="D134" s="5">
        <v>8.3800000000000008</v>
      </c>
      <c r="E134" s="5">
        <v>19.989999999999998</v>
      </c>
      <c r="F134" s="4" t="s">
        <v>8813</v>
      </c>
      <c r="G134" s="2" t="s">
        <v>582</v>
      </c>
      <c r="H134" s="7" t="s">
        <v>123</v>
      </c>
      <c r="I134" s="2" t="s">
        <v>1689</v>
      </c>
      <c r="J134" s="2" t="s">
        <v>354</v>
      </c>
      <c r="K134" s="2" t="s">
        <v>304</v>
      </c>
      <c r="L134" s="2" t="s">
        <v>38</v>
      </c>
      <c r="M134" s="8" t="str">
        <f>HYPERLINK("http://slimages.macys.com/is/image/MCY/12507127 ")</f>
        <v xml:space="preserve">http://slimages.macys.com/is/image/MCY/12507127 </v>
      </c>
    </row>
    <row r="135" spans="1:13" ht="60" x14ac:dyDescent="0.25">
      <c r="A135" s="7" t="s">
        <v>9460</v>
      </c>
      <c r="B135" s="2" t="s">
        <v>12531</v>
      </c>
      <c r="C135" s="4">
        <v>1</v>
      </c>
      <c r="D135" s="5">
        <v>8.3800000000000008</v>
      </c>
      <c r="E135" s="5">
        <v>24.99</v>
      </c>
      <c r="F135" s="4" t="s">
        <v>1688</v>
      </c>
      <c r="G135" s="2" t="s">
        <v>28</v>
      </c>
      <c r="H135" s="7" t="s">
        <v>123</v>
      </c>
      <c r="I135" s="2" t="s">
        <v>1689</v>
      </c>
      <c r="J135" s="2" t="s">
        <v>354</v>
      </c>
      <c r="K135" s="2" t="s">
        <v>304</v>
      </c>
      <c r="L135" s="2" t="s">
        <v>390</v>
      </c>
      <c r="M135" s="8" t="str">
        <f>HYPERLINK("http://slimages.macys.com/is/image/MCY/13076988 ")</f>
        <v xml:space="preserve">http://slimages.macys.com/is/image/MCY/13076988 </v>
      </c>
    </row>
    <row r="136" spans="1:13" ht="108" x14ac:dyDescent="0.25">
      <c r="A136" s="7" t="s">
        <v>12532</v>
      </c>
      <c r="B136" s="2" t="s">
        <v>12533</v>
      </c>
      <c r="C136" s="4">
        <v>1</v>
      </c>
      <c r="D136" s="5">
        <v>8.25</v>
      </c>
      <c r="E136" s="5">
        <v>18.989999999999998</v>
      </c>
      <c r="F136" s="4" t="s">
        <v>12534</v>
      </c>
      <c r="G136" s="2" t="s">
        <v>657</v>
      </c>
      <c r="H136" s="7"/>
      <c r="I136" s="2" t="s">
        <v>515</v>
      </c>
      <c r="J136" s="2" t="s">
        <v>827</v>
      </c>
      <c r="K136" s="2" t="s">
        <v>304</v>
      </c>
      <c r="L136" s="2" t="s">
        <v>12535</v>
      </c>
      <c r="M136" s="8" t="str">
        <f>HYPERLINK("http://slimages.macys.com/is/image/MCY/10319785 ")</f>
        <v xml:space="preserve">http://slimages.macys.com/is/image/MCY/10319785 </v>
      </c>
    </row>
    <row r="137" spans="1:13" ht="60" x14ac:dyDescent="0.25">
      <c r="A137" s="7" t="s">
        <v>12536</v>
      </c>
      <c r="B137" s="2" t="s">
        <v>12537</v>
      </c>
      <c r="C137" s="4">
        <v>1</v>
      </c>
      <c r="D137" s="5">
        <v>8.2100000000000009</v>
      </c>
      <c r="E137" s="5">
        <v>21.99</v>
      </c>
      <c r="F137" s="4" t="s">
        <v>1692</v>
      </c>
      <c r="G137" s="2" t="s">
        <v>582</v>
      </c>
      <c r="H137" s="7" t="s">
        <v>284</v>
      </c>
      <c r="I137" s="2" t="s">
        <v>389</v>
      </c>
      <c r="J137" s="2" t="s">
        <v>354</v>
      </c>
      <c r="K137" s="2" t="s">
        <v>304</v>
      </c>
      <c r="L137" s="2" t="s">
        <v>390</v>
      </c>
      <c r="M137" s="8" t="str">
        <f>HYPERLINK("http://slimages.macys.com/is/image/MCY/12650593 ")</f>
        <v xml:space="preserve">http://slimages.macys.com/is/image/MCY/12650593 </v>
      </c>
    </row>
    <row r="138" spans="1:13" ht="60" x14ac:dyDescent="0.25">
      <c r="A138" s="7" t="s">
        <v>1696</v>
      </c>
      <c r="B138" s="2" t="s">
        <v>12538</v>
      </c>
      <c r="C138" s="4">
        <v>1</v>
      </c>
      <c r="D138" s="5">
        <v>8.02</v>
      </c>
      <c r="E138" s="5">
        <v>21.99</v>
      </c>
      <c r="F138" s="4" t="s">
        <v>1695</v>
      </c>
      <c r="G138" s="2" t="s">
        <v>62</v>
      </c>
      <c r="H138" s="7" t="s">
        <v>228</v>
      </c>
      <c r="I138" s="2" t="s">
        <v>515</v>
      </c>
      <c r="J138" s="2" t="s">
        <v>827</v>
      </c>
      <c r="K138" s="2" t="s">
        <v>304</v>
      </c>
      <c r="L138" s="2" t="s">
        <v>125</v>
      </c>
      <c r="M138" s="8" t="str">
        <f>HYPERLINK("http://slimages.macys.com/is/image/MCY/12052339 ")</f>
        <v xml:space="preserve">http://slimages.macys.com/is/image/MCY/12052339 </v>
      </c>
    </row>
    <row r="139" spans="1:13" ht="60" x14ac:dyDescent="0.25">
      <c r="A139" s="7" t="s">
        <v>6239</v>
      </c>
      <c r="B139" s="2" t="s">
        <v>12539</v>
      </c>
      <c r="C139" s="4">
        <v>2</v>
      </c>
      <c r="D139" s="5">
        <v>8.02</v>
      </c>
      <c r="E139" s="5">
        <v>21.99</v>
      </c>
      <c r="F139" s="4" t="s">
        <v>1695</v>
      </c>
      <c r="G139" s="2" t="s">
        <v>62</v>
      </c>
      <c r="H139" s="7" t="s">
        <v>159</v>
      </c>
      <c r="I139" s="2" t="s">
        <v>515</v>
      </c>
      <c r="J139" s="2" t="s">
        <v>827</v>
      </c>
      <c r="K139" s="2" t="s">
        <v>304</v>
      </c>
      <c r="L139" s="2" t="s">
        <v>125</v>
      </c>
      <c r="M139" s="8" t="str">
        <f>HYPERLINK("http://slimages.macys.com/is/image/MCY/12052339 ")</f>
        <v xml:space="preserve">http://slimages.macys.com/is/image/MCY/12052339 </v>
      </c>
    </row>
    <row r="140" spans="1:13" ht="72" x14ac:dyDescent="0.25">
      <c r="A140" s="7" t="s">
        <v>6827</v>
      </c>
      <c r="B140" s="2" t="s">
        <v>12540</v>
      </c>
      <c r="C140" s="4">
        <v>1</v>
      </c>
      <c r="D140" s="5">
        <v>8</v>
      </c>
      <c r="E140" s="5">
        <v>20</v>
      </c>
      <c r="F140" s="4" t="s">
        <v>6828</v>
      </c>
      <c r="G140" s="2" t="s">
        <v>310</v>
      </c>
      <c r="H140" s="7" t="s">
        <v>166</v>
      </c>
      <c r="I140" s="2" t="s">
        <v>380</v>
      </c>
      <c r="J140" s="2" t="s">
        <v>896</v>
      </c>
      <c r="K140" s="2" t="s">
        <v>304</v>
      </c>
      <c r="L140" s="2" t="s">
        <v>6829</v>
      </c>
      <c r="M140" s="8" t="str">
        <f>HYPERLINK("http://slimages.macys.com/is/image/MCY/11860758 ")</f>
        <v xml:space="preserve">http://slimages.macys.com/is/image/MCY/11860758 </v>
      </c>
    </row>
    <row r="141" spans="1:13" ht="60" x14ac:dyDescent="0.25">
      <c r="A141" s="7" t="s">
        <v>12541</v>
      </c>
      <c r="B141" s="2" t="s">
        <v>12542</v>
      </c>
      <c r="C141" s="4">
        <v>1</v>
      </c>
      <c r="D141" s="5">
        <v>8</v>
      </c>
      <c r="E141" s="5">
        <v>20</v>
      </c>
      <c r="F141" s="4">
        <v>1341128</v>
      </c>
      <c r="G141" s="2" t="s">
        <v>165</v>
      </c>
      <c r="H141" s="7" t="s">
        <v>284</v>
      </c>
      <c r="I141" s="2" t="s">
        <v>80</v>
      </c>
      <c r="J141" s="2" t="s">
        <v>280</v>
      </c>
      <c r="K141" s="2" t="s">
        <v>304</v>
      </c>
      <c r="L141" s="2" t="s">
        <v>125</v>
      </c>
      <c r="M141" s="8" t="str">
        <f>HYPERLINK("http://slimages.macys.com/is/image/MCY/15909334 ")</f>
        <v xml:space="preserve">http://slimages.macys.com/is/image/MCY/15909334 </v>
      </c>
    </row>
    <row r="142" spans="1:13" ht="60" x14ac:dyDescent="0.25">
      <c r="A142" s="7" t="s">
        <v>12543</v>
      </c>
      <c r="B142" s="2" t="s">
        <v>12544</v>
      </c>
      <c r="C142" s="4">
        <v>1</v>
      </c>
      <c r="D142" s="5">
        <v>7.99</v>
      </c>
      <c r="E142" s="5">
        <v>16.989999999999998</v>
      </c>
      <c r="F142" s="4" t="s">
        <v>6244</v>
      </c>
      <c r="G142" s="2" t="s">
        <v>41</v>
      </c>
      <c r="H142" s="7" t="s">
        <v>123</v>
      </c>
      <c r="I142" s="2" t="s">
        <v>292</v>
      </c>
      <c r="J142" s="2" t="s">
        <v>354</v>
      </c>
      <c r="K142" s="2" t="s">
        <v>304</v>
      </c>
      <c r="L142" s="2" t="s">
        <v>38</v>
      </c>
      <c r="M142" s="8" t="str">
        <f>HYPERLINK("http://slimages.macys.com/is/image/MCY/10746449 ")</f>
        <v xml:space="preserve">http://slimages.macys.com/is/image/MCY/10746449 </v>
      </c>
    </row>
    <row r="143" spans="1:13" ht="60" x14ac:dyDescent="0.25">
      <c r="A143" s="7" t="s">
        <v>12545</v>
      </c>
      <c r="B143" s="2" t="s">
        <v>12546</v>
      </c>
      <c r="C143" s="4">
        <v>1</v>
      </c>
      <c r="D143" s="5">
        <v>7.63</v>
      </c>
      <c r="E143" s="5">
        <v>16.989999999999998</v>
      </c>
      <c r="F143" s="4" t="s">
        <v>9489</v>
      </c>
      <c r="G143" s="2" t="s">
        <v>62</v>
      </c>
      <c r="H143" s="7" t="s">
        <v>228</v>
      </c>
      <c r="I143" s="2" t="s">
        <v>515</v>
      </c>
      <c r="J143" s="2" t="s">
        <v>827</v>
      </c>
      <c r="K143" s="2" t="s">
        <v>304</v>
      </c>
      <c r="L143" s="2" t="s">
        <v>358</v>
      </c>
      <c r="M143" s="8" t="str">
        <f>HYPERLINK("http://slimages.macys.com/is/image/MCY/12687335 ")</f>
        <v xml:space="preserve">http://slimages.macys.com/is/image/MCY/12687335 </v>
      </c>
    </row>
    <row r="144" spans="1:13" ht="168" x14ac:dyDescent="0.25">
      <c r="A144" s="7" t="s">
        <v>6840</v>
      </c>
      <c r="B144" s="2" t="s">
        <v>12547</v>
      </c>
      <c r="C144" s="4">
        <v>1</v>
      </c>
      <c r="D144" s="5">
        <v>7.6</v>
      </c>
      <c r="E144" s="5">
        <v>17.28</v>
      </c>
      <c r="F144" s="4">
        <v>18374410</v>
      </c>
      <c r="G144" s="2" t="s">
        <v>62</v>
      </c>
      <c r="H144" s="7" t="s">
        <v>42</v>
      </c>
      <c r="I144" s="2" t="s">
        <v>153</v>
      </c>
      <c r="J144" s="2" t="s">
        <v>154</v>
      </c>
      <c r="K144" s="2" t="s">
        <v>304</v>
      </c>
      <c r="L144" s="2" t="s">
        <v>3998</v>
      </c>
      <c r="M144" s="8" t="str">
        <f>HYPERLINK("http://slimages.macys.com/is/image/MCY/14662110 ")</f>
        <v xml:space="preserve">http://slimages.macys.com/is/image/MCY/14662110 </v>
      </c>
    </row>
    <row r="145" spans="1:13" ht="60" x14ac:dyDescent="0.25">
      <c r="A145" s="7" t="s">
        <v>8244</v>
      </c>
      <c r="B145" s="2" t="s">
        <v>12548</v>
      </c>
      <c r="C145" s="4">
        <v>1</v>
      </c>
      <c r="D145" s="5">
        <v>7.5</v>
      </c>
      <c r="E145" s="5">
        <v>19.989999999999998</v>
      </c>
      <c r="F145" s="4" t="s">
        <v>8246</v>
      </c>
      <c r="G145" s="2" t="s">
        <v>657</v>
      </c>
      <c r="H145" s="7" t="s">
        <v>774</v>
      </c>
      <c r="I145" s="2" t="s">
        <v>342</v>
      </c>
      <c r="J145" s="2" t="s">
        <v>1872</v>
      </c>
      <c r="K145" s="2" t="s">
        <v>304</v>
      </c>
      <c r="L145" s="2" t="s">
        <v>8247</v>
      </c>
      <c r="M145" s="8" t="str">
        <f>HYPERLINK("http://slimages.macys.com/is/image/MCY/11636033 ")</f>
        <v xml:space="preserve">http://slimages.macys.com/is/image/MCY/11636033 </v>
      </c>
    </row>
    <row r="146" spans="1:13" ht="60" x14ac:dyDescent="0.25">
      <c r="A146" s="7" t="s">
        <v>12549</v>
      </c>
      <c r="B146" s="2" t="s">
        <v>12550</v>
      </c>
      <c r="C146" s="4">
        <v>1</v>
      </c>
      <c r="D146" s="5">
        <v>7.25</v>
      </c>
      <c r="E146" s="5">
        <v>21.99</v>
      </c>
      <c r="F146" s="4" t="s">
        <v>9513</v>
      </c>
      <c r="G146" s="2" t="s">
        <v>582</v>
      </c>
      <c r="H146" s="7" t="s">
        <v>196</v>
      </c>
      <c r="I146" s="2" t="s">
        <v>342</v>
      </c>
      <c r="J146" s="2" t="s">
        <v>1789</v>
      </c>
      <c r="K146" s="2" t="s">
        <v>304</v>
      </c>
      <c r="L146" s="2" t="s">
        <v>9514</v>
      </c>
      <c r="M146" s="8" t="str">
        <f>HYPERLINK("http://slimages.macys.com/is/image/MCY/12342315 ")</f>
        <v xml:space="preserve">http://slimages.macys.com/is/image/MCY/12342315 </v>
      </c>
    </row>
    <row r="147" spans="1:13" ht="72" x14ac:dyDescent="0.25">
      <c r="A147" s="7" t="s">
        <v>12551</v>
      </c>
      <c r="B147" s="2" t="s">
        <v>12552</v>
      </c>
      <c r="C147" s="4">
        <v>1</v>
      </c>
      <c r="D147" s="5">
        <v>7.23</v>
      </c>
      <c r="E147" s="5">
        <v>17.989999999999998</v>
      </c>
      <c r="F147" s="4" t="s">
        <v>12553</v>
      </c>
      <c r="G147" s="2" t="s">
        <v>103</v>
      </c>
      <c r="H147" s="7" t="s">
        <v>159</v>
      </c>
      <c r="I147" s="2" t="s">
        <v>515</v>
      </c>
      <c r="J147" s="2" t="s">
        <v>827</v>
      </c>
      <c r="K147" s="2" t="s">
        <v>304</v>
      </c>
      <c r="L147" s="2" t="s">
        <v>1117</v>
      </c>
      <c r="M147" s="8" t="str">
        <f>HYPERLINK("http://slimages.macys.com/is/image/MCY/12340569 ")</f>
        <v xml:space="preserve">http://slimages.macys.com/is/image/MCY/12340569 </v>
      </c>
    </row>
    <row r="148" spans="1:13" ht="60" x14ac:dyDescent="0.25">
      <c r="A148" s="7" t="s">
        <v>12554</v>
      </c>
      <c r="B148" s="2" t="s">
        <v>12555</v>
      </c>
      <c r="C148" s="4">
        <v>1</v>
      </c>
      <c r="D148" s="5">
        <v>7.19</v>
      </c>
      <c r="E148" s="5">
        <v>15.99</v>
      </c>
      <c r="F148" s="4" t="s">
        <v>7532</v>
      </c>
      <c r="G148" s="2" t="s">
        <v>28</v>
      </c>
      <c r="H148" s="7" t="s">
        <v>159</v>
      </c>
      <c r="I148" s="2" t="s">
        <v>218</v>
      </c>
      <c r="J148" s="2" t="s">
        <v>219</v>
      </c>
      <c r="K148" s="2" t="s">
        <v>304</v>
      </c>
      <c r="L148" s="2" t="s">
        <v>125</v>
      </c>
      <c r="M148" s="8" t="str">
        <f>HYPERLINK("http://slimages.macys.com/is/image/MCY/11605874 ")</f>
        <v xml:space="preserve">http://slimages.macys.com/is/image/MCY/11605874 </v>
      </c>
    </row>
    <row r="149" spans="1:13" ht="60" x14ac:dyDescent="0.25">
      <c r="A149" s="7" t="s">
        <v>5391</v>
      </c>
      <c r="B149" s="2" t="s">
        <v>12556</v>
      </c>
      <c r="C149" s="4">
        <v>1</v>
      </c>
      <c r="D149" s="5">
        <v>7.12</v>
      </c>
      <c r="E149" s="5">
        <v>19.989999999999998</v>
      </c>
      <c r="F149" s="4" t="s">
        <v>5390</v>
      </c>
      <c r="G149" s="2" t="s">
        <v>103</v>
      </c>
      <c r="H149" s="7" t="s">
        <v>196</v>
      </c>
      <c r="I149" s="2" t="s">
        <v>389</v>
      </c>
      <c r="J149" s="2" t="s">
        <v>354</v>
      </c>
      <c r="K149" s="2" t="s">
        <v>304</v>
      </c>
      <c r="L149" s="2" t="s">
        <v>596</v>
      </c>
      <c r="M149" s="8" t="str">
        <f>HYPERLINK("http://slimages.macys.com/is/image/MCY/12670165 ")</f>
        <v xml:space="preserve">http://slimages.macys.com/is/image/MCY/12670165 </v>
      </c>
    </row>
    <row r="150" spans="1:13" ht="60" x14ac:dyDescent="0.25">
      <c r="A150" s="7" t="s">
        <v>10500</v>
      </c>
      <c r="B150" s="2" t="s">
        <v>12557</v>
      </c>
      <c r="C150" s="4">
        <v>3</v>
      </c>
      <c r="D150" s="5">
        <v>7.05</v>
      </c>
      <c r="E150" s="5">
        <v>11.99</v>
      </c>
      <c r="F150" s="4" t="s">
        <v>10502</v>
      </c>
      <c r="G150" s="2" t="s">
        <v>36</v>
      </c>
      <c r="H150" s="7" t="s">
        <v>159</v>
      </c>
      <c r="I150" s="2" t="s">
        <v>73</v>
      </c>
      <c r="J150" s="2" t="s">
        <v>1917</v>
      </c>
      <c r="K150" s="2" t="s">
        <v>304</v>
      </c>
      <c r="L150" s="2" t="s">
        <v>125</v>
      </c>
      <c r="M150" s="8" t="str">
        <f>HYPERLINK("http://slimages.macys.com/is/image/MCY/12688490 ")</f>
        <v xml:space="preserve">http://slimages.macys.com/is/image/MCY/12688490 </v>
      </c>
    </row>
    <row r="151" spans="1:13" ht="60" x14ac:dyDescent="0.25">
      <c r="A151" s="7" t="s">
        <v>10503</v>
      </c>
      <c r="B151" s="2" t="s">
        <v>12558</v>
      </c>
      <c r="C151" s="4">
        <v>1</v>
      </c>
      <c r="D151" s="5">
        <v>7.05</v>
      </c>
      <c r="E151" s="5">
        <v>11.99</v>
      </c>
      <c r="F151" s="4" t="s">
        <v>10502</v>
      </c>
      <c r="G151" s="2" t="s">
        <v>36</v>
      </c>
      <c r="H151" s="7" t="s">
        <v>228</v>
      </c>
      <c r="I151" s="2" t="s">
        <v>73</v>
      </c>
      <c r="J151" s="2" t="s">
        <v>1917</v>
      </c>
      <c r="K151" s="2" t="s">
        <v>304</v>
      </c>
      <c r="L151" s="2" t="s">
        <v>125</v>
      </c>
      <c r="M151" s="8" t="str">
        <f>HYPERLINK("http://slimages.macys.com/is/image/MCY/12688490 ")</f>
        <v xml:space="preserve">http://slimages.macys.com/is/image/MCY/12688490 </v>
      </c>
    </row>
    <row r="152" spans="1:13" ht="60" x14ac:dyDescent="0.25">
      <c r="A152" s="7" t="s">
        <v>1741</v>
      </c>
      <c r="B152" s="2" t="s">
        <v>12559</v>
      </c>
      <c r="C152" s="4">
        <v>1</v>
      </c>
      <c r="D152" s="5">
        <v>7.05</v>
      </c>
      <c r="E152" s="5">
        <v>16.989999999999998</v>
      </c>
      <c r="F152" s="4" t="s">
        <v>1743</v>
      </c>
      <c r="G152" s="2" t="s">
        <v>36</v>
      </c>
      <c r="H152" s="7" t="s">
        <v>284</v>
      </c>
      <c r="I152" s="2" t="s">
        <v>515</v>
      </c>
      <c r="J152" s="2" t="s">
        <v>827</v>
      </c>
      <c r="K152" s="2" t="s">
        <v>304</v>
      </c>
      <c r="L152" s="2" t="s">
        <v>358</v>
      </c>
      <c r="M152" s="8" t="str">
        <f>HYPERLINK("http://slimages.macys.com/is/image/MCY/12507572 ")</f>
        <v xml:space="preserve">http://slimages.macys.com/is/image/MCY/12507572 </v>
      </c>
    </row>
    <row r="153" spans="1:13" ht="60" x14ac:dyDescent="0.25">
      <c r="A153" s="7" t="s">
        <v>12560</v>
      </c>
      <c r="B153" s="2" t="s">
        <v>12561</v>
      </c>
      <c r="C153" s="4">
        <v>1</v>
      </c>
      <c r="D153" s="5">
        <v>7.05</v>
      </c>
      <c r="E153" s="5">
        <v>16.989999999999998</v>
      </c>
      <c r="F153" s="4" t="s">
        <v>1743</v>
      </c>
      <c r="G153" s="2" t="s">
        <v>62</v>
      </c>
      <c r="H153" s="7" t="s">
        <v>228</v>
      </c>
      <c r="I153" s="2" t="s">
        <v>515</v>
      </c>
      <c r="J153" s="2" t="s">
        <v>827</v>
      </c>
      <c r="K153" s="2" t="s">
        <v>304</v>
      </c>
      <c r="L153" s="2" t="s">
        <v>358</v>
      </c>
      <c r="M153" s="8" t="str">
        <f>HYPERLINK("http://slimages.macys.com/is/image/MCY/12507572 ")</f>
        <v xml:space="preserve">http://slimages.macys.com/is/image/MCY/12507572 </v>
      </c>
    </row>
    <row r="154" spans="1:13" ht="60" x14ac:dyDescent="0.25">
      <c r="A154" s="7" t="s">
        <v>11534</v>
      </c>
      <c r="B154" s="2" t="s">
        <v>12562</v>
      </c>
      <c r="C154" s="4">
        <v>2</v>
      </c>
      <c r="D154" s="5">
        <v>7.05</v>
      </c>
      <c r="E154" s="5">
        <v>11.99</v>
      </c>
      <c r="F154" s="4" t="s">
        <v>10502</v>
      </c>
      <c r="G154" s="2" t="s">
        <v>36</v>
      </c>
      <c r="H154" s="7" t="s">
        <v>196</v>
      </c>
      <c r="I154" s="2" t="s">
        <v>73</v>
      </c>
      <c r="J154" s="2" t="s">
        <v>1917</v>
      </c>
      <c r="K154" s="2" t="s">
        <v>304</v>
      </c>
      <c r="L154" s="2" t="s">
        <v>125</v>
      </c>
      <c r="M154" s="8" t="str">
        <f>HYPERLINK("http://slimages.macys.com/is/image/MCY/12688490 ")</f>
        <v xml:space="preserve">http://slimages.macys.com/is/image/MCY/12688490 </v>
      </c>
    </row>
    <row r="155" spans="1:13" ht="60" x14ac:dyDescent="0.25">
      <c r="A155" s="7" t="s">
        <v>12563</v>
      </c>
      <c r="B155" s="2" t="s">
        <v>12564</v>
      </c>
      <c r="C155" s="4">
        <v>1</v>
      </c>
      <c r="D155" s="5">
        <v>7.05</v>
      </c>
      <c r="E155" s="5">
        <v>16.989999999999998</v>
      </c>
      <c r="F155" s="4" t="s">
        <v>1743</v>
      </c>
      <c r="G155" s="2" t="s">
        <v>62</v>
      </c>
      <c r="H155" s="7" t="s">
        <v>284</v>
      </c>
      <c r="I155" s="2" t="s">
        <v>515</v>
      </c>
      <c r="J155" s="2" t="s">
        <v>827</v>
      </c>
      <c r="K155" s="2" t="s">
        <v>304</v>
      </c>
      <c r="L155" s="2" t="s">
        <v>358</v>
      </c>
      <c r="M155" s="8" t="str">
        <f>HYPERLINK("http://slimages.macys.com/is/image/MCY/12507572 ")</f>
        <v xml:space="preserve">http://slimages.macys.com/is/image/MCY/12507572 </v>
      </c>
    </row>
    <row r="156" spans="1:13" ht="60" x14ac:dyDescent="0.25">
      <c r="A156" s="7" t="s">
        <v>12565</v>
      </c>
      <c r="B156" s="2" t="s">
        <v>12566</v>
      </c>
      <c r="C156" s="4">
        <v>1</v>
      </c>
      <c r="D156" s="5">
        <v>7.05</v>
      </c>
      <c r="E156" s="5">
        <v>16.989999999999998</v>
      </c>
      <c r="F156" s="4" t="s">
        <v>1743</v>
      </c>
      <c r="G156" s="2" t="s">
        <v>62</v>
      </c>
      <c r="H156" s="7" t="s">
        <v>196</v>
      </c>
      <c r="I156" s="2" t="s">
        <v>515</v>
      </c>
      <c r="J156" s="2" t="s">
        <v>827</v>
      </c>
      <c r="K156" s="2" t="s">
        <v>304</v>
      </c>
      <c r="L156" s="2" t="s">
        <v>358</v>
      </c>
      <c r="M156" s="8" t="str">
        <f>HYPERLINK("http://slimages.macys.com/is/image/MCY/12507572 ")</f>
        <v xml:space="preserve">http://slimages.macys.com/is/image/MCY/12507572 </v>
      </c>
    </row>
    <row r="157" spans="1:13" ht="60" x14ac:dyDescent="0.25">
      <c r="A157" s="7" t="s">
        <v>6280</v>
      </c>
      <c r="B157" s="2" t="s">
        <v>12567</v>
      </c>
      <c r="C157" s="4">
        <v>4</v>
      </c>
      <c r="D157" s="5">
        <v>7.05</v>
      </c>
      <c r="E157" s="5">
        <v>16.989999999999998</v>
      </c>
      <c r="F157" s="4" t="s">
        <v>1743</v>
      </c>
      <c r="G157" s="2" t="s">
        <v>62</v>
      </c>
      <c r="H157" s="7" t="s">
        <v>159</v>
      </c>
      <c r="I157" s="2" t="s">
        <v>515</v>
      </c>
      <c r="J157" s="2" t="s">
        <v>827</v>
      </c>
      <c r="K157" s="2" t="s">
        <v>304</v>
      </c>
      <c r="L157" s="2" t="s">
        <v>358</v>
      </c>
      <c r="M157" s="8" t="str">
        <f>HYPERLINK("http://slimages.macys.com/is/image/MCY/12507572 ")</f>
        <v xml:space="preserve">http://slimages.macys.com/is/image/MCY/12507572 </v>
      </c>
    </row>
    <row r="158" spans="1:13" ht="60" x14ac:dyDescent="0.25">
      <c r="A158" s="7" t="s">
        <v>12568</v>
      </c>
      <c r="B158" s="2" t="s">
        <v>12569</v>
      </c>
      <c r="C158" s="4">
        <v>1</v>
      </c>
      <c r="D158" s="5">
        <v>6.95</v>
      </c>
      <c r="E158" s="5">
        <v>19.989999999999998</v>
      </c>
      <c r="F158" s="4" t="s">
        <v>12570</v>
      </c>
      <c r="G158" s="2" t="s">
        <v>86</v>
      </c>
      <c r="H158" s="7" t="s">
        <v>97</v>
      </c>
      <c r="I158" s="2" t="s">
        <v>389</v>
      </c>
      <c r="J158" s="2" t="s">
        <v>354</v>
      </c>
      <c r="K158" s="2" t="s">
        <v>304</v>
      </c>
      <c r="L158" s="2" t="s">
        <v>3142</v>
      </c>
      <c r="M158" s="8" t="str">
        <f>HYPERLINK("http://slimages.macys.com/is/image/MCY/12650582 ")</f>
        <v xml:space="preserve">http://slimages.macys.com/is/image/MCY/12650582 </v>
      </c>
    </row>
    <row r="159" spans="1:13" ht="60" x14ac:dyDescent="0.25">
      <c r="A159" s="7" t="s">
        <v>12571</v>
      </c>
      <c r="B159" s="2" t="s">
        <v>12572</v>
      </c>
      <c r="C159" s="4">
        <v>1</v>
      </c>
      <c r="D159" s="5">
        <v>6.93</v>
      </c>
      <c r="E159" s="5">
        <v>16.989999999999998</v>
      </c>
      <c r="F159" s="4" t="s">
        <v>1751</v>
      </c>
      <c r="G159" s="2" t="s">
        <v>62</v>
      </c>
      <c r="H159" s="7" t="s">
        <v>284</v>
      </c>
      <c r="I159" s="2" t="s">
        <v>515</v>
      </c>
      <c r="J159" s="2" t="s">
        <v>827</v>
      </c>
      <c r="K159" s="2" t="s">
        <v>304</v>
      </c>
      <c r="L159" s="2" t="s">
        <v>125</v>
      </c>
      <c r="M159" s="8" t="str">
        <f>HYPERLINK("http://slimages.macys.com/is/image/MCY/13119364 ")</f>
        <v xml:space="preserve">http://slimages.macys.com/is/image/MCY/13119364 </v>
      </c>
    </row>
    <row r="160" spans="1:13" ht="60" x14ac:dyDescent="0.25">
      <c r="A160" s="7" t="s">
        <v>12573</v>
      </c>
      <c r="B160" s="2" t="s">
        <v>12574</v>
      </c>
      <c r="C160" s="4">
        <v>1</v>
      </c>
      <c r="D160" s="5">
        <v>6.93</v>
      </c>
      <c r="E160" s="5">
        <v>16.989999999999998</v>
      </c>
      <c r="F160" s="4" t="s">
        <v>1751</v>
      </c>
      <c r="G160" s="2" t="s">
        <v>62</v>
      </c>
      <c r="H160" s="7" t="s">
        <v>196</v>
      </c>
      <c r="I160" s="2" t="s">
        <v>515</v>
      </c>
      <c r="J160" s="2" t="s">
        <v>827</v>
      </c>
      <c r="K160" s="2" t="s">
        <v>304</v>
      </c>
      <c r="L160" s="2" t="s">
        <v>125</v>
      </c>
      <c r="M160" s="8" t="str">
        <f>HYPERLINK("http://slimages.macys.com/is/image/MCY/13119364 ")</f>
        <v xml:space="preserve">http://slimages.macys.com/is/image/MCY/13119364 </v>
      </c>
    </row>
    <row r="161" spans="1:13" ht="60" x14ac:dyDescent="0.25">
      <c r="A161" s="7" t="s">
        <v>8269</v>
      </c>
      <c r="B161" s="2" t="s">
        <v>12575</v>
      </c>
      <c r="C161" s="4">
        <v>2</v>
      </c>
      <c r="D161" s="5">
        <v>6.88</v>
      </c>
      <c r="E161" s="5">
        <v>16.989999999999998</v>
      </c>
      <c r="F161" s="4" t="s">
        <v>5404</v>
      </c>
      <c r="G161" s="2" t="s">
        <v>62</v>
      </c>
      <c r="H161" s="7" t="s">
        <v>228</v>
      </c>
      <c r="I161" s="2" t="s">
        <v>515</v>
      </c>
      <c r="J161" s="2" t="s">
        <v>827</v>
      </c>
      <c r="K161" s="2" t="s">
        <v>304</v>
      </c>
      <c r="L161" s="2" t="s">
        <v>5405</v>
      </c>
      <c r="M161" s="8" t="str">
        <f>HYPERLINK("http://slimages.macys.com/is/image/MCY/12507660 ")</f>
        <v xml:space="preserve">http://slimages.macys.com/is/image/MCY/12507660 </v>
      </c>
    </row>
    <row r="162" spans="1:13" ht="84" x14ac:dyDescent="0.25">
      <c r="A162" s="7" t="s">
        <v>12576</v>
      </c>
      <c r="B162" s="2" t="s">
        <v>12577</v>
      </c>
      <c r="C162" s="4">
        <v>1</v>
      </c>
      <c r="D162" s="5">
        <v>6.87</v>
      </c>
      <c r="E162" s="5">
        <v>16.989999999999998</v>
      </c>
      <c r="F162" s="4" t="s">
        <v>12578</v>
      </c>
      <c r="G162" s="2" t="s">
        <v>48</v>
      </c>
      <c r="H162" s="7" t="s">
        <v>284</v>
      </c>
      <c r="I162" s="2" t="s">
        <v>515</v>
      </c>
      <c r="J162" s="2" t="s">
        <v>827</v>
      </c>
      <c r="K162" s="2" t="s">
        <v>304</v>
      </c>
      <c r="L162" s="2" t="s">
        <v>1755</v>
      </c>
      <c r="M162" s="8" t="str">
        <f>HYPERLINK("http://slimages.macys.com/is/image/MCY/11860899 ")</f>
        <v xml:space="preserve">http://slimages.macys.com/is/image/MCY/11860899 </v>
      </c>
    </row>
    <row r="163" spans="1:13" ht="60" x14ac:dyDescent="0.25">
      <c r="A163" s="7" t="s">
        <v>11537</v>
      </c>
      <c r="B163" s="2" t="s">
        <v>12579</v>
      </c>
      <c r="C163" s="4">
        <v>1</v>
      </c>
      <c r="D163" s="5">
        <v>6.85</v>
      </c>
      <c r="E163" s="5">
        <v>18</v>
      </c>
      <c r="F163" s="4" t="s">
        <v>991</v>
      </c>
      <c r="G163" s="2" t="s">
        <v>755</v>
      </c>
      <c r="H163" s="7" t="s">
        <v>97</v>
      </c>
      <c r="I163" s="2" t="s">
        <v>468</v>
      </c>
      <c r="J163" s="2" t="s">
        <v>469</v>
      </c>
      <c r="K163" s="2" t="s">
        <v>304</v>
      </c>
      <c r="L163" s="2" t="s">
        <v>87</v>
      </c>
      <c r="M163" s="8" t="str">
        <f>HYPERLINK("http://slimages.macys.com/is/image/MCY/11959696 ")</f>
        <v xml:space="preserve">http://slimages.macys.com/is/image/MCY/11959696 </v>
      </c>
    </row>
    <row r="164" spans="1:13" ht="60" x14ac:dyDescent="0.25">
      <c r="A164" s="7" t="s">
        <v>5414</v>
      </c>
      <c r="B164" s="2" t="s">
        <v>12580</v>
      </c>
      <c r="C164" s="4">
        <v>1</v>
      </c>
      <c r="D164" s="5">
        <v>6.85</v>
      </c>
      <c r="E164" s="5">
        <v>18</v>
      </c>
      <c r="F164" s="4" t="s">
        <v>1763</v>
      </c>
      <c r="G164" s="2" t="s">
        <v>1160</v>
      </c>
      <c r="H164" s="7" t="s">
        <v>284</v>
      </c>
      <c r="I164" s="2" t="s">
        <v>468</v>
      </c>
      <c r="J164" s="2" t="s">
        <v>469</v>
      </c>
      <c r="K164" s="2" t="s">
        <v>304</v>
      </c>
      <c r="L164" s="2" t="s">
        <v>119</v>
      </c>
      <c r="M164" s="8" t="str">
        <f>HYPERLINK("http://slimages.macys.com/is/image/MCY/11387122 ")</f>
        <v xml:space="preserve">http://slimages.macys.com/is/image/MCY/11387122 </v>
      </c>
    </row>
    <row r="165" spans="1:13" ht="60" x14ac:dyDescent="0.25">
      <c r="A165" s="7" t="s">
        <v>1758</v>
      </c>
      <c r="B165" s="2" t="s">
        <v>12581</v>
      </c>
      <c r="C165" s="4">
        <v>1</v>
      </c>
      <c r="D165" s="5">
        <v>6.85</v>
      </c>
      <c r="E165" s="5">
        <v>18</v>
      </c>
      <c r="F165" s="4" t="s">
        <v>467</v>
      </c>
      <c r="G165" s="2" t="s">
        <v>62</v>
      </c>
      <c r="H165" s="7" t="s">
        <v>97</v>
      </c>
      <c r="I165" s="2" t="s">
        <v>468</v>
      </c>
      <c r="J165" s="2" t="s">
        <v>469</v>
      </c>
      <c r="K165" s="2" t="s">
        <v>304</v>
      </c>
      <c r="L165" s="2" t="s">
        <v>206</v>
      </c>
      <c r="M165" s="8" t="str">
        <f>HYPERLINK("http://slimages.macys.com/is/image/MCY/11640093 ")</f>
        <v xml:space="preserve">http://slimages.macys.com/is/image/MCY/11640093 </v>
      </c>
    </row>
    <row r="166" spans="1:13" ht="60" x14ac:dyDescent="0.25">
      <c r="A166" s="7" t="s">
        <v>5412</v>
      </c>
      <c r="B166" s="2" t="s">
        <v>12582</v>
      </c>
      <c r="C166" s="4">
        <v>1</v>
      </c>
      <c r="D166" s="5">
        <v>6.85</v>
      </c>
      <c r="E166" s="5">
        <v>18</v>
      </c>
      <c r="F166" s="4" t="s">
        <v>1766</v>
      </c>
      <c r="G166" s="2" t="s">
        <v>62</v>
      </c>
      <c r="H166" s="7" t="s">
        <v>159</v>
      </c>
      <c r="I166" s="2" t="s">
        <v>468</v>
      </c>
      <c r="J166" s="2" t="s">
        <v>469</v>
      </c>
      <c r="K166" s="2" t="s">
        <v>304</v>
      </c>
      <c r="L166" s="2" t="s">
        <v>119</v>
      </c>
      <c r="M166" s="8" t="str">
        <f>HYPERLINK("http://slimages.macys.com/is/image/MCY/11958538 ")</f>
        <v xml:space="preserve">http://slimages.macys.com/is/image/MCY/11958538 </v>
      </c>
    </row>
    <row r="167" spans="1:13" ht="60" x14ac:dyDescent="0.25">
      <c r="A167" s="7" t="s">
        <v>1774</v>
      </c>
      <c r="B167" s="2" t="s">
        <v>12583</v>
      </c>
      <c r="C167" s="4">
        <v>1</v>
      </c>
      <c r="D167" s="5">
        <v>6.85</v>
      </c>
      <c r="E167" s="5">
        <v>18</v>
      </c>
      <c r="F167" s="4" t="s">
        <v>991</v>
      </c>
      <c r="G167" s="2" t="s">
        <v>755</v>
      </c>
      <c r="H167" s="7" t="s">
        <v>177</v>
      </c>
      <c r="I167" s="2" t="s">
        <v>468</v>
      </c>
      <c r="J167" s="2" t="s">
        <v>469</v>
      </c>
      <c r="K167" s="2" t="s">
        <v>304</v>
      </c>
      <c r="L167" s="2" t="s">
        <v>87</v>
      </c>
      <c r="M167" s="8" t="str">
        <f>HYPERLINK("http://slimages.macys.com/is/image/MCY/11959696 ")</f>
        <v xml:space="preserve">http://slimages.macys.com/is/image/MCY/11959696 </v>
      </c>
    </row>
    <row r="168" spans="1:13" ht="60" x14ac:dyDescent="0.25">
      <c r="A168" s="7" t="s">
        <v>5408</v>
      </c>
      <c r="B168" s="2" t="s">
        <v>12584</v>
      </c>
      <c r="C168" s="4">
        <v>1</v>
      </c>
      <c r="D168" s="5">
        <v>6.85</v>
      </c>
      <c r="E168" s="5">
        <v>18</v>
      </c>
      <c r="F168" s="4" t="s">
        <v>1763</v>
      </c>
      <c r="G168" s="2" t="s">
        <v>1160</v>
      </c>
      <c r="H168" s="7" t="s">
        <v>159</v>
      </c>
      <c r="I168" s="2" t="s">
        <v>468</v>
      </c>
      <c r="J168" s="2" t="s">
        <v>469</v>
      </c>
      <c r="K168" s="2" t="s">
        <v>304</v>
      </c>
      <c r="L168" s="2" t="s">
        <v>119</v>
      </c>
      <c r="M168" s="8" t="str">
        <f>HYPERLINK("http://slimages.macys.com/is/image/MCY/11387122 ")</f>
        <v xml:space="preserve">http://slimages.macys.com/is/image/MCY/11387122 </v>
      </c>
    </row>
    <row r="169" spans="1:13" ht="60" x14ac:dyDescent="0.25">
      <c r="A169" s="7" t="s">
        <v>2584</v>
      </c>
      <c r="B169" s="2" t="s">
        <v>12585</v>
      </c>
      <c r="C169" s="4">
        <v>1</v>
      </c>
      <c r="D169" s="5">
        <v>6.85</v>
      </c>
      <c r="E169" s="5">
        <v>18</v>
      </c>
      <c r="F169" s="4" t="s">
        <v>467</v>
      </c>
      <c r="G169" s="2" t="s">
        <v>62</v>
      </c>
      <c r="H169" s="7" t="s">
        <v>179</v>
      </c>
      <c r="I169" s="2" t="s">
        <v>468</v>
      </c>
      <c r="J169" s="2" t="s">
        <v>469</v>
      </c>
      <c r="K169" s="2" t="s">
        <v>304</v>
      </c>
      <c r="L169" s="2" t="s">
        <v>206</v>
      </c>
      <c r="M169" s="8" t="str">
        <f>HYPERLINK("http://slimages.macys.com/is/image/MCY/11640093 ")</f>
        <v xml:space="preserve">http://slimages.macys.com/is/image/MCY/11640093 </v>
      </c>
    </row>
    <row r="170" spans="1:13" ht="60" x14ac:dyDescent="0.25">
      <c r="A170" s="7" t="s">
        <v>12586</v>
      </c>
      <c r="B170" s="2" t="s">
        <v>12587</v>
      </c>
      <c r="C170" s="4">
        <v>1</v>
      </c>
      <c r="D170" s="5">
        <v>6.84</v>
      </c>
      <c r="E170" s="5">
        <v>19.989999999999998</v>
      </c>
      <c r="F170" s="4" t="s">
        <v>3332</v>
      </c>
      <c r="G170" s="2" t="s">
        <v>41</v>
      </c>
      <c r="H170" s="7" t="s">
        <v>159</v>
      </c>
      <c r="I170" s="2" t="s">
        <v>515</v>
      </c>
      <c r="J170" s="2" t="s">
        <v>1971</v>
      </c>
      <c r="K170" s="2" t="s">
        <v>304</v>
      </c>
      <c r="L170" s="2" t="s">
        <v>358</v>
      </c>
      <c r="M170" s="8" t="str">
        <f>HYPERLINK("http://slimages.macys.com/is/image/MCY/11639715 ")</f>
        <v xml:space="preserve">http://slimages.macys.com/is/image/MCY/11639715 </v>
      </c>
    </row>
    <row r="171" spans="1:13" ht="60" x14ac:dyDescent="0.25">
      <c r="A171" s="7" t="s">
        <v>1780</v>
      </c>
      <c r="B171" s="2" t="s">
        <v>12588</v>
      </c>
      <c r="C171" s="4">
        <v>3</v>
      </c>
      <c r="D171" s="5">
        <v>6.84</v>
      </c>
      <c r="E171" s="5">
        <v>19.989999999999998</v>
      </c>
      <c r="F171" s="4" t="s">
        <v>1777</v>
      </c>
      <c r="G171" s="2" t="s">
        <v>388</v>
      </c>
      <c r="H171" s="7" t="s">
        <v>123</v>
      </c>
      <c r="I171" s="2" t="s">
        <v>1689</v>
      </c>
      <c r="J171" s="2" t="s">
        <v>354</v>
      </c>
      <c r="K171" s="2" t="s">
        <v>304</v>
      </c>
      <c r="L171" s="2" t="s">
        <v>390</v>
      </c>
      <c r="M171" s="8" t="str">
        <f>HYPERLINK("http://slimages.macys.com/is/image/MCY/12890114 ")</f>
        <v xml:space="preserve">http://slimages.macys.com/is/image/MCY/12890114 </v>
      </c>
    </row>
    <row r="172" spans="1:13" ht="60" x14ac:dyDescent="0.25">
      <c r="A172" s="7" t="s">
        <v>9540</v>
      </c>
      <c r="B172" s="2" t="s">
        <v>12589</v>
      </c>
      <c r="C172" s="4">
        <v>1</v>
      </c>
      <c r="D172" s="5">
        <v>6.84</v>
      </c>
      <c r="E172" s="5">
        <v>14.99</v>
      </c>
      <c r="F172" s="4" t="s">
        <v>5417</v>
      </c>
      <c r="G172" s="2" t="s">
        <v>28</v>
      </c>
      <c r="H172" s="7" t="s">
        <v>379</v>
      </c>
      <c r="I172" s="2" t="s">
        <v>292</v>
      </c>
      <c r="J172" s="2" t="s">
        <v>354</v>
      </c>
      <c r="K172" s="2" t="s">
        <v>304</v>
      </c>
      <c r="L172" s="2" t="s">
        <v>100</v>
      </c>
      <c r="M172" s="8" t="str">
        <f>HYPERLINK("http://slimages.macys.com/is/image/MCY/13893127 ")</f>
        <v xml:space="preserve">http://slimages.macys.com/is/image/MCY/13893127 </v>
      </c>
    </row>
    <row r="173" spans="1:13" ht="60" x14ac:dyDescent="0.25">
      <c r="A173" s="7" t="s">
        <v>1779</v>
      </c>
      <c r="B173" s="2" t="s">
        <v>12590</v>
      </c>
      <c r="C173" s="4">
        <v>1</v>
      </c>
      <c r="D173" s="5">
        <v>6.84</v>
      </c>
      <c r="E173" s="5">
        <v>19.989999999999998</v>
      </c>
      <c r="F173" s="4" t="s">
        <v>1777</v>
      </c>
      <c r="G173" s="2" t="s">
        <v>388</v>
      </c>
      <c r="H173" s="7" t="s">
        <v>311</v>
      </c>
      <c r="I173" s="2" t="s">
        <v>1689</v>
      </c>
      <c r="J173" s="2" t="s">
        <v>354</v>
      </c>
      <c r="K173" s="2" t="s">
        <v>304</v>
      </c>
      <c r="L173" s="2" t="s">
        <v>390</v>
      </c>
      <c r="M173" s="8" t="str">
        <f>HYPERLINK("http://slimages.macys.com/is/image/MCY/12890114 ")</f>
        <v xml:space="preserve">http://slimages.macys.com/is/image/MCY/12890114 </v>
      </c>
    </row>
    <row r="174" spans="1:13" ht="60" x14ac:dyDescent="0.25">
      <c r="A174" s="7" t="s">
        <v>1775</v>
      </c>
      <c r="B174" s="2" t="s">
        <v>12591</v>
      </c>
      <c r="C174" s="4">
        <v>1</v>
      </c>
      <c r="D174" s="5">
        <v>6.84</v>
      </c>
      <c r="E174" s="5">
        <v>19.989999999999998</v>
      </c>
      <c r="F174" s="4" t="s">
        <v>1777</v>
      </c>
      <c r="G174" s="2" t="s">
        <v>388</v>
      </c>
      <c r="H174" s="7" t="s">
        <v>514</v>
      </c>
      <c r="I174" s="2" t="s">
        <v>1689</v>
      </c>
      <c r="J174" s="2" t="s">
        <v>354</v>
      </c>
      <c r="K174" s="2" t="s">
        <v>304</v>
      </c>
      <c r="L174" s="2" t="s">
        <v>390</v>
      </c>
      <c r="M174" s="8" t="str">
        <f>HYPERLINK("http://slimages.macys.com/is/image/MCY/12890114 ")</f>
        <v xml:space="preserve">http://slimages.macys.com/is/image/MCY/12890114 </v>
      </c>
    </row>
    <row r="175" spans="1:13" ht="60" x14ac:dyDescent="0.25">
      <c r="A175" s="7" t="s">
        <v>3329</v>
      </c>
      <c r="B175" s="2" t="s">
        <v>12592</v>
      </c>
      <c r="C175" s="4">
        <v>1</v>
      </c>
      <c r="D175" s="5">
        <v>6.84</v>
      </c>
      <c r="E175" s="5">
        <v>19.989999999999998</v>
      </c>
      <c r="F175" s="4" t="s">
        <v>1777</v>
      </c>
      <c r="G175" s="2" t="s">
        <v>388</v>
      </c>
      <c r="H175" s="7" t="s">
        <v>63</v>
      </c>
      <c r="I175" s="2" t="s">
        <v>1689</v>
      </c>
      <c r="J175" s="2" t="s">
        <v>354</v>
      </c>
      <c r="K175" s="2" t="s">
        <v>304</v>
      </c>
      <c r="L175" s="2" t="s">
        <v>390</v>
      </c>
      <c r="M175" s="8" t="str">
        <f>HYPERLINK("http://slimages.macys.com/is/image/MCY/12890114 ")</f>
        <v xml:space="preserve">http://slimages.macys.com/is/image/MCY/12890114 </v>
      </c>
    </row>
    <row r="176" spans="1:13" ht="60" x14ac:dyDescent="0.25">
      <c r="A176" s="7" t="s">
        <v>8918</v>
      </c>
      <c r="B176" s="2" t="s">
        <v>12593</v>
      </c>
      <c r="C176" s="4">
        <v>1</v>
      </c>
      <c r="D176" s="5">
        <v>6.81</v>
      </c>
      <c r="E176" s="5">
        <v>16.989999999999998</v>
      </c>
      <c r="F176" s="4" t="s">
        <v>2590</v>
      </c>
      <c r="G176" s="2" t="s">
        <v>62</v>
      </c>
      <c r="H176" s="7" t="s">
        <v>284</v>
      </c>
      <c r="I176" s="2" t="s">
        <v>515</v>
      </c>
      <c r="J176" s="2" t="s">
        <v>827</v>
      </c>
      <c r="K176" s="2" t="s">
        <v>304</v>
      </c>
      <c r="L176" s="2" t="s">
        <v>358</v>
      </c>
      <c r="M176" s="8" t="str">
        <f>HYPERLINK("http://slimages.macys.com/is/image/MCY/12507563 ")</f>
        <v xml:space="preserve">http://slimages.macys.com/is/image/MCY/12507563 </v>
      </c>
    </row>
    <row r="177" spans="1:13" ht="60" x14ac:dyDescent="0.25">
      <c r="A177" s="7" t="s">
        <v>10073</v>
      </c>
      <c r="B177" s="2" t="s">
        <v>12594</v>
      </c>
      <c r="C177" s="4">
        <v>1</v>
      </c>
      <c r="D177" s="5">
        <v>6.81</v>
      </c>
      <c r="E177" s="5">
        <v>16.989999999999998</v>
      </c>
      <c r="F177" s="4" t="s">
        <v>2590</v>
      </c>
      <c r="G177" s="2" t="s">
        <v>36</v>
      </c>
      <c r="H177" s="7" t="s">
        <v>284</v>
      </c>
      <c r="I177" s="2" t="s">
        <v>515</v>
      </c>
      <c r="J177" s="2" t="s">
        <v>827</v>
      </c>
      <c r="K177" s="2" t="s">
        <v>304</v>
      </c>
      <c r="L177" s="2" t="s">
        <v>358</v>
      </c>
      <c r="M177" s="8" t="str">
        <f>HYPERLINK("http://slimages.macys.com/is/image/MCY/12507563 ")</f>
        <v xml:space="preserve">http://slimages.macys.com/is/image/MCY/12507563 </v>
      </c>
    </row>
    <row r="178" spans="1:13" ht="60" x14ac:dyDescent="0.25">
      <c r="A178" s="7" t="s">
        <v>11037</v>
      </c>
      <c r="B178" s="2" t="s">
        <v>12595</v>
      </c>
      <c r="C178" s="4">
        <v>1</v>
      </c>
      <c r="D178" s="5">
        <v>6.81</v>
      </c>
      <c r="E178" s="5">
        <v>16.989999999999998</v>
      </c>
      <c r="F178" s="4" t="s">
        <v>2590</v>
      </c>
      <c r="G178" s="2" t="s">
        <v>36</v>
      </c>
      <c r="H178" s="7" t="s">
        <v>228</v>
      </c>
      <c r="I178" s="2" t="s">
        <v>515</v>
      </c>
      <c r="J178" s="2" t="s">
        <v>827</v>
      </c>
      <c r="K178" s="2" t="s">
        <v>304</v>
      </c>
      <c r="L178" s="2" t="s">
        <v>358</v>
      </c>
      <c r="M178" s="8" t="str">
        <f>HYPERLINK("http://slimages.macys.com/is/image/MCY/12507563 ")</f>
        <v xml:space="preserve">http://slimages.macys.com/is/image/MCY/12507563 </v>
      </c>
    </row>
    <row r="179" spans="1:13" ht="60" x14ac:dyDescent="0.25">
      <c r="A179" s="7" t="s">
        <v>12596</v>
      </c>
      <c r="B179" s="2" t="s">
        <v>12597</v>
      </c>
      <c r="C179" s="4">
        <v>3</v>
      </c>
      <c r="D179" s="5">
        <v>6.81</v>
      </c>
      <c r="E179" s="5">
        <v>16.989999999999998</v>
      </c>
      <c r="F179" s="4" t="s">
        <v>2590</v>
      </c>
      <c r="G179" s="2" t="s">
        <v>36</v>
      </c>
      <c r="H179" s="7" t="s">
        <v>159</v>
      </c>
      <c r="I179" s="2" t="s">
        <v>515</v>
      </c>
      <c r="J179" s="2" t="s">
        <v>827</v>
      </c>
      <c r="K179" s="2" t="s">
        <v>304</v>
      </c>
      <c r="L179" s="2" t="s">
        <v>358</v>
      </c>
      <c r="M179" s="8" t="str">
        <f>HYPERLINK("http://slimages.macys.com/is/image/MCY/12507563 ")</f>
        <v xml:space="preserve">http://slimages.macys.com/is/image/MCY/12507563 </v>
      </c>
    </row>
    <row r="180" spans="1:13" ht="60" x14ac:dyDescent="0.25">
      <c r="A180" s="7" t="s">
        <v>6290</v>
      </c>
      <c r="B180" s="2" t="s">
        <v>12598</v>
      </c>
      <c r="C180" s="4">
        <v>1</v>
      </c>
      <c r="D180" s="5">
        <v>6.81</v>
      </c>
      <c r="E180" s="5">
        <v>16.989999999999998</v>
      </c>
      <c r="F180" s="4" t="s">
        <v>2590</v>
      </c>
      <c r="G180" s="2" t="s">
        <v>353</v>
      </c>
      <c r="H180" s="7" t="s">
        <v>228</v>
      </c>
      <c r="I180" s="2" t="s">
        <v>515</v>
      </c>
      <c r="J180" s="2" t="s">
        <v>827</v>
      </c>
      <c r="K180" s="2" t="s">
        <v>304</v>
      </c>
      <c r="L180" s="2" t="s">
        <v>358</v>
      </c>
      <c r="M180" s="8" t="str">
        <f>HYPERLINK("http://slimages.macys.com/is/image/MCY/12507563 ")</f>
        <v xml:space="preserve">http://slimages.macys.com/is/image/MCY/12507563 </v>
      </c>
    </row>
    <row r="181" spans="1:13" ht="120" x14ac:dyDescent="0.25">
      <c r="A181" s="7" t="s">
        <v>12005</v>
      </c>
      <c r="B181" s="2" t="s">
        <v>12599</v>
      </c>
      <c r="C181" s="4">
        <v>1</v>
      </c>
      <c r="D181" s="5">
        <v>6.8</v>
      </c>
      <c r="E181" s="5">
        <v>14.99</v>
      </c>
      <c r="F181" s="4" t="s">
        <v>1783</v>
      </c>
      <c r="G181" s="2" t="s">
        <v>62</v>
      </c>
      <c r="H181" s="7" t="s">
        <v>159</v>
      </c>
      <c r="I181" s="2" t="s">
        <v>515</v>
      </c>
      <c r="J181" s="2" t="s">
        <v>827</v>
      </c>
      <c r="K181" s="2" t="s">
        <v>304</v>
      </c>
      <c r="L181" s="2" t="s">
        <v>1784</v>
      </c>
      <c r="M181" s="8" t="str">
        <f>HYPERLINK("http://slimages.macys.com/is/image/MCY/13119046 ")</f>
        <v xml:space="preserve">http://slimages.macys.com/is/image/MCY/13119046 </v>
      </c>
    </row>
    <row r="182" spans="1:13" ht="84" x14ac:dyDescent="0.25">
      <c r="A182" s="7" t="s">
        <v>5427</v>
      </c>
      <c r="B182" s="2" t="s">
        <v>12600</v>
      </c>
      <c r="C182" s="4">
        <v>2</v>
      </c>
      <c r="D182" s="5">
        <v>6.75</v>
      </c>
      <c r="E182" s="5">
        <v>16.989999999999998</v>
      </c>
      <c r="F182" s="4" t="s">
        <v>5429</v>
      </c>
      <c r="G182" s="2" t="s">
        <v>476</v>
      </c>
      <c r="H182" s="7" t="s">
        <v>68</v>
      </c>
      <c r="I182" s="2" t="s">
        <v>321</v>
      </c>
      <c r="J182" s="2" t="s">
        <v>477</v>
      </c>
      <c r="K182" s="2" t="s">
        <v>304</v>
      </c>
      <c r="L182" s="2" t="s">
        <v>1516</v>
      </c>
      <c r="M182" s="8" t="str">
        <f>HYPERLINK("http://slimages.macys.com/is/image/MCY/13860359 ")</f>
        <v xml:space="preserve">http://slimages.macys.com/is/image/MCY/13860359 </v>
      </c>
    </row>
    <row r="183" spans="1:13" ht="84" x14ac:dyDescent="0.25">
      <c r="A183" s="7" t="s">
        <v>7572</v>
      </c>
      <c r="B183" s="2" t="s">
        <v>12601</v>
      </c>
      <c r="C183" s="4">
        <v>4</v>
      </c>
      <c r="D183" s="5">
        <v>6.75</v>
      </c>
      <c r="E183" s="5">
        <v>16.989999999999998</v>
      </c>
      <c r="F183" s="4" t="s">
        <v>4089</v>
      </c>
      <c r="G183" s="2" t="s">
        <v>892</v>
      </c>
      <c r="H183" s="7"/>
      <c r="I183" s="2" t="s">
        <v>321</v>
      </c>
      <c r="J183" s="2" t="s">
        <v>477</v>
      </c>
      <c r="K183" s="2" t="s">
        <v>304</v>
      </c>
      <c r="L183" s="2" t="s">
        <v>1516</v>
      </c>
      <c r="M183" s="8" t="str">
        <f>HYPERLINK("http://slimages.macys.com/is/image/MCY/13860413 ")</f>
        <v xml:space="preserve">http://slimages.macys.com/is/image/MCY/13860413 </v>
      </c>
    </row>
    <row r="184" spans="1:13" ht="72" x14ac:dyDescent="0.25">
      <c r="A184" s="7" t="s">
        <v>7570</v>
      </c>
      <c r="B184" s="2" t="s">
        <v>12602</v>
      </c>
      <c r="C184" s="4">
        <v>1</v>
      </c>
      <c r="D184" s="5">
        <v>6.75</v>
      </c>
      <c r="E184" s="5">
        <v>16.989999999999998</v>
      </c>
      <c r="F184" s="4" t="s">
        <v>1798</v>
      </c>
      <c r="G184" s="2" t="s">
        <v>476</v>
      </c>
      <c r="H184" s="7"/>
      <c r="I184" s="2" t="s">
        <v>321</v>
      </c>
      <c r="J184" s="2" t="s">
        <v>477</v>
      </c>
      <c r="K184" s="2" t="s">
        <v>304</v>
      </c>
      <c r="L184" s="2" t="s">
        <v>1117</v>
      </c>
      <c r="M184" s="8" t="str">
        <f>HYPERLINK("http://slimages.macys.com/is/image/MCY/13860353 ")</f>
        <v xml:space="preserve">http://slimages.macys.com/is/image/MCY/13860353 </v>
      </c>
    </row>
    <row r="185" spans="1:13" ht="84" x14ac:dyDescent="0.25">
      <c r="A185" s="7" t="s">
        <v>6881</v>
      </c>
      <c r="B185" s="2" t="s">
        <v>12603</v>
      </c>
      <c r="C185" s="4">
        <v>1</v>
      </c>
      <c r="D185" s="5">
        <v>6.75</v>
      </c>
      <c r="E185" s="5">
        <v>16.989999999999998</v>
      </c>
      <c r="F185" s="4" t="s">
        <v>475</v>
      </c>
      <c r="G185" s="2" t="s">
        <v>476</v>
      </c>
      <c r="H185" s="7" t="s">
        <v>144</v>
      </c>
      <c r="I185" s="2" t="s">
        <v>321</v>
      </c>
      <c r="J185" s="2" t="s">
        <v>477</v>
      </c>
      <c r="K185" s="2" t="s">
        <v>304</v>
      </c>
      <c r="L185" s="2" t="s">
        <v>478</v>
      </c>
      <c r="M185" s="8" t="str">
        <f>HYPERLINK("http://slimages.macys.com/is/image/MCY/13860353 ")</f>
        <v xml:space="preserve">http://slimages.macys.com/is/image/MCY/13860353 </v>
      </c>
    </row>
    <row r="186" spans="1:13" ht="60" x14ac:dyDescent="0.25">
      <c r="A186" s="7" t="s">
        <v>7561</v>
      </c>
      <c r="B186" s="2" t="s">
        <v>12604</v>
      </c>
      <c r="C186" s="4">
        <v>2</v>
      </c>
      <c r="D186" s="5">
        <v>6.75</v>
      </c>
      <c r="E186" s="5">
        <v>16.989999999999998</v>
      </c>
      <c r="F186" s="4" t="s">
        <v>5434</v>
      </c>
      <c r="G186" s="2" t="s">
        <v>476</v>
      </c>
      <c r="H186" s="7"/>
      <c r="I186" s="2" t="s">
        <v>321</v>
      </c>
      <c r="J186" s="2" t="s">
        <v>477</v>
      </c>
      <c r="K186" s="2" t="s">
        <v>304</v>
      </c>
      <c r="L186" s="2" t="s">
        <v>358</v>
      </c>
      <c r="M186" s="8" t="str">
        <f>HYPERLINK("http://slimages.macys.com/is/image/MCY/13860359 ")</f>
        <v xml:space="preserve">http://slimages.macys.com/is/image/MCY/13860359 </v>
      </c>
    </row>
    <row r="187" spans="1:13" ht="84" x14ac:dyDescent="0.25">
      <c r="A187" s="7" t="s">
        <v>7575</v>
      </c>
      <c r="B187" s="2" t="s">
        <v>12605</v>
      </c>
      <c r="C187" s="4">
        <v>2</v>
      </c>
      <c r="D187" s="5">
        <v>6.75</v>
      </c>
      <c r="E187" s="5">
        <v>16.989999999999998</v>
      </c>
      <c r="F187" s="4" t="s">
        <v>4089</v>
      </c>
      <c r="G187" s="2" t="s">
        <v>892</v>
      </c>
      <c r="H187" s="7"/>
      <c r="I187" s="2" t="s">
        <v>321</v>
      </c>
      <c r="J187" s="2" t="s">
        <v>477</v>
      </c>
      <c r="K187" s="2" t="s">
        <v>304</v>
      </c>
      <c r="L187" s="2" t="s">
        <v>1516</v>
      </c>
      <c r="M187" s="8" t="str">
        <f>HYPERLINK("http://slimages.macys.com/is/image/MCY/13860413 ")</f>
        <v xml:space="preserve">http://slimages.macys.com/is/image/MCY/13860413 </v>
      </c>
    </row>
    <row r="188" spans="1:13" ht="84" x14ac:dyDescent="0.25">
      <c r="A188" s="7" t="s">
        <v>2594</v>
      </c>
      <c r="B188" s="2" t="s">
        <v>12606</v>
      </c>
      <c r="C188" s="4">
        <v>1</v>
      </c>
      <c r="D188" s="5">
        <v>6.75</v>
      </c>
      <c r="E188" s="5">
        <v>16.989999999999998</v>
      </c>
      <c r="F188" s="4" t="s">
        <v>475</v>
      </c>
      <c r="G188" s="2" t="s">
        <v>476</v>
      </c>
      <c r="H188" s="7" t="s">
        <v>68</v>
      </c>
      <c r="I188" s="2" t="s">
        <v>321</v>
      </c>
      <c r="J188" s="2" t="s">
        <v>477</v>
      </c>
      <c r="K188" s="2" t="s">
        <v>304</v>
      </c>
      <c r="L188" s="2" t="s">
        <v>478</v>
      </c>
      <c r="M188" s="8" t="str">
        <f>HYPERLINK("http://slimages.macys.com/is/image/MCY/13860353 ")</f>
        <v xml:space="preserve">http://slimages.macys.com/is/image/MCY/13860353 </v>
      </c>
    </row>
    <row r="189" spans="1:13" ht="84" x14ac:dyDescent="0.25">
      <c r="A189" s="7" t="s">
        <v>7571</v>
      </c>
      <c r="B189" s="2" t="s">
        <v>12607</v>
      </c>
      <c r="C189" s="4">
        <v>4</v>
      </c>
      <c r="D189" s="5">
        <v>6.75</v>
      </c>
      <c r="E189" s="5">
        <v>16.989999999999998</v>
      </c>
      <c r="F189" s="4" t="s">
        <v>5431</v>
      </c>
      <c r="G189" s="2" t="s">
        <v>892</v>
      </c>
      <c r="H189" s="7" t="s">
        <v>68</v>
      </c>
      <c r="I189" s="2" t="s">
        <v>321</v>
      </c>
      <c r="J189" s="2" t="s">
        <v>477</v>
      </c>
      <c r="K189" s="2" t="s">
        <v>304</v>
      </c>
      <c r="L189" s="2" t="s">
        <v>1516</v>
      </c>
      <c r="M189" s="8" t="str">
        <f>HYPERLINK("http://slimages.macys.com/is/image/MCY/13860413 ")</f>
        <v xml:space="preserve">http://slimages.macys.com/is/image/MCY/13860413 </v>
      </c>
    </row>
    <row r="190" spans="1:13" ht="84" x14ac:dyDescent="0.25">
      <c r="A190" s="7" t="s">
        <v>5430</v>
      </c>
      <c r="B190" s="2" t="s">
        <v>12608</v>
      </c>
      <c r="C190" s="4">
        <v>3</v>
      </c>
      <c r="D190" s="5">
        <v>6.75</v>
      </c>
      <c r="E190" s="5">
        <v>16.989999999999998</v>
      </c>
      <c r="F190" s="4" t="s">
        <v>5431</v>
      </c>
      <c r="G190" s="2" t="s">
        <v>892</v>
      </c>
      <c r="H190" s="7" t="s">
        <v>144</v>
      </c>
      <c r="I190" s="2" t="s">
        <v>321</v>
      </c>
      <c r="J190" s="2" t="s">
        <v>477</v>
      </c>
      <c r="K190" s="2" t="s">
        <v>304</v>
      </c>
      <c r="L190" s="2" t="s">
        <v>1516</v>
      </c>
      <c r="M190" s="8" t="str">
        <f>HYPERLINK("http://slimages.macys.com/is/image/MCY/13860413 ")</f>
        <v xml:space="preserve">http://slimages.macys.com/is/image/MCY/13860413 </v>
      </c>
    </row>
    <row r="191" spans="1:13" ht="84" x14ac:dyDescent="0.25">
      <c r="A191" s="7" t="s">
        <v>5432</v>
      </c>
      <c r="B191" s="2" t="s">
        <v>12609</v>
      </c>
      <c r="C191" s="4">
        <v>2</v>
      </c>
      <c r="D191" s="5">
        <v>6.75</v>
      </c>
      <c r="E191" s="5">
        <v>16.989999999999998</v>
      </c>
      <c r="F191" s="4" t="s">
        <v>5431</v>
      </c>
      <c r="G191" s="2" t="s">
        <v>892</v>
      </c>
      <c r="H191" s="7" t="s">
        <v>209</v>
      </c>
      <c r="I191" s="2" t="s">
        <v>321</v>
      </c>
      <c r="J191" s="2" t="s">
        <v>477</v>
      </c>
      <c r="K191" s="2" t="s">
        <v>304</v>
      </c>
      <c r="L191" s="2" t="s">
        <v>1516</v>
      </c>
      <c r="M191" s="8" t="str">
        <f>HYPERLINK("http://slimages.macys.com/is/image/MCY/13860413 ")</f>
        <v xml:space="preserve">http://slimages.macys.com/is/image/MCY/13860413 </v>
      </c>
    </row>
    <row r="192" spans="1:13" ht="60" x14ac:dyDescent="0.25">
      <c r="A192" s="7" t="s">
        <v>7577</v>
      </c>
      <c r="B192" s="2" t="s">
        <v>12610</v>
      </c>
      <c r="C192" s="4">
        <v>4</v>
      </c>
      <c r="D192" s="5">
        <v>6.75</v>
      </c>
      <c r="E192" s="5">
        <v>16.989999999999998</v>
      </c>
      <c r="F192" s="4" t="s">
        <v>7553</v>
      </c>
      <c r="G192" s="2" t="s">
        <v>892</v>
      </c>
      <c r="H192" s="7" t="s">
        <v>68</v>
      </c>
      <c r="I192" s="2" t="s">
        <v>321</v>
      </c>
      <c r="J192" s="2" t="s">
        <v>477</v>
      </c>
      <c r="K192" s="2" t="s">
        <v>304</v>
      </c>
      <c r="L192" s="2" t="s">
        <v>125</v>
      </c>
      <c r="M192" s="8" t="str">
        <f>HYPERLINK("http://slimages.macys.com/is/image/MCY/13860370 ")</f>
        <v xml:space="preserve">http://slimages.macys.com/is/image/MCY/13860370 </v>
      </c>
    </row>
    <row r="193" spans="1:13" ht="60" x14ac:dyDescent="0.25">
      <c r="A193" s="7" t="s">
        <v>7574</v>
      </c>
      <c r="B193" s="2" t="s">
        <v>12611</v>
      </c>
      <c r="C193" s="4">
        <v>2</v>
      </c>
      <c r="D193" s="5">
        <v>6.75</v>
      </c>
      <c r="E193" s="5">
        <v>16.989999999999998</v>
      </c>
      <c r="F193" s="4" t="s">
        <v>4098</v>
      </c>
      <c r="G193" s="2" t="s">
        <v>892</v>
      </c>
      <c r="H193" s="7"/>
      <c r="I193" s="2" t="s">
        <v>321</v>
      </c>
      <c r="J193" s="2" t="s">
        <v>477</v>
      </c>
      <c r="K193" s="2" t="s">
        <v>304</v>
      </c>
      <c r="L193" s="2" t="s">
        <v>125</v>
      </c>
      <c r="M193" s="8" t="str">
        <f>HYPERLINK("http://slimages.macys.com/is/image/MCY/13860370 ")</f>
        <v xml:space="preserve">http://slimages.macys.com/is/image/MCY/13860370 </v>
      </c>
    </row>
    <row r="194" spans="1:13" ht="60" x14ac:dyDescent="0.25">
      <c r="A194" s="7" t="s">
        <v>7567</v>
      </c>
      <c r="B194" s="2" t="s">
        <v>12612</v>
      </c>
      <c r="C194" s="4">
        <v>1</v>
      </c>
      <c r="D194" s="5">
        <v>6.75</v>
      </c>
      <c r="E194" s="5">
        <v>16.989999999999998</v>
      </c>
      <c r="F194" s="4" t="s">
        <v>4098</v>
      </c>
      <c r="G194" s="2" t="s">
        <v>892</v>
      </c>
      <c r="H194" s="7"/>
      <c r="I194" s="2" t="s">
        <v>321</v>
      </c>
      <c r="J194" s="2" t="s">
        <v>477</v>
      </c>
      <c r="K194" s="2" t="s">
        <v>304</v>
      </c>
      <c r="L194" s="2" t="s">
        <v>125</v>
      </c>
      <c r="M194" s="8" t="str">
        <f>HYPERLINK("http://slimages.macys.com/is/image/MCY/13860370 ")</f>
        <v xml:space="preserve">http://slimages.macys.com/is/image/MCY/13860370 </v>
      </c>
    </row>
    <row r="195" spans="1:13" ht="84" x14ac:dyDescent="0.25">
      <c r="A195" s="7" t="s">
        <v>7559</v>
      </c>
      <c r="B195" s="2" t="s">
        <v>12613</v>
      </c>
      <c r="C195" s="4">
        <v>2</v>
      </c>
      <c r="D195" s="5">
        <v>6.75</v>
      </c>
      <c r="E195" s="5">
        <v>16.989999999999998</v>
      </c>
      <c r="F195" s="4" t="s">
        <v>2597</v>
      </c>
      <c r="G195" s="2" t="s">
        <v>41</v>
      </c>
      <c r="H195" s="7"/>
      <c r="I195" s="2" t="s">
        <v>321</v>
      </c>
      <c r="J195" s="2" t="s">
        <v>477</v>
      </c>
      <c r="K195" s="2" t="s">
        <v>304</v>
      </c>
      <c r="L195" s="2" t="s">
        <v>1516</v>
      </c>
      <c r="M195" s="8" t="str">
        <f>HYPERLINK("http://slimages.macys.com/is/image/MCY/13860422 ")</f>
        <v xml:space="preserve">http://slimages.macys.com/is/image/MCY/13860422 </v>
      </c>
    </row>
    <row r="196" spans="1:13" ht="84" x14ac:dyDescent="0.25">
      <c r="A196" s="7" t="s">
        <v>7557</v>
      </c>
      <c r="B196" s="2" t="s">
        <v>12614</v>
      </c>
      <c r="C196" s="4">
        <v>2</v>
      </c>
      <c r="D196" s="5">
        <v>6.75</v>
      </c>
      <c r="E196" s="5">
        <v>16.989999999999998</v>
      </c>
      <c r="F196" s="4" t="s">
        <v>2597</v>
      </c>
      <c r="G196" s="2" t="s">
        <v>41</v>
      </c>
      <c r="H196" s="7"/>
      <c r="I196" s="2" t="s">
        <v>321</v>
      </c>
      <c r="J196" s="2" t="s">
        <v>477</v>
      </c>
      <c r="K196" s="2" t="s">
        <v>304</v>
      </c>
      <c r="L196" s="2" t="s">
        <v>1516</v>
      </c>
      <c r="M196" s="8" t="str">
        <f>HYPERLINK("http://slimages.macys.com/is/image/MCY/13860422 ")</f>
        <v xml:space="preserve">http://slimages.macys.com/is/image/MCY/13860422 </v>
      </c>
    </row>
    <row r="197" spans="1:13" ht="84" x14ac:dyDescent="0.25">
      <c r="A197" s="7" t="s">
        <v>7573</v>
      </c>
      <c r="B197" s="2" t="s">
        <v>12615</v>
      </c>
      <c r="C197" s="4">
        <v>1</v>
      </c>
      <c r="D197" s="5">
        <v>6.75</v>
      </c>
      <c r="E197" s="5">
        <v>16.989999999999998</v>
      </c>
      <c r="F197" s="4" t="s">
        <v>2597</v>
      </c>
      <c r="G197" s="2" t="s">
        <v>41</v>
      </c>
      <c r="H197" s="7"/>
      <c r="I197" s="2" t="s">
        <v>321</v>
      </c>
      <c r="J197" s="2" t="s">
        <v>477</v>
      </c>
      <c r="K197" s="2" t="s">
        <v>304</v>
      </c>
      <c r="L197" s="2" t="s">
        <v>1516</v>
      </c>
      <c r="M197" s="8" t="str">
        <f>HYPERLINK("http://slimages.macys.com/is/image/MCY/13860422 ")</f>
        <v xml:space="preserve">http://slimages.macys.com/is/image/MCY/13860422 </v>
      </c>
    </row>
    <row r="198" spans="1:13" ht="84" x14ac:dyDescent="0.25">
      <c r="A198" s="7" t="s">
        <v>2595</v>
      </c>
      <c r="B198" s="2" t="s">
        <v>12616</v>
      </c>
      <c r="C198" s="4">
        <v>2</v>
      </c>
      <c r="D198" s="5">
        <v>6.75</v>
      </c>
      <c r="E198" s="5">
        <v>16.989999999999998</v>
      </c>
      <c r="F198" s="4" t="s">
        <v>2597</v>
      </c>
      <c r="G198" s="2" t="s">
        <v>41</v>
      </c>
      <c r="H198" s="7"/>
      <c r="I198" s="2" t="s">
        <v>321</v>
      </c>
      <c r="J198" s="2" t="s">
        <v>477</v>
      </c>
      <c r="K198" s="2" t="s">
        <v>304</v>
      </c>
      <c r="L198" s="2" t="s">
        <v>1516</v>
      </c>
      <c r="M198" s="8" t="str">
        <f>HYPERLINK("http://slimages.macys.com/is/image/MCY/13860422 ")</f>
        <v xml:space="preserve">http://slimages.macys.com/is/image/MCY/13860422 </v>
      </c>
    </row>
    <row r="199" spans="1:13" ht="60" x14ac:dyDescent="0.25">
      <c r="A199" s="7" t="s">
        <v>7566</v>
      </c>
      <c r="B199" s="2" t="s">
        <v>12617</v>
      </c>
      <c r="C199" s="4">
        <v>4</v>
      </c>
      <c r="D199" s="5">
        <v>6.75</v>
      </c>
      <c r="E199" s="5">
        <v>16.989999999999998</v>
      </c>
      <c r="F199" s="4" t="s">
        <v>7555</v>
      </c>
      <c r="G199" s="2" t="s">
        <v>41</v>
      </c>
      <c r="H199" s="7" t="s">
        <v>144</v>
      </c>
      <c r="I199" s="2" t="s">
        <v>321</v>
      </c>
      <c r="J199" s="2" t="s">
        <v>477</v>
      </c>
      <c r="K199" s="2" t="s">
        <v>304</v>
      </c>
      <c r="L199" s="2" t="s">
        <v>125</v>
      </c>
      <c r="M199" s="8" t="str">
        <f>HYPERLINK("http://slimages.macys.com/is/image/MCY/13860422 ")</f>
        <v xml:space="preserve">http://slimages.macys.com/is/image/MCY/13860422 </v>
      </c>
    </row>
    <row r="200" spans="1:13" ht="60" x14ac:dyDescent="0.25">
      <c r="A200" s="7" t="s">
        <v>7552</v>
      </c>
      <c r="B200" s="2" t="s">
        <v>12618</v>
      </c>
      <c r="C200" s="4">
        <v>4</v>
      </c>
      <c r="D200" s="5">
        <v>6.75</v>
      </c>
      <c r="E200" s="5">
        <v>16.989999999999998</v>
      </c>
      <c r="F200" s="4" t="s">
        <v>7553</v>
      </c>
      <c r="G200" s="2" t="s">
        <v>892</v>
      </c>
      <c r="H200" s="7" t="s">
        <v>144</v>
      </c>
      <c r="I200" s="2" t="s">
        <v>321</v>
      </c>
      <c r="J200" s="2" t="s">
        <v>477</v>
      </c>
      <c r="K200" s="2" t="s">
        <v>304</v>
      </c>
      <c r="L200" s="2" t="s">
        <v>125</v>
      </c>
      <c r="M200" s="8" t="str">
        <f>HYPERLINK("http://slimages.macys.com/is/image/MCY/13860370 ")</f>
        <v xml:space="preserve">http://slimages.macys.com/is/image/MCY/13860370 </v>
      </c>
    </row>
    <row r="201" spans="1:13" ht="60" x14ac:dyDescent="0.25">
      <c r="A201" s="7" t="s">
        <v>4096</v>
      </c>
      <c r="B201" s="2" t="s">
        <v>12619</v>
      </c>
      <c r="C201" s="4">
        <v>4</v>
      </c>
      <c r="D201" s="5">
        <v>6.75</v>
      </c>
      <c r="E201" s="5">
        <v>16.989999999999998</v>
      </c>
      <c r="F201" s="4" t="s">
        <v>4098</v>
      </c>
      <c r="G201" s="2" t="s">
        <v>892</v>
      </c>
      <c r="H201" s="7"/>
      <c r="I201" s="2" t="s">
        <v>321</v>
      </c>
      <c r="J201" s="2" t="s">
        <v>477</v>
      </c>
      <c r="K201" s="2" t="s">
        <v>304</v>
      </c>
      <c r="L201" s="2" t="s">
        <v>125</v>
      </c>
      <c r="M201" s="8" t="str">
        <f>HYPERLINK("http://slimages.macys.com/is/image/MCY/13860370 ")</f>
        <v xml:space="preserve">http://slimages.macys.com/is/image/MCY/13860370 </v>
      </c>
    </row>
    <row r="202" spans="1:13" ht="60" x14ac:dyDescent="0.25">
      <c r="A202" s="7" t="s">
        <v>7558</v>
      </c>
      <c r="B202" s="2" t="s">
        <v>12620</v>
      </c>
      <c r="C202" s="4">
        <v>1</v>
      </c>
      <c r="D202" s="5">
        <v>6.75</v>
      </c>
      <c r="E202" s="5">
        <v>16.989999999999998</v>
      </c>
      <c r="F202" s="4" t="s">
        <v>4098</v>
      </c>
      <c r="G202" s="2" t="s">
        <v>892</v>
      </c>
      <c r="H202" s="7"/>
      <c r="I202" s="2" t="s">
        <v>321</v>
      </c>
      <c r="J202" s="2" t="s">
        <v>477</v>
      </c>
      <c r="K202" s="2" t="s">
        <v>304</v>
      </c>
      <c r="L202" s="2" t="s">
        <v>125</v>
      </c>
      <c r="M202" s="8" t="str">
        <f>HYPERLINK("http://slimages.macys.com/is/image/MCY/13860370 ")</f>
        <v xml:space="preserve">http://slimages.macys.com/is/image/MCY/13860370 </v>
      </c>
    </row>
    <row r="203" spans="1:13" ht="84" x14ac:dyDescent="0.25">
      <c r="A203" s="7" t="s">
        <v>4087</v>
      </c>
      <c r="B203" s="2" t="s">
        <v>12621</v>
      </c>
      <c r="C203" s="4">
        <v>1</v>
      </c>
      <c r="D203" s="5">
        <v>6.75</v>
      </c>
      <c r="E203" s="5">
        <v>16.989999999999998</v>
      </c>
      <c r="F203" s="4" t="s">
        <v>4089</v>
      </c>
      <c r="G203" s="2" t="s">
        <v>892</v>
      </c>
      <c r="H203" s="7"/>
      <c r="I203" s="2" t="s">
        <v>321</v>
      </c>
      <c r="J203" s="2" t="s">
        <v>477</v>
      </c>
      <c r="K203" s="2" t="s">
        <v>304</v>
      </c>
      <c r="L203" s="2" t="s">
        <v>1516</v>
      </c>
      <c r="M203" s="8" t="str">
        <f>HYPERLINK("http://slimages.macys.com/is/image/MCY/13860413 ")</f>
        <v xml:space="preserve">http://slimages.macys.com/is/image/MCY/13860413 </v>
      </c>
    </row>
    <row r="204" spans="1:13" ht="60" x14ac:dyDescent="0.25">
      <c r="A204" s="7" t="s">
        <v>12622</v>
      </c>
      <c r="B204" s="2" t="s">
        <v>12623</v>
      </c>
      <c r="C204" s="4">
        <v>1</v>
      </c>
      <c r="D204" s="5">
        <v>6.75</v>
      </c>
      <c r="E204" s="5">
        <v>21.99</v>
      </c>
      <c r="F204" s="4" t="s">
        <v>12624</v>
      </c>
      <c r="G204" s="2" t="s">
        <v>310</v>
      </c>
      <c r="H204" s="7" t="s">
        <v>209</v>
      </c>
      <c r="I204" s="2" t="s">
        <v>342</v>
      </c>
      <c r="J204" s="2" t="s">
        <v>362</v>
      </c>
      <c r="K204" s="2" t="s">
        <v>304</v>
      </c>
      <c r="L204" s="2" t="s">
        <v>3935</v>
      </c>
      <c r="M204" s="8" t="str">
        <f>HYPERLINK("http://slimages.macys.com/is/image/MCY/12227646 ")</f>
        <v xml:space="preserve">http://slimages.macys.com/is/image/MCY/12227646 </v>
      </c>
    </row>
    <row r="205" spans="1:13" ht="60" x14ac:dyDescent="0.25">
      <c r="A205" s="7" t="s">
        <v>12625</v>
      </c>
      <c r="B205" s="2" t="s">
        <v>12626</v>
      </c>
      <c r="C205" s="4">
        <v>1</v>
      </c>
      <c r="D205" s="5">
        <v>6.75</v>
      </c>
      <c r="E205" s="5">
        <v>21.99</v>
      </c>
      <c r="F205" s="4" t="s">
        <v>7565</v>
      </c>
      <c r="G205" s="2" t="s">
        <v>310</v>
      </c>
      <c r="H205" s="7" t="s">
        <v>123</v>
      </c>
      <c r="I205" s="2" t="s">
        <v>342</v>
      </c>
      <c r="J205" s="2" t="s">
        <v>362</v>
      </c>
      <c r="K205" s="2" t="s">
        <v>304</v>
      </c>
      <c r="L205" s="2" t="s">
        <v>3935</v>
      </c>
      <c r="M205" s="8" t="str">
        <f>HYPERLINK("http://slimages.macys.com/is/image/MCY/12227599 ")</f>
        <v xml:space="preserve">http://slimages.macys.com/is/image/MCY/12227599 </v>
      </c>
    </row>
    <row r="206" spans="1:13" ht="60" x14ac:dyDescent="0.25">
      <c r="A206" s="7" t="s">
        <v>12627</v>
      </c>
      <c r="B206" s="2" t="s">
        <v>12628</v>
      </c>
      <c r="C206" s="4">
        <v>1</v>
      </c>
      <c r="D206" s="5">
        <v>6.75</v>
      </c>
      <c r="E206" s="5">
        <v>21.99</v>
      </c>
      <c r="F206" s="4" t="s">
        <v>7565</v>
      </c>
      <c r="G206" s="2" t="s">
        <v>310</v>
      </c>
      <c r="H206" s="7" t="s">
        <v>311</v>
      </c>
      <c r="I206" s="2" t="s">
        <v>342</v>
      </c>
      <c r="J206" s="2" t="s">
        <v>362</v>
      </c>
      <c r="K206" s="2" t="s">
        <v>304</v>
      </c>
      <c r="L206" s="2" t="s">
        <v>3935</v>
      </c>
      <c r="M206" s="8" t="str">
        <f>HYPERLINK("http://slimages.macys.com/is/image/MCY/12227599 ")</f>
        <v xml:space="preserve">http://slimages.macys.com/is/image/MCY/12227599 </v>
      </c>
    </row>
    <row r="207" spans="1:13" ht="60" x14ac:dyDescent="0.25">
      <c r="A207" s="7" t="s">
        <v>1790</v>
      </c>
      <c r="B207" s="2" t="s">
        <v>12629</v>
      </c>
      <c r="C207" s="4">
        <v>1</v>
      </c>
      <c r="D207" s="5">
        <v>6.75</v>
      </c>
      <c r="E207" s="5">
        <v>16.989999999999998</v>
      </c>
      <c r="F207" s="4" t="s">
        <v>1792</v>
      </c>
      <c r="G207" s="2" t="s">
        <v>41</v>
      </c>
      <c r="H207" s="7"/>
      <c r="I207" s="2" t="s">
        <v>321</v>
      </c>
      <c r="J207" s="2" t="s">
        <v>477</v>
      </c>
      <c r="K207" s="2" t="s">
        <v>304</v>
      </c>
      <c r="L207" s="2" t="s">
        <v>125</v>
      </c>
      <c r="M207" s="8" t="str">
        <f>HYPERLINK("http://slimages.macys.com/is/image/MCY/13860424 ")</f>
        <v xml:space="preserve">http://slimages.macys.com/is/image/MCY/13860424 </v>
      </c>
    </row>
    <row r="208" spans="1:13" ht="60" x14ac:dyDescent="0.25">
      <c r="A208" s="7" t="s">
        <v>7562</v>
      </c>
      <c r="B208" s="2" t="s">
        <v>12630</v>
      </c>
      <c r="C208" s="4">
        <v>2</v>
      </c>
      <c r="D208" s="5">
        <v>6.75</v>
      </c>
      <c r="E208" s="5">
        <v>16.989999999999998</v>
      </c>
      <c r="F208" s="4" t="s">
        <v>1792</v>
      </c>
      <c r="G208" s="2" t="s">
        <v>41</v>
      </c>
      <c r="H208" s="7"/>
      <c r="I208" s="2" t="s">
        <v>321</v>
      </c>
      <c r="J208" s="2" t="s">
        <v>477</v>
      </c>
      <c r="K208" s="2" t="s">
        <v>304</v>
      </c>
      <c r="L208" s="2" t="s">
        <v>125</v>
      </c>
      <c r="M208" s="8" t="str">
        <f>HYPERLINK("http://slimages.macys.com/is/image/MCY/13860424 ")</f>
        <v xml:space="preserve">http://slimages.macys.com/is/image/MCY/13860424 </v>
      </c>
    </row>
    <row r="209" spans="1:13" ht="60" x14ac:dyDescent="0.25">
      <c r="A209" s="7" t="s">
        <v>1793</v>
      </c>
      <c r="B209" s="2" t="s">
        <v>12631</v>
      </c>
      <c r="C209" s="4">
        <v>4</v>
      </c>
      <c r="D209" s="5">
        <v>6.75</v>
      </c>
      <c r="E209" s="5">
        <v>16.989999999999998</v>
      </c>
      <c r="F209" s="4" t="s">
        <v>1792</v>
      </c>
      <c r="G209" s="2" t="s">
        <v>41</v>
      </c>
      <c r="H209" s="7"/>
      <c r="I209" s="2" t="s">
        <v>321</v>
      </c>
      <c r="J209" s="2" t="s">
        <v>477</v>
      </c>
      <c r="K209" s="2" t="s">
        <v>304</v>
      </c>
      <c r="L209" s="2" t="s">
        <v>125</v>
      </c>
      <c r="M209" s="8" t="str">
        <f>HYPERLINK("http://slimages.macys.com/is/image/MCY/13860424 ")</f>
        <v xml:space="preserve">http://slimages.macys.com/is/image/MCY/13860424 </v>
      </c>
    </row>
    <row r="210" spans="1:13" ht="60" x14ac:dyDescent="0.25">
      <c r="A210" s="7" t="s">
        <v>7576</v>
      </c>
      <c r="B210" s="2" t="s">
        <v>12632</v>
      </c>
      <c r="C210" s="4">
        <v>1</v>
      </c>
      <c r="D210" s="5">
        <v>6.75</v>
      </c>
      <c r="E210" s="5">
        <v>16.989999999999998</v>
      </c>
      <c r="F210" s="4" t="s">
        <v>7553</v>
      </c>
      <c r="G210" s="2" t="s">
        <v>892</v>
      </c>
      <c r="H210" s="7" t="s">
        <v>209</v>
      </c>
      <c r="I210" s="2" t="s">
        <v>321</v>
      </c>
      <c r="J210" s="2" t="s">
        <v>477</v>
      </c>
      <c r="K210" s="2" t="s">
        <v>304</v>
      </c>
      <c r="L210" s="2" t="s">
        <v>125</v>
      </c>
      <c r="M210" s="8" t="str">
        <f>HYPERLINK("http://slimages.macys.com/is/image/MCY/13860370 ")</f>
        <v xml:space="preserve">http://slimages.macys.com/is/image/MCY/13860370 </v>
      </c>
    </row>
    <row r="211" spans="1:13" ht="84" x14ac:dyDescent="0.25">
      <c r="A211" s="7" t="s">
        <v>7551</v>
      </c>
      <c r="B211" s="2" t="s">
        <v>12633</v>
      </c>
      <c r="C211" s="4">
        <v>4</v>
      </c>
      <c r="D211" s="5">
        <v>6.75</v>
      </c>
      <c r="E211" s="5">
        <v>16.989999999999998</v>
      </c>
      <c r="F211" s="4" t="s">
        <v>4089</v>
      </c>
      <c r="G211" s="2" t="s">
        <v>892</v>
      </c>
      <c r="H211" s="7"/>
      <c r="I211" s="2" t="s">
        <v>321</v>
      </c>
      <c r="J211" s="2" t="s">
        <v>477</v>
      </c>
      <c r="K211" s="2" t="s">
        <v>304</v>
      </c>
      <c r="L211" s="2" t="s">
        <v>1516</v>
      </c>
      <c r="M211" s="8" t="str">
        <f>HYPERLINK("http://slimages.macys.com/is/image/MCY/13860413 ")</f>
        <v xml:space="preserve">http://slimages.macys.com/is/image/MCY/13860413 </v>
      </c>
    </row>
    <row r="212" spans="1:13" ht="60" x14ac:dyDescent="0.25">
      <c r="A212" s="7" t="s">
        <v>7554</v>
      </c>
      <c r="B212" s="2" t="s">
        <v>12634</v>
      </c>
      <c r="C212" s="4">
        <v>4</v>
      </c>
      <c r="D212" s="5">
        <v>6.75</v>
      </c>
      <c r="E212" s="5">
        <v>16.989999999999998</v>
      </c>
      <c r="F212" s="4" t="s">
        <v>7555</v>
      </c>
      <c r="G212" s="2" t="s">
        <v>41</v>
      </c>
      <c r="H212" s="7" t="s">
        <v>68</v>
      </c>
      <c r="I212" s="2" t="s">
        <v>321</v>
      </c>
      <c r="J212" s="2" t="s">
        <v>477</v>
      </c>
      <c r="K212" s="2" t="s">
        <v>304</v>
      </c>
      <c r="L212" s="2" t="s">
        <v>125</v>
      </c>
      <c r="M212" s="8" t="str">
        <f>HYPERLINK("http://slimages.macys.com/is/image/MCY/13860422 ")</f>
        <v xml:space="preserve">http://slimages.macys.com/is/image/MCY/13860422 </v>
      </c>
    </row>
    <row r="213" spans="1:13" ht="60" x14ac:dyDescent="0.25">
      <c r="A213" s="7" t="s">
        <v>7556</v>
      </c>
      <c r="B213" s="2" t="s">
        <v>12635</v>
      </c>
      <c r="C213" s="4">
        <v>3</v>
      </c>
      <c r="D213" s="5">
        <v>6.75</v>
      </c>
      <c r="E213" s="5">
        <v>16.989999999999998</v>
      </c>
      <c r="F213" s="4" t="s">
        <v>7555</v>
      </c>
      <c r="G213" s="2" t="s">
        <v>41</v>
      </c>
      <c r="H213" s="7" t="s">
        <v>209</v>
      </c>
      <c r="I213" s="2" t="s">
        <v>321</v>
      </c>
      <c r="J213" s="2" t="s">
        <v>477</v>
      </c>
      <c r="K213" s="2" t="s">
        <v>304</v>
      </c>
      <c r="L213" s="2" t="s">
        <v>125</v>
      </c>
      <c r="M213" s="8" t="str">
        <f>HYPERLINK("http://slimages.macys.com/is/image/MCY/13860422 ")</f>
        <v xml:space="preserve">http://slimages.macys.com/is/image/MCY/13860422 </v>
      </c>
    </row>
    <row r="214" spans="1:13" ht="60" x14ac:dyDescent="0.25">
      <c r="A214" s="7" t="s">
        <v>1796</v>
      </c>
      <c r="B214" s="2" t="s">
        <v>12636</v>
      </c>
      <c r="C214" s="4">
        <v>5</v>
      </c>
      <c r="D214" s="5">
        <v>6.75</v>
      </c>
      <c r="E214" s="5">
        <v>16.989999999999998</v>
      </c>
      <c r="F214" s="4" t="s">
        <v>1792</v>
      </c>
      <c r="G214" s="2" t="s">
        <v>41</v>
      </c>
      <c r="H214" s="7"/>
      <c r="I214" s="2" t="s">
        <v>321</v>
      </c>
      <c r="J214" s="2" t="s">
        <v>477</v>
      </c>
      <c r="K214" s="2" t="s">
        <v>304</v>
      </c>
      <c r="L214" s="2" t="s">
        <v>125</v>
      </c>
      <c r="M214" s="8" t="str">
        <f>HYPERLINK("http://slimages.macys.com/is/image/MCY/13860424 ")</f>
        <v xml:space="preserve">http://slimages.macys.com/is/image/MCY/13860424 </v>
      </c>
    </row>
    <row r="215" spans="1:13" ht="84" x14ac:dyDescent="0.25">
      <c r="A215" s="7" t="s">
        <v>6878</v>
      </c>
      <c r="B215" s="2" t="s">
        <v>12637</v>
      </c>
      <c r="C215" s="4">
        <v>4</v>
      </c>
      <c r="D215" s="5">
        <v>6.75</v>
      </c>
      <c r="E215" s="5">
        <v>16.989999999999998</v>
      </c>
      <c r="F215" s="4" t="s">
        <v>5429</v>
      </c>
      <c r="G215" s="2" t="s">
        <v>476</v>
      </c>
      <c r="H215" s="7" t="s">
        <v>209</v>
      </c>
      <c r="I215" s="2" t="s">
        <v>321</v>
      </c>
      <c r="J215" s="2" t="s">
        <v>477</v>
      </c>
      <c r="K215" s="2" t="s">
        <v>304</v>
      </c>
      <c r="L215" s="2" t="s">
        <v>1516</v>
      </c>
      <c r="M215" s="8" t="str">
        <f>HYPERLINK("http://slimages.macys.com/is/image/MCY/13860359 ")</f>
        <v xml:space="preserve">http://slimages.macys.com/is/image/MCY/13860359 </v>
      </c>
    </row>
    <row r="216" spans="1:13" ht="60" x14ac:dyDescent="0.25">
      <c r="A216" s="7" t="s">
        <v>6880</v>
      </c>
      <c r="B216" s="2" t="s">
        <v>12638</v>
      </c>
      <c r="C216" s="4">
        <v>4</v>
      </c>
      <c r="D216" s="5">
        <v>6.75</v>
      </c>
      <c r="E216" s="5">
        <v>16.989999999999998</v>
      </c>
      <c r="F216" s="4" t="s">
        <v>5434</v>
      </c>
      <c r="G216" s="2" t="s">
        <v>476</v>
      </c>
      <c r="H216" s="7"/>
      <c r="I216" s="2" t="s">
        <v>321</v>
      </c>
      <c r="J216" s="2" t="s">
        <v>477</v>
      </c>
      <c r="K216" s="2" t="s">
        <v>304</v>
      </c>
      <c r="L216" s="2" t="s">
        <v>358</v>
      </c>
      <c r="M216" s="8" t="str">
        <f>HYPERLINK("http://slimages.macys.com/is/image/MCY/13860359 ")</f>
        <v xml:space="preserve">http://slimages.macys.com/is/image/MCY/13860359 </v>
      </c>
    </row>
    <row r="217" spans="1:13" ht="84" x14ac:dyDescent="0.25">
      <c r="A217" s="7" t="s">
        <v>6877</v>
      </c>
      <c r="B217" s="2" t="s">
        <v>12639</v>
      </c>
      <c r="C217" s="4">
        <v>1</v>
      </c>
      <c r="D217" s="5">
        <v>6.75</v>
      </c>
      <c r="E217" s="5">
        <v>16.989999999999998</v>
      </c>
      <c r="F217" s="4" t="s">
        <v>5429</v>
      </c>
      <c r="G217" s="2" t="s">
        <v>476</v>
      </c>
      <c r="H217" s="7" t="s">
        <v>144</v>
      </c>
      <c r="I217" s="2" t="s">
        <v>321</v>
      </c>
      <c r="J217" s="2" t="s">
        <v>477</v>
      </c>
      <c r="K217" s="2" t="s">
        <v>304</v>
      </c>
      <c r="L217" s="2" t="s">
        <v>1516</v>
      </c>
      <c r="M217" s="8" t="str">
        <f>HYPERLINK("http://slimages.macys.com/is/image/MCY/13860359 ")</f>
        <v xml:space="preserve">http://slimages.macys.com/is/image/MCY/13860359 </v>
      </c>
    </row>
    <row r="218" spans="1:13" ht="60" x14ac:dyDescent="0.25">
      <c r="A218" s="7" t="s">
        <v>6879</v>
      </c>
      <c r="B218" s="2" t="s">
        <v>12640</v>
      </c>
      <c r="C218" s="4">
        <v>2</v>
      </c>
      <c r="D218" s="5">
        <v>6.75</v>
      </c>
      <c r="E218" s="5">
        <v>16.989999999999998</v>
      </c>
      <c r="F218" s="4" t="s">
        <v>5434</v>
      </c>
      <c r="G218" s="2" t="s">
        <v>476</v>
      </c>
      <c r="H218" s="7"/>
      <c r="I218" s="2" t="s">
        <v>321</v>
      </c>
      <c r="J218" s="2" t="s">
        <v>477</v>
      </c>
      <c r="K218" s="2" t="s">
        <v>304</v>
      </c>
      <c r="L218" s="2" t="s">
        <v>358</v>
      </c>
      <c r="M218" s="8" t="str">
        <f>HYPERLINK("http://slimages.macys.com/is/image/MCY/13860359 ")</f>
        <v xml:space="preserve">http://slimages.macys.com/is/image/MCY/13860359 </v>
      </c>
    </row>
    <row r="219" spans="1:13" ht="60" x14ac:dyDescent="0.25">
      <c r="A219" s="7" t="s">
        <v>5433</v>
      </c>
      <c r="B219" s="2" t="s">
        <v>12641</v>
      </c>
      <c r="C219" s="4">
        <v>3</v>
      </c>
      <c r="D219" s="5">
        <v>6.75</v>
      </c>
      <c r="E219" s="5">
        <v>16.989999999999998</v>
      </c>
      <c r="F219" s="4" t="s">
        <v>5434</v>
      </c>
      <c r="G219" s="2" t="s">
        <v>476</v>
      </c>
      <c r="H219" s="7"/>
      <c r="I219" s="2" t="s">
        <v>321</v>
      </c>
      <c r="J219" s="2" t="s">
        <v>477</v>
      </c>
      <c r="K219" s="2" t="s">
        <v>304</v>
      </c>
      <c r="L219" s="2" t="s">
        <v>358</v>
      </c>
      <c r="M219" s="8" t="str">
        <f>HYPERLINK("http://slimages.macys.com/is/image/MCY/13860359 ")</f>
        <v xml:space="preserve">http://slimages.macys.com/is/image/MCY/13860359 </v>
      </c>
    </row>
    <row r="220" spans="1:13" ht="60" x14ac:dyDescent="0.25">
      <c r="A220" s="7" t="s">
        <v>7560</v>
      </c>
      <c r="B220" s="2" t="s">
        <v>12642</v>
      </c>
      <c r="C220" s="4">
        <v>1</v>
      </c>
      <c r="D220" s="5">
        <v>6.75</v>
      </c>
      <c r="E220" s="5">
        <v>16.989999999999998</v>
      </c>
      <c r="F220" s="4" t="s">
        <v>1795</v>
      </c>
      <c r="G220" s="2" t="s">
        <v>41</v>
      </c>
      <c r="H220" s="7" t="s">
        <v>144</v>
      </c>
      <c r="I220" s="2" t="s">
        <v>321</v>
      </c>
      <c r="J220" s="2" t="s">
        <v>477</v>
      </c>
      <c r="K220" s="2" t="s">
        <v>304</v>
      </c>
      <c r="L220" s="2" t="s">
        <v>125</v>
      </c>
      <c r="M220" s="8" t="str">
        <f>HYPERLINK("http://slimages.macys.com/is/image/MCY/13860424 ")</f>
        <v xml:space="preserve">http://slimages.macys.com/is/image/MCY/13860424 </v>
      </c>
    </row>
    <row r="221" spans="1:13" ht="72" x14ac:dyDescent="0.25">
      <c r="A221" s="7" t="s">
        <v>2599</v>
      </c>
      <c r="B221" s="2" t="s">
        <v>12643</v>
      </c>
      <c r="C221" s="4">
        <v>1</v>
      </c>
      <c r="D221" s="5">
        <v>6.72</v>
      </c>
      <c r="E221" s="5">
        <v>17.989999999999998</v>
      </c>
      <c r="F221" s="4" t="s">
        <v>2601</v>
      </c>
      <c r="G221" s="2" t="s">
        <v>171</v>
      </c>
      <c r="H221" s="7" t="s">
        <v>228</v>
      </c>
      <c r="I221" s="2" t="s">
        <v>515</v>
      </c>
      <c r="J221" s="2" t="s">
        <v>827</v>
      </c>
      <c r="K221" s="2" t="s">
        <v>304</v>
      </c>
      <c r="L221" s="2" t="s">
        <v>1117</v>
      </c>
      <c r="M221" s="8" t="str">
        <f>HYPERLINK("http://slimages.macys.com/is/image/MCY/11605968 ")</f>
        <v xml:space="preserve">http://slimages.macys.com/is/image/MCY/11605968 </v>
      </c>
    </row>
    <row r="222" spans="1:13" ht="60" x14ac:dyDescent="0.25">
      <c r="A222" s="7" t="s">
        <v>12644</v>
      </c>
      <c r="B222" s="2" t="s">
        <v>12645</v>
      </c>
      <c r="C222" s="4">
        <v>1</v>
      </c>
      <c r="D222" s="5">
        <v>6.7</v>
      </c>
      <c r="E222" s="5">
        <v>13.37</v>
      </c>
      <c r="F222" s="4">
        <v>16509410</v>
      </c>
      <c r="G222" s="2"/>
      <c r="H222" s="7" t="s">
        <v>438</v>
      </c>
      <c r="I222" s="2" t="s">
        <v>153</v>
      </c>
      <c r="J222" s="2" t="s">
        <v>154</v>
      </c>
      <c r="K222" s="2" t="s">
        <v>304</v>
      </c>
      <c r="L222" s="2" t="s">
        <v>224</v>
      </c>
      <c r="M222" s="8" t="str">
        <f>HYPERLINK("http://slimages.macys.com/is/image/MCY/13863309 ")</f>
        <v xml:space="preserve">http://slimages.macys.com/is/image/MCY/13863309 </v>
      </c>
    </row>
    <row r="223" spans="1:13" ht="60" x14ac:dyDescent="0.25">
      <c r="A223" s="7" t="s">
        <v>12646</v>
      </c>
      <c r="B223" s="2" t="s">
        <v>12647</v>
      </c>
      <c r="C223" s="4">
        <v>1</v>
      </c>
      <c r="D223" s="5">
        <v>6.68</v>
      </c>
      <c r="E223" s="5">
        <v>12.99</v>
      </c>
      <c r="F223" s="4" t="s">
        <v>6888</v>
      </c>
      <c r="G223" s="2" t="s">
        <v>62</v>
      </c>
      <c r="H223" s="7" t="s">
        <v>209</v>
      </c>
      <c r="I223" s="2" t="s">
        <v>218</v>
      </c>
      <c r="J223" s="2" t="s">
        <v>2008</v>
      </c>
      <c r="K223" s="2" t="s">
        <v>304</v>
      </c>
      <c r="L223" s="2" t="s">
        <v>119</v>
      </c>
      <c r="M223" s="8" t="str">
        <f>HYPERLINK("http://slimages.macys.com/is/image/MCY/12953514 ")</f>
        <v xml:space="preserve">http://slimages.macys.com/is/image/MCY/12953514 </v>
      </c>
    </row>
    <row r="224" spans="1:13" ht="60" x14ac:dyDescent="0.25">
      <c r="A224" s="7" t="s">
        <v>12648</v>
      </c>
      <c r="B224" s="2" t="s">
        <v>12649</v>
      </c>
      <c r="C224" s="4">
        <v>1</v>
      </c>
      <c r="D224" s="5">
        <v>6.68</v>
      </c>
      <c r="E224" s="5">
        <v>12.99</v>
      </c>
      <c r="F224" s="4" t="s">
        <v>6888</v>
      </c>
      <c r="G224" s="2" t="s">
        <v>62</v>
      </c>
      <c r="H224" s="7" t="s">
        <v>123</v>
      </c>
      <c r="I224" s="2" t="s">
        <v>218</v>
      </c>
      <c r="J224" s="2" t="s">
        <v>2008</v>
      </c>
      <c r="K224" s="2" t="s">
        <v>304</v>
      </c>
      <c r="L224" s="2" t="s">
        <v>119</v>
      </c>
      <c r="M224" s="8" t="str">
        <f>HYPERLINK("http://slimages.macys.com/is/image/MCY/12953514 ")</f>
        <v xml:space="preserve">http://slimages.macys.com/is/image/MCY/12953514 </v>
      </c>
    </row>
    <row r="225" spans="1:13" ht="60" x14ac:dyDescent="0.25">
      <c r="A225" s="7" t="s">
        <v>2602</v>
      </c>
      <c r="B225" s="2" t="s">
        <v>12650</v>
      </c>
      <c r="C225" s="4">
        <v>5</v>
      </c>
      <c r="D225" s="5">
        <v>6.67</v>
      </c>
      <c r="E225" s="5">
        <v>16.989999999999998</v>
      </c>
      <c r="F225" s="4" t="s">
        <v>1804</v>
      </c>
      <c r="G225" s="2" t="s">
        <v>62</v>
      </c>
      <c r="H225" s="7" t="s">
        <v>159</v>
      </c>
      <c r="I225" s="2" t="s">
        <v>515</v>
      </c>
      <c r="J225" s="2" t="s">
        <v>827</v>
      </c>
      <c r="K225" s="2" t="s">
        <v>304</v>
      </c>
      <c r="L225" s="2" t="s">
        <v>358</v>
      </c>
      <c r="M225" s="8" t="str">
        <f>HYPERLINK("http://slimages.macys.com/is/image/MCY/12687279 ")</f>
        <v xml:space="preserve">http://slimages.macys.com/is/image/MCY/12687279 </v>
      </c>
    </row>
    <row r="226" spans="1:13" ht="60" x14ac:dyDescent="0.25">
      <c r="A226" s="7" t="s">
        <v>5438</v>
      </c>
      <c r="B226" s="2" t="s">
        <v>12651</v>
      </c>
      <c r="C226" s="4">
        <v>1</v>
      </c>
      <c r="D226" s="5">
        <v>6.65</v>
      </c>
      <c r="E226" s="5">
        <v>13.3</v>
      </c>
      <c r="F226" s="4" t="s">
        <v>4939</v>
      </c>
      <c r="G226" s="2" t="s">
        <v>79</v>
      </c>
      <c r="H226" s="7" t="s">
        <v>311</v>
      </c>
      <c r="I226" s="2" t="s">
        <v>487</v>
      </c>
      <c r="J226" s="2" t="s">
        <v>488</v>
      </c>
      <c r="K226" s="2" t="s">
        <v>304</v>
      </c>
      <c r="L226" s="2" t="s">
        <v>38</v>
      </c>
      <c r="M226" s="8" t="str">
        <f>HYPERLINK("http://slimages.macys.com/is/image/MCY/11867536 ")</f>
        <v xml:space="preserve">http://slimages.macys.com/is/image/MCY/11867536 </v>
      </c>
    </row>
    <row r="227" spans="1:13" ht="60" x14ac:dyDescent="0.25">
      <c r="A227" s="7" t="s">
        <v>12652</v>
      </c>
      <c r="B227" s="2" t="s">
        <v>12653</v>
      </c>
      <c r="C227" s="4">
        <v>1</v>
      </c>
      <c r="D227" s="5">
        <v>6.63</v>
      </c>
      <c r="E227" s="5">
        <v>17.989999999999998</v>
      </c>
      <c r="F227" s="4" t="s">
        <v>1808</v>
      </c>
      <c r="G227" s="2" t="s">
        <v>86</v>
      </c>
      <c r="H227" s="7" t="s">
        <v>42</v>
      </c>
      <c r="I227" s="2" t="s">
        <v>483</v>
      </c>
      <c r="J227" s="2" t="s">
        <v>536</v>
      </c>
      <c r="K227" s="2" t="s">
        <v>304</v>
      </c>
      <c r="L227" s="2" t="s">
        <v>119</v>
      </c>
      <c r="M227" s="8" t="str">
        <f>HYPERLINK("http://slimages.macys.com/is/image/MCY/12466222 ")</f>
        <v xml:space="preserve">http://slimages.macys.com/is/image/MCY/12466222 </v>
      </c>
    </row>
    <row r="228" spans="1:13" ht="60" x14ac:dyDescent="0.25">
      <c r="A228" s="7" t="s">
        <v>12654</v>
      </c>
      <c r="B228" s="2" t="s">
        <v>12655</v>
      </c>
      <c r="C228" s="4">
        <v>1</v>
      </c>
      <c r="D228" s="5">
        <v>6.52</v>
      </c>
      <c r="E228" s="5">
        <v>22.99</v>
      </c>
      <c r="F228" s="4" t="s">
        <v>12656</v>
      </c>
      <c r="G228" s="2" t="s">
        <v>200</v>
      </c>
      <c r="H228" s="7" t="s">
        <v>284</v>
      </c>
      <c r="I228" s="2" t="s">
        <v>389</v>
      </c>
      <c r="J228" s="2" t="s">
        <v>354</v>
      </c>
      <c r="K228" s="2" t="s">
        <v>304</v>
      </c>
      <c r="L228" s="2" t="s">
        <v>119</v>
      </c>
      <c r="M228" s="8" t="str">
        <f>HYPERLINK("http://slimages.macys.com/is/image/MCY/12938544 ")</f>
        <v xml:space="preserve">http://slimages.macys.com/is/image/MCY/12938544 </v>
      </c>
    </row>
    <row r="229" spans="1:13" ht="60" x14ac:dyDescent="0.25">
      <c r="A229" s="7" t="s">
        <v>3362</v>
      </c>
      <c r="B229" s="2" t="s">
        <v>12657</v>
      </c>
      <c r="C229" s="4">
        <v>2</v>
      </c>
      <c r="D229" s="5">
        <v>6.52</v>
      </c>
      <c r="E229" s="5">
        <v>16.989999999999998</v>
      </c>
      <c r="F229" s="4" t="s">
        <v>3361</v>
      </c>
      <c r="G229" s="2" t="s">
        <v>28</v>
      </c>
      <c r="H229" s="7" t="s">
        <v>228</v>
      </c>
      <c r="I229" s="2" t="s">
        <v>218</v>
      </c>
      <c r="J229" s="2" t="s">
        <v>1740</v>
      </c>
      <c r="K229" s="2" t="s">
        <v>304</v>
      </c>
      <c r="L229" s="2" t="s">
        <v>125</v>
      </c>
      <c r="M229" s="8" t="str">
        <f>HYPERLINK("http://slimages.macys.com/is/image/MCY/12688507 ")</f>
        <v xml:space="preserve">http://slimages.macys.com/is/image/MCY/12688507 </v>
      </c>
    </row>
    <row r="230" spans="1:13" ht="84" x14ac:dyDescent="0.25">
      <c r="A230" s="7" t="s">
        <v>7598</v>
      </c>
      <c r="B230" s="2" t="s">
        <v>12658</v>
      </c>
      <c r="C230" s="4">
        <v>1</v>
      </c>
      <c r="D230" s="5">
        <v>6.45</v>
      </c>
      <c r="E230" s="5">
        <v>16.989999999999998</v>
      </c>
      <c r="F230" s="4" t="s">
        <v>1812</v>
      </c>
      <c r="G230" s="2" t="s">
        <v>62</v>
      </c>
      <c r="H230" s="7" t="s">
        <v>284</v>
      </c>
      <c r="I230" s="2" t="s">
        <v>515</v>
      </c>
      <c r="J230" s="2" t="s">
        <v>827</v>
      </c>
      <c r="K230" s="2" t="s">
        <v>304</v>
      </c>
      <c r="L230" s="2" t="s">
        <v>1813</v>
      </c>
      <c r="M230" s="8" t="str">
        <f>HYPERLINK("http://slimages.macys.com/is/image/MCY/12686957 ")</f>
        <v xml:space="preserve">http://slimages.macys.com/is/image/MCY/12686957 </v>
      </c>
    </row>
    <row r="231" spans="1:13" ht="84" x14ac:dyDescent="0.25">
      <c r="A231" s="7" t="s">
        <v>8286</v>
      </c>
      <c r="B231" s="2" t="s">
        <v>12659</v>
      </c>
      <c r="C231" s="4">
        <v>3</v>
      </c>
      <c r="D231" s="5">
        <v>6.45</v>
      </c>
      <c r="E231" s="5">
        <v>16.989999999999998</v>
      </c>
      <c r="F231" s="4" t="s">
        <v>1812</v>
      </c>
      <c r="G231" s="2" t="s">
        <v>62</v>
      </c>
      <c r="H231" s="7" t="s">
        <v>159</v>
      </c>
      <c r="I231" s="2" t="s">
        <v>515</v>
      </c>
      <c r="J231" s="2" t="s">
        <v>827</v>
      </c>
      <c r="K231" s="2" t="s">
        <v>304</v>
      </c>
      <c r="L231" s="2" t="s">
        <v>1813</v>
      </c>
      <c r="M231" s="8" t="str">
        <f>HYPERLINK("http://slimages.macys.com/is/image/MCY/12686957 ")</f>
        <v xml:space="preserve">http://slimages.macys.com/is/image/MCY/12686957 </v>
      </c>
    </row>
    <row r="232" spans="1:13" ht="60" x14ac:dyDescent="0.25">
      <c r="A232" s="7" t="s">
        <v>1818</v>
      </c>
      <c r="B232" s="2" t="s">
        <v>12660</v>
      </c>
      <c r="C232" s="4">
        <v>2</v>
      </c>
      <c r="D232" s="5">
        <v>6.43</v>
      </c>
      <c r="E232" s="5">
        <v>16.989999999999998</v>
      </c>
      <c r="F232" s="4" t="s">
        <v>1816</v>
      </c>
      <c r="G232" s="2" t="s">
        <v>262</v>
      </c>
      <c r="H232" s="7" t="s">
        <v>284</v>
      </c>
      <c r="I232" s="2" t="s">
        <v>515</v>
      </c>
      <c r="J232" s="2" t="s">
        <v>827</v>
      </c>
      <c r="K232" s="2" t="s">
        <v>304</v>
      </c>
      <c r="L232" s="2" t="s">
        <v>358</v>
      </c>
      <c r="M232" s="8" t="str">
        <f t="shared" ref="M232:M238" si="0">HYPERLINK("http://slimages.macys.com/is/image/MCY/13118981 ")</f>
        <v xml:space="preserve">http://slimages.macys.com/is/image/MCY/13118981 </v>
      </c>
    </row>
    <row r="233" spans="1:13" ht="60" x14ac:dyDescent="0.25">
      <c r="A233" s="7" t="s">
        <v>6298</v>
      </c>
      <c r="B233" s="2" t="s">
        <v>12661</v>
      </c>
      <c r="C233" s="4">
        <v>2</v>
      </c>
      <c r="D233" s="5">
        <v>6.43</v>
      </c>
      <c r="E233" s="5">
        <v>16.989999999999998</v>
      </c>
      <c r="F233" s="4" t="s">
        <v>1816</v>
      </c>
      <c r="G233" s="2" t="s">
        <v>353</v>
      </c>
      <c r="H233" s="7" t="s">
        <v>228</v>
      </c>
      <c r="I233" s="2" t="s">
        <v>515</v>
      </c>
      <c r="J233" s="2" t="s">
        <v>827</v>
      </c>
      <c r="K233" s="2" t="s">
        <v>304</v>
      </c>
      <c r="L233" s="2" t="s">
        <v>358</v>
      </c>
      <c r="M233" s="8" t="str">
        <f t="shared" si="0"/>
        <v xml:space="preserve">http://slimages.macys.com/is/image/MCY/13118981 </v>
      </c>
    </row>
    <row r="234" spans="1:13" ht="60" x14ac:dyDescent="0.25">
      <c r="A234" s="7" t="s">
        <v>6297</v>
      </c>
      <c r="B234" s="2" t="s">
        <v>12662</v>
      </c>
      <c r="C234" s="4">
        <v>1</v>
      </c>
      <c r="D234" s="5">
        <v>6.43</v>
      </c>
      <c r="E234" s="5">
        <v>16.989999999999998</v>
      </c>
      <c r="F234" s="4" t="s">
        <v>1816</v>
      </c>
      <c r="G234" s="2" t="s">
        <v>353</v>
      </c>
      <c r="H234" s="7" t="s">
        <v>196</v>
      </c>
      <c r="I234" s="2" t="s">
        <v>515</v>
      </c>
      <c r="J234" s="2" t="s">
        <v>827</v>
      </c>
      <c r="K234" s="2" t="s">
        <v>304</v>
      </c>
      <c r="L234" s="2" t="s">
        <v>358</v>
      </c>
      <c r="M234" s="8" t="str">
        <f t="shared" si="0"/>
        <v xml:space="preserve">http://slimages.macys.com/is/image/MCY/13118981 </v>
      </c>
    </row>
    <row r="235" spans="1:13" ht="60" x14ac:dyDescent="0.25">
      <c r="A235" s="7" t="s">
        <v>5935</v>
      </c>
      <c r="B235" s="2" t="s">
        <v>12663</v>
      </c>
      <c r="C235" s="4">
        <v>2</v>
      </c>
      <c r="D235" s="5">
        <v>6.43</v>
      </c>
      <c r="E235" s="5">
        <v>16.989999999999998</v>
      </c>
      <c r="F235" s="4" t="s">
        <v>1816</v>
      </c>
      <c r="G235" s="2" t="s">
        <v>353</v>
      </c>
      <c r="H235" s="7" t="s">
        <v>284</v>
      </c>
      <c r="I235" s="2" t="s">
        <v>515</v>
      </c>
      <c r="J235" s="2" t="s">
        <v>827</v>
      </c>
      <c r="K235" s="2" t="s">
        <v>304</v>
      </c>
      <c r="L235" s="2" t="s">
        <v>358</v>
      </c>
      <c r="M235" s="8" t="str">
        <f t="shared" si="0"/>
        <v xml:space="preserve">http://slimages.macys.com/is/image/MCY/13118981 </v>
      </c>
    </row>
    <row r="236" spans="1:13" ht="60" x14ac:dyDescent="0.25">
      <c r="A236" s="7" t="s">
        <v>6295</v>
      </c>
      <c r="B236" s="2" t="s">
        <v>12664</v>
      </c>
      <c r="C236" s="4">
        <v>1</v>
      </c>
      <c r="D236" s="5">
        <v>6.43</v>
      </c>
      <c r="E236" s="5">
        <v>16.989999999999998</v>
      </c>
      <c r="F236" s="4" t="s">
        <v>1816</v>
      </c>
      <c r="G236" s="2" t="s">
        <v>262</v>
      </c>
      <c r="H236" s="7" t="s">
        <v>228</v>
      </c>
      <c r="I236" s="2" t="s">
        <v>515</v>
      </c>
      <c r="J236" s="2" t="s">
        <v>827</v>
      </c>
      <c r="K236" s="2" t="s">
        <v>304</v>
      </c>
      <c r="L236" s="2" t="s">
        <v>358</v>
      </c>
      <c r="M236" s="8" t="str">
        <f t="shared" si="0"/>
        <v xml:space="preserve">http://slimages.macys.com/is/image/MCY/13118981 </v>
      </c>
    </row>
    <row r="237" spans="1:13" ht="60" x14ac:dyDescent="0.25">
      <c r="A237" s="7" t="s">
        <v>1814</v>
      </c>
      <c r="B237" s="2" t="s">
        <v>12665</v>
      </c>
      <c r="C237" s="4">
        <v>4</v>
      </c>
      <c r="D237" s="5">
        <v>6.43</v>
      </c>
      <c r="E237" s="5">
        <v>16.989999999999998</v>
      </c>
      <c r="F237" s="4" t="s">
        <v>1816</v>
      </c>
      <c r="G237" s="2" t="s">
        <v>262</v>
      </c>
      <c r="H237" s="7" t="s">
        <v>159</v>
      </c>
      <c r="I237" s="2" t="s">
        <v>515</v>
      </c>
      <c r="J237" s="2" t="s">
        <v>827</v>
      </c>
      <c r="K237" s="2" t="s">
        <v>304</v>
      </c>
      <c r="L237" s="2" t="s">
        <v>358</v>
      </c>
      <c r="M237" s="8" t="str">
        <f t="shared" si="0"/>
        <v xml:space="preserve">http://slimages.macys.com/is/image/MCY/13118981 </v>
      </c>
    </row>
    <row r="238" spans="1:13" ht="60" x14ac:dyDescent="0.25">
      <c r="A238" s="7" t="s">
        <v>6296</v>
      </c>
      <c r="B238" s="2" t="s">
        <v>12666</v>
      </c>
      <c r="C238" s="4">
        <v>6</v>
      </c>
      <c r="D238" s="5">
        <v>6.43</v>
      </c>
      <c r="E238" s="5">
        <v>16.989999999999998</v>
      </c>
      <c r="F238" s="4" t="s">
        <v>1816</v>
      </c>
      <c r="G238" s="2" t="s">
        <v>353</v>
      </c>
      <c r="H238" s="7" t="s">
        <v>159</v>
      </c>
      <c r="I238" s="2" t="s">
        <v>515</v>
      </c>
      <c r="J238" s="2" t="s">
        <v>827</v>
      </c>
      <c r="K238" s="2" t="s">
        <v>304</v>
      </c>
      <c r="L238" s="2" t="s">
        <v>358</v>
      </c>
      <c r="M238" s="8" t="str">
        <f t="shared" si="0"/>
        <v xml:space="preserve">http://slimages.macys.com/is/image/MCY/13118981 </v>
      </c>
    </row>
    <row r="239" spans="1:13" ht="60" x14ac:dyDescent="0.25">
      <c r="A239" s="7" t="s">
        <v>12667</v>
      </c>
      <c r="B239" s="2" t="s">
        <v>12668</v>
      </c>
      <c r="C239" s="4">
        <v>3</v>
      </c>
      <c r="D239" s="5">
        <v>6.3</v>
      </c>
      <c r="E239" s="5">
        <v>10.99</v>
      </c>
      <c r="F239" s="4" t="s">
        <v>5940</v>
      </c>
      <c r="G239" s="2" t="s">
        <v>36</v>
      </c>
      <c r="H239" s="7" t="s">
        <v>284</v>
      </c>
      <c r="I239" s="2" t="s">
        <v>73</v>
      </c>
      <c r="J239" s="2" t="s">
        <v>1917</v>
      </c>
      <c r="K239" s="2" t="s">
        <v>304</v>
      </c>
      <c r="L239" s="2" t="s">
        <v>100</v>
      </c>
      <c r="M239" s="8" t="str">
        <f>HYPERLINK("http://slimages.macys.com/is/image/MCY/11228231 ")</f>
        <v xml:space="preserve">http://slimages.macys.com/is/image/MCY/11228231 </v>
      </c>
    </row>
    <row r="240" spans="1:13" ht="60" x14ac:dyDescent="0.25">
      <c r="A240" s="7" t="s">
        <v>12669</v>
      </c>
      <c r="B240" s="2" t="s">
        <v>12670</v>
      </c>
      <c r="C240" s="4">
        <v>1</v>
      </c>
      <c r="D240" s="5">
        <v>6.3</v>
      </c>
      <c r="E240" s="5">
        <v>10.99</v>
      </c>
      <c r="F240" s="4" t="s">
        <v>5940</v>
      </c>
      <c r="G240" s="2" t="s">
        <v>36</v>
      </c>
      <c r="H240" s="7" t="s">
        <v>196</v>
      </c>
      <c r="I240" s="2" t="s">
        <v>73</v>
      </c>
      <c r="J240" s="2" t="s">
        <v>1917</v>
      </c>
      <c r="K240" s="2" t="s">
        <v>304</v>
      </c>
      <c r="L240" s="2" t="s">
        <v>100</v>
      </c>
      <c r="M240" s="8" t="str">
        <f>HYPERLINK("http://slimages.macys.com/is/image/MCY/11228231 ")</f>
        <v xml:space="preserve">http://slimages.macys.com/is/image/MCY/11228231 </v>
      </c>
    </row>
    <row r="241" spans="1:13" ht="60" x14ac:dyDescent="0.25">
      <c r="A241" s="7" t="s">
        <v>5938</v>
      </c>
      <c r="B241" s="2" t="s">
        <v>12671</v>
      </c>
      <c r="C241" s="4">
        <v>1</v>
      </c>
      <c r="D241" s="5">
        <v>6.3</v>
      </c>
      <c r="E241" s="5">
        <v>10.99</v>
      </c>
      <c r="F241" s="4" t="s">
        <v>5940</v>
      </c>
      <c r="G241" s="2" t="s">
        <v>36</v>
      </c>
      <c r="H241" s="7" t="s">
        <v>159</v>
      </c>
      <c r="I241" s="2" t="s">
        <v>73</v>
      </c>
      <c r="J241" s="2" t="s">
        <v>1917</v>
      </c>
      <c r="K241" s="2" t="s">
        <v>304</v>
      </c>
      <c r="L241" s="2" t="s">
        <v>100</v>
      </c>
      <c r="M241" s="8" t="str">
        <f>HYPERLINK("http://slimages.macys.com/is/image/MCY/11228231 ")</f>
        <v xml:space="preserve">http://slimages.macys.com/is/image/MCY/11228231 </v>
      </c>
    </row>
    <row r="242" spans="1:13" ht="60" x14ac:dyDescent="0.25">
      <c r="A242" s="7" t="s">
        <v>12672</v>
      </c>
      <c r="B242" s="2" t="s">
        <v>12673</v>
      </c>
      <c r="C242" s="4">
        <v>1</v>
      </c>
      <c r="D242" s="5">
        <v>6.25</v>
      </c>
      <c r="E242" s="5">
        <v>13.99</v>
      </c>
      <c r="F242" s="4" t="s">
        <v>12674</v>
      </c>
      <c r="G242" s="2" t="s">
        <v>793</v>
      </c>
      <c r="H242" s="7" t="s">
        <v>144</v>
      </c>
      <c r="I242" s="2" t="s">
        <v>80</v>
      </c>
      <c r="J242" s="2" t="s">
        <v>124</v>
      </c>
      <c r="K242" s="2" t="s">
        <v>304</v>
      </c>
      <c r="L242" s="2" t="s">
        <v>119</v>
      </c>
      <c r="M242" s="8" t="str">
        <f>HYPERLINK("http://slimages.macys.com/is/image/MCY/13581697 ")</f>
        <v xml:space="preserve">http://slimages.macys.com/is/image/MCY/13581697 </v>
      </c>
    </row>
    <row r="243" spans="1:13" ht="60" x14ac:dyDescent="0.25">
      <c r="A243" s="7" t="s">
        <v>12675</v>
      </c>
      <c r="B243" s="2" t="s">
        <v>12676</v>
      </c>
      <c r="C243" s="4">
        <v>1</v>
      </c>
      <c r="D243" s="5">
        <v>6.25</v>
      </c>
      <c r="E243" s="5">
        <v>13.99</v>
      </c>
      <c r="F243" s="4" t="s">
        <v>7617</v>
      </c>
      <c r="G243" s="2" t="s">
        <v>41</v>
      </c>
      <c r="H243" s="7" t="s">
        <v>311</v>
      </c>
      <c r="I243" s="2" t="s">
        <v>80</v>
      </c>
      <c r="J243" s="2" t="s">
        <v>124</v>
      </c>
      <c r="K243" s="2" t="s">
        <v>304</v>
      </c>
      <c r="L243" s="2" t="s">
        <v>206</v>
      </c>
      <c r="M243" s="8" t="str">
        <f>HYPERLINK("http://slimages.macys.com/is/image/MCY/13580962 ")</f>
        <v xml:space="preserve">http://slimages.macys.com/is/image/MCY/13580962 </v>
      </c>
    </row>
    <row r="244" spans="1:13" ht="60" x14ac:dyDescent="0.25">
      <c r="A244" s="7" t="s">
        <v>12677</v>
      </c>
      <c r="B244" s="2" t="s">
        <v>12678</v>
      </c>
      <c r="C244" s="4">
        <v>1</v>
      </c>
      <c r="D244" s="5">
        <v>6.25</v>
      </c>
      <c r="E244" s="5">
        <v>13.99</v>
      </c>
      <c r="F244" s="4" t="s">
        <v>7617</v>
      </c>
      <c r="G244" s="2" t="s">
        <v>41</v>
      </c>
      <c r="H244" s="7" t="s">
        <v>317</v>
      </c>
      <c r="I244" s="2" t="s">
        <v>80</v>
      </c>
      <c r="J244" s="2" t="s">
        <v>124</v>
      </c>
      <c r="K244" s="2" t="s">
        <v>304</v>
      </c>
      <c r="L244" s="2" t="s">
        <v>206</v>
      </c>
      <c r="M244" s="8" t="str">
        <f>HYPERLINK("http://slimages.macys.com/is/image/MCY/13580962 ")</f>
        <v xml:space="preserve">http://slimages.macys.com/is/image/MCY/13580962 </v>
      </c>
    </row>
    <row r="245" spans="1:13" ht="60" x14ac:dyDescent="0.25">
      <c r="A245" s="7" t="s">
        <v>12679</v>
      </c>
      <c r="B245" s="2" t="s">
        <v>12680</v>
      </c>
      <c r="C245" s="4">
        <v>1</v>
      </c>
      <c r="D245" s="5">
        <v>6.25</v>
      </c>
      <c r="E245" s="5">
        <v>13.99</v>
      </c>
      <c r="F245" s="4" t="s">
        <v>12681</v>
      </c>
      <c r="G245" s="2" t="s">
        <v>41</v>
      </c>
      <c r="H245" s="7" t="s">
        <v>311</v>
      </c>
      <c r="I245" s="2" t="s">
        <v>80</v>
      </c>
      <c r="J245" s="2" t="s">
        <v>124</v>
      </c>
      <c r="K245" s="2" t="s">
        <v>304</v>
      </c>
      <c r="L245" s="2" t="s">
        <v>206</v>
      </c>
      <c r="M245" s="8" t="str">
        <f>HYPERLINK("http://slimages.macys.com/is/image/MCY/13581340 ")</f>
        <v xml:space="preserve">http://slimages.macys.com/is/image/MCY/13581340 </v>
      </c>
    </row>
    <row r="246" spans="1:13" ht="60" x14ac:dyDescent="0.25">
      <c r="A246" s="7" t="s">
        <v>7615</v>
      </c>
      <c r="B246" s="2" t="s">
        <v>12682</v>
      </c>
      <c r="C246" s="4">
        <v>1</v>
      </c>
      <c r="D246" s="5">
        <v>6.25</v>
      </c>
      <c r="E246" s="5">
        <v>13.99</v>
      </c>
      <c r="F246" s="4" t="s">
        <v>7617</v>
      </c>
      <c r="G246" s="2" t="s">
        <v>41</v>
      </c>
      <c r="H246" s="7" t="s">
        <v>166</v>
      </c>
      <c r="I246" s="2" t="s">
        <v>80</v>
      </c>
      <c r="J246" s="2" t="s">
        <v>124</v>
      </c>
      <c r="K246" s="2" t="s">
        <v>304</v>
      </c>
      <c r="L246" s="2" t="s">
        <v>206</v>
      </c>
      <c r="M246" s="8" t="str">
        <f>HYPERLINK("http://slimages.macys.com/is/image/MCY/13580962 ")</f>
        <v xml:space="preserve">http://slimages.macys.com/is/image/MCY/13580962 </v>
      </c>
    </row>
    <row r="247" spans="1:13" ht="60" x14ac:dyDescent="0.25">
      <c r="A247" s="7" t="s">
        <v>12683</v>
      </c>
      <c r="B247" s="2" t="s">
        <v>12684</v>
      </c>
      <c r="C247" s="4">
        <v>1</v>
      </c>
      <c r="D247" s="5">
        <v>6.25</v>
      </c>
      <c r="E247" s="5">
        <v>13.99</v>
      </c>
      <c r="F247" s="4" t="s">
        <v>12674</v>
      </c>
      <c r="G247" s="2" t="s">
        <v>793</v>
      </c>
      <c r="H247" s="7" t="s">
        <v>166</v>
      </c>
      <c r="I247" s="2" t="s">
        <v>80</v>
      </c>
      <c r="J247" s="2" t="s">
        <v>124</v>
      </c>
      <c r="K247" s="2" t="s">
        <v>304</v>
      </c>
      <c r="L247" s="2" t="s">
        <v>119</v>
      </c>
      <c r="M247" s="8" t="str">
        <f>HYPERLINK("http://slimages.macys.com/is/image/MCY/13581697 ")</f>
        <v xml:space="preserve">http://slimages.macys.com/is/image/MCY/13581697 </v>
      </c>
    </row>
    <row r="248" spans="1:13" ht="60" x14ac:dyDescent="0.25">
      <c r="A248" s="7" t="s">
        <v>1836</v>
      </c>
      <c r="B248" s="2" t="s">
        <v>12685</v>
      </c>
      <c r="C248" s="4">
        <v>2</v>
      </c>
      <c r="D248" s="5">
        <v>6.18</v>
      </c>
      <c r="E248" s="5">
        <v>16.989999999999998</v>
      </c>
      <c r="F248" s="4" t="s">
        <v>1838</v>
      </c>
      <c r="G248" s="2" t="s">
        <v>171</v>
      </c>
      <c r="H248" s="7" t="s">
        <v>228</v>
      </c>
      <c r="I248" s="2" t="s">
        <v>515</v>
      </c>
      <c r="J248" s="2" t="s">
        <v>827</v>
      </c>
      <c r="K248" s="2" t="s">
        <v>304</v>
      </c>
      <c r="L248" s="2" t="s">
        <v>358</v>
      </c>
      <c r="M248" s="8" t="str">
        <f>HYPERLINK("http://slimages.macys.com/is/image/MCY/11605899 ")</f>
        <v xml:space="preserve">http://slimages.macys.com/is/image/MCY/11605899 </v>
      </c>
    </row>
    <row r="249" spans="1:13" ht="60" x14ac:dyDescent="0.25">
      <c r="A249" s="7" t="s">
        <v>7631</v>
      </c>
      <c r="B249" s="2" t="s">
        <v>12686</v>
      </c>
      <c r="C249" s="4">
        <v>1</v>
      </c>
      <c r="D249" s="5">
        <v>6.18</v>
      </c>
      <c r="E249" s="5">
        <v>16.989999999999998</v>
      </c>
      <c r="F249" s="4" t="s">
        <v>1838</v>
      </c>
      <c r="G249" s="2" t="s">
        <v>171</v>
      </c>
      <c r="H249" s="7" t="s">
        <v>284</v>
      </c>
      <c r="I249" s="2" t="s">
        <v>515</v>
      </c>
      <c r="J249" s="2" t="s">
        <v>827</v>
      </c>
      <c r="K249" s="2" t="s">
        <v>304</v>
      </c>
      <c r="L249" s="2" t="s">
        <v>358</v>
      </c>
      <c r="M249" s="8" t="str">
        <f>HYPERLINK("http://slimages.macys.com/is/image/MCY/11605899 ")</f>
        <v xml:space="preserve">http://slimages.macys.com/is/image/MCY/11605899 </v>
      </c>
    </row>
    <row r="250" spans="1:13" ht="60" x14ac:dyDescent="0.25">
      <c r="A250" s="7" t="s">
        <v>6899</v>
      </c>
      <c r="B250" s="2" t="s">
        <v>12687</v>
      </c>
      <c r="C250" s="4">
        <v>1</v>
      </c>
      <c r="D250" s="5">
        <v>6.15</v>
      </c>
      <c r="E250" s="5">
        <v>10.99</v>
      </c>
      <c r="F250" s="4" t="s">
        <v>5466</v>
      </c>
      <c r="G250" s="2" t="s">
        <v>36</v>
      </c>
      <c r="H250" s="7" t="s">
        <v>317</v>
      </c>
      <c r="I250" s="2" t="s">
        <v>73</v>
      </c>
      <c r="J250" s="2" t="s">
        <v>1963</v>
      </c>
      <c r="K250" s="2" t="s">
        <v>304</v>
      </c>
      <c r="L250" s="2" t="s">
        <v>125</v>
      </c>
      <c r="M250" s="8" t="str">
        <f>HYPERLINK("http://slimages.macys.com/is/image/MCY/12688490 ")</f>
        <v xml:space="preserve">http://slimages.macys.com/is/image/MCY/12688490 </v>
      </c>
    </row>
    <row r="251" spans="1:13" ht="60" x14ac:dyDescent="0.25">
      <c r="A251" s="7" t="s">
        <v>5464</v>
      </c>
      <c r="B251" s="2" t="s">
        <v>12688</v>
      </c>
      <c r="C251" s="4">
        <v>2</v>
      </c>
      <c r="D251" s="5">
        <v>6.15</v>
      </c>
      <c r="E251" s="5">
        <v>10.99</v>
      </c>
      <c r="F251" s="4" t="s">
        <v>5466</v>
      </c>
      <c r="G251" s="2" t="s">
        <v>36</v>
      </c>
      <c r="H251" s="7" t="s">
        <v>311</v>
      </c>
      <c r="I251" s="2" t="s">
        <v>73</v>
      </c>
      <c r="J251" s="2" t="s">
        <v>1963</v>
      </c>
      <c r="K251" s="2" t="s">
        <v>304</v>
      </c>
      <c r="L251" s="2" t="s">
        <v>125</v>
      </c>
      <c r="M251" s="8" t="str">
        <f>HYPERLINK("http://slimages.macys.com/is/image/MCY/12688490 ")</f>
        <v xml:space="preserve">http://slimages.macys.com/is/image/MCY/12688490 </v>
      </c>
    </row>
    <row r="252" spans="1:13" ht="60" x14ac:dyDescent="0.25">
      <c r="A252" s="7" t="s">
        <v>10112</v>
      </c>
      <c r="B252" s="2" t="s">
        <v>12689</v>
      </c>
      <c r="C252" s="4">
        <v>1</v>
      </c>
      <c r="D252" s="5">
        <v>6.13</v>
      </c>
      <c r="E252" s="5">
        <v>16.989999999999998</v>
      </c>
      <c r="F252" s="4" t="s">
        <v>4965</v>
      </c>
      <c r="G252" s="2" t="s">
        <v>86</v>
      </c>
      <c r="H252" s="7" t="s">
        <v>228</v>
      </c>
      <c r="I252" s="2" t="s">
        <v>389</v>
      </c>
      <c r="J252" s="2" t="s">
        <v>354</v>
      </c>
      <c r="K252" s="2" t="s">
        <v>304</v>
      </c>
      <c r="L252" s="2" t="s">
        <v>596</v>
      </c>
      <c r="M252" s="8" t="str">
        <f>HYPERLINK("http://slimages.macys.com/is/image/MCY/12645407 ")</f>
        <v xml:space="preserve">http://slimages.macys.com/is/image/MCY/12645407 </v>
      </c>
    </row>
    <row r="253" spans="1:13" ht="60" x14ac:dyDescent="0.25">
      <c r="A253" s="7" t="s">
        <v>12690</v>
      </c>
      <c r="B253" s="2" t="s">
        <v>12691</v>
      </c>
      <c r="C253" s="4">
        <v>1</v>
      </c>
      <c r="D253" s="5">
        <v>6.13</v>
      </c>
      <c r="E253" s="5">
        <v>16.989999999999998</v>
      </c>
      <c r="F253" s="4" t="s">
        <v>1848</v>
      </c>
      <c r="G253" s="2" t="s">
        <v>28</v>
      </c>
      <c r="H253" s="7" t="s">
        <v>196</v>
      </c>
      <c r="I253" s="2" t="s">
        <v>515</v>
      </c>
      <c r="J253" s="2" t="s">
        <v>827</v>
      </c>
      <c r="K253" s="2" t="s">
        <v>304</v>
      </c>
      <c r="L253" s="2" t="s">
        <v>358</v>
      </c>
      <c r="M253" s="8" t="str">
        <f>HYPERLINK("http://slimages.macys.com/is/image/MCY/11526131 ")</f>
        <v xml:space="preserve">http://slimages.macys.com/is/image/MCY/11526131 </v>
      </c>
    </row>
    <row r="254" spans="1:13" ht="60" x14ac:dyDescent="0.25">
      <c r="A254" s="7" t="s">
        <v>7643</v>
      </c>
      <c r="B254" s="2" t="s">
        <v>12692</v>
      </c>
      <c r="C254" s="4">
        <v>1</v>
      </c>
      <c r="D254" s="5">
        <v>6.02</v>
      </c>
      <c r="E254" s="5">
        <v>13.99</v>
      </c>
      <c r="F254" s="4" t="s">
        <v>7644</v>
      </c>
      <c r="G254" s="2" t="s">
        <v>62</v>
      </c>
      <c r="H254" s="7" t="s">
        <v>311</v>
      </c>
      <c r="I254" s="2" t="s">
        <v>218</v>
      </c>
      <c r="J254" s="2" t="s">
        <v>835</v>
      </c>
      <c r="K254" s="2" t="s">
        <v>304</v>
      </c>
      <c r="L254" s="2" t="s">
        <v>3629</v>
      </c>
      <c r="M254" s="8" t="str">
        <f>HYPERLINK("http://slimages.macys.com/is/image/MCY/12340443 ")</f>
        <v xml:space="preserve">http://slimages.macys.com/is/image/MCY/12340443 </v>
      </c>
    </row>
    <row r="255" spans="1:13" ht="60" x14ac:dyDescent="0.25">
      <c r="A255" s="7" t="s">
        <v>11098</v>
      </c>
      <c r="B255" s="2" t="s">
        <v>12693</v>
      </c>
      <c r="C255" s="4">
        <v>4</v>
      </c>
      <c r="D255" s="5">
        <v>6</v>
      </c>
      <c r="E255" s="5">
        <v>15.99</v>
      </c>
      <c r="F255" s="4" t="s">
        <v>11096</v>
      </c>
      <c r="G255" s="2" t="s">
        <v>28</v>
      </c>
      <c r="H255" s="7"/>
      <c r="I255" s="2" t="s">
        <v>321</v>
      </c>
      <c r="J255" s="2" t="s">
        <v>492</v>
      </c>
      <c r="K255" s="2" t="s">
        <v>304</v>
      </c>
      <c r="L255" s="2" t="s">
        <v>493</v>
      </c>
      <c r="M255" s="8" t="str">
        <f>HYPERLINK("http://slimages.macys.com/is/image/MCY/11539245 ")</f>
        <v xml:space="preserve">http://slimages.macys.com/is/image/MCY/11539245 </v>
      </c>
    </row>
    <row r="256" spans="1:13" ht="60" x14ac:dyDescent="0.25">
      <c r="A256" s="7" t="s">
        <v>11088</v>
      </c>
      <c r="B256" s="2" t="s">
        <v>12694</v>
      </c>
      <c r="C256" s="4">
        <v>3</v>
      </c>
      <c r="D256" s="5">
        <v>6</v>
      </c>
      <c r="E256" s="5">
        <v>15.99</v>
      </c>
      <c r="F256" s="4" t="s">
        <v>7647</v>
      </c>
      <c r="G256" s="2" t="s">
        <v>41</v>
      </c>
      <c r="H256" s="7" t="s">
        <v>179</v>
      </c>
      <c r="I256" s="2" t="s">
        <v>321</v>
      </c>
      <c r="J256" s="2" t="s">
        <v>492</v>
      </c>
      <c r="K256" s="2" t="s">
        <v>304</v>
      </c>
      <c r="L256" s="2" t="s">
        <v>493</v>
      </c>
      <c r="M256" s="8" t="str">
        <f>HYPERLINK("http://slimages.macys.com/is/image/MCY/11539241 ")</f>
        <v xml:space="preserve">http://slimages.macys.com/is/image/MCY/11539241 </v>
      </c>
    </row>
    <row r="257" spans="1:13" ht="60" x14ac:dyDescent="0.25">
      <c r="A257" s="7" t="s">
        <v>12695</v>
      </c>
      <c r="B257" s="2" t="s">
        <v>12696</v>
      </c>
      <c r="C257" s="4">
        <v>4</v>
      </c>
      <c r="D257" s="5">
        <v>6</v>
      </c>
      <c r="E257" s="5">
        <v>15.99</v>
      </c>
      <c r="F257" s="4" t="s">
        <v>500</v>
      </c>
      <c r="G257" s="2" t="s">
        <v>62</v>
      </c>
      <c r="H257" s="7" t="s">
        <v>179</v>
      </c>
      <c r="I257" s="2" t="s">
        <v>321</v>
      </c>
      <c r="J257" s="2" t="s">
        <v>492</v>
      </c>
      <c r="K257" s="2" t="s">
        <v>304</v>
      </c>
      <c r="L257" s="2" t="s">
        <v>125</v>
      </c>
      <c r="M257" s="8" t="str">
        <f>HYPERLINK("http://slimages.macys.com/is/image/MCY/10924195 ")</f>
        <v xml:space="preserve">http://slimages.macys.com/is/image/MCY/10924195 </v>
      </c>
    </row>
    <row r="258" spans="1:13" ht="60" x14ac:dyDescent="0.25">
      <c r="A258" s="7" t="s">
        <v>501</v>
      </c>
      <c r="B258" s="2" t="s">
        <v>12697</v>
      </c>
      <c r="C258" s="4">
        <v>3</v>
      </c>
      <c r="D258" s="5">
        <v>6</v>
      </c>
      <c r="E258" s="5">
        <v>15.99</v>
      </c>
      <c r="F258" s="4" t="s">
        <v>500</v>
      </c>
      <c r="G258" s="2" t="s">
        <v>62</v>
      </c>
      <c r="H258" s="7"/>
      <c r="I258" s="2" t="s">
        <v>321</v>
      </c>
      <c r="J258" s="2" t="s">
        <v>492</v>
      </c>
      <c r="K258" s="2" t="s">
        <v>304</v>
      </c>
      <c r="L258" s="2" t="s">
        <v>125</v>
      </c>
      <c r="M258" s="8" t="str">
        <f>HYPERLINK("http://slimages.macys.com/is/image/MCY/10924195 ")</f>
        <v xml:space="preserve">http://slimages.macys.com/is/image/MCY/10924195 </v>
      </c>
    </row>
    <row r="259" spans="1:13" ht="60" x14ac:dyDescent="0.25">
      <c r="A259" s="7" t="s">
        <v>11101</v>
      </c>
      <c r="B259" s="2" t="s">
        <v>12698</v>
      </c>
      <c r="C259" s="4">
        <v>10</v>
      </c>
      <c r="D259" s="5">
        <v>6</v>
      </c>
      <c r="E259" s="5">
        <v>15.99</v>
      </c>
      <c r="F259" s="4" t="s">
        <v>500</v>
      </c>
      <c r="G259" s="2" t="s">
        <v>62</v>
      </c>
      <c r="H259" s="7"/>
      <c r="I259" s="2" t="s">
        <v>321</v>
      </c>
      <c r="J259" s="2" t="s">
        <v>492</v>
      </c>
      <c r="K259" s="2" t="s">
        <v>304</v>
      </c>
      <c r="L259" s="2" t="s">
        <v>125</v>
      </c>
      <c r="M259" s="8" t="str">
        <f>HYPERLINK("http://slimages.macys.com/is/image/MCY/10924195 ")</f>
        <v xml:space="preserve">http://slimages.macys.com/is/image/MCY/10924195 </v>
      </c>
    </row>
    <row r="260" spans="1:13" ht="156" x14ac:dyDescent="0.25">
      <c r="A260" s="7" t="s">
        <v>5952</v>
      </c>
      <c r="B260" s="2" t="s">
        <v>12699</v>
      </c>
      <c r="C260" s="4">
        <v>2</v>
      </c>
      <c r="D260" s="5">
        <v>6</v>
      </c>
      <c r="E260" s="5">
        <v>14</v>
      </c>
      <c r="F260" s="4" t="s">
        <v>5946</v>
      </c>
      <c r="G260" s="2" t="s">
        <v>62</v>
      </c>
      <c r="H260" s="7" t="s">
        <v>159</v>
      </c>
      <c r="I260" s="2" t="s">
        <v>468</v>
      </c>
      <c r="J260" s="2" t="s">
        <v>5947</v>
      </c>
      <c r="K260" s="2" t="s">
        <v>304</v>
      </c>
      <c r="L260" s="2" t="s">
        <v>5948</v>
      </c>
      <c r="M260" s="8" t="str">
        <f>HYPERLINK("http://slimages.macys.com/is/image/MCY/13936126 ")</f>
        <v xml:space="preserve">http://slimages.macys.com/is/image/MCY/13936126 </v>
      </c>
    </row>
    <row r="261" spans="1:13" ht="60" x14ac:dyDescent="0.25">
      <c r="A261" s="7" t="s">
        <v>10530</v>
      </c>
      <c r="B261" s="2" t="s">
        <v>12700</v>
      </c>
      <c r="C261" s="4">
        <v>1</v>
      </c>
      <c r="D261" s="5">
        <v>6</v>
      </c>
      <c r="E261" s="5">
        <v>15.99</v>
      </c>
      <c r="F261" s="4" t="s">
        <v>10132</v>
      </c>
      <c r="G261" s="2" t="s">
        <v>698</v>
      </c>
      <c r="H261" s="7" t="s">
        <v>179</v>
      </c>
      <c r="I261" s="2" t="s">
        <v>321</v>
      </c>
      <c r="J261" s="2" t="s">
        <v>492</v>
      </c>
      <c r="K261" s="2" t="s">
        <v>304</v>
      </c>
      <c r="L261" s="2" t="s">
        <v>493</v>
      </c>
      <c r="M261" s="8" t="str">
        <f>HYPERLINK("http://slimages.macys.com/is/image/MCY/11539256 ")</f>
        <v xml:space="preserve">http://slimages.macys.com/is/image/MCY/11539256 </v>
      </c>
    </row>
    <row r="262" spans="1:13" ht="60" x14ac:dyDescent="0.25">
      <c r="A262" s="7" t="s">
        <v>11099</v>
      </c>
      <c r="B262" s="2" t="s">
        <v>12701</v>
      </c>
      <c r="C262" s="4">
        <v>4</v>
      </c>
      <c r="D262" s="5">
        <v>6</v>
      </c>
      <c r="E262" s="5">
        <v>15.99</v>
      </c>
      <c r="F262" s="4" t="s">
        <v>11096</v>
      </c>
      <c r="G262" s="2" t="s">
        <v>28</v>
      </c>
      <c r="H262" s="7"/>
      <c r="I262" s="2" t="s">
        <v>321</v>
      </c>
      <c r="J262" s="2" t="s">
        <v>492</v>
      </c>
      <c r="K262" s="2" t="s">
        <v>304</v>
      </c>
      <c r="L262" s="2" t="s">
        <v>493</v>
      </c>
      <c r="M262" s="8" t="str">
        <f>HYPERLINK("http://slimages.macys.com/is/image/MCY/11539245 ")</f>
        <v xml:space="preserve">http://slimages.macys.com/is/image/MCY/11539245 </v>
      </c>
    </row>
    <row r="263" spans="1:13" ht="60" x14ac:dyDescent="0.25">
      <c r="A263" s="7" t="s">
        <v>11094</v>
      </c>
      <c r="B263" s="2" t="s">
        <v>12702</v>
      </c>
      <c r="C263" s="4">
        <v>6</v>
      </c>
      <c r="D263" s="5">
        <v>6</v>
      </c>
      <c r="E263" s="5">
        <v>15.99</v>
      </c>
      <c r="F263" s="4" t="s">
        <v>11096</v>
      </c>
      <c r="G263" s="2" t="s">
        <v>28</v>
      </c>
      <c r="H263" s="7"/>
      <c r="I263" s="2" t="s">
        <v>321</v>
      </c>
      <c r="J263" s="2" t="s">
        <v>492</v>
      </c>
      <c r="K263" s="2" t="s">
        <v>304</v>
      </c>
      <c r="L263" s="2" t="s">
        <v>493</v>
      </c>
      <c r="M263" s="8" t="str">
        <f>HYPERLINK("http://slimages.macys.com/is/image/MCY/11539245 ")</f>
        <v xml:space="preserve">http://slimages.macys.com/is/image/MCY/11539245 </v>
      </c>
    </row>
    <row r="264" spans="1:13" ht="60" x14ac:dyDescent="0.25">
      <c r="A264" s="7" t="s">
        <v>10533</v>
      </c>
      <c r="B264" s="2" t="s">
        <v>12703</v>
      </c>
      <c r="C264" s="4">
        <v>1</v>
      </c>
      <c r="D264" s="5">
        <v>6</v>
      </c>
      <c r="E264" s="5">
        <v>15.99</v>
      </c>
      <c r="F264" s="4" t="s">
        <v>500</v>
      </c>
      <c r="G264" s="2" t="s">
        <v>79</v>
      </c>
      <c r="H264" s="7"/>
      <c r="I264" s="2" t="s">
        <v>321</v>
      </c>
      <c r="J264" s="2" t="s">
        <v>492</v>
      </c>
      <c r="K264" s="2" t="s">
        <v>304</v>
      </c>
      <c r="L264" s="2" t="s">
        <v>125</v>
      </c>
      <c r="M264" s="8" t="str">
        <f>HYPERLINK("http://slimages.macys.com/is/image/MCY/10924193 ")</f>
        <v xml:space="preserve">http://slimages.macys.com/is/image/MCY/10924193 </v>
      </c>
    </row>
    <row r="265" spans="1:13" ht="156" x14ac:dyDescent="0.25">
      <c r="A265" s="7" t="s">
        <v>5944</v>
      </c>
      <c r="B265" s="2" t="s">
        <v>12704</v>
      </c>
      <c r="C265" s="4">
        <v>2</v>
      </c>
      <c r="D265" s="5">
        <v>6</v>
      </c>
      <c r="E265" s="5">
        <v>14</v>
      </c>
      <c r="F265" s="4" t="s">
        <v>5946</v>
      </c>
      <c r="G265" s="2" t="s">
        <v>62</v>
      </c>
      <c r="H265" s="7" t="s">
        <v>284</v>
      </c>
      <c r="I265" s="2" t="s">
        <v>468</v>
      </c>
      <c r="J265" s="2" t="s">
        <v>5947</v>
      </c>
      <c r="K265" s="2" t="s">
        <v>304</v>
      </c>
      <c r="L265" s="2" t="s">
        <v>5948</v>
      </c>
      <c r="M265" s="8" t="str">
        <f>HYPERLINK("http://slimages.macys.com/is/image/MCY/13936126 ")</f>
        <v xml:space="preserve">http://slimages.macys.com/is/image/MCY/13936126 </v>
      </c>
    </row>
    <row r="266" spans="1:13" ht="60" x14ac:dyDescent="0.25">
      <c r="A266" s="7" t="s">
        <v>7645</v>
      </c>
      <c r="B266" s="2" t="s">
        <v>12705</v>
      </c>
      <c r="C266" s="4">
        <v>6</v>
      </c>
      <c r="D266" s="5">
        <v>6</v>
      </c>
      <c r="E266" s="5">
        <v>15.99</v>
      </c>
      <c r="F266" s="4" t="s">
        <v>7647</v>
      </c>
      <c r="G266" s="2" t="s">
        <v>41</v>
      </c>
      <c r="H266" s="7"/>
      <c r="I266" s="2" t="s">
        <v>321</v>
      </c>
      <c r="J266" s="2" t="s">
        <v>492</v>
      </c>
      <c r="K266" s="2" t="s">
        <v>304</v>
      </c>
      <c r="L266" s="2" t="s">
        <v>493</v>
      </c>
      <c r="M266" s="8" t="str">
        <f>HYPERLINK("http://slimages.macys.com/is/image/MCY/11539241 ")</f>
        <v xml:space="preserve">http://slimages.macys.com/is/image/MCY/11539241 </v>
      </c>
    </row>
    <row r="267" spans="1:13" ht="60" x14ac:dyDescent="0.25">
      <c r="A267" s="7" t="s">
        <v>12706</v>
      </c>
      <c r="B267" s="2" t="s">
        <v>12707</v>
      </c>
      <c r="C267" s="4">
        <v>2</v>
      </c>
      <c r="D267" s="5">
        <v>6</v>
      </c>
      <c r="E267" s="5">
        <v>15.99</v>
      </c>
      <c r="F267" s="4" t="s">
        <v>11096</v>
      </c>
      <c r="G267" s="2" t="s">
        <v>28</v>
      </c>
      <c r="H267" s="7" t="s">
        <v>179</v>
      </c>
      <c r="I267" s="2" t="s">
        <v>321</v>
      </c>
      <c r="J267" s="2" t="s">
        <v>492</v>
      </c>
      <c r="K267" s="2" t="s">
        <v>304</v>
      </c>
      <c r="L267" s="2" t="s">
        <v>493</v>
      </c>
      <c r="M267" s="8" t="str">
        <f>HYPERLINK("http://slimages.macys.com/is/image/MCY/11539245 ")</f>
        <v xml:space="preserve">http://slimages.macys.com/is/image/MCY/11539245 </v>
      </c>
    </row>
    <row r="268" spans="1:13" ht="60" x14ac:dyDescent="0.25">
      <c r="A268" s="7" t="s">
        <v>11097</v>
      </c>
      <c r="B268" s="2" t="s">
        <v>12708</v>
      </c>
      <c r="C268" s="4">
        <v>3</v>
      </c>
      <c r="D268" s="5">
        <v>6</v>
      </c>
      <c r="E268" s="5">
        <v>15.99</v>
      </c>
      <c r="F268" s="4" t="s">
        <v>7647</v>
      </c>
      <c r="G268" s="2" t="s">
        <v>41</v>
      </c>
      <c r="H268" s="7"/>
      <c r="I268" s="2" t="s">
        <v>321</v>
      </c>
      <c r="J268" s="2" t="s">
        <v>492</v>
      </c>
      <c r="K268" s="2" t="s">
        <v>304</v>
      </c>
      <c r="L268" s="2" t="s">
        <v>493</v>
      </c>
      <c r="M268" s="8" t="str">
        <f>HYPERLINK("http://slimages.macys.com/is/image/MCY/11539241 ")</f>
        <v xml:space="preserve">http://slimages.macys.com/is/image/MCY/11539241 </v>
      </c>
    </row>
    <row r="269" spans="1:13" ht="60" x14ac:dyDescent="0.25">
      <c r="A269" s="7" t="s">
        <v>11085</v>
      </c>
      <c r="B269" s="2" t="s">
        <v>12709</v>
      </c>
      <c r="C269" s="4">
        <v>6</v>
      </c>
      <c r="D269" s="5">
        <v>6</v>
      </c>
      <c r="E269" s="5">
        <v>15.99</v>
      </c>
      <c r="F269" s="4" t="s">
        <v>7647</v>
      </c>
      <c r="G269" s="2" t="s">
        <v>41</v>
      </c>
      <c r="H269" s="7"/>
      <c r="I269" s="2" t="s">
        <v>321</v>
      </c>
      <c r="J269" s="2" t="s">
        <v>492</v>
      </c>
      <c r="K269" s="2" t="s">
        <v>304</v>
      </c>
      <c r="L269" s="2" t="s">
        <v>493</v>
      </c>
      <c r="M269" s="8" t="str">
        <f>HYPERLINK("http://slimages.macys.com/is/image/MCY/11539241 ")</f>
        <v xml:space="preserve">http://slimages.macys.com/is/image/MCY/11539241 </v>
      </c>
    </row>
    <row r="270" spans="1:13" ht="60" x14ac:dyDescent="0.25">
      <c r="A270" s="7" t="s">
        <v>12710</v>
      </c>
      <c r="B270" s="2" t="s">
        <v>12711</v>
      </c>
      <c r="C270" s="4">
        <v>1</v>
      </c>
      <c r="D270" s="5">
        <v>5.85</v>
      </c>
      <c r="E270" s="5">
        <v>12.99</v>
      </c>
      <c r="F270" s="4" t="s">
        <v>12712</v>
      </c>
      <c r="G270" s="2" t="s">
        <v>262</v>
      </c>
      <c r="H270" s="7" t="s">
        <v>144</v>
      </c>
      <c r="I270" s="2" t="s">
        <v>80</v>
      </c>
      <c r="J270" s="2" t="s">
        <v>167</v>
      </c>
      <c r="K270" s="2" t="s">
        <v>304</v>
      </c>
      <c r="L270" s="2" t="s">
        <v>38</v>
      </c>
      <c r="M270" s="8" t="str">
        <f>HYPERLINK("http://slimages.macys.com/is/image/MCY/12793784 ")</f>
        <v xml:space="preserve">http://slimages.macys.com/is/image/MCY/12793784 </v>
      </c>
    </row>
    <row r="271" spans="1:13" ht="60" x14ac:dyDescent="0.25">
      <c r="A271" s="7" t="s">
        <v>12044</v>
      </c>
      <c r="B271" s="2" t="s">
        <v>12713</v>
      </c>
      <c r="C271" s="4">
        <v>1</v>
      </c>
      <c r="D271" s="5">
        <v>5.85</v>
      </c>
      <c r="E271" s="5">
        <v>15.99</v>
      </c>
      <c r="F271" s="4" t="s">
        <v>1870</v>
      </c>
      <c r="G271" s="2" t="s">
        <v>262</v>
      </c>
      <c r="H271" s="7" t="s">
        <v>774</v>
      </c>
      <c r="I271" s="2" t="s">
        <v>342</v>
      </c>
      <c r="J271" s="2" t="s">
        <v>1872</v>
      </c>
      <c r="K271" s="2" t="s">
        <v>304</v>
      </c>
      <c r="L271" s="2" t="s">
        <v>390</v>
      </c>
      <c r="M271" s="8" t="str">
        <f>HYPERLINK("http://slimages.macys.com/is/image/MCY/11636026 ")</f>
        <v xml:space="preserve">http://slimages.macys.com/is/image/MCY/11636026 </v>
      </c>
    </row>
    <row r="272" spans="1:13" ht="60" x14ac:dyDescent="0.25">
      <c r="A272" s="7" t="s">
        <v>11595</v>
      </c>
      <c r="B272" s="2" t="s">
        <v>12714</v>
      </c>
      <c r="C272" s="4">
        <v>1</v>
      </c>
      <c r="D272" s="5">
        <v>5.8</v>
      </c>
      <c r="E272" s="5">
        <v>13.19</v>
      </c>
      <c r="F272" s="4">
        <v>18633210</v>
      </c>
      <c r="G272" s="2"/>
      <c r="H272" s="7" t="s">
        <v>233</v>
      </c>
      <c r="I272" s="2" t="s">
        <v>153</v>
      </c>
      <c r="J272" s="2" t="s">
        <v>154</v>
      </c>
      <c r="K272" s="2" t="s">
        <v>304</v>
      </c>
      <c r="L272" s="2" t="s">
        <v>38</v>
      </c>
      <c r="M272" s="8" t="str">
        <f>HYPERLINK("http://slimages.macys.com/is/image/MCY/13941923 ")</f>
        <v xml:space="preserve">http://slimages.macys.com/is/image/MCY/13941923 </v>
      </c>
    </row>
    <row r="273" spans="1:13" ht="60" x14ac:dyDescent="0.25">
      <c r="A273" s="7" t="s">
        <v>1878</v>
      </c>
      <c r="B273" s="2" t="s">
        <v>12715</v>
      </c>
      <c r="C273" s="4">
        <v>1</v>
      </c>
      <c r="D273" s="5">
        <v>5.8</v>
      </c>
      <c r="E273" s="5">
        <v>13.19</v>
      </c>
      <c r="F273" s="4">
        <v>18633210</v>
      </c>
      <c r="G273" s="2"/>
      <c r="H273" s="7" t="s">
        <v>482</v>
      </c>
      <c r="I273" s="2" t="s">
        <v>153</v>
      </c>
      <c r="J273" s="2" t="s">
        <v>154</v>
      </c>
      <c r="K273" s="2" t="s">
        <v>304</v>
      </c>
      <c r="L273" s="2" t="s">
        <v>38</v>
      </c>
      <c r="M273" s="8" t="str">
        <f>HYPERLINK("http://slimages.macys.com/is/image/MCY/13941923 ")</f>
        <v xml:space="preserve">http://slimages.macys.com/is/image/MCY/13941923 </v>
      </c>
    </row>
    <row r="274" spans="1:13" ht="60" x14ac:dyDescent="0.25">
      <c r="A274" s="7" t="s">
        <v>12051</v>
      </c>
      <c r="B274" s="2" t="s">
        <v>12716</v>
      </c>
      <c r="C274" s="4">
        <v>1</v>
      </c>
      <c r="D274" s="5">
        <v>5.8</v>
      </c>
      <c r="E274" s="5">
        <v>13.19</v>
      </c>
      <c r="F274" s="4">
        <v>17893810</v>
      </c>
      <c r="G274" s="2" t="s">
        <v>28</v>
      </c>
      <c r="H274" s="7" t="s">
        <v>442</v>
      </c>
      <c r="I274" s="2" t="s">
        <v>153</v>
      </c>
      <c r="J274" s="2" t="s">
        <v>154</v>
      </c>
      <c r="K274" s="2" t="s">
        <v>304</v>
      </c>
      <c r="L274" s="2" t="s">
        <v>38</v>
      </c>
      <c r="M274" s="8" t="str">
        <f>HYPERLINK("http://slimages.macys.com/is/image/MCY/13852866 ")</f>
        <v xml:space="preserve">http://slimages.macys.com/is/image/MCY/13852866 </v>
      </c>
    </row>
    <row r="275" spans="1:13" ht="60" x14ac:dyDescent="0.25">
      <c r="A275" s="7" t="s">
        <v>3392</v>
      </c>
      <c r="B275" s="2" t="s">
        <v>12717</v>
      </c>
      <c r="C275" s="4">
        <v>1</v>
      </c>
      <c r="D275" s="5">
        <v>5.8</v>
      </c>
      <c r="E275" s="5">
        <v>13.19</v>
      </c>
      <c r="F275" s="4">
        <v>17892010</v>
      </c>
      <c r="G275" s="2"/>
      <c r="H275" s="7" t="s">
        <v>233</v>
      </c>
      <c r="I275" s="2" t="s">
        <v>153</v>
      </c>
      <c r="J275" s="2" t="s">
        <v>154</v>
      </c>
      <c r="K275" s="2" t="s">
        <v>304</v>
      </c>
      <c r="L275" s="2" t="s">
        <v>38</v>
      </c>
      <c r="M275" s="8" t="str">
        <f>HYPERLINK("http://slimages.macys.com/is/image/MCY/13341121 ")</f>
        <v xml:space="preserve">http://slimages.macys.com/is/image/MCY/13341121 </v>
      </c>
    </row>
    <row r="276" spans="1:13" ht="60" x14ac:dyDescent="0.25">
      <c r="A276" s="7" t="s">
        <v>8996</v>
      </c>
      <c r="B276" s="2" t="s">
        <v>12718</v>
      </c>
      <c r="C276" s="4">
        <v>1</v>
      </c>
      <c r="D276" s="5">
        <v>5.8</v>
      </c>
      <c r="E276" s="5">
        <v>13.19</v>
      </c>
      <c r="F276" s="4">
        <v>18634010</v>
      </c>
      <c r="G276" s="2" t="s">
        <v>28</v>
      </c>
      <c r="H276" s="7" t="s">
        <v>233</v>
      </c>
      <c r="I276" s="2" t="s">
        <v>153</v>
      </c>
      <c r="J276" s="2" t="s">
        <v>154</v>
      </c>
      <c r="K276" s="2" t="s">
        <v>304</v>
      </c>
      <c r="L276" s="2" t="s">
        <v>38</v>
      </c>
      <c r="M276" s="8" t="str">
        <f>HYPERLINK("http://slimages.macys.com/is/image/MCY/13941917 ")</f>
        <v xml:space="preserve">http://slimages.macys.com/is/image/MCY/13941917 </v>
      </c>
    </row>
    <row r="277" spans="1:13" ht="60" x14ac:dyDescent="0.25">
      <c r="A277" s="7" t="s">
        <v>1887</v>
      </c>
      <c r="B277" s="2" t="s">
        <v>12719</v>
      </c>
      <c r="C277" s="4">
        <v>1</v>
      </c>
      <c r="D277" s="5">
        <v>5.75</v>
      </c>
      <c r="E277" s="5">
        <v>14.99</v>
      </c>
      <c r="F277" s="4" t="s">
        <v>1889</v>
      </c>
      <c r="G277" s="2" t="s">
        <v>892</v>
      </c>
      <c r="H277" s="7"/>
      <c r="I277" s="2" t="s">
        <v>30</v>
      </c>
      <c r="J277" s="2" t="s">
        <v>1890</v>
      </c>
      <c r="K277" s="2" t="s">
        <v>304</v>
      </c>
      <c r="L277" s="2" t="s">
        <v>416</v>
      </c>
      <c r="M277" s="8" t="str">
        <f>HYPERLINK("http://slimages.macys.com/is/image/MCY/12224320 ")</f>
        <v xml:space="preserve">http://slimages.macys.com/is/image/MCY/12224320 </v>
      </c>
    </row>
    <row r="278" spans="1:13" ht="60" x14ac:dyDescent="0.25">
      <c r="A278" s="7" t="s">
        <v>9611</v>
      </c>
      <c r="B278" s="2" t="s">
        <v>12720</v>
      </c>
      <c r="C278" s="4">
        <v>3</v>
      </c>
      <c r="D278" s="5">
        <v>5.75</v>
      </c>
      <c r="E278" s="5">
        <v>16.989999999999998</v>
      </c>
      <c r="F278" s="4" t="s">
        <v>5488</v>
      </c>
      <c r="G278" s="2" t="s">
        <v>582</v>
      </c>
      <c r="H278" s="7" t="s">
        <v>228</v>
      </c>
      <c r="I278" s="2" t="s">
        <v>389</v>
      </c>
      <c r="J278" s="2" t="s">
        <v>354</v>
      </c>
      <c r="K278" s="2" t="s">
        <v>304</v>
      </c>
      <c r="L278" s="2" t="s">
        <v>596</v>
      </c>
      <c r="M278" s="8" t="str">
        <f>HYPERLINK("http://slimages.macys.com/is/image/MCY/12645395 ")</f>
        <v xml:space="preserve">http://slimages.macys.com/is/image/MCY/12645395 </v>
      </c>
    </row>
    <row r="279" spans="1:13" ht="60" x14ac:dyDescent="0.25">
      <c r="A279" s="7" t="s">
        <v>12060</v>
      </c>
      <c r="B279" s="2" t="s">
        <v>12721</v>
      </c>
      <c r="C279" s="4">
        <v>1</v>
      </c>
      <c r="D279" s="5">
        <v>5.75</v>
      </c>
      <c r="E279" s="5">
        <v>12.99</v>
      </c>
      <c r="F279" s="4" t="s">
        <v>1886</v>
      </c>
      <c r="G279" s="2" t="s">
        <v>437</v>
      </c>
      <c r="H279" s="7" t="s">
        <v>91</v>
      </c>
      <c r="I279" s="2" t="s">
        <v>483</v>
      </c>
      <c r="J279" s="2" t="s">
        <v>536</v>
      </c>
      <c r="K279" s="2" t="s">
        <v>304</v>
      </c>
      <c r="L279" s="2" t="s">
        <v>596</v>
      </c>
      <c r="M279" s="8" t="str">
        <f>HYPERLINK("http://slimages.macys.com/is/image/MCY/12644485 ")</f>
        <v xml:space="preserve">http://slimages.macys.com/is/image/MCY/12644485 </v>
      </c>
    </row>
    <row r="280" spans="1:13" ht="60" x14ac:dyDescent="0.25">
      <c r="A280" s="7" t="s">
        <v>12722</v>
      </c>
      <c r="B280" s="2" t="s">
        <v>12723</v>
      </c>
      <c r="C280" s="4">
        <v>2</v>
      </c>
      <c r="D280" s="5">
        <v>5.75</v>
      </c>
      <c r="E280" s="5">
        <v>16.989999999999998</v>
      </c>
      <c r="F280" s="4" t="s">
        <v>5488</v>
      </c>
      <c r="G280" s="2" t="s">
        <v>582</v>
      </c>
      <c r="H280" s="7" t="s">
        <v>196</v>
      </c>
      <c r="I280" s="2" t="s">
        <v>389</v>
      </c>
      <c r="J280" s="2" t="s">
        <v>354</v>
      </c>
      <c r="K280" s="2" t="s">
        <v>304</v>
      </c>
      <c r="L280" s="2" t="s">
        <v>596</v>
      </c>
      <c r="M280" s="8" t="str">
        <f>HYPERLINK("http://slimages.macys.com/is/image/MCY/12645395 ")</f>
        <v xml:space="preserve">http://slimages.macys.com/is/image/MCY/12645395 </v>
      </c>
    </row>
    <row r="281" spans="1:13" ht="60" x14ac:dyDescent="0.25">
      <c r="A281" s="7" t="s">
        <v>5486</v>
      </c>
      <c r="B281" s="2" t="s">
        <v>12724</v>
      </c>
      <c r="C281" s="4">
        <v>1</v>
      </c>
      <c r="D281" s="5">
        <v>5.75</v>
      </c>
      <c r="E281" s="5">
        <v>16.989999999999998</v>
      </c>
      <c r="F281" s="4" t="s">
        <v>5488</v>
      </c>
      <c r="G281" s="2" t="s">
        <v>582</v>
      </c>
      <c r="H281" s="7" t="s">
        <v>284</v>
      </c>
      <c r="I281" s="2" t="s">
        <v>389</v>
      </c>
      <c r="J281" s="2" t="s">
        <v>354</v>
      </c>
      <c r="K281" s="2" t="s">
        <v>304</v>
      </c>
      <c r="L281" s="2" t="s">
        <v>596</v>
      </c>
      <c r="M281" s="8" t="str">
        <f>HYPERLINK("http://slimages.macys.com/is/image/MCY/12645395 ")</f>
        <v xml:space="preserve">http://slimages.macys.com/is/image/MCY/12645395 </v>
      </c>
    </row>
    <row r="282" spans="1:13" ht="60" x14ac:dyDescent="0.25">
      <c r="A282" s="7" t="s">
        <v>10543</v>
      </c>
      <c r="B282" s="2" t="s">
        <v>12725</v>
      </c>
      <c r="C282" s="4">
        <v>3</v>
      </c>
      <c r="D282" s="5">
        <v>5.68</v>
      </c>
      <c r="E282" s="5">
        <v>16.989999999999998</v>
      </c>
      <c r="F282" s="4" t="s">
        <v>1900</v>
      </c>
      <c r="G282" s="2" t="s">
        <v>165</v>
      </c>
      <c r="H282" s="7" t="s">
        <v>196</v>
      </c>
      <c r="I282" s="2" t="s">
        <v>515</v>
      </c>
      <c r="J282" s="2" t="s">
        <v>827</v>
      </c>
      <c r="K282" s="2" t="s">
        <v>304</v>
      </c>
      <c r="L282" s="2" t="s">
        <v>358</v>
      </c>
      <c r="M282" s="8" t="str">
        <f>HYPERLINK("http://slimages.macys.com/is/image/MCY/3487948 ")</f>
        <v xml:space="preserve">http://slimages.macys.com/is/image/MCY/3487948 </v>
      </c>
    </row>
    <row r="283" spans="1:13" ht="60" x14ac:dyDescent="0.25">
      <c r="A283" s="7" t="s">
        <v>5962</v>
      </c>
      <c r="B283" s="2" t="s">
        <v>12726</v>
      </c>
      <c r="C283" s="4">
        <v>1</v>
      </c>
      <c r="D283" s="5">
        <v>5.68</v>
      </c>
      <c r="E283" s="5">
        <v>16.989999999999998</v>
      </c>
      <c r="F283" s="4" t="s">
        <v>1900</v>
      </c>
      <c r="G283" s="2" t="s">
        <v>165</v>
      </c>
      <c r="H283" s="7" t="s">
        <v>228</v>
      </c>
      <c r="I283" s="2" t="s">
        <v>515</v>
      </c>
      <c r="J283" s="2" t="s">
        <v>827</v>
      </c>
      <c r="K283" s="2" t="s">
        <v>304</v>
      </c>
      <c r="L283" s="2" t="s">
        <v>358</v>
      </c>
      <c r="M283" s="8" t="str">
        <f>HYPERLINK("http://slimages.macys.com/is/image/MCY/3487948 ")</f>
        <v xml:space="preserve">http://slimages.macys.com/is/image/MCY/3487948 </v>
      </c>
    </row>
    <row r="284" spans="1:13" ht="60" x14ac:dyDescent="0.25">
      <c r="A284" s="7" t="s">
        <v>12727</v>
      </c>
      <c r="B284" s="2" t="s">
        <v>12728</v>
      </c>
      <c r="C284" s="4">
        <v>1</v>
      </c>
      <c r="D284" s="5">
        <v>5.65</v>
      </c>
      <c r="E284" s="5">
        <v>12.28</v>
      </c>
      <c r="F284" s="4" t="s">
        <v>12729</v>
      </c>
      <c r="G284" s="2" t="s">
        <v>48</v>
      </c>
      <c r="H284" s="7" t="s">
        <v>228</v>
      </c>
      <c r="I284" s="2" t="s">
        <v>30</v>
      </c>
      <c r="J284" s="2" t="s">
        <v>136</v>
      </c>
      <c r="K284" s="2" t="s">
        <v>304</v>
      </c>
      <c r="L284" s="2" t="s">
        <v>119</v>
      </c>
      <c r="M284" s="8" t="str">
        <f>HYPERLINK("http://slimages.macys.com/is/image/MCY/3618341 ")</f>
        <v xml:space="preserve">http://slimages.macys.com/is/image/MCY/3618341 </v>
      </c>
    </row>
    <row r="285" spans="1:13" ht="60" x14ac:dyDescent="0.25">
      <c r="A285" s="7" t="s">
        <v>12730</v>
      </c>
      <c r="B285" s="2" t="s">
        <v>12731</v>
      </c>
      <c r="C285" s="4">
        <v>3</v>
      </c>
      <c r="D285" s="5">
        <v>5.64</v>
      </c>
      <c r="E285" s="5">
        <v>12.99</v>
      </c>
      <c r="F285" s="4" t="s">
        <v>5964</v>
      </c>
      <c r="G285" s="2" t="s">
        <v>62</v>
      </c>
      <c r="H285" s="7" t="s">
        <v>123</v>
      </c>
      <c r="I285" s="2" t="s">
        <v>218</v>
      </c>
      <c r="J285" s="2" t="s">
        <v>2008</v>
      </c>
      <c r="K285" s="2" t="s">
        <v>304</v>
      </c>
      <c r="L285" s="2" t="s">
        <v>125</v>
      </c>
      <c r="M285" s="8" t="str">
        <f>HYPERLINK("http://slimages.macys.com/is/image/MCY/12742409 ")</f>
        <v xml:space="preserve">http://slimages.macys.com/is/image/MCY/12742409 </v>
      </c>
    </row>
    <row r="286" spans="1:13" ht="60" x14ac:dyDescent="0.25">
      <c r="A286" s="7" t="s">
        <v>11135</v>
      </c>
      <c r="B286" s="2" t="s">
        <v>12732</v>
      </c>
      <c r="C286" s="4">
        <v>3</v>
      </c>
      <c r="D286" s="5">
        <v>5.64</v>
      </c>
      <c r="E286" s="5">
        <v>12.99</v>
      </c>
      <c r="F286" s="4" t="s">
        <v>5964</v>
      </c>
      <c r="G286" s="2" t="s">
        <v>62</v>
      </c>
      <c r="H286" s="7" t="s">
        <v>311</v>
      </c>
      <c r="I286" s="2" t="s">
        <v>218</v>
      </c>
      <c r="J286" s="2" t="s">
        <v>2008</v>
      </c>
      <c r="K286" s="2" t="s">
        <v>304</v>
      </c>
      <c r="L286" s="2" t="s">
        <v>125</v>
      </c>
      <c r="M286" s="8" t="str">
        <f>HYPERLINK("http://slimages.macys.com/is/image/MCY/12742409 ")</f>
        <v xml:space="preserve">http://slimages.macys.com/is/image/MCY/12742409 </v>
      </c>
    </row>
    <row r="287" spans="1:13" ht="60" x14ac:dyDescent="0.25">
      <c r="A287" s="7" t="s">
        <v>6951</v>
      </c>
      <c r="B287" s="2" t="s">
        <v>12733</v>
      </c>
      <c r="C287" s="4">
        <v>1</v>
      </c>
      <c r="D287" s="5">
        <v>5.54</v>
      </c>
      <c r="E287" s="5">
        <v>16.989999999999998</v>
      </c>
      <c r="F287" s="4" t="s">
        <v>6953</v>
      </c>
      <c r="G287" s="2" t="s">
        <v>28</v>
      </c>
      <c r="H287" s="7" t="s">
        <v>159</v>
      </c>
      <c r="I287" s="2" t="s">
        <v>515</v>
      </c>
      <c r="J287" s="2" t="s">
        <v>827</v>
      </c>
      <c r="K287" s="2" t="s">
        <v>304</v>
      </c>
      <c r="L287" s="2" t="s">
        <v>358</v>
      </c>
      <c r="M287" s="8" t="str">
        <f>HYPERLINK("http://slimages.macys.com/is/image/MCY/3336452 ")</f>
        <v xml:space="preserve">http://slimages.macys.com/is/image/MCY/3336452 </v>
      </c>
    </row>
    <row r="288" spans="1:13" ht="60" x14ac:dyDescent="0.25">
      <c r="A288" s="7" t="s">
        <v>10545</v>
      </c>
      <c r="B288" s="2" t="s">
        <v>12734</v>
      </c>
      <c r="C288" s="4">
        <v>1</v>
      </c>
      <c r="D288" s="5">
        <v>5.54</v>
      </c>
      <c r="E288" s="5">
        <v>16.989999999999998</v>
      </c>
      <c r="F288" s="4" t="s">
        <v>6953</v>
      </c>
      <c r="G288" s="2" t="s">
        <v>28</v>
      </c>
      <c r="H288" s="7" t="s">
        <v>284</v>
      </c>
      <c r="I288" s="2" t="s">
        <v>515</v>
      </c>
      <c r="J288" s="2" t="s">
        <v>827</v>
      </c>
      <c r="K288" s="2" t="s">
        <v>304</v>
      </c>
      <c r="L288" s="2" t="s">
        <v>358</v>
      </c>
      <c r="M288" s="8" t="str">
        <f>HYPERLINK("http://slimages.macys.com/is/image/MCY/3336452 ")</f>
        <v xml:space="preserve">http://slimages.macys.com/is/image/MCY/3336452 </v>
      </c>
    </row>
    <row r="289" spans="1:13" ht="60" x14ac:dyDescent="0.25">
      <c r="A289" s="7" t="s">
        <v>12735</v>
      </c>
      <c r="B289" s="2" t="s">
        <v>12736</v>
      </c>
      <c r="C289" s="4">
        <v>1</v>
      </c>
      <c r="D289" s="5">
        <v>5.53</v>
      </c>
      <c r="E289" s="5">
        <v>12.99</v>
      </c>
      <c r="F289" s="4" t="s">
        <v>5007</v>
      </c>
      <c r="G289" s="2" t="s">
        <v>134</v>
      </c>
      <c r="H289" s="7" t="s">
        <v>166</v>
      </c>
      <c r="I289" s="2" t="s">
        <v>218</v>
      </c>
      <c r="J289" s="2" t="s">
        <v>2008</v>
      </c>
      <c r="K289" s="2" t="s">
        <v>304</v>
      </c>
      <c r="L289" s="2" t="s">
        <v>358</v>
      </c>
      <c r="M289" s="8" t="str">
        <f>HYPERLINK("http://slimages.macys.com/is/image/MCY/11952301 ")</f>
        <v xml:space="preserve">http://slimages.macys.com/is/image/MCY/11952301 </v>
      </c>
    </row>
    <row r="290" spans="1:13" ht="60" x14ac:dyDescent="0.25">
      <c r="A290" s="7" t="s">
        <v>2643</v>
      </c>
      <c r="B290" s="2" t="s">
        <v>12737</v>
      </c>
      <c r="C290" s="4">
        <v>2</v>
      </c>
      <c r="D290" s="5">
        <v>5.5</v>
      </c>
      <c r="E290" s="5">
        <v>10.99</v>
      </c>
      <c r="F290" s="4" t="s">
        <v>1916</v>
      </c>
      <c r="G290" s="2" t="s">
        <v>41</v>
      </c>
      <c r="H290" s="7" t="s">
        <v>284</v>
      </c>
      <c r="I290" s="2" t="s">
        <v>73</v>
      </c>
      <c r="J290" s="2" t="s">
        <v>1917</v>
      </c>
      <c r="K290" s="2" t="s">
        <v>304</v>
      </c>
      <c r="L290" s="2" t="s">
        <v>125</v>
      </c>
      <c r="M290" s="8" t="str">
        <f>HYPERLINK("http://slimages.macys.com/is/image/MCY/12235600 ")</f>
        <v xml:space="preserve">http://slimages.macys.com/is/image/MCY/12235600 </v>
      </c>
    </row>
    <row r="291" spans="1:13" ht="60" x14ac:dyDescent="0.25">
      <c r="A291" s="7" t="s">
        <v>1918</v>
      </c>
      <c r="B291" s="2" t="s">
        <v>12738</v>
      </c>
      <c r="C291" s="4">
        <v>2</v>
      </c>
      <c r="D291" s="5">
        <v>5.5</v>
      </c>
      <c r="E291" s="5">
        <v>10.99</v>
      </c>
      <c r="F291" s="4" t="s">
        <v>1916</v>
      </c>
      <c r="G291" s="2" t="s">
        <v>41</v>
      </c>
      <c r="H291" s="7" t="s">
        <v>159</v>
      </c>
      <c r="I291" s="2" t="s">
        <v>73</v>
      </c>
      <c r="J291" s="2" t="s">
        <v>1917</v>
      </c>
      <c r="K291" s="2" t="s">
        <v>304</v>
      </c>
      <c r="L291" s="2" t="s">
        <v>125</v>
      </c>
      <c r="M291" s="8" t="str">
        <f>HYPERLINK("http://slimages.macys.com/is/image/MCY/12235600 ")</f>
        <v xml:space="preserve">http://slimages.macys.com/is/image/MCY/12235600 </v>
      </c>
    </row>
    <row r="292" spans="1:13" ht="120" x14ac:dyDescent="0.25">
      <c r="A292" s="7" t="s">
        <v>12739</v>
      </c>
      <c r="B292" s="2" t="s">
        <v>12740</v>
      </c>
      <c r="C292" s="4">
        <v>1</v>
      </c>
      <c r="D292" s="5">
        <v>5.48</v>
      </c>
      <c r="E292" s="5">
        <v>14.99</v>
      </c>
      <c r="F292" s="4" t="s">
        <v>9614</v>
      </c>
      <c r="G292" s="2" t="s">
        <v>657</v>
      </c>
      <c r="H292" s="7" t="s">
        <v>578</v>
      </c>
      <c r="I292" s="2" t="s">
        <v>1689</v>
      </c>
      <c r="J292" s="2" t="s">
        <v>354</v>
      </c>
      <c r="K292" s="2" t="s">
        <v>304</v>
      </c>
      <c r="L292" s="2" t="s">
        <v>12741</v>
      </c>
      <c r="M292" s="8" t="str">
        <f>HYPERLINK("http://slimages.macys.com/is/image/MCY/12507175 ")</f>
        <v xml:space="preserve">http://slimages.macys.com/is/image/MCY/12507175 </v>
      </c>
    </row>
    <row r="293" spans="1:13" ht="60" x14ac:dyDescent="0.25">
      <c r="A293" s="7" t="s">
        <v>12742</v>
      </c>
      <c r="B293" s="2" t="s">
        <v>12743</v>
      </c>
      <c r="C293" s="4">
        <v>1</v>
      </c>
      <c r="D293" s="5">
        <v>5.42</v>
      </c>
      <c r="E293" s="5">
        <v>12.99</v>
      </c>
      <c r="F293" s="4" t="s">
        <v>9032</v>
      </c>
      <c r="G293" s="2" t="s">
        <v>353</v>
      </c>
      <c r="H293" s="7" t="s">
        <v>166</v>
      </c>
      <c r="I293" s="2" t="s">
        <v>218</v>
      </c>
      <c r="J293" s="2" t="s">
        <v>2008</v>
      </c>
      <c r="K293" s="2" t="s">
        <v>304</v>
      </c>
      <c r="L293" s="2" t="s">
        <v>125</v>
      </c>
      <c r="M293" s="8" t="str">
        <f>HYPERLINK("http://slimages.macys.com/is/image/MCY/12742410 ")</f>
        <v xml:space="preserve">http://slimages.macys.com/is/image/MCY/12742410 </v>
      </c>
    </row>
    <row r="294" spans="1:13" ht="60" x14ac:dyDescent="0.25">
      <c r="A294" s="7" t="s">
        <v>12744</v>
      </c>
      <c r="B294" s="2" t="s">
        <v>12745</v>
      </c>
      <c r="C294" s="4">
        <v>1</v>
      </c>
      <c r="D294" s="5">
        <v>5.42</v>
      </c>
      <c r="E294" s="5">
        <v>12.99</v>
      </c>
      <c r="F294" s="4" t="s">
        <v>9032</v>
      </c>
      <c r="G294" s="2" t="s">
        <v>353</v>
      </c>
      <c r="H294" s="7" t="s">
        <v>311</v>
      </c>
      <c r="I294" s="2" t="s">
        <v>218</v>
      </c>
      <c r="J294" s="2" t="s">
        <v>2008</v>
      </c>
      <c r="K294" s="2" t="s">
        <v>304</v>
      </c>
      <c r="L294" s="2" t="s">
        <v>125</v>
      </c>
      <c r="M294" s="8" t="str">
        <f>HYPERLINK("http://slimages.macys.com/is/image/MCY/12742410 ")</f>
        <v xml:space="preserve">http://slimages.macys.com/is/image/MCY/12742410 </v>
      </c>
    </row>
    <row r="295" spans="1:13" ht="60" x14ac:dyDescent="0.25">
      <c r="A295" s="7" t="s">
        <v>9031</v>
      </c>
      <c r="B295" s="2" t="s">
        <v>12746</v>
      </c>
      <c r="C295" s="4">
        <v>3</v>
      </c>
      <c r="D295" s="5">
        <v>5.42</v>
      </c>
      <c r="E295" s="5">
        <v>12.99</v>
      </c>
      <c r="F295" s="4" t="s">
        <v>9032</v>
      </c>
      <c r="G295" s="2" t="s">
        <v>353</v>
      </c>
      <c r="H295" s="7" t="s">
        <v>123</v>
      </c>
      <c r="I295" s="2" t="s">
        <v>218</v>
      </c>
      <c r="J295" s="2" t="s">
        <v>2008</v>
      </c>
      <c r="K295" s="2" t="s">
        <v>304</v>
      </c>
      <c r="L295" s="2" t="s">
        <v>125</v>
      </c>
      <c r="M295" s="8" t="str">
        <f>HYPERLINK("http://slimages.macys.com/is/image/MCY/12742410 ")</f>
        <v xml:space="preserve">http://slimages.macys.com/is/image/MCY/12742410 </v>
      </c>
    </row>
    <row r="296" spans="1:13" ht="72" x14ac:dyDescent="0.25">
      <c r="A296" s="7" t="s">
        <v>1923</v>
      </c>
      <c r="B296" s="2" t="s">
        <v>12747</v>
      </c>
      <c r="C296" s="4">
        <v>1</v>
      </c>
      <c r="D296" s="5">
        <v>5.41</v>
      </c>
      <c r="E296" s="5">
        <v>16.989999999999998</v>
      </c>
      <c r="F296" s="4" t="s">
        <v>1925</v>
      </c>
      <c r="G296" s="2" t="s">
        <v>86</v>
      </c>
      <c r="H296" s="7" t="s">
        <v>159</v>
      </c>
      <c r="I296" s="2" t="s">
        <v>515</v>
      </c>
      <c r="J296" s="2" t="s">
        <v>827</v>
      </c>
      <c r="K296" s="2" t="s">
        <v>304</v>
      </c>
      <c r="L296" s="2" t="s">
        <v>1117</v>
      </c>
      <c r="M296" s="8" t="str">
        <f>HYPERLINK("http://slimages.macys.com/is/image/MCY/11605918 ")</f>
        <v xml:space="preserve">http://slimages.macys.com/is/image/MCY/11605918 </v>
      </c>
    </row>
    <row r="297" spans="1:13" ht="60" x14ac:dyDescent="0.25">
      <c r="A297" s="7" t="s">
        <v>12748</v>
      </c>
      <c r="B297" s="2" t="s">
        <v>12749</v>
      </c>
      <c r="C297" s="4">
        <v>1</v>
      </c>
      <c r="D297" s="5">
        <v>5.2</v>
      </c>
      <c r="E297" s="5">
        <v>12.09</v>
      </c>
      <c r="F297" s="4">
        <v>18397911</v>
      </c>
      <c r="G297" s="2" t="s">
        <v>62</v>
      </c>
      <c r="H297" s="7" t="s">
        <v>91</v>
      </c>
      <c r="I297" s="2" t="s">
        <v>153</v>
      </c>
      <c r="J297" s="2" t="s">
        <v>154</v>
      </c>
      <c r="K297" s="2" t="s">
        <v>304</v>
      </c>
      <c r="L297" s="2" t="s">
        <v>125</v>
      </c>
      <c r="M297" s="8" t="str">
        <f>HYPERLINK("http://slimages.macys.com/is/image/MCY/14608336 ")</f>
        <v xml:space="preserve">http://slimages.macys.com/is/image/MCY/14608336 </v>
      </c>
    </row>
    <row r="298" spans="1:13" ht="60" x14ac:dyDescent="0.25">
      <c r="A298" s="7" t="s">
        <v>12750</v>
      </c>
      <c r="B298" s="2" t="s">
        <v>12751</v>
      </c>
      <c r="C298" s="4">
        <v>1</v>
      </c>
      <c r="D298" s="5">
        <v>5.2</v>
      </c>
      <c r="E298" s="5">
        <v>12.09</v>
      </c>
      <c r="F298" s="4">
        <v>18397911</v>
      </c>
      <c r="G298" s="2" t="s">
        <v>62</v>
      </c>
      <c r="H298" s="7" t="s">
        <v>233</v>
      </c>
      <c r="I298" s="2" t="s">
        <v>153</v>
      </c>
      <c r="J298" s="2" t="s">
        <v>154</v>
      </c>
      <c r="K298" s="2" t="s">
        <v>304</v>
      </c>
      <c r="L298" s="2" t="s">
        <v>125</v>
      </c>
      <c r="M298" s="8" t="str">
        <f>HYPERLINK("http://slimages.macys.com/is/image/MCY/14608336 ")</f>
        <v xml:space="preserve">http://slimages.macys.com/is/image/MCY/14608336 </v>
      </c>
    </row>
    <row r="299" spans="1:13" ht="72" x14ac:dyDescent="0.25">
      <c r="A299" s="7" t="s">
        <v>10167</v>
      </c>
      <c r="B299" s="2" t="s">
        <v>12752</v>
      </c>
      <c r="C299" s="4">
        <v>2</v>
      </c>
      <c r="D299" s="5">
        <v>5.08</v>
      </c>
      <c r="E299" s="5">
        <v>12.99</v>
      </c>
      <c r="F299" s="4" t="s">
        <v>9050</v>
      </c>
      <c r="G299" s="2" t="s">
        <v>527</v>
      </c>
      <c r="H299" s="7" t="s">
        <v>159</v>
      </c>
      <c r="I299" s="2" t="s">
        <v>515</v>
      </c>
      <c r="J299" s="2" t="s">
        <v>827</v>
      </c>
      <c r="K299" s="2" t="s">
        <v>304</v>
      </c>
      <c r="L299" s="2" t="s">
        <v>1117</v>
      </c>
      <c r="M299" s="8" t="str">
        <f>HYPERLINK("http://slimages.macys.com/is/image/MCY/11606025 ")</f>
        <v xml:space="preserve">http://slimages.macys.com/is/image/MCY/11606025 </v>
      </c>
    </row>
    <row r="300" spans="1:13" ht="60" x14ac:dyDescent="0.25">
      <c r="A300" s="7" t="s">
        <v>12753</v>
      </c>
      <c r="B300" s="2" t="s">
        <v>12754</v>
      </c>
      <c r="C300" s="4">
        <v>1</v>
      </c>
      <c r="D300" s="5">
        <v>5.04</v>
      </c>
      <c r="E300" s="5">
        <v>12.99</v>
      </c>
      <c r="F300" s="4" t="s">
        <v>9067</v>
      </c>
      <c r="G300" s="2" t="s">
        <v>86</v>
      </c>
      <c r="H300" s="7" t="s">
        <v>311</v>
      </c>
      <c r="I300" s="2" t="s">
        <v>218</v>
      </c>
      <c r="J300" s="2" t="s">
        <v>2008</v>
      </c>
      <c r="K300" s="2" t="s">
        <v>304</v>
      </c>
      <c r="L300" s="2" t="s">
        <v>358</v>
      </c>
      <c r="M300" s="8" t="str">
        <f t="shared" ref="M300:M306" si="1">HYPERLINK("http://slimages.macys.com/is/image/MCY/11947902 ")</f>
        <v xml:space="preserve">http://slimages.macys.com/is/image/MCY/11947902 </v>
      </c>
    </row>
    <row r="301" spans="1:13" ht="60" x14ac:dyDescent="0.25">
      <c r="A301" s="7" t="s">
        <v>12755</v>
      </c>
      <c r="B301" s="2" t="s">
        <v>12756</v>
      </c>
      <c r="C301" s="4">
        <v>1</v>
      </c>
      <c r="D301" s="5">
        <v>5.04</v>
      </c>
      <c r="E301" s="5">
        <v>12.99</v>
      </c>
      <c r="F301" s="4" t="s">
        <v>9067</v>
      </c>
      <c r="G301" s="2" t="s">
        <v>62</v>
      </c>
      <c r="H301" s="7" t="s">
        <v>311</v>
      </c>
      <c r="I301" s="2" t="s">
        <v>218</v>
      </c>
      <c r="J301" s="2" t="s">
        <v>2008</v>
      </c>
      <c r="K301" s="2" t="s">
        <v>304</v>
      </c>
      <c r="L301" s="2" t="s">
        <v>358</v>
      </c>
      <c r="M301" s="8" t="str">
        <f t="shared" si="1"/>
        <v xml:space="preserve">http://slimages.macys.com/is/image/MCY/11947902 </v>
      </c>
    </row>
    <row r="302" spans="1:13" ht="60" x14ac:dyDescent="0.25">
      <c r="A302" s="7" t="s">
        <v>11639</v>
      </c>
      <c r="B302" s="2" t="s">
        <v>12757</v>
      </c>
      <c r="C302" s="4">
        <v>2</v>
      </c>
      <c r="D302" s="5">
        <v>5.04</v>
      </c>
      <c r="E302" s="5">
        <v>12.99</v>
      </c>
      <c r="F302" s="4" t="s">
        <v>9067</v>
      </c>
      <c r="G302" s="2" t="s">
        <v>62</v>
      </c>
      <c r="H302" s="7" t="s">
        <v>123</v>
      </c>
      <c r="I302" s="2" t="s">
        <v>218</v>
      </c>
      <c r="J302" s="2" t="s">
        <v>2008</v>
      </c>
      <c r="K302" s="2" t="s">
        <v>304</v>
      </c>
      <c r="L302" s="2" t="s">
        <v>358</v>
      </c>
      <c r="M302" s="8" t="str">
        <f t="shared" si="1"/>
        <v xml:space="preserve">http://slimages.macys.com/is/image/MCY/11947902 </v>
      </c>
    </row>
    <row r="303" spans="1:13" ht="60" x14ac:dyDescent="0.25">
      <c r="A303" s="7" t="s">
        <v>12758</v>
      </c>
      <c r="B303" s="2" t="s">
        <v>12759</v>
      </c>
      <c r="C303" s="4">
        <v>1</v>
      </c>
      <c r="D303" s="5">
        <v>5.04</v>
      </c>
      <c r="E303" s="5">
        <v>12.99</v>
      </c>
      <c r="F303" s="4" t="s">
        <v>9067</v>
      </c>
      <c r="G303" s="2" t="s">
        <v>86</v>
      </c>
      <c r="H303" s="7" t="s">
        <v>123</v>
      </c>
      <c r="I303" s="2" t="s">
        <v>218</v>
      </c>
      <c r="J303" s="2" t="s">
        <v>2008</v>
      </c>
      <c r="K303" s="2" t="s">
        <v>304</v>
      </c>
      <c r="L303" s="2" t="s">
        <v>358</v>
      </c>
      <c r="M303" s="8" t="str">
        <f t="shared" si="1"/>
        <v xml:space="preserve">http://slimages.macys.com/is/image/MCY/11947902 </v>
      </c>
    </row>
    <row r="304" spans="1:13" ht="60" x14ac:dyDescent="0.25">
      <c r="A304" s="7" t="s">
        <v>10548</v>
      </c>
      <c r="B304" s="2" t="s">
        <v>12760</v>
      </c>
      <c r="C304" s="4">
        <v>3</v>
      </c>
      <c r="D304" s="5">
        <v>5.04</v>
      </c>
      <c r="E304" s="5">
        <v>12.99</v>
      </c>
      <c r="F304" s="4" t="s">
        <v>9067</v>
      </c>
      <c r="G304" s="2" t="s">
        <v>86</v>
      </c>
      <c r="H304" s="7" t="s">
        <v>166</v>
      </c>
      <c r="I304" s="2" t="s">
        <v>218</v>
      </c>
      <c r="J304" s="2" t="s">
        <v>2008</v>
      </c>
      <c r="K304" s="2" t="s">
        <v>304</v>
      </c>
      <c r="L304" s="2" t="s">
        <v>358</v>
      </c>
      <c r="M304" s="8" t="str">
        <f t="shared" si="1"/>
        <v xml:space="preserve">http://slimages.macys.com/is/image/MCY/11947902 </v>
      </c>
    </row>
    <row r="305" spans="1:13" ht="60" x14ac:dyDescent="0.25">
      <c r="A305" s="7" t="s">
        <v>12761</v>
      </c>
      <c r="B305" s="2" t="s">
        <v>12762</v>
      </c>
      <c r="C305" s="4">
        <v>2</v>
      </c>
      <c r="D305" s="5">
        <v>5.04</v>
      </c>
      <c r="E305" s="5">
        <v>12.99</v>
      </c>
      <c r="F305" s="4" t="s">
        <v>9067</v>
      </c>
      <c r="G305" s="2" t="s">
        <v>62</v>
      </c>
      <c r="H305" s="7" t="s">
        <v>166</v>
      </c>
      <c r="I305" s="2" t="s">
        <v>218</v>
      </c>
      <c r="J305" s="2" t="s">
        <v>2008</v>
      </c>
      <c r="K305" s="2" t="s">
        <v>304</v>
      </c>
      <c r="L305" s="2" t="s">
        <v>358</v>
      </c>
      <c r="M305" s="8" t="str">
        <f t="shared" si="1"/>
        <v xml:space="preserve">http://slimages.macys.com/is/image/MCY/11947902 </v>
      </c>
    </row>
    <row r="306" spans="1:13" ht="60" x14ac:dyDescent="0.25">
      <c r="A306" s="7" t="s">
        <v>12763</v>
      </c>
      <c r="B306" s="2" t="s">
        <v>12764</v>
      </c>
      <c r="C306" s="4">
        <v>1</v>
      </c>
      <c r="D306" s="5">
        <v>5.04</v>
      </c>
      <c r="E306" s="5">
        <v>12.99</v>
      </c>
      <c r="F306" s="4" t="s">
        <v>9067</v>
      </c>
      <c r="G306" s="2" t="s">
        <v>86</v>
      </c>
      <c r="H306" s="7" t="s">
        <v>317</v>
      </c>
      <c r="I306" s="2" t="s">
        <v>218</v>
      </c>
      <c r="J306" s="2" t="s">
        <v>2008</v>
      </c>
      <c r="K306" s="2" t="s">
        <v>304</v>
      </c>
      <c r="L306" s="2" t="s">
        <v>358</v>
      </c>
      <c r="M306" s="8" t="str">
        <f t="shared" si="1"/>
        <v xml:space="preserve">http://slimages.macys.com/is/image/MCY/11947902 </v>
      </c>
    </row>
    <row r="307" spans="1:13" ht="60" x14ac:dyDescent="0.25">
      <c r="A307" s="7" t="s">
        <v>12765</v>
      </c>
      <c r="B307" s="2" t="s">
        <v>12766</v>
      </c>
      <c r="C307" s="4">
        <v>1</v>
      </c>
      <c r="D307" s="5">
        <v>5</v>
      </c>
      <c r="E307" s="5">
        <v>11.63</v>
      </c>
      <c r="F307" s="4">
        <v>16596810</v>
      </c>
      <c r="G307" s="2" t="s">
        <v>28</v>
      </c>
      <c r="H307" s="7" t="s">
        <v>233</v>
      </c>
      <c r="I307" s="2" t="s">
        <v>153</v>
      </c>
      <c r="J307" s="2" t="s">
        <v>154</v>
      </c>
      <c r="K307" s="2" t="s">
        <v>304</v>
      </c>
      <c r="L307" s="2" t="s">
        <v>206</v>
      </c>
      <c r="M307" s="8" t="str">
        <f>HYPERLINK("http://slimages.macys.com/is/image/MCY/11495612 ")</f>
        <v xml:space="preserve">http://slimages.macys.com/is/image/MCY/11495612 </v>
      </c>
    </row>
    <row r="308" spans="1:13" ht="60" x14ac:dyDescent="0.25">
      <c r="A308" s="7" t="s">
        <v>12767</v>
      </c>
      <c r="B308" s="2" t="s">
        <v>12768</v>
      </c>
      <c r="C308" s="4">
        <v>1</v>
      </c>
      <c r="D308" s="5">
        <v>4.99</v>
      </c>
      <c r="E308" s="5">
        <v>12.99</v>
      </c>
      <c r="F308" s="4" t="s">
        <v>11143</v>
      </c>
      <c r="G308" s="2" t="s">
        <v>437</v>
      </c>
      <c r="H308" s="7" t="s">
        <v>228</v>
      </c>
      <c r="I308" s="2" t="s">
        <v>515</v>
      </c>
      <c r="J308" s="2" t="s">
        <v>1971</v>
      </c>
      <c r="K308" s="2" t="s">
        <v>304</v>
      </c>
      <c r="L308" s="2" t="s">
        <v>119</v>
      </c>
      <c r="M308" s="8" t="str">
        <f>HYPERLINK("http://slimages.macys.com/is/image/MCY/12688530 ")</f>
        <v xml:space="preserve">http://slimages.macys.com/is/image/MCY/12688530 </v>
      </c>
    </row>
    <row r="309" spans="1:13" ht="60" x14ac:dyDescent="0.25">
      <c r="A309" s="7" t="s">
        <v>9638</v>
      </c>
      <c r="B309" s="2" t="s">
        <v>12769</v>
      </c>
      <c r="C309" s="4">
        <v>1</v>
      </c>
      <c r="D309" s="5">
        <v>4.9800000000000004</v>
      </c>
      <c r="E309" s="5">
        <v>12.99</v>
      </c>
      <c r="F309" s="4" t="s">
        <v>1970</v>
      </c>
      <c r="G309" s="2" t="s">
        <v>437</v>
      </c>
      <c r="H309" s="7" t="s">
        <v>196</v>
      </c>
      <c r="I309" s="2" t="s">
        <v>515</v>
      </c>
      <c r="J309" s="2" t="s">
        <v>1971</v>
      </c>
      <c r="K309" s="2" t="s">
        <v>304</v>
      </c>
      <c r="L309" s="2" t="s">
        <v>119</v>
      </c>
      <c r="M309" s="8" t="str">
        <f>HYPERLINK("http://slimages.macys.com/is/image/MCY/13586213 ")</f>
        <v xml:space="preserve">http://slimages.macys.com/is/image/MCY/13586213 </v>
      </c>
    </row>
    <row r="310" spans="1:13" ht="60" x14ac:dyDescent="0.25">
      <c r="A310" s="7" t="s">
        <v>12770</v>
      </c>
      <c r="B310" s="2" t="s">
        <v>12771</v>
      </c>
      <c r="C310" s="4">
        <v>1</v>
      </c>
      <c r="D310" s="5">
        <v>4.9800000000000004</v>
      </c>
      <c r="E310" s="5">
        <v>12.99</v>
      </c>
      <c r="F310" s="4" t="s">
        <v>1970</v>
      </c>
      <c r="G310" s="2" t="s">
        <v>41</v>
      </c>
      <c r="H310" s="7" t="s">
        <v>284</v>
      </c>
      <c r="I310" s="2" t="s">
        <v>515</v>
      </c>
      <c r="J310" s="2" t="s">
        <v>1971</v>
      </c>
      <c r="K310" s="2" t="s">
        <v>304</v>
      </c>
      <c r="L310" s="2" t="s">
        <v>119</v>
      </c>
      <c r="M310" s="8" t="str">
        <f>HYPERLINK("http://slimages.macys.com/is/image/MCY/12688527 ")</f>
        <v xml:space="preserve">http://slimages.macys.com/is/image/MCY/12688527 </v>
      </c>
    </row>
    <row r="311" spans="1:13" ht="60" x14ac:dyDescent="0.25">
      <c r="A311" s="7" t="s">
        <v>10553</v>
      </c>
      <c r="B311" s="2" t="s">
        <v>12772</v>
      </c>
      <c r="C311" s="4">
        <v>1</v>
      </c>
      <c r="D311" s="5">
        <v>4.93</v>
      </c>
      <c r="E311" s="5">
        <v>12.99</v>
      </c>
      <c r="F311" s="4" t="s">
        <v>10555</v>
      </c>
      <c r="G311" s="2" t="s">
        <v>86</v>
      </c>
      <c r="H311" s="7" t="s">
        <v>196</v>
      </c>
      <c r="I311" s="2" t="s">
        <v>389</v>
      </c>
      <c r="J311" s="2" t="s">
        <v>354</v>
      </c>
      <c r="K311" s="2" t="s">
        <v>304</v>
      </c>
      <c r="L311" s="2" t="s">
        <v>358</v>
      </c>
      <c r="M311" s="8" t="str">
        <f>HYPERLINK("http://slimages.macys.com/is/image/MCY/12101601 ")</f>
        <v xml:space="preserve">http://slimages.macys.com/is/image/MCY/12101601 </v>
      </c>
    </row>
    <row r="312" spans="1:13" ht="60" x14ac:dyDescent="0.25">
      <c r="A312" s="7" t="s">
        <v>11155</v>
      </c>
      <c r="B312" s="2" t="s">
        <v>12773</v>
      </c>
      <c r="C312" s="4">
        <v>1</v>
      </c>
      <c r="D312" s="5">
        <v>4.8099999999999996</v>
      </c>
      <c r="E312" s="5">
        <v>11.99</v>
      </c>
      <c r="F312" s="4" t="s">
        <v>10567</v>
      </c>
      <c r="G312" s="2" t="s">
        <v>28</v>
      </c>
      <c r="H312" s="7" t="s">
        <v>228</v>
      </c>
      <c r="I312" s="2" t="s">
        <v>292</v>
      </c>
      <c r="J312" s="2" t="s">
        <v>293</v>
      </c>
      <c r="K312" s="2" t="s">
        <v>304</v>
      </c>
      <c r="L312" s="2" t="s">
        <v>119</v>
      </c>
      <c r="M312" s="8" t="str">
        <f>HYPERLINK("http://slimages.macys.com/is/image/MCY/12685836 ")</f>
        <v xml:space="preserve">http://slimages.macys.com/is/image/MCY/12685836 </v>
      </c>
    </row>
    <row r="313" spans="1:13" ht="60" x14ac:dyDescent="0.25">
      <c r="A313" s="7" t="s">
        <v>12774</v>
      </c>
      <c r="B313" s="2" t="s">
        <v>12775</v>
      </c>
      <c r="C313" s="4">
        <v>1</v>
      </c>
      <c r="D313" s="5">
        <v>4.8</v>
      </c>
      <c r="E313" s="5">
        <v>10.92</v>
      </c>
      <c r="F313" s="4">
        <v>17914410</v>
      </c>
      <c r="G313" s="2" t="s">
        <v>41</v>
      </c>
      <c r="H313" s="7" t="s">
        <v>438</v>
      </c>
      <c r="I313" s="2" t="s">
        <v>153</v>
      </c>
      <c r="J313" s="2" t="s">
        <v>154</v>
      </c>
      <c r="K313" s="2" t="s">
        <v>304</v>
      </c>
      <c r="L313" s="2" t="s">
        <v>206</v>
      </c>
      <c r="M313" s="8" t="str">
        <f>HYPERLINK("http://slimages.macys.com/is/image/MCY/13062151 ")</f>
        <v xml:space="preserve">http://slimages.macys.com/is/image/MCY/13062151 </v>
      </c>
    </row>
    <row r="314" spans="1:13" ht="60" x14ac:dyDescent="0.25">
      <c r="A314" s="7" t="s">
        <v>12776</v>
      </c>
      <c r="B314" s="2" t="s">
        <v>12777</v>
      </c>
      <c r="C314" s="4">
        <v>1</v>
      </c>
      <c r="D314" s="5">
        <v>4.8</v>
      </c>
      <c r="E314" s="5">
        <v>9.99</v>
      </c>
      <c r="F314" s="4" t="s">
        <v>7003</v>
      </c>
      <c r="G314" s="2" t="s">
        <v>41</v>
      </c>
      <c r="H314" s="7" t="s">
        <v>233</v>
      </c>
      <c r="I314" s="2" t="s">
        <v>153</v>
      </c>
      <c r="J314" s="2" t="s">
        <v>154</v>
      </c>
      <c r="K314" s="2" t="s">
        <v>304</v>
      </c>
      <c r="L314" s="2" t="s">
        <v>75</v>
      </c>
      <c r="M314" s="8" t="str">
        <f>HYPERLINK("http://slimages.macys.com/is/image/MCY/9857312 ")</f>
        <v xml:space="preserve">http://slimages.macys.com/is/image/MCY/9857312 </v>
      </c>
    </row>
    <row r="315" spans="1:13" ht="60" x14ac:dyDescent="0.25">
      <c r="A315" s="7" t="s">
        <v>12778</v>
      </c>
      <c r="B315" s="2" t="s">
        <v>12779</v>
      </c>
      <c r="C315" s="4">
        <v>1</v>
      </c>
      <c r="D315" s="5">
        <v>4.7699999999999996</v>
      </c>
      <c r="E315" s="5">
        <v>11.99</v>
      </c>
      <c r="F315" s="4" t="s">
        <v>12780</v>
      </c>
      <c r="G315" s="2" t="s">
        <v>28</v>
      </c>
      <c r="H315" s="7" t="s">
        <v>284</v>
      </c>
      <c r="I315" s="2" t="s">
        <v>292</v>
      </c>
      <c r="J315" s="2" t="s">
        <v>293</v>
      </c>
      <c r="K315" s="2" t="s">
        <v>304</v>
      </c>
      <c r="L315" s="2" t="s">
        <v>119</v>
      </c>
      <c r="M315" s="8" t="str">
        <f>HYPERLINK("http://slimages.macys.com/is/image/MCY/10746773 ")</f>
        <v xml:space="preserve">http://slimages.macys.com/is/image/MCY/10746773 </v>
      </c>
    </row>
    <row r="316" spans="1:13" ht="60" x14ac:dyDescent="0.25">
      <c r="A316" s="7" t="s">
        <v>12781</v>
      </c>
      <c r="B316" s="2" t="s">
        <v>12782</v>
      </c>
      <c r="C316" s="4">
        <v>1</v>
      </c>
      <c r="D316" s="5">
        <v>4.75</v>
      </c>
      <c r="E316" s="5">
        <v>18.5</v>
      </c>
      <c r="F316" s="4" t="s">
        <v>12783</v>
      </c>
      <c r="G316" s="2" t="s">
        <v>41</v>
      </c>
      <c r="H316" s="7" t="s">
        <v>123</v>
      </c>
      <c r="I316" s="2" t="s">
        <v>690</v>
      </c>
      <c r="J316" s="2" t="s">
        <v>58</v>
      </c>
      <c r="K316" s="2" t="s">
        <v>304</v>
      </c>
      <c r="L316" s="2" t="s">
        <v>38</v>
      </c>
      <c r="M316" s="8" t="str">
        <f>HYPERLINK("http://slimages.macys.com/is/image/MCY/11692531 ")</f>
        <v xml:space="preserve">http://slimages.macys.com/is/image/MCY/11692531 </v>
      </c>
    </row>
    <row r="317" spans="1:13" ht="60" x14ac:dyDescent="0.25">
      <c r="A317" s="7" t="s">
        <v>12784</v>
      </c>
      <c r="B317" s="2" t="s">
        <v>12785</v>
      </c>
      <c r="C317" s="4">
        <v>3</v>
      </c>
      <c r="D317" s="5">
        <v>4.71</v>
      </c>
      <c r="E317" s="5">
        <v>11.99</v>
      </c>
      <c r="F317" s="4" t="s">
        <v>12786</v>
      </c>
      <c r="G317" s="2" t="s">
        <v>793</v>
      </c>
      <c r="H317" s="7" t="s">
        <v>196</v>
      </c>
      <c r="I317" s="2" t="s">
        <v>389</v>
      </c>
      <c r="J317" s="2" t="s">
        <v>354</v>
      </c>
      <c r="K317" s="2" t="s">
        <v>304</v>
      </c>
      <c r="L317" s="2" t="s">
        <v>119</v>
      </c>
      <c r="M317" s="8" t="str">
        <f>HYPERLINK("http://slimages.macys.com/is/image/MCY/11777020 ")</f>
        <v xml:space="preserve">http://slimages.macys.com/is/image/MCY/11777020 </v>
      </c>
    </row>
    <row r="318" spans="1:13" ht="60" x14ac:dyDescent="0.25">
      <c r="A318" s="7" t="s">
        <v>12787</v>
      </c>
      <c r="B318" s="2" t="s">
        <v>12788</v>
      </c>
      <c r="C318" s="4">
        <v>3</v>
      </c>
      <c r="D318" s="5">
        <v>4.71</v>
      </c>
      <c r="E318" s="5">
        <v>11.99</v>
      </c>
      <c r="F318" s="4" t="s">
        <v>12786</v>
      </c>
      <c r="G318" s="2" t="s">
        <v>793</v>
      </c>
      <c r="H318" s="7" t="s">
        <v>228</v>
      </c>
      <c r="I318" s="2" t="s">
        <v>389</v>
      </c>
      <c r="J318" s="2" t="s">
        <v>354</v>
      </c>
      <c r="K318" s="2" t="s">
        <v>304</v>
      </c>
      <c r="L318" s="2" t="s">
        <v>119</v>
      </c>
      <c r="M318" s="8" t="str">
        <f>HYPERLINK("http://slimages.macys.com/is/image/MCY/11777020 ")</f>
        <v xml:space="preserve">http://slimages.macys.com/is/image/MCY/11777020 </v>
      </c>
    </row>
    <row r="319" spans="1:13" ht="60" x14ac:dyDescent="0.25">
      <c r="A319" s="7" t="s">
        <v>12789</v>
      </c>
      <c r="B319" s="2" t="s">
        <v>12790</v>
      </c>
      <c r="C319" s="4">
        <v>2</v>
      </c>
      <c r="D319" s="5">
        <v>4.71</v>
      </c>
      <c r="E319" s="5">
        <v>11.99</v>
      </c>
      <c r="F319" s="4" t="s">
        <v>12786</v>
      </c>
      <c r="G319" s="2" t="s">
        <v>793</v>
      </c>
      <c r="H319" s="7" t="s">
        <v>284</v>
      </c>
      <c r="I319" s="2" t="s">
        <v>389</v>
      </c>
      <c r="J319" s="2" t="s">
        <v>354</v>
      </c>
      <c r="K319" s="2" t="s">
        <v>304</v>
      </c>
      <c r="L319" s="2" t="s">
        <v>119</v>
      </c>
      <c r="M319" s="8" t="str">
        <f>HYPERLINK("http://slimages.macys.com/is/image/MCY/11777020 ")</f>
        <v xml:space="preserve">http://slimages.macys.com/is/image/MCY/11777020 </v>
      </c>
    </row>
    <row r="320" spans="1:13" ht="60" x14ac:dyDescent="0.25">
      <c r="A320" s="7" t="s">
        <v>12791</v>
      </c>
      <c r="B320" s="2" t="s">
        <v>12792</v>
      </c>
      <c r="C320" s="4">
        <v>4</v>
      </c>
      <c r="D320" s="5">
        <v>4.71</v>
      </c>
      <c r="E320" s="5">
        <v>11.99</v>
      </c>
      <c r="F320" s="4" t="s">
        <v>12786</v>
      </c>
      <c r="G320" s="2" t="s">
        <v>793</v>
      </c>
      <c r="H320" s="7" t="s">
        <v>159</v>
      </c>
      <c r="I320" s="2" t="s">
        <v>389</v>
      </c>
      <c r="J320" s="2" t="s">
        <v>354</v>
      </c>
      <c r="K320" s="2" t="s">
        <v>304</v>
      </c>
      <c r="L320" s="2" t="s">
        <v>119</v>
      </c>
      <c r="M320" s="8" t="str">
        <f>HYPERLINK("http://slimages.macys.com/is/image/MCY/11777020 ")</f>
        <v xml:space="preserve">http://slimages.macys.com/is/image/MCY/11777020 </v>
      </c>
    </row>
    <row r="321" spans="1:13" ht="60" x14ac:dyDescent="0.25">
      <c r="A321" s="7" t="s">
        <v>12793</v>
      </c>
      <c r="B321" s="2" t="s">
        <v>12794</v>
      </c>
      <c r="C321" s="4">
        <v>2</v>
      </c>
      <c r="D321" s="5">
        <v>4.71</v>
      </c>
      <c r="E321" s="5">
        <v>12.99</v>
      </c>
      <c r="F321" s="4" t="s">
        <v>5044</v>
      </c>
      <c r="G321" s="2" t="s">
        <v>437</v>
      </c>
      <c r="H321" s="7" t="s">
        <v>311</v>
      </c>
      <c r="I321" s="2" t="s">
        <v>218</v>
      </c>
      <c r="J321" s="2" t="s">
        <v>2008</v>
      </c>
      <c r="K321" s="2" t="s">
        <v>304</v>
      </c>
      <c r="L321" s="2" t="s">
        <v>5045</v>
      </c>
      <c r="M321" s="8" t="str">
        <f>HYPERLINK("http://slimages.macys.com/is/image/MCY/12684319 ")</f>
        <v xml:space="preserve">http://slimages.macys.com/is/image/MCY/12684319 </v>
      </c>
    </row>
    <row r="322" spans="1:13" ht="108" x14ac:dyDescent="0.25">
      <c r="A322" s="7" t="s">
        <v>1999</v>
      </c>
      <c r="B322" s="2" t="s">
        <v>12795</v>
      </c>
      <c r="C322" s="4">
        <v>1</v>
      </c>
      <c r="D322" s="5">
        <v>4.67</v>
      </c>
      <c r="E322" s="5">
        <v>12</v>
      </c>
      <c r="F322" s="4" t="s">
        <v>1997</v>
      </c>
      <c r="G322" s="2" t="s">
        <v>437</v>
      </c>
      <c r="H322" s="7" t="s">
        <v>482</v>
      </c>
      <c r="I322" s="2" t="s">
        <v>483</v>
      </c>
      <c r="J322" s="2" t="s">
        <v>536</v>
      </c>
      <c r="K322" s="2" t="s">
        <v>304</v>
      </c>
      <c r="L322" s="2" t="s">
        <v>1998</v>
      </c>
      <c r="M322" s="8" t="str">
        <f>HYPERLINK("http://slimages.macys.com/is/image/MCY/12466268 ")</f>
        <v xml:space="preserve">http://slimages.macys.com/is/image/MCY/12466268 </v>
      </c>
    </row>
    <row r="323" spans="1:13" ht="60" x14ac:dyDescent="0.25">
      <c r="A323" s="7" t="s">
        <v>12796</v>
      </c>
      <c r="B323" s="2" t="s">
        <v>12797</v>
      </c>
      <c r="C323" s="4">
        <v>1</v>
      </c>
      <c r="D323" s="5">
        <v>4.6500000000000004</v>
      </c>
      <c r="E323" s="5">
        <v>12.99</v>
      </c>
      <c r="F323" s="4" t="s">
        <v>10191</v>
      </c>
      <c r="G323" s="2" t="s">
        <v>297</v>
      </c>
      <c r="H323" s="7" t="s">
        <v>159</v>
      </c>
      <c r="I323" s="2" t="s">
        <v>218</v>
      </c>
      <c r="J323" s="2" t="s">
        <v>1740</v>
      </c>
      <c r="K323" s="2" t="s">
        <v>304</v>
      </c>
      <c r="L323" s="2" t="s">
        <v>119</v>
      </c>
      <c r="M323" s="8" t="str">
        <f>HYPERLINK("http://slimages.macys.com/is/image/MCY/11483852 ")</f>
        <v xml:space="preserve">http://slimages.macys.com/is/image/MCY/11483852 </v>
      </c>
    </row>
    <row r="324" spans="1:13" ht="60" x14ac:dyDescent="0.25">
      <c r="A324" s="7" t="s">
        <v>5530</v>
      </c>
      <c r="B324" s="2" t="s">
        <v>12798</v>
      </c>
      <c r="C324" s="4">
        <v>1</v>
      </c>
      <c r="D324" s="5">
        <v>4.6500000000000004</v>
      </c>
      <c r="E324" s="5">
        <v>14.99</v>
      </c>
      <c r="F324" s="4" t="s">
        <v>2003</v>
      </c>
      <c r="G324" s="2" t="s">
        <v>657</v>
      </c>
      <c r="H324" s="7" t="s">
        <v>166</v>
      </c>
      <c r="I324" s="2" t="s">
        <v>292</v>
      </c>
      <c r="J324" s="2" t="s">
        <v>354</v>
      </c>
      <c r="K324" s="2" t="s">
        <v>304</v>
      </c>
      <c r="L324" s="2" t="s">
        <v>125</v>
      </c>
      <c r="M324" s="8" t="str">
        <f>HYPERLINK("http://slimages.macys.com/is/image/MCY/13893167 ")</f>
        <v xml:space="preserve">http://slimages.macys.com/is/image/MCY/13893167 </v>
      </c>
    </row>
    <row r="325" spans="1:13" ht="60" x14ac:dyDescent="0.25">
      <c r="A325" s="7" t="s">
        <v>12799</v>
      </c>
      <c r="B325" s="2" t="s">
        <v>12800</v>
      </c>
      <c r="C325" s="4">
        <v>1</v>
      </c>
      <c r="D325" s="5">
        <v>4.6500000000000004</v>
      </c>
      <c r="E325" s="5">
        <v>11.99</v>
      </c>
      <c r="F325" s="4" t="s">
        <v>12801</v>
      </c>
      <c r="G325" s="2"/>
      <c r="H325" s="7"/>
      <c r="I325" s="2" t="s">
        <v>312</v>
      </c>
      <c r="J325" s="2" t="s">
        <v>2077</v>
      </c>
      <c r="K325" s="2" t="s">
        <v>304</v>
      </c>
      <c r="L325" s="2" t="s">
        <v>125</v>
      </c>
      <c r="M325" s="8" t="str">
        <f>HYPERLINK("http://slimages.macys.com/is/image/MCY/12045150 ")</f>
        <v xml:space="preserve">http://slimages.macys.com/is/image/MCY/12045150 </v>
      </c>
    </row>
    <row r="326" spans="1:13" ht="60" x14ac:dyDescent="0.25">
      <c r="A326" s="7" t="s">
        <v>12802</v>
      </c>
      <c r="B326" s="2" t="s">
        <v>12803</v>
      </c>
      <c r="C326" s="4">
        <v>1</v>
      </c>
      <c r="D326" s="5">
        <v>4.5999999999999996</v>
      </c>
      <c r="E326" s="5">
        <v>10.99</v>
      </c>
      <c r="F326" s="4" t="s">
        <v>2007</v>
      </c>
      <c r="G326" s="2" t="s">
        <v>62</v>
      </c>
      <c r="H326" s="7" t="s">
        <v>166</v>
      </c>
      <c r="I326" s="2" t="s">
        <v>218</v>
      </c>
      <c r="J326" s="2" t="s">
        <v>2008</v>
      </c>
      <c r="K326" s="2" t="s">
        <v>304</v>
      </c>
      <c r="L326" s="2" t="s">
        <v>358</v>
      </c>
      <c r="M326" s="8" t="str">
        <f>HYPERLINK("http://slimages.macys.com/is/image/MCY/12235586 ")</f>
        <v xml:space="preserve">http://slimages.macys.com/is/image/MCY/12235586 </v>
      </c>
    </row>
    <row r="327" spans="1:13" ht="72" x14ac:dyDescent="0.25">
      <c r="A327" s="7" t="s">
        <v>7009</v>
      </c>
      <c r="B327" s="2" t="s">
        <v>12804</v>
      </c>
      <c r="C327" s="4">
        <v>1</v>
      </c>
      <c r="D327" s="5">
        <v>4.59</v>
      </c>
      <c r="E327" s="5">
        <v>12.99</v>
      </c>
      <c r="F327" s="4" t="s">
        <v>2012</v>
      </c>
      <c r="G327" s="2" t="s">
        <v>28</v>
      </c>
      <c r="H327" s="7" t="s">
        <v>159</v>
      </c>
      <c r="I327" s="2" t="s">
        <v>515</v>
      </c>
      <c r="J327" s="2" t="s">
        <v>827</v>
      </c>
      <c r="K327" s="2" t="s">
        <v>304</v>
      </c>
      <c r="L327" s="2" t="s">
        <v>1117</v>
      </c>
      <c r="M327" s="8" t="str">
        <f>HYPERLINK("http://slimages.macys.com/is/image/MCY/11606013 ")</f>
        <v xml:space="preserve">http://slimages.macys.com/is/image/MCY/11606013 </v>
      </c>
    </row>
    <row r="328" spans="1:13" ht="72" x14ac:dyDescent="0.25">
      <c r="A328" s="7" t="s">
        <v>9657</v>
      </c>
      <c r="B328" s="2" t="s">
        <v>12805</v>
      </c>
      <c r="C328" s="4">
        <v>1</v>
      </c>
      <c r="D328" s="5">
        <v>4.59</v>
      </c>
      <c r="E328" s="5">
        <v>12.99</v>
      </c>
      <c r="F328" s="4" t="s">
        <v>1116</v>
      </c>
      <c r="G328" s="2" t="s">
        <v>28</v>
      </c>
      <c r="H328" s="7" t="s">
        <v>228</v>
      </c>
      <c r="I328" s="2" t="s">
        <v>515</v>
      </c>
      <c r="J328" s="2" t="s">
        <v>827</v>
      </c>
      <c r="K328" s="2" t="s">
        <v>304</v>
      </c>
      <c r="L328" s="2" t="s">
        <v>1117</v>
      </c>
      <c r="M328" s="8" t="str">
        <f>HYPERLINK("http://slimages.macys.com/is/image/MCY/11606022 ")</f>
        <v xml:space="preserve">http://slimages.macys.com/is/image/MCY/11606022 </v>
      </c>
    </row>
    <row r="329" spans="1:13" ht="72" x14ac:dyDescent="0.25">
      <c r="A329" s="7" t="s">
        <v>1114</v>
      </c>
      <c r="B329" s="2" t="s">
        <v>12806</v>
      </c>
      <c r="C329" s="4">
        <v>1</v>
      </c>
      <c r="D329" s="5">
        <v>4.59</v>
      </c>
      <c r="E329" s="5">
        <v>12.99</v>
      </c>
      <c r="F329" s="4" t="s">
        <v>1116</v>
      </c>
      <c r="G329" s="2" t="s">
        <v>28</v>
      </c>
      <c r="H329" s="7" t="s">
        <v>196</v>
      </c>
      <c r="I329" s="2" t="s">
        <v>515</v>
      </c>
      <c r="J329" s="2" t="s">
        <v>827</v>
      </c>
      <c r="K329" s="2" t="s">
        <v>304</v>
      </c>
      <c r="L329" s="2" t="s">
        <v>1117</v>
      </c>
      <c r="M329" s="8" t="str">
        <f>HYPERLINK("http://slimages.macys.com/is/image/MCY/11606022 ")</f>
        <v xml:space="preserve">http://slimages.macys.com/is/image/MCY/11606022 </v>
      </c>
    </row>
    <row r="330" spans="1:13" ht="72" x14ac:dyDescent="0.25">
      <c r="A330" s="7" t="s">
        <v>5046</v>
      </c>
      <c r="B330" s="2" t="s">
        <v>12807</v>
      </c>
      <c r="C330" s="4">
        <v>2</v>
      </c>
      <c r="D330" s="5">
        <v>4.59</v>
      </c>
      <c r="E330" s="5">
        <v>12.99</v>
      </c>
      <c r="F330" s="4" t="s">
        <v>5048</v>
      </c>
      <c r="G330" s="2" t="s">
        <v>28</v>
      </c>
      <c r="H330" s="7" t="s">
        <v>196</v>
      </c>
      <c r="I330" s="2" t="s">
        <v>515</v>
      </c>
      <c r="J330" s="2" t="s">
        <v>827</v>
      </c>
      <c r="K330" s="2" t="s">
        <v>304</v>
      </c>
      <c r="L330" s="2" t="s">
        <v>1117</v>
      </c>
      <c r="M330" s="8" t="str">
        <f>HYPERLINK("http://slimages.macys.com/is/image/MCY/11605924 ")</f>
        <v xml:space="preserve">http://slimages.macys.com/is/image/MCY/11605924 </v>
      </c>
    </row>
    <row r="331" spans="1:13" ht="72" x14ac:dyDescent="0.25">
      <c r="A331" s="7" t="s">
        <v>7749</v>
      </c>
      <c r="B331" s="2" t="s">
        <v>12808</v>
      </c>
      <c r="C331" s="4">
        <v>1</v>
      </c>
      <c r="D331" s="5">
        <v>4.59</v>
      </c>
      <c r="E331" s="5">
        <v>12.99</v>
      </c>
      <c r="F331" s="4" t="s">
        <v>5048</v>
      </c>
      <c r="G331" s="2" t="s">
        <v>28</v>
      </c>
      <c r="H331" s="7" t="s">
        <v>228</v>
      </c>
      <c r="I331" s="2" t="s">
        <v>515</v>
      </c>
      <c r="J331" s="2" t="s">
        <v>827</v>
      </c>
      <c r="K331" s="2" t="s">
        <v>304</v>
      </c>
      <c r="L331" s="2" t="s">
        <v>1117</v>
      </c>
      <c r="M331" s="8" t="str">
        <f>HYPERLINK("http://slimages.macys.com/is/image/MCY/11605924 ")</f>
        <v xml:space="preserve">http://slimages.macys.com/is/image/MCY/11605924 </v>
      </c>
    </row>
    <row r="332" spans="1:13" ht="72" x14ac:dyDescent="0.25">
      <c r="A332" s="7" t="s">
        <v>9656</v>
      </c>
      <c r="B332" s="2" t="s">
        <v>12809</v>
      </c>
      <c r="C332" s="4">
        <v>1</v>
      </c>
      <c r="D332" s="5">
        <v>4.59</v>
      </c>
      <c r="E332" s="5">
        <v>12.99</v>
      </c>
      <c r="F332" s="4" t="s">
        <v>5048</v>
      </c>
      <c r="G332" s="2" t="s">
        <v>28</v>
      </c>
      <c r="H332" s="7" t="s">
        <v>159</v>
      </c>
      <c r="I332" s="2" t="s">
        <v>515</v>
      </c>
      <c r="J332" s="2" t="s">
        <v>827</v>
      </c>
      <c r="K332" s="2" t="s">
        <v>304</v>
      </c>
      <c r="L332" s="2" t="s">
        <v>1117</v>
      </c>
      <c r="M332" s="8" t="str">
        <f>HYPERLINK("http://slimages.macys.com/is/image/MCY/11605924 ")</f>
        <v xml:space="preserve">http://slimages.macys.com/is/image/MCY/11605924 </v>
      </c>
    </row>
    <row r="333" spans="1:13" ht="72" x14ac:dyDescent="0.25">
      <c r="A333" s="7" t="s">
        <v>9108</v>
      </c>
      <c r="B333" s="2" t="s">
        <v>12810</v>
      </c>
      <c r="C333" s="4">
        <v>1</v>
      </c>
      <c r="D333" s="5">
        <v>4.59</v>
      </c>
      <c r="E333" s="5">
        <v>12.99</v>
      </c>
      <c r="F333" s="4" t="s">
        <v>1116</v>
      </c>
      <c r="G333" s="2" t="s">
        <v>28</v>
      </c>
      <c r="H333" s="7" t="s">
        <v>159</v>
      </c>
      <c r="I333" s="2" t="s">
        <v>515</v>
      </c>
      <c r="J333" s="2" t="s">
        <v>827</v>
      </c>
      <c r="K333" s="2" t="s">
        <v>304</v>
      </c>
      <c r="L333" s="2" t="s">
        <v>1117</v>
      </c>
      <c r="M333" s="8" t="str">
        <f>HYPERLINK("http://slimages.macys.com/is/image/MCY/11606022 ")</f>
        <v xml:space="preserve">http://slimages.macys.com/is/image/MCY/11606022 </v>
      </c>
    </row>
    <row r="334" spans="1:13" ht="72" x14ac:dyDescent="0.25">
      <c r="A334" s="7" t="s">
        <v>9105</v>
      </c>
      <c r="B334" s="2" t="s">
        <v>12811</v>
      </c>
      <c r="C334" s="4">
        <v>1</v>
      </c>
      <c r="D334" s="5">
        <v>4.59</v>
      </c>
      <c r="E334" s="5">
        <v>12.99</v>
      </c>
      <c r="F334" s="4" t="s">
        <v>9107</v>
      </c>
      <c r="G334" s="2" t="s">
        <v>28</v>
      </c>
      <c r="H334" s="7" t="s">
        <v>284</v>
      </c>
      <c r="I334" s="2" t="s">
        <v>515</v>
      </c>
      <c r="J334" s="2" t="s">
        <v>827</v>
      </c>
      <c r="K334" s="2" t="s">
        <v>304</v>
      </c>
      <c r="L334" s="2" t="s">
        <v>1117</v>
      </c>
      <c r="M334" s="8" t="str">
        <f>HYPERLINK("http://slimages.macys.com/is/image/MCY/11605907 ")</f>
        <v xml:space="preserve">http://slimages.macys.com/is/image/MCY/11605907 </v>
      </c>
    </row>
    <row r="335" spans="1:13" ht="60" x14ac:dyDescent="0.25">
      <c r="A335" s="7" t="s">
        <v>3456</v>
      </c>
      <c r="B335" s="2" t="s">
        <v>12812</v>
      </c>
      <c r="C335" s="4">
        <v>2</v>
      </c>
      <c r="D335" s="5">
        <v>4.59</v>
      </c>
      <c r="E335" s="5">
        <v>11.99</v>
      </c>
      <c r="F335" s="4" t="s">
        <v>3458</v>
      </c>
      <c r="G335" s="2" t="s">
        <v>129</v>
      </c>
      <c r="H335" s="7" t="s">
        <v>228</v>
      </c>
      <c r="I335" s="2" t="s">
        <v>292</v>
      </c>
      <c r="J335" s="2" t="s">
        <v>293</v>
      </c>
      <c r="K335" s="2" t="s">
        <v>304</v>
      </c>
      <c r="L335" s="2" t="s">
        <v>119</v>
      </c>
      <c r="M335" s="8" t="str">
        <f>HYPERLINK("http://slimages.macys.com/is/image/MCY/12685690 ")</f>
        <v xml:space="preserve">http://slimages.macys.com/is/image/MCY/12685690 </v>
      </c>
    </row>
    <row r="336" spans="1:13" ht="60" x14ac:dyDescent="0.25">
      <c r="A336" s="7" t="s">
        <v>12813</v>
      </c>
      <c r="B336" s="2" t="s">
        <v>12814</v>
      </c>
      <c r="C336" s="4">
        <v>1</v>
      </c>
      <c r="D336" s="5">
        <v>4.59</v>
      </c>
      <c r="E336" s="5">
        <v>11.99</v>
      </c>
      <c r="F336" s="4" t="s">
        <v>12815</v>
      </c>
      <c r="G336" s="2" t="s">
        <v>86</v>
      </c>
      <c r="H336" s="7" t="s">
        <v>228</v>
      </c>
      <c r="I336" s="2" t="s">
        <v>292</v>
      </c>
      <c r="J336" s="2" t="s">
        <v>293</v>
      </c>
      <c r="K336" s="2" t="s">
        <v>304</v>
      </c>
      <c r="L336" s="2" t="s">
        <v>119</v>
      </c>
      <c r="M336" s="8" t="str">
        <f>HYPERLINK("http://slimages.macys.com/is/image/MCY/12685805 ")</f>
        <v xml:space="preserve">http://slimages.macys.com/is/image/MCY/12685805 </v>
      </c>
    </row>
    <row r="337" spans="1:13" ht="60" x14ac:dyDescent="0.25">
      <c r="A337" s="7" t="s">
        <v>12816</v>
      </c>
      <c r="B337" s="2" t="s">
        <v>12817</v>
      </c>
      <c r="C337" s="4">
        <v>1</v>
      </c>
      <c r="D337" s="5">
        <v>4.57</v>
      </c>
      <c r="E337" s="5">
        <v>11.99</v>
      </c>
      <c r="F337" s="4" t="s">
        <v>12818</v>
      </c>
      <c r="G337" s="2" t="s">
        <v>28</v>
      </c>
      <c r="H337" s="7" t="s">
        <v>228</v>
      </c>
      <c r="I337" s="2" t="s">
        <v>292</v>
      </c>
      <c r="J337" s="2" t="s">
        <v>293</v>
      </c>
      <c r="K337" s="2" t="s">
        <v>304</v>
      </c>
      <c r="L337" s="2" t="s">
        <v>119</v>
      </c>
      <c r="M337" s="8" t="str">
        <f>HYPERLINK("http://slimages.macys.com/is/image/MCY/11527659 ")</f>
        <v xml:space="preserve">http://slimages.macys.com/is/image/MCY/11527659 </v>
      </c>
    </row>
    <row r="338" spans="1:13" ht="60" x14ac:dyDescent="0.25">
      <c r="A338" s="7" t="s">
        <v>12819</v>
      </c>
      <c r="B338" s="2" t="s">
        <v>12820</v>
      </c>
      <c r="C338" s="4">
        <v>1</v>
      </c>
      <c r="D338" s="5">
        <v>4.54</v>
      </c>
      <c r="E338" s="5">
        <v>10.99</v>
      </c>
      <c r="F338" s="4" t="s">
        <v>6357</v>
      </c>
      <c r="G338" s="2" t="s">
        <v>62</v>
      </c>
      <c r="H338" s="7" t="s">
        <v>311</v>
      </c>
      <c r="I338" s="2" t="s">
        <v>218</v>
      </c>
      <c r="J338" s="2" t="s">
        <v>2008</v>
      </c>
      <c r="K338" s="2" t="s">
        <v>304</v>
      </c>
      <c r="L338" s="2" t="s">
        <v>358</v>
      </c>
      <c r="M338" s="8" t="str">
        <f t="shared" ref="M338:M343" si="2">HYPERLINK("http://slimages.macys.com/is/image/MCY/12684315 ")</f>
        <v xml:space="preserve">http://slimages.macys.com/is/image/MCY/12684315 </v>
      </c>
    </row>
    <row r="339" spans="1:13" ht="60" x14ac:dyDescent="0.25">
      <c r="A339" s="7" t="s">
        <v>12821</v>
      </c>
      <c r="B339" s="2" t="s">
        <v>12822</v>
      </c>
      <c r="C339" s="4">
        <v>1</v>
      </c>
      <c r="D339" s="5">
        <v>4.54</v>
      </c>
      <c r="E339" s="5">
        <v>10.99</v>
      </c>
      <c r="F339" s="4" t="s">
        <v>6357</v>
      </c>
      <c r="G339" s="2" t="s">
        <v>874</v>
      </c>
      <c r="H339" s="7" t="s">
        <v>166</v>
      </c>
      <c r="I339" s="2" t="s">
        <v>218</v>
      </c>
      <c r="J339" s="2" t="s">
        <v>2008</v>
      </c>
      <c r="K339" s="2" t="s">
        <v>304</v>
      </c>
      <c r="L339" s="2" t="s">
        <v>358</v>
      </c>
      <c r="M339" s="8" t="str">
        <f t="shared" si="2"/>
        <v xml:space="preserve">http://slimages.macys.com/is/image/MCY/12684315 </v>
      </c>
    </row>
    <row r="340" spans="1:13" ht="60" x14ac:dyDescent="0.25">
      <c r="A340" s="7" t="s">
        <v>12823</v>
      </c>
      <c r="B340" s="2" t="s">
        <v>12824</v>
      </c>
      <c r="C340" s="4">
        <v>1</v>
      </c>
      <c r="D340" s="5">
        <v>4.54</v>
      </c>
      <c r="E340" s="5">
        <v>10.99</v>
      </c>
      <c r="F340" s="4" t="s">
        <v>6357</v>
      </c>
      <c r="G340" s="2" t="s">
        <v>62</v>
      </c>
      <c r="H340" s="7" t="s">
        <v>123</v>
      </c>
      <c r="I340" s="2" t="s">
        <v>218</v>
      </c>
      <c r="J340" s="2" t="s">
        <v>2008</v>
      </c>
      <c r="K340" s="2" t="s">
        <v>304</v>
      </c>
      <c r="L340" s="2" t="s">
        <v>358</v>
      </c>
      <c r="M340" s="8" t="str">
        <f t="shared" si="2"/>
        <v xml:space="preserve">http://slimages.macys.com/is/image/MCY/12684315 </v>
      </c>
    </row>
    <row r="341" spans="1:13" ht="60" x14ac:dyDescent="0.25">
      <c r="A341" s="7" t="s">
        <v>12825</v>
      </c>
      <c r="B341" s="2" t="s">
        <v>12826</v>
      </c>
      <c r="C341" s="4">
        <v>2</v>
      </c>
      <c r="D341" s="5">
        <v>4.54</v>
      </c>
      <c r="E341" s="5">
        <v>10.99</v>
      </c>
      <c r="F341" s="4" t="s">
        <v>6357</v>
      </c>
      <c r="G341" s="2" t="s">
        <v>62</v>
      </c>
      <c r="H341" s="7" t="s">
        <v>166</v>
      </c>
      <c r="I341" s="2" t="s">
        <v>218</v>
      </c>
      <c r="J341" s="2" t="s">
        <v>2008</v>
      </c>
      <c r="K341" s="2" t="s">
        <v>304</v>
      </c>
      <c r="L341" s="2" t="s">
        <v>358</v>
      </c>
      <c r="M341" s="8" t="str">
        <f t="shared" si="2"/>
        <v xml:space="preserve">http://slimages.macys.com/is/image/MCY/12684315 </v>
      </c>
    </row>
    <row r="342" spans="1:13" ht="60" x14ac:dyDescent="0.25">
      <c r="A342" s="7" t="s">
        <v>12827</v>
      </c>
      <c r="B342" s="2" t="s">
        <v>12828</v>
      </c>
      <c r="C342" s="4">
        <v>1</v>
      </c>
      <c r="D342" s="5">
        <v>4.54</v>
      </c>
      <c r="E342" s="5">
        <v>10.99</v>
      </c>
      <c r="F342" s="4" t="s">
        <v>6357</v>
      </c>
      <c r="G342" s="2" t="s">
        <v>62</v>
      </c>
      <c r="H342" s="7" t="s">
        <v>578</v>
      </c>
      <c r="I342" s="2" t="s">
        <v>218</v>
      </c>
      <c r="J342" s="2" t="s">
        <v>2008</v>
      </c>
      <c r="K342" s="2" t="s">
        <v>304</v>
      </c>
      <c r="L342" s="2" t="s">
        <v>358</v>
      </c>
      <c r="M342" s="8" t="str">
        <f t="shared" si="2"/>
        <v xml:space="preserve">http://slimages.macys.com/is/image/MCY/12684315 </v>
      </c>
    </row>
    <row r="343" spans="1:13" ht="60" x14ac:dyDescent="0.25">
      <c r="A343" s="7" t="s">
        <v>12829</v>
      </c>
      <c r="B343" s="2" t="s">
        <v>12830</v>
      </c>
      <c r="C343" s="4">
        <v>1</v>
      </c>
      <c r="D343" s="5">
        <v>4.54</v>
      </c>
      <c r="E343" s="5">
        <v>10.99</v>
      </c>
      <c r="F343" s="4" t="s">
        <v>6357</v>
      </c>
      <c r="G343" s="2" t="s">
        <v>874</v>
      </c>
      <c r="H343" s="7" t="s">
        <v>1151</v>
      </c>
      <c r="I343" s="2" t="s">
        <v>218</v>
      </c>
      <c r="J343" s="2" t="s">
        <v>2008</v>
      </c>
      <c r="K343" s="2" t="s">
        <v>304</v>
      </c>
      <c r="L343" s="2" t="s">
        <v>358</v>
      </c>
      <c r="M343" s="8" t="str">
        <f t="shared" si="2"/>
        <v xml:space="preserve">http://slimages.macys.com/is/image/MCY/12684315 </v>
      </c>
    </row>
    <row r="344" spans="1:13" ht="60" x14ac:dyDescent="0.25">
      <c r="A344" s="7" t="s">
        <v>11656</v>
      </c>
      <c r="B344" s="2" t="s">
        <v>12831</v>
      </c>
      <c r="C344" s="4">
        <v>1</v>
      </c>
      <c r="D344" s="5">
        <v>4.5</v>
      </c>
      <c r="E344" s="5">
        <v>10.99</v>
      </c>
      <c r="F344" s="4" t="s">
        <v>3467</v>
      </c>
      <c r="G344" s="2" t="s">
        <v>653</v>
      </c>
      <c r="H344" s="7" t="s">
        <v>284</v>
      </c>
      <c r="I344" s="2" t="s">
        <v>523</v>
      </c>
      <c r="J344" s="2" t="s">
        <v>921</v>
      </c>
      <c r="K344" s="2" t="s">
        <v>304</v>
      </c>
      <c r="L344" s="2" t="s">
        <v>3468</v>
      </c>
      <c r="M344" s="8" t="str">
        <f>HYPERLINK("http://slimages.macys.com/is/image/MCY/11247949 ")</f>
        <v xml:space="preserve">http://slimages.macys.com/is/image/MCY/11247949 </v>
      </c>
    </row>
    <row r="345" spans="1:13" ht="60" x14ac:dyDescent="0.25">
      <c r="A345" s="7" t="s">
        <v>12832</v>
      </c>
      <c r="B345" s="2" t="s">
        <v>12833</v>
      </c>
      <c r="C345" s="4">
        <v>1</v>
      </c>
      <c r="D345" s="5">
        <v>4.42</v>
      </c>
      <c r="E345" s="5">
        <v>10.99</v>
      </c>
      <c r="F345" s="4" t="s">
        <v>10576</v>
      </c>
      <c r="G345" s="2" t="s">
        <v>41</v>
      </c>
      <c r="H345" s="7" t="s">
        <v>284</v>
      </c>
      <c r="I345" s="2" t="s">
        <v>389</v>
      </c>
      <c r="J345" s="2" t="s">
        <v>354</v>
      </c>
      <c r="K345" s="2" t="s">
        <v>304</v>
      </c>
      <c r="L345" s="2" t="s">
        <v>119</v>
      </c>
      <c r="M345" s="8" t="str">
        <f>HYPERLINK("http://slimages.macys.com/is/image/MCY/12938559 ")</f>
        <v xml:space="preserve">http://slimages.macys.com/is/image/MCY/12938559 </v>
      </c>
    </row>
    <row r="346" spans="1:13" ht="60" x14ac:dyDescent="0.25">
      <c r="A346" s="7" t="s">
        <v>5550</v>
      </c>
      <c r="B346" s="2" t="s">
        <v>12834</v>
      </c>
      <c r="C346" s="4">
        <v>1</v>
      </c>
      <c r="D346" s="5">
        <v>4.4000000000000004</v>
      </c>
      <c r="E346" s="5">
        <v>9.99</v>
      </c>
      <c r="F346" s="4" t="s">
        <v>3474</v>
      </c>
      <c r="G346" s="2" t="s">
        <v>171</v>
      </c>
      <c r="H346" s="7" t="s">
        <v>228</v>
      </c>
      <c r="I346" s="2" t="s">
        <v>468</v>
      </c>
      <c r="J346" s="2" t="s">
        <v>469</v>
      </c>
      <c r="K346" s="2" t="s">
        <v>304</v>
      </c>
      <c r="L346" s="2" t="s">
        <v>119</v>
      </c>
      <c r="M346" s="8" t="str">
        <f>HYPERLINK("http://slimages.macys.com/is/image/MCY/12809149 ")</f>
        <v xml:space="preserve">http://slimages.macys.com/is/image/MCY/12809149 </v>
      </c>
    </row>
    <row r="347" spans="1:13" ht="60" x14ac:dyDescent="0.25">
      <c r="A347" s="7" t="s">
        <v>12835</v>
      </c>
      <c r="B347" s="2" t="s">
        <v>12836</v>
      </c>
      <c r="C347" s="4">
        <v>1</v>
      </c>
      <c r="D347" s="5">
        <v>4.38</v>
      </c>
      <c r="E347" s="5">
        <v>10.99</v>
      </c>
      <c r="F347" s="4" t="s">
        <v>10582</v>
      </c>
      <c r="G347" s="2" t="s">
        <v>476</v>
      </c>
      <c r="H347" s="7" t="s">
        <v>228</v>
      </c>
      <c r="I347" s="2" t="s">
        <v>389</v>
      </c>
      <c r="J347" s="2" t="s">
        <v>354</v>
      </c>
      <c r="K347" s="2" t="s">
        <v>304</v>
      </c>
      <c r="L347" s="2" t="s">
        <v>390</v>
      </c>
      <c r="M347" s="8" t="str">
        <f>HYPERLINK("http://slimages.macys.com/is/image/MCY/12121917 ")</f>
        <v xml:space="preserve">http://slimages.macys.com/is/image/MCY/12121917 </v>
      </c>
    </row>
    <row r="348" spans="1:13" ht="60" x14ac:dyDescent="0.25">
      <c r="A348" s="7" t="s">
        <v>10213</v>
      </c>
      <c r="B348" s="2" t="s">
        <v>12837</v>
      </c>
      <c r="C348" s="4">
        <v>1</v>
      </c>
      <c r="D348" s="5">
        <v>4.38</v>
      </c>
      <c r="E348" s="5">
        <v>11.99</v>
      </c>
      <c r="F348" s="4" t="s">
        <v>7762</v>
      </c>
      <c r="G348" s="2" t="s">
        <v>129</v>
      </c>
      <c r="H348" s="7" t="s">
        <v>159</v>
      </c>
      <c r="I348" s="2" t="s">
        <v>292</v>
      </c>
      <c r="J348" s="2" t="s">
        <v>293</v>
      </c>
      <c r="K348" s="2" t="s">
        <v>304</v>
      </c>
      <c r="L348" s="2" t="s">
        <v>119</v>
      </c>
      <c r="M348" s="8" t="str">
        <f>HYPERLINK("http://slimages.macys.com/is/image/MCY/13938960 ")</f>
        <v xml:space="preserve">http://slimages.macys.com/is/image/MCY/13938960 </v>
      </c>
    </row>
    <row r="349" spans="1:13" ht="60" x14ac:dyDescent="0.25">
      <c r="A349" s="7" t="s">
        <v>12838</v>
      </c>
      <c r="B349" s="2" t="s">
        <v>12839</v>
      </c>
      <c r="C349" s="4">
        <v>1</v>
      </c>
      <c r="D349" s="5">
        <v>4.3600000000000003</v>
      </c>
      <c r="E349" s="5">
        <v>12</v>
      </c>
      <c r="F349" s="4" t="s">
        <v>9672</v>
      </c>
      <c r="G349" s="2" t="s">
        <v>171</v>
      </c>
      <c r="H349" s="7"/>
      <c r="I349" s="2" t="s">
        <v>483</v>
      </c>
      <c r="J349" s="2" t="s">
        <v>536</v>
      </c>
      <c r="K349" s="2" t="s">
        <v>304</v>
      </c>
      <c r="L349" s="2" t="s">
        <v>119</v>
      </c>
      <c r="M349" s="8" t="str">
        <f>HYPERLINK("http://slimages.macys.com/is/image/MCY/12465008 ")</f>
        <v xml:space="preserve">http://slimages.macys.com/is/image/MCY/12465008 </v>
      </c>
    </row>
    <row r="350" spans="1:13" ht="60" x14ac:dyDescent="0.25">
      <c r="A350" s="7" t="s">
        <v>12840</v>
      </c>
      <c r="B350" s="2" t="s">
        <v>12841</v>
      </c>
      <c r="C350" s="4">
        <v>1</v>
      </c>
      <c r="D350" s="5">
        <v>4.3600000000000003</v>
      </c>
      <c r="E350" s="5">
        <v>9.99</v>
      </c>
      <c r="F350" s="4" t="s">
        <v>10586</v>
      </c>
      <c r="G350" s="2" t="s">
        <v>62</v>
      </c>
      <c r="H350" s="7" t="s">
        <v>159</v>
      </c>
      <c r="I350" s="2" t="s">
        <v>389</v>
      </c>
      <c r="J350" s="2" t="s">
        <v>354</v>
      </c>
      <c r="K350" s="2" t="s">
        <v>304</v>
      </c>
      <c r="L350" s="2" t="s">
        <v>358</v>
      </c>
      <c r="M350" s="8" t="str">
        <f>HYPERLINK("http://slimages.macys.com/is/image/MCY/3119399 ")</f>
        <v xml:space="preserve">http://slimages.macys.com/is/image/MCY/3119399 </v>
      </c>
    </row>
    <row r="351" spans="1:13" ht="60" x14ac:dyDescent="0.25">
      <c r="A351" s="7" t="s">
        <v>2050</v>
      </c>
      <c r="B351" s="2" t="s">
        <v>12842</v>
      </c>
      <c r="C351" s="4">
        <v>1</v>
      </c>
      <c r="D351" s="5">
        <v>4.32</v>
      </c>
      <c r="E351" s="5">
        <v>10.99</v>
      </c>
      <c r="F351" s="4">
        <v>10005384800</v>
      </c>
      <c r="G351" s="2" t="s">
        <v>1360</v>
      </c>
      <c r="H351" s="7" t="s">
        <v>442</v>
      </c>
      <c r="I351" s="2" t="s">
        <v>483</v>
      </c>
      <c r="J351" s="2" t="s">
        <v>536</v>
      </c>
      <c r="K351" s="2" t="s">
        <v>304</v>
      </c>
      <c r="L351" s="2" t="s">
        <v>119</v>
      </c>
      <c r="M351" s="8" t="str">
        <f>HYPERLINK("http://slimages.macys.com/is/image/MCY/12465277 ")</f>
        <v xml:space="preserve">http://slimages.macys.com/is/image/MCY/12465277 </v>
      </c>
    </row>
    <row r="352" spans="1:13" ht="60" x14ac:dyDescent="0.25">
      <c r="A352" s="7" t="s">
        <v>5556</v>
      </c>
      <c r="B352" s="2" t="s">
        <v>12843</v>
      </c>
      <c r="C352" s="4">
        <v>1</v>
      </c>
      <c r="D352" s="5">
        <v>4.32</v>
      </c>
      <c r="E352" s="5">
        <v>10.99</v>
      </c>
      <c r="F352" s="4">
        <v>10005384800</v>
      </c>
      <c r="G352" s="2" t="s">
        <v>86</v>
      </c>
      <c r="H352" s="7" t="s">
        <v>149</v>
      </c>
      <c r="I352" s="2" t="s">
        <v>483</v>
      </c>
      <c r="J352" s="2" t="s">
        <v>536</v>
      </c>
      <c r="K352" s="2" t="s">
        <v>304</v>
      </c>
      <c r="L352" s="2" t="s">
        <v>119</v>
      </c>
      <c r="M352" s="8" t="str">
        <f>HYPERLINK("http://slimages.macys.com/is/image/MCY/12465277 ")</f>
        <v xml:space="preserve">http://slimages.macys.com/is/image/MCY/12465277 </v>
      </c>
    </row>
    <row r="353" spans="1:13" ht="60" x14ac:dyDescent="0.25">
      <c r="A353" s="7" t="s">
        <v>12844</v>
      </c>
      <c r="B353" s="2" t="s">
        <v>12845</v>
      </c>
      <c r="C353" s="4">
        <v>1</v>
      </c>
      <c r="D353" s="5">
        <v>4.2699999999999996</v>
      </c>
      <c r="E353" s="5">
        <v>10.99</v>
      </c>
      <c r="F353" s="4" t="s">
        <v>5994</v>
      </c>
      <c r="G353" s="2" t="s">
        <v>62</v>
      </c>
      <c r="H353" s="7" t="s">
        <v>166</v>
      </c>
      <c r="I353" s="2" t="s">
        <v>218</v>
      </c>
      <c r="J353" s="2" t="s">
        <v>2008</v>
      </c>
      <c r="K353" s="2" t="s">
        <v>304</v>
      </c>
      <c r="L353" s="2" t="s">
        <v>119</v>
      </c>
      <c r="M353" s="8" t="str">
        <f t="shared" ref="M353:M369" si="3">HYPERLINK("http://slimages.macys.com/is/image/MCY/12684312 ")</f>
        <v xml:space="preserve">http://slimages.macys.com/is/image/MCY/12684312 </v>
      </c>
    </row>
    <row r="354" spans="1:13" ht="60" x14ac:dyDescent="0.25">
      <c r="A354" s="7" t="s">
        <v>12846</v>
      </c>
      <c r="B354" s="2" t="s">
        <v>12847</v>
      </c>
      <c r="C354" s="4">
        <v>3</v>
      </c>
      <c r="D354" s="5">
        <v>4.2699999999999996</v>
      </c>
      <c r="E354" s="5">
        <v>10.99</v>
      </c>
      <c r="F354" s="4" t="s">
        <v>5994</v>
      </c>
      <c r="G354" s="2" t="s">
        <v>28</v>
      </c>
      <c r="H354" s="7" t="s">
        <v>123</v>
      </c>
      <c r="I354" s="2" t="s">
        <v>218</v>
      </c>
      <c r="J354" s="2" t="s">
        <v>2008</v>
      </c>
      <c r="K354" s="2" t="s">
        <v>304</v>
      </c>
      <c r="L354" s="2" t="s">
        <v>119</v>
      </c>
      <c r="M354" s="8" t="str">
        <f t="shared" si="3"/>
        <v xml:space="preserve">http://slimages.macys.com/is/image/MCY/12684312 </v>
      </c>
    </row>
    <row r="355" spans="1:13" ht="60" x14ac:dyDescent="0.25">
      <c r="A355" s="7" t="s">
        <v>5992</v>
      </c>
      <c r="B355" s="2" t="s">
        <v>12848</v>
      </c>
      <c r="C355" s="4">
        <v>1</v>
      </c>
      <c r="D355" s="5">
        <v>4.2699999999999996</v>
      </c>
      <c r="E355" s="5">
        <v>10.99</v>
      </c>
      <c r="F355" s="4" t="s">
        <v>5994</v>
      </c>
      <c r="G355" s="2" t="s">
        <v>41</v>
      </c>
      <c r="H355" s="7" t="s">
        <v>123</v>
      </c>
      <c r="I355" s="2" t="s">
        <v>218</v>
      </c>
      <c r="J355" s="2" t="s">
        <v>2008</v>
      </c>
      <c r="K355" s="2" t="s">
        <v>304</v>
      </c>
      <c r="L355" s="2" t="s">
        <v>119</v>
      </c>
      <c r="M355" s="8" t="str">
        <f t="shared" si="3"/>
        <v xml:space="preserve">http://slimages.macys.com/is/image/MCY/12684312 </v>
      </c>
    </row>
    <row r="356" spans="1:13" ht="60" x14ac:dyDescent="0.25">
      <c r="A356" s="7" t="s">
        <v>12849</v>
      </c>
      <c r="B356" s="2" t="s">
        <v>12850</v>
      </c>
      <c r="C356" s="4">
        <v>1</v>
      </c>
      <c r="D356" s="5">
        <v>4.2699999999999996</v>
      </c>
      <c r="E356" s="5">
        <v>10.99</v>
      </c>
      <c r="F356" s="4" t="s">
        <v>5994</v>
      </c>
      <c r="G356" s="2" t="s">
        <v>41</v>
      </c>
      <c r="H356" s="7" t="s">
        <v>578</v>
      </c>
      <c r="I356" s="2" t="s">
        <v>218</v>
      </c>
      <c r="J356" s="2" t="s">
        <v>2008</v>
      </c>
      <c r="K356" s="2" t="s">
        <v>304</v>
      </c>
      <c r="L356" s="2" t="s">
        <v>119</v>
      </c>
      <c r="M356" s="8" t="str">
        <f t="shared" si="3"/>
        <v xml:space="preserve">http://slimages.macys.com/is/image/MCY/12684312 </v>
      </c>
    </row>
    <row r="357" spans="1:13" ht="60" x14ac:dyDescent="0.25">
      <c r="A357" s="7" t="s">
        <v>12851</v>
      </c>
      <c r="B357" s="2" t="s">
        <v>12852</v>
      </c>
      <c r="C357" s="4">
        <v>1</v>
      </c>
      <c r="D357" s="5">
        <v>4.2699999999999996</v>
      </c>
      <c r="E357" s="5">
        <v>10.99</v>
      </c>
      <c r="F357" s="4" t="s">
        <v>5994</v>
      </c>
      <c r="G357" s="2" t="s">
        <v>1360</v>
      </c>
      <c r="H357" s="7" t="s">
        <v>578</v>
      </c>
      <c r="I357" s="2" t="s">
        <v>218</v>
      </c>
      <c r="J357" s="2" t="s">
        <v>2008</v>
      </c>
      <c r="K357" s="2" t="s">
        <v>304</v>
      </c>
      <c r="L357" s="2" t="s">
        <v>119</v>
      </c>
      <c r="M357" s="8" t="str">
        <f t="shared" si="3"/>
        <v xml:space="preserve">http://slimages.macys.com/is/image/MCY/12684312 </v>
      </c>
    </row>
    <row r="358" spans="1:13" ht="60" x14ac:dyDescent="0.25">
      <c r="A358" s="7" t="s">
        <v>12853</v>
      </c>
      <c r="B358" s="2" t="s">
        <v>12854</v>
      </c>
      <c r="C358" s="4">
        <v>1</v>
      </c>
      <c r="D358" s="5">
        <v>4.2699999999999996</v>
      </c>
      <c r="E358" s="5">
        <v>10.99</v>
      </c>
      <c r="F358" s="4" t="s">
        <v>5994</v>
      </c>
      <c r="G358" s="2" t="s">
        <v>1360</v>
      </c>
      <c r="H358" s="7" t="s">
        <v>209</v>
      </c>
      <c r="I358" s="2" t="s">
        <v>218</v>
      </c>
      <c r="J358" s="2" t="s">
        <v>2008</v>
      </c>
      <c r="K358" s="2" t="s">
        <v>304</v>
      </c>
      <c r="L358" s="2" t="s">
        <v>119</v>
      </c>
      <c r="M358" s="8" t="str">
        <f t="shared" si="3"/>
        <v xml:space="preserve">http://slimages.macys.com/is/image/MCY/12684312 </v>
      </c>
    </row>
    <row r="359" spans="1:13" ht="60" x14ac:dyDescent="0.25">
      <c r="A359" s="7" t="s">
        <v>12855</v>
      </c>
      <c r="B359" s="2" t="s">
        <v>12856</v>
      </c>
      <c r="C359" s="4">
        <v>1</v>
      </c>
      <c r="D359" s="5">
        <v>4.2699999999999996</v>
      </c>
      <c r="E359" s="5">
        <v>10.99</v>
      </c>
      <c r="F359" s="4" t="s">
        <v>5994</v>
      </c>
      <c r="G359" s="2" t="s">
        <v>41</v>
      </c>
      <c r="H359" s="7" t="s">
        <v>166</v>
      </c>
      <c r="I359" s="2" t="s">
        <v>218</v>
      </c>
      <c r="J359" s="2" t="s">
        <v>2008</v>
      </c>
      <c r="K359" s="2" t="s">
        <v>304</v>
      </c>
      <c r="L359" s="2" t="s">
        <v>119</v>
      </c>
      <c r="M359" s="8" t="str">
        <f t="shared" si="3"/>
        <v xml:space="preserve">http://slimages.macys.com/is/image/MCY/12684312 </v>
      </c>
    </row>
    <row r="360" spans="1:13" ht="60" x14ac:dyDescent="0.25">
      <c r="A360" s="7" t="s">
        <v>12857</v>
      </c>
      <c r="B360" s="2" t="s">
        <v>12858</v>
      </c>
      <c r="C360" s="4">
        <v>1</v>
      </c>
      <c r="D360" s="5">
        <v>4.2699999999999996</v>
      </c>
      <c r="E360" s="5">
        <v>10.99</v>
      </c>
      <c r="F360" s="4" t="s">
        <v>5994</v>
      </c>
      <c r="G360" s="2" t="s">
        <v>1360</v>
      </c>
      <c r="H360" s="7" t="s">
        <v>311</v>
      </c>
      <c r="I360" s="2" t="s">
        <v>218</v>
      </c>
      <c r="J360" s="2" t="s">
        <v>2008</v>
      </c>
      <c r="K360" s="2" t="s">
        <v>304</v>
      </c>
      <c r="L360" s="2" t="s">
        <v>119</v>
      </c>
      <c r="M360" s="8" t="str">
        <f t="shared" si="3"/>
        <v xml:space="preserve">http://slimages.macys.com/is/image/MCY/12684312 </v>
      </c>
    </row>
    <row r="361" spans="1:13" ht="60" x14ac:dyDescent="0.25">
      <c r="A361" s="7" t="s">
        <v>12859</v>
      </c>
      <c r="B361" s="2" t="s">
        <v>12860</v>
      </c>
      <c r="C361" s="4">
        <v>2</v>
      </c>
      <c r="D361" s="5">
        <v>4.2699999999999996</v>
      </c>
      <c r="E361" s="5">
        <v>10.99</v>
      </c>
      <c r="F361" s="4" t="s">
        <v>5994</v>
      </c>
      <c r="G361" s="2" t="s">
        <v>86</v>
      </c>
      <c r="H361" s="7" t="s">
        <v>123</v>
      </c>
      <c r="I361" s="2" t="s">
        <v>218</v>
      </c>
      <c r="J361" s="2" t="s">
        <v>2008</v>
      </c>
      <c r="K361" s="2" t="s">
        <v>304</v>
      </c>
      <c r="L361" s="2" t="s">
        <v>119</v>
      </c>
      <c r="M361" s="8" t="str">
        <f t="shared" si="3"/>
        <v xml:space="preserve">http://slimages.macys.com/is/image/MCY/12684312 </v>
      </c>
    </row>
    <row r="362" spans="1:13" ht="60" x14ac:dyDescent="0.25">
      <c r="A362" s="7" t="s">
        <v>12861</v>
      </c>
      <c r="B362" s="2" t="s">
        <v>12862</v>
      </c>
      <c r="C362" s="4">
        <v>1</v>
      </c>
      <c r="D362" s="5">
        <v>4.2699999999999996</v>
      </c>
      <c r="E362" s="5">
        <v>10.99</v>
      </c>
      <c r="F362" s="4" t="s">
        <v>5994</v>
      </c>
      <c r="G362" s="2" t="s">
        <v>86</v>
      </c>
      <c r="H362" s="7" t="s">
        <v>1151</v>
      </c>
      <c r="I362" s="2" t="s">
        <v>218</v>
      </c>
      <c r="J362" s="2" t="s">
        <v>2008</v>
      </c>
      <c r="K362" s="2" t="s">
        <v>304</v>
      </c>
      <c r="L362" s="2" t="s">
        <v>119</v>
      </c>
      <c r="M362" s="8" t="str">
        <f t="shared" si="3"/>
        <v xml:space="preserve">http://slimages.macys.com/is/image/MCY/12684312 </v>
      </c>
    </row>
    <row r="363" spans="1:13" ht="60" x14ac:dyDescent="0.25">
      <c r="A363" s="7" t="s">
        <v>10588</v>
      </c>
      <c r="B363" s="2" t="s">
        <v>12863</v>
      </c>
      <c r="C363" s="4">
        <v>1</v>
      </c>
      <c r="D363" s="5">
        <v>4.2699999999999996</v>
      </c>
      <c r="E363" s="5">
        <v>10.99</v>
      </c>
      <c r="F363" s="4" t="s">
        <v>5994</v>
      </c>
      <c r="G363" s="2" t="s">
        <v>28</v>
      </c>
      <c r="H363" s="7" t="s">
        <v>311</v>
      </c>
      <c r="I363" s="2" t="s">
        <v>218</v>
      </c>
      <c r="J363" s="2" t="s">
        <v>2008</v>
      </c>
      <c r="K363" s="2" t="s">
        <v>304</v>
      </c>
      <c r="L363" s="2" t="s">
        <v>119</v>
      </c>
      <c r="M363" s="8" t="str">
        <f t="shared" si="3"/>
        <v xml:space="preserve">http://slimages.macys.com/is/image/MCY/12684312 </v>
      </c>
    </row>
    <row r="364" spans="1:13" ht="60" x14ac:dyDescent="0.25">
      <c r="A364" s="7" t="s">
        <v>9135</v>
      </c>
      <c r="B364" s="2" t="s">
        <v>12864</v>
      </c>
      <c r="C364" s="4">
        <v>1</v>
      </c>
      <c r="D364" s="5">
        <v>4.2699999999999996</v>
      </c>
      <c r="E364" s="5">
        <v>10.99</v>
      </c>
      <c r="F364" s="4" t="s">
        <v>5994</v>
      </c>
      <c r="G364" s="2" t="s">
        <v>28</v>
      </c>
      <c r="H364" s="7" t="s">
        <v>209</v>
      </c>
      <c r="I364" s="2" t="s">
        <v>218</v>
      </c>
      <c r="J364" s="2" t="s">
        <v>2008</v>
      </c>
      <c r="K364" s="2" t="s">
        <v>304</v>
      </c>
      <c r="L364" s="2" t="s">
        <v>119</v>
      </c>
      <c r="M364" s="8" t="str">
        <f t="shared" si="3"/>
        <v xml:space="preserve">http://slimages.macys.com/is/image/MCY/12684312 </v>
      </c>
    </row>
    <row r="365" spans="1:13" ht="60" x14ac:dyDescent="0.25">
      <c r="A365" s="7" t="s">
        <v>12865</v>
      </c>
      <c r="B365" s="2" t="s">
        <v>12866</v>
      </c>
      <c r="C365" s="4">
        <v>2</v>
      </c>
      <c r="D365" s="5">
        <v>4.2699999999999996</v>
      </c>
      <c r="E365" s="5">
        <v>10.99</v>
      </c>
      <c r="F365" s="4" t="s">
        <v>5994</v>
      </c>
      <c r="G365" s="2" t="s">
        <v>41</v>
      </c>
      <c r="H365" s="7" t="s">
        <v>311</v>
      </c>
      <c r="I365" s="2" t="s">
        <v>218</v>
      </c>
      <c r="J365" s="2" t="s">
        <v>2008</v>
      </c>
      <c r="K365" s="2" t="s">
        <v>304</v>
      </c>
      <c r="L365" s="2" t="s">
        <v>119</v>
      </c>
      <c r="M365" s="8" t="str">
        <f t="shared" si="3"/>
        <v xml:space="preserve">http://slimages.macys.com/is/image/MCY/12684312 </v>
      </c>
    </row>
    <row r="366" spans="1:13" ht="60" x14ac:dyDescent="0.25">
      <c r="A366" s="7" t="s">
        <v>12867</v>
      </c>
      <c r="B366" s="2" t="s">
        <v>12868</v>
      </c>
      <c r="C366" s="4">
        <v>1</v>
      </c>
      <c r="D366" s="5">
        <v>4.2699999999999996</v>
      </c>
      <c r="E366" s="5">
        <v>10.99</v>
      </c>
      <c r="F366" s="4" t="s">
        <v>5994</v>
      </c>
      <c r="G366" s="2" t="s">
        <v>62</v>
      </c>
      <c r="H366" s="7" t="s">
        <v>1151</v>
      </c>
      <c r="I366" s="2" t="s">
        <v>218</v>
      </c>
      <c r="J366" s="2" t="s">
        <v>2008</v>
      </c>
      <c r="K366" s="2" t="s">
        <v>304</v>
      </c>
      <c r="L366" s="2" t="s">
        <v>119</v>
      </c>
      <c r="M366" s="8" t="str">
        <f t="shared" si="3"/>
        <v xml:space="preserve">http://slimages.macys.com/is/image/MCY/12684312 </v>
      </c>
    </row>
    <row r="367" spans="1:13" ht="60" x14ac:dyDescent="0.25">
      <c r="A367" s="7" t="s">
        <v>12869</v>
      </c>
      <c r="B367" s="2" t="s">
        <v>12870</v>
      </c>
      <c r="C367" s="4">
        <v>1</v>
      </c>
      <c r="D367" s="5">
        <v>4.2699999999999996</v>
      </c>
      <c r="E367" s="5">
        <v>10.99</v>
      </c>
      <c r="F367" s="4" t="s">
        <v>5994</v>
      </c>
      <c r="G367" s="2" t="s">
        <v>129</v>
      </c>
      <c r="H367" s="7" t="s">
        <v>123</v>
      </c>
      <c r="I367" s="2" t="s">
        <v>218</v>
      </c>
      <c r="J367" s="2" t="s">
        <v>2008</v>
      </c>
      <c r="K367" s="2" t="s">
        <v>304</v>
      </c>
      <c r="L367" s="2" t="s">
        <v>119</v>
      </c>
      <c r="M367" s="8" t="str">
        <f t="shared" si="3"/>
        <v xml:space="preserve">http://slimages.macys.com/is/image/MCY/12684312 </v>
      </c>
    </row>
    <row r="368" spans="1:13" ht="60" x14ac:dyDescent="0.25">
      <c r="A368" s="7" t="s">
        <v>9673</v>
      </c>
      <c r="B368" s="2" t="s">
        <v>12871</v>
      </c>
      <c r="C368" s="4">
        <v>1</v>
      </c>
      <c r="D368" s="5">
        <v>4.2699999999999996</v>
      </c>
      <c r="E368" s="5">
        <v>10.99</v>
      </c>
      <c r="F368" s="4" t="s">
        <v>5994</v>
      </c>
      <c r="G368" s="2" t="s">
        <v>62</v>
      </c>
      <c r="H368" s="7" t="s">
        <v>311</v>
      </c>
      <c r="I368" s="2" t="s">
        <v>218</v>
      </c>
      <c r="J368" s="2" t="s">
        <v>2008</v>
      </c>
      <c r="K368" s="2" t="s">
        <v>304</v>
      </c>
      <c r="L368" s="2" t="s">
        <v>119</v>
      </c>
      <c r="M368" s="8" t="str">
        <f t="shared" si="3"/>
        <v xml:space="preserve">http://slimages.macys.com/is/image/MCY/12684312 </v>
      </c>
    </row>
    <row r="369" spans="1:13" ht="60" x14ac:dyDescent="0.25">
      <c r="A369" s="7" t="s">
        <v>8352</v>
      </c>
      <c r="B369" s="2" t="s">
        <v>12872</v>
      </c>
      <c r="C369" s="4">
        <v>2</v>
      </c>
      <c r="D369" s="5">
        <v>4.2699999999999996</v>
      </c>
      <c r="E369" s="5">
        <v>10.99</v>
      </c>
      <c r="F369" s="4" t="s">
        <v>5994</v>
      </c>
      <c r="G369" s="2" t="s">
        <v>86</v>
      </c>
      <c r="H369" s="7" t="s">
        <v>311</v>
      </c>
      <c r="I369" s="2" t="s">
        <v>218</v>
      </c>
      <c r="J369" s="2" t="s">
        <v>2008</v>
      </c>
      <c r="K369" s="2" t="s">
        <v>304</v>
      </c>
      <c r="L369" s="2" t="s">
        <v>119</v>
      </c>
      <c r="M369" s="8" t="str">
        <f t="shared" si="3"/>
        <v xml:space="preserve">http://slimages.macys.com/is/image/MCY/12684312 </v>
      </c>
    </row>
    <row r="370" spans="1:13" ht="60" x14ac:dyDescent="0.25">
      <c r="A370" s="7" t="s">
        <v>12873</v>
      </c>
      <c r="B370" s="2" t="s">
        <v>12874</v>
      </c>
      <c r="C370" s="4">
        <v>1</v>
      </c>
      <c r="D370" s="5">
        <v>4.25</v>
      </c>
      <c r="E370" s="5">
        <v>9.99</v>
      </c>
      <c r="F370" s="4" t="s">
        <v>2064</v>
      </c>
      <c r="G370" s="2" t="s">
        <v>800</v>
      </c>
      <c r="H370" s="7" t="s">
        <v>1661</v>
      </c>
      <c r="I370" s="2" t="s">
        <v>135</v>
      </c>
      <c r="J370" s="2" t="s">
        <v>778</v>
      </c>
      <c r="K370" s="2" t="s">
        <v>304</v>
      </c>
      <c r="L370" s="2" t="s">
        <v>119</v>
      </c>
      <c r="M370" s="8" t="str">
        <f>HYPERLINK("http://slimages.macys.com/is/image/MCY/12339756 ")</f>
        <v xml:space="preserve">http://slimages.macys.com/is/image/MCY/12339756 </v>
      </c>
    </row>
    <row r="371" spans="1:13" ht="60" x14ac:dyDescent="0.25">
      <c r="A371" s="7" t="s">
        <v>8353</v>
      </c>
      <c r="B371" s="2" t="s">
        <v>12875</v>
      </c>
      <c r="C371" s="4">
        <v>1</v>
      </c>
      <c r="D371" s="5">
        <v>4.25</v>
      </c>
      <c r="E371" s="5">
        <v>7.99</v>
      </c>
      <c r="F371" s="4" t="s">
        <v>2059</v>
      </c>
      <c r="G371" s="2" t="s">
        <v>41</v>
      </c>
      <c r="H371" s="7" t="s">
        <v>311</v>
      </c>
      <c r="I371" s="2" t="s">
        <v>73</v>
      </c>
      <c r="J371" s="2" t="s">
        <v>1963</v>
      </c>
      <c r="K371" s="2" t="s">
        <v>304</v>
      </c>
      <c r="L371" s="2" t="s">
        <v>119</v>
      </c>
      <c r="M371" s="8" t="str">
        <f>HYPERLINK("http://slimages.macys.com/is/image/MCY/11272141 ")</f>
        <v xml:space="preserve">http://slimages.macys.com/is/image/MCY/11272141 </v>
      </c>
    </row>
    <row r="372" spans="1:13" ht="60" x14ac:dyDescent="0.25">
      <c r="A372" s="7" t="s">
        <v>11177</v>
      </c>
      <c r="B372" s="2" t="s">
        <v>12876</v>
      </c>
      <c r="C372" s="4">
        <v>1</v>
      </c>
      <c r="D372" s="5">
        <v>4.25</v>
      </c>
      <c r="E372" s="5">
        <v>7.99</v>
      </c>
      <c r="F372" s="4" t="s">
        <v>2072</v>
      </c>
      <c r="G372" s="2" t="s">
        <v>41</v>
      </c>
      <c r="H372" s="7" t="s">
        <v>311</v>
      </c>
      <c r="I372" s="2" t="s">
        <v>73</v>
      </c>
      <c r="J372" s="2" t="s">
        <v>1963</v>
      </c>
      <c r="K372" s="2" t="s">
        <v>304</v>
      </c>
      <c r="L372" s="2" t="s">
        <v>119</v>
      </c>
      <c r="M372" s="8" t="str">
        <f>HYPERLINK("http://slimages.macys.com/is/image/MCY/12684273 ")</f>
        <v xml:space="preserve">http://slimages.macys.com/is/image/MCY/12684273 </v>
      </c>
    </row>
    <row r="373" spans="1:13" ht="60" x14ac:dyDescent="0.25">
      <c r="A373" s="7" t="s">
        <v>12877</v>
      </c>
      <c r="B373" s="2" t="s">
        <v>12878</v>
      </c>
      <c r="C373" s="4">
        <v>1</v>
      </c>
      <c r="D373" s="5">
        <v>4.25</v>
      </c>
      <c r="E373" s="5">
        <v>9.99</v>
      </c>
      <c r="F373" s="4" t="s">
        <v>6004</v>
      </c>
      <c r="G373" s="2" t="s">
        <v>41</v>
      </c>
      <c r="H373" s="7" t="s">
        <v>233</v>
      </c>
      <c r="I373" s="2" t="s">
        <v>92</v>
      </c>
      <c r="J373" s="2" t="s">
        <v>778</v>
      </c>
      <c r="K373" s="2" t="s">
        <v>304</v>
      </c>
      <c r="L373" s="2" t="s">
        <v>119</v>
      </c>
      <c r="M373" s="8" t="str">
        <f>HYPERLINK("http://slimages.macys.com/is/image/MCY/12340312 ")</f>
        <v xml:space="preserve">http://slimages.macys.com/is/image/MCY/12340312 </v>
      </c>
    </row>
    <row r="374" spans="1:13" ht="60" x14ac:dyDescent="0.25">
      <c r="A374" s="7" t="s">
        <v>6366</v>
      </c>
      <c r="B374" s="2" t="s">
        <v>12879</v>
      </c>
      <c r="C374" s="4">
        <v>2</v>
      </c>
      <c r="D374" s="5">
        <v>4.22</v>
      </c>
      <c r="E374" s="5">
        <v>9.99</v>
      </c>
      <c r="F374" s="4" t="s">
        <v>6368</v>
      </c>
      <c r="G374" s="2" t="s">
        <v>129</v>
      </c>
      <c r="H374" s="7" t="s">
        <v>123</v>
      </c>
      <c r="I374" s="2" t="s">
        <v>515</v>
      </c>
      <c r="J374" s="2" t="s">
        <v>875</v>
      </c>
      <c r="K374" s="2" t="s">
        <v>304</v>
      </c>
      <c r="L374" s="2" t="s">
        <v>119</v>
      </c>
      <c r="M374" s="8" t="str">
        <f t="shared" ref="M374:M379" si="4">HYPERLINK("http://slimages.macys.com/is/image/MCY/12953207 ")</f>
        <v xml:space="preserve">http://slimages.macys.com/is/image/MCY/12953207 </v>
      </c>
    </row>
    <row r="375" spans="1:13" ht="60" x14ac:dyDescent="0.25">
      <c r="A375" s="7" t="s">
        <v>8358</v>
      </c>
      <c r="B375" s="2" t="s">
        <v>12880</v>
      </c>
      <c r="C375" s="4">
        <v>1</v>
      </c>
      <c r="D375" s="5">
        <v>4.22</v>
      </c>
      <c r="E375" s="5">
        <v>9.99</v>
      </c>
      <c r="F375" s="4" t="s">
        <v>6368</v>
      </c>
      <c r="G375" s="2" t="s">
        <v>129</v>
      </c>
      <c r="H375" s="7" t="s">
        <v>514</v>
      </c>
      <c r="I375" s="2" t="s">
        <v>515</v>
      </c>
      <c r="J375" s="2" t="s">
        <v>875</v>
      </c>
      <c r="K375" s="2" t="s">
        <v>304</v>
      </c>
      <c r="L375" s="2" t="s">
        <v>119</v>
      </c>
      <c r="M375" s="8" t="str">
        <f t="shared" si="4"/>
        <v xml:space="preserve">http://slimages.macys.com/is/image/MCY/12953207 </v>
      </c>
    </row>
    <row r="376" spans="1:13" ht="60" x14ac:dyDescent="0.25">
      <c r="A376" s="7" t="s">
        <v>12881</v>
      </c>
      <c r="B376" s="2" t="s">
        <v>12882</v>
      </c>
      <c r="C376" s="4">
        <v>3</v>
      </c>
      <c r="D376" s="5">
        <v>4.22</v>
      </c>
      <c r="E376" s="5">
        <v>9.99</v>
      </c>
      <c r="F376" s="4" t="s">
        <v>6368</v>
      </c>
      <c r="G376" s="2" t="s">
        <v>129</v>
      </c>
      <c r="H376" s="7" t="s">
        <v>1151</v>
      </c>
      <c r="I376" s="2" t="s">
        <v>515</v>
      </c>
      <c r="J376" s="2" t="s">
        <v>875</v>
      </c>
      <c r="K376" s="2" t="s">
        <v>304</v>
      </c>
      <c r="L376" s="2" t="s">
        <v>119</v>
      </c>
      <c r="M376" s="8" t="str">
        <f t="shared" si="4"/>
        <v xml:space="preserve">http://slimages.macys.com/is/image/MCY/12953207 </v>
      </c>
    </row>
    <row r="377" spans="1:13" ht="60" x14ac:dyDescent="0.25">
      <c r="A377" s="7" t="s">
        <v>12883</v>
      </c>
      <c r="B377" s="2" t="s">
        <v>12884</v>
      </c>
      <c r="C377" s="4">
        <v>1</v>
      </c>
      <c r="D377" s="5">
        <v>4.22</v>
      </c>
      <c r="E377" s="5">
        <v>9.99</v>
      </c>
      <c r="F377" s="4" t="s">
        <v>6368</v>
      </c>
      <c r="G377" s="2" t="s">
        <v>129</v>
      </c>
      <c r="H377" s="7" t="s">
        <v>63</v>
      </c>
      <c r="I377" s="2" t="s">
        <v>515</v>
      </c>
      <c r="J377" s="2" t="s">
        <v>875</v>
      </c>
      <c r="K377" s="2" t="s">
        <v>304</v>
      </c>
      <c r="L377" s="2" t="s">
        <v>119</v>
      </c>
      <c r="M377" s="8" t="str">
        <f t="shared" si="4"/>
        <v xml:space="preserve">http://slimages.macys.com/is/image/MCY/12953207 </v>
      </c>
    </row>
    <row r="378" spans="1:13" ht="60" x14ac:dyDescent="0.25">
      <c r="A378" s="7" t="s">
        <v>12885</v>
      </c>
      <c r="B378" s="2" t="s">
        <v>12886</v>
      </c>
      <c r="C378" s="4">
        <v>1</v>
      </c>
      <c r="D378" s="5">
        <v>4.22</v>
      </c>
      <c r="E378" s="5">
        <v>9.99</v>
      </c>
      <c r="F378" s="4" t="s">
        <v>6368</v>
      </c>
      <c r="G378" s="2" t="s">
        <v>129</v>
      </c>
      <c r="H378" s="7" t="s">
        <v>311</v>
      </c>
      <c r="I378" s="2" t="s">
        <v>515</v>
      </c>
      <c r="J378" s="2" t="s">
        <v>875</v>
      </c>
      <c r="K378" s="2" t="s">
        <v>304</v>
      </c>
      <c r="L378" s="2" t="s">
        <v>119</v>
      </c>
      <c r="M378" s="8" t="str">
        <f t="shared" si="4"/>
        <v xml:space="preserve">http://slimages.macys.com/is/image/MCY/12953207 </v>
      </c>
    </row>
    <row r="379" spans="1:13" ht="60" x14ac:dyDescent="0.25">
      <c r="A379" s="7" t="s">
        <v>12887</v>
      </c>
      <c r="B379" s="2" t="s">
        <v>12888</v>
      </c>
      <c r="C379" s="4">
        <v>2</v>
      </c>
      <c r="D379" s="5">
        <v>4.22</v>
      </c>
      <c r="E379" s="5">
        <v>9.99</v>
      </c>
      <c r="F379" s="4" t="s">
        <v>6368</v>
      </c>
      <c r="G379" s="2" t="s">
        <v>129</v>
      </c>
      <c r="H379" s="7" t="s">
        <v>578</v>
      </c>
      <c r="I379" s="2" t="s">
        <v>515</v>
      </c>
      <c r="J379" s="2" t="s">
        <v>875</v>
      </c>
      <c r="K379" s="2" t="s">
        <v>304</v>
      </c>
      <c r="L379" s="2" t="s">
        <v>119</v>
      </c>
      <c r="M379" s="8" t="str">
        <f t="shared" si="4"/>
        <v xml:space="preserve">http://slimages.macys.com/is/image/MCY/12953207 </v>
      </c>
    </row>
    <row r="380" spans="1:13" ht="60" x14ac:dyDescent="0.25">
      <c r="A380" s="7" t="s">
        <v>12889</v>
      </c>
      <c r="B380" s="2" t="s">
        <v>12890</v>
      </c>
      <c r="C380" s="4">
        <v>1</v>
      </c>
      <c r="D380" s="5">
        <v>4.16</v>
      </c>
      <c r="E380" s="5">
        <v>10.99</v>
      </c>
      <c r="F380" s="4" t="s">
        <v>12891</v>
      </c>
      <c r="G380" s="2" t="s">
        <v>86</v>
      </c>
      <c r="H380" s="7" t="s">
        <v>196</v>
      </c>
      <c r="I380" s="2" t="s">
        <v>389</v>
      </c>
      <c r="J380" s="2" t="s">
        <v>354</v>
      </c>
      <c r="K380" s="2" t="s">
        <v>304</v>
      </c>
      <c r="L380" s="2" t="s">
        <v>390</v>
      </c>
      <c r="M380" s="8" t="str">
        <f>HYPERLINK("http://slimages.macys.com/is/image/MCY/12121972 ")</f>
        <v xml:space="preserve">http://slimages.macys.com/is/image/MCY/12121972 </v>
      </c>
    </row>
    <row r="381" spans="1:13" ht="60" x14ac:dyDescent="0.25">
      <c r="A381" s="7" t="s">
        <v>12892</v>
      </c>
      <c r="B381" s="2" t="s">
        <v>12893</v>
      </c>
      <c r="C381" s="4">
        <v>1</v>
      </c>
      <c r="D381" s="5">
        <v>4.1500000000000004</v>
      </c>
      <c r="E381" s="5">
        <v>10.99</v>
      </c>
      <c r="F381" s="4" t="s">
        <v>12894</v>
      </c>
      <c r="G381" s="2" t="s">
        <v>892</v>
      </c>
      <c r="H381" s="7"/>
      <c r="I381" s="2" t="s">
        <v>312</v>
      </c>
      <c r="J381" s="2" t="s">
        <v>2077</v>
      </c>
      <c r="K381" s="2" t="s">
        <v>304</v>
      </c>
      <c r="L381" s="2" t="s">
        <v>5566</v>
      </c>
      <c r="M381" s="8" t="str">
        <f>HYPERLINK("http://slimages.macys.com/is/image/MCY/12045147 ")</f>
        <v xml:space="preserve">http://slimages.macys.com/is/image/MCY/12045147 </v>
      </c>
    </row>
    <row r="382" spans="1:13" ht="60" x14ac:dyDescent="0.25">
      <c r="A382" s="7" t="s">
        <v>12895</v>
      </c>
      <c r="B382" s="2" t="s">
        <v>12896</v>
      </c>
      <c r="C382" s="4">
        <v>1</v>
      </c>
      <c r="D382" s="5">
        <v>4.1500000000000004</v>
      </c>
      <c r="E382" s="5">
        <v>9.99</v>
      </c>
      <c r="F382" s="4" t="s">
        <v>6371</v>
      </c>
      <c r="G382" s="2" t="s">
        <v>62</v>
      </c>
      <c r="H382" s="7" t="s">
        <v>284</v>
      </c>
      <c r="I382" s="2" t="s">
        <v>468</v>
      </c>
      <c r="J382" s="2" t="s">
        <v>469</v>
      </c>
      <c r="K382" s="2" t="s">
        <v>304</v>
      </c>
      <c r="L382" s="2" t="s">
        <v>119</v>
      </c>
      <c r="M382" s="8" t="str">
        <f>HYPERLINK("http://slimages.macys.com/is/image/MCY/12809145 ")</f>
        <v xml:space="preserve">http://slimages.macys.com/is/image/MCY/12809145 </v>
      </c>
    </row>
    <row r="383" spans="1:13" ht="60" x14ac:dyDescent="0.25">
      <c r="A383" s="7" t="s">
        <v>2088</v>
      </c>
      <c r="B383" s="2" t="s">
        <v>12897</v>
      </c>
      <c r="C383" s="4">
        <v>1</v>
      </c>
      <c r="D383" s="5">
        <v>4.1100000000000003</v>
      </c>
      <c r="E383" s="5">
        <v>10.99</v>
      </c>
      <c r="F383" s="4" t="s">
        <v>2090</v>
      </c>
      <c r="G383" s="2" t="s">
        <v>36</v>
      </c>
      <c r="H383" s="7" t="s">
        <v>228</v>
      </c>
      <c r="I383" s="2" t="s">
        <v>389</v>
      </c>
      <c r="J383" s="2" t="s">
        <v>354</v>
      </c>
      <c r="K383" s="2" t="s">
        <v>304</v>
      </c>
      <c r="L383" s="2" t="s">
        <v>119</v>
      </c>
      <c r="M383" s="8" t="str">
        <f>HYPERLINK("http://slimages.macys.com/is/image/MCY/12650597 ")</f>
        <v xml:space="preserve">http://slimages.macys.com/is/image/MCY/12650597 </v>
      </c>
    </row>
    <row r="384" spans="1:13" ht="60" x14ac:dyDescent="0.25">
      <c r="A384" s="7" t="s">
        <v>12147</v>
      </c>
      <c r="B384" s="2" t="s">
        <v>12898</v>
      </c>
      <c r="C384" s="4">
        <v>1</v>
      </c>
      <c r="D384" s="5">
        <v>4.1100000000000003</v>
      </c>
      <c r="E384" s="5">
        <v>10.99</v>
      </c>
      <c r="F384" s="4" t="s">
        <v>9680</v>
      </c>
      <c r="G384" s="2" t="s">
        <v>793</v>
      </c>
      <c r="H384" s="7" t="s">
        <v>228</v>
      </c>
      <c r="I384" s="2" t="s">
        <v>389</v>
      </c>
      <c r="J384" s="2" t="s">
        <v>354</v>
      </c>
      <c r="K384" s="2" t="s">
        <v>304</v>
      </c>
      <c r="L384" s="2" t="s">
        <v>119</v>
      </c>
      <c r="M384" s="8" t="str">
        <f>HYPERLINK("http://slimages.macys.com/is/image/MCY/12121585 ")</f>
        <v xml:space="preserve">http://slimages.macys.com/is/image/MCY/12121585 </v>
      </c>
    </row>
    <row r="385" spans="1:13" ht="60" x14ac:dyDescent="0.25">
      <c r="A385" s="7" t="s">
        <v>9678</v>
      </c>
      <c r="B385" s="2" t="s">
        <v>12899</v>
      </c>
      <c r="C385" s="4">
        <v>1</v>
      </c>
      <c r="D385" s="5">
        <v>4.1100000000000003</v>
      </c>
      <c r="E385" s="5">
        <v>10.99</v>
      </c>
      <c r="F385" s="4" t="s">
        <v>9680</v>
      </c>
      <c r="G385" s="2" t="s">
        <v>793</v>
      </c>
      <c r="H385" s="7" t="s">
        <v>196</v>
      </c>
      <c r="I385" s="2" t="s">
        <v>389</v>
      </c>
      <c r="J385" s="2" t="s">
        <v>354</v>
      </c>
      <c r="K385" s="2" t="s">
        <v>304</v>
      </c>
      <c r="L385" s="2" t="s">
        <v>119</v>
      </c>
      <c r="M385" s="8" t="str">
        <f>HYPERLINK("http://slimages.macys.com/is/image/MCY/12121585 ")</f>
        <v xml:space="preserve">http://slimages.macys.com/is/image/MCY/12121585 </v>
      </c>
    </row>
    <row r="386" spans="1:13" ht="60" x14ac:dyDescent="0.25">
      <c r="A386" s="7" t="s">
        <v>12900</v>
      </c>
      <c r="B386" s="2" t="s">
        <v>12901</v>
      </c>
      <c r="C386" s="4">
        <v>1</v>
      </c>
      <c r="D386" s="5">
        <v>4.1100000000000003</v>
      </c>
      <c r="E386" s="5">
        <v>10.99</v>
      </c>
      <c r="F386" s="4" t="s">
        <v>9680</v>
      </c>
      <c r="G386" s="2" t="s">
        <v>793</v>
      </c>
      <c r="H386" s="7" t="s">
        <v>159</v>
      </c>
      <c r="I386" s="2" t="s">
        <v>389</v>
      </c>
      <c r="J386" s="2" t="s">
        <v>354</v>
      </c>
      <c r="K386" s="2" t="s">
        <v>304</v>
      </c>
      <c r="L386" s="2" t="s">
        <v>119</v>
      </c>
      <c r="M386" s="8" t="str">
        <f>HYPERLINK("http://slimages.macys.com/is/image/MCY/12121585 ")</f>
        <v xml:space="preserve">http://slimages.macys.com/is/image/MCY/12121585 </v>
      </c>
    </row>
    <row r="387" spans="1:13" ht="60" x14ac:dyDescent="0.25">
      <c r="A387" s="7" t="s">
        <v>12902</v>
      </c>
      <c r="B387" s="2" t="s">
        <v>12903</v>
      </c>
      <c r="C387" s="4">
        <v>1</v>
      </c>
      <c r="D387" s="5">
        <v>4.04</v>
      </c>
      <c r="E387" s="5">
        <v>6.99</v>
      </c>
      <c r="F387" s="4" t="s">
        <v>9149</v>
      </c>
      <c r="G387" s="2" t="s">
        <v>303</v>
      </c>
      <c r="H387" s="7" t="s">
        <v>196</v>
      </c>
      <c r="I387" s="2" t="s">
        <v>73</v>
      </c>
      <c r="J387" s="2" t="s">
        <v>1917</v>
      </c>
      <c r="K387" s="2" t="s">
        <v>304</v>
      </c>
      <c r="L387" s="2" t="s">
        <v>119</v>
      </c>
      <c r="M387" s="8" t="str">
        <f>HYPERLINK("http://slimages.macys.com/is/image/MCY/12952993 ")</f>
        <v xml:space="preserve">http://slimages.macys.com/is/image/MCY/12952993 </v>
      </c>
    </row>
    <row r="388" spans="1:13" ht="60" x14ac:dyDescent="0.25">
      <c r="A388" s="7" t="s">
        <v>12904</v>
      </c>
      <c r="B388" s="2" t="s">
        <v>12905</v>
      </c>
      <c r="C388" s="4">
        <v>2</v>
      </c>
      <c r="D388" s="5">
        <v>4.04</v>
      </c>
      <c r="E388" s="5">
        <v>6.99</v>
      </c>
      <c r="F388" s="4" t="s">
        <v>9149</v>
      </c>
      <c r="G388" s="2" t="s">
        <v>303</v>
      </c>
      <c r="H388" s="7" t="s">
        <v>228</v>
      </c>
      <c r="I388" s="2" t="s">
        <v>73</v>
      </c>
      <c r="J388" s="2" t="s">
        <v>1917</v>
      </c>
      <c r="K388" s="2" t="s">
        <v>304</v>
      </c>
      <c r="L388" s="2" t="s">
        <v>119</v>
      </c>
      <c r="M388" s="8" t="str">
        <f>HYPERLINK("http://slimages.macys.com/is/image/MCY/12952993 ")</f>
        <v xml:space="preserve">http://slimages.macys.com/is/image/MCY/12952993 </v>
      </c>
    </row>
    <row r="389" spans="1:13" ht="60" x14ac:dyDescent="0.25">
      <c r="A389" s="7" t="s">
        <v>12906</v>
      </c>
      <c r="B389" s="2" t="s">
        <v>12907</v>
      </c>
      <c r="C389" s="4">
        <v>1</v>
      </c>
      <c r="D389" s="5">
        <v>4.04</v>
      </c>
      <c r="E389" s="5">
        <v>6.99</v>
      </c>
      <c r="F389" s="4" t="s">
        <v>9149</v>
      </c>
      <c r="G389" s="2" t="s">
        <v>303</v>
      </c>
      <c r="H389" s="7" t="s">
        <v>159</v>
      </c>
      <c r="I389" s="2" t="s">
        <v>73</v>
      </c>
      <c r="J389" s="2" t="s">
        <v>1917</v>
      </c>
      <c r="K389" s="2" t="s">
        <v>304</v>
      </c>
      <c r="L389" s="2" t="s">
        <v>119</v>
      </c>
      <c r="M389" s="8" t="str">
        <f>HYPERLINK("http://slimages.macys.com/is/image/MCY/12952993 ")</f>
        <v xml:space="preserve">http://slimages.macys.com/is/image/MCY/12952993 </v>
      </c>
    </row>
    <row r="390" spans="1:13" ht="60" x14ac:dyDescent="0.25">
      <c r="A390" s="7" t="s">
        <v>12908</v>
      </c>
      <c r="B390" s="2" t="s">
        <v>12909</v>
      </c>
      <c r="C390" s="4">
        <v>1</v>
      </c>
      <c r="D390" s="5">
        <v>4.04</v>
      </c>
      <c r="E390" s="5">
        <v>6.99</v>
      </c>
      <c r="F390" s="4" t="s">
        <v>12910</v>
      </c>
      <c r="G390" s="2" t="s">
        <v>48</v>
      </c>
      <c r="H390" s="7" t="s">
        <v>284</v>
      </c>
      <c r="I390" s="2" t="s">
        <v>80</v>
      </c>
      <c r="J390" s="2" t="s">
        <v>1917</v>
      </c>
      <c r="K390" s="2" t="s">
        <v>304</v>
      </c>
      <c r="L390" s="2" t="s">
        <v>119</v>
      </c>
      <c r="M390" s="8" t="str">
        <f>HYPERLINK("http://slimages.macys.com/is/image/MCY/11271627 ")</f>
        <v xml:space="preserve">http://slimages.macys.com/is/image/MCY/11271627 </v>
      </c>
    </row>
    <row r="391" spans="1:13" ht="60" x14ac:dyDescent="0.25">
      <c r="A391" s="7" t="s">
        <v>12911</v>
      </c>
      <c r="B391" s="2" t="s">
        <v>12912</v>
      </c>
      <c r="C391" s="4">
        <v>1</v>
      </c>
      <c r="D391" s="5">
        <v>4.01</v>
      </c>
      <c r="E391" s="5">
        <v>9.99</v>
      </c>
      <c r="F391" s="4" t="s">
        <v>1150</v>
      </c>
      <c r="G391" s="2" t="s">
        <v>36</v>
      </c>
      <c r="H391" s="7" t="s">
        <v>123</v>
      </c>
      <c r="I391" s="2" t="s">
        <v>515</v>
      </c>
      <c r="J391" s="2" t="s">
        <v>875</v>
      </c>
      <c r="K391" s="2" t="s">
        <v>304</v>
      </c>
      <c r="L391" s="2" t="s">
        <v>119</v>
      </c>
      <c r="M391" s="8" t="str">
        <f>HYPERLINK("http://slimages.macys.com/is/image/MCY/12387459 ")</f>
        <v xml:space="preserve">http://slimages.macys.com/is/image/MCY/12387459 </v>
      </c>
    </row>
    <row r="392" spans="1:13" ht="60" x14ac:dyDescent="0.25">
      <c r="A392" s="7" t="s">
        <v>12913</v>
      </c>
      <c r="B392" s="2" t="s">
        <v>12914</v>
      </c>
      <c r="C392" s="4">
        <v>1</v>
      </c>
      <c r="D392" s="5">
        <v>4.01</v>
      </c>
      <c r="E392" s="5">
        <v>9.99</v>
      </c>
      <c r="F392" s="4" t="s">
        <v>1150</v>
      </c>
      <c r="G392" s="2" t="s">
        <v>41</v>
      </c>
      <c r="H392" s="7" t="s">
        <v>63</v>
      </c>
      <c r="I392" s="2" t="s">
        <v>515</v>
      </c>
      <c r="J392" s="2" t="s">
        <v>875</v>
      </c>
      <c r="K392" s="2" t="s">
        <v>304</v>
      </c>
      <c r="L392" s="2" t="s">
        <v>119</v>
      </c>
      <c r="M392" s="8" t="str">
        <f>HYPERLINK("http://slimages.macys.com/is/image/MCY/13048707 ")</f>
        <v xml:space="preserve">http://slimages.macys.com/is/image/MCY/13048707 </v>
      </c>
    </row>
    <row r="393" spans="1:13" ht="60" x14ac:dyDescent="0.25">
      <c r="A393" s="7" t="s">
        <v>12915</v>
      </c>
      <c r="B393" s="2" t="s">
        <v>12916</v>
      </c>
      <c r="C393" s="4">
        <v>1</v>
      </c>
      <c r="D393" s="5">
        <v>4.01</v>
      </c>
      <c r="E393" s="5">
        <v>9.99</v>
      </c>
      <c r="F393" s="4" t="s">
        <v>1150</v>
      </c>
      <c r="G393" s="2" t="s">
        <v>858</v>
      </c>
      <c r="H393" s="7" t="s">
        <v>514</v>
      </c>
      <c r="I393" s="2" t="s">
        <v>515</v>
      </c>
      <c r="J393" s="2" t="s">
        <v>875</v>
      </c>
      <c r="K393" s="2" t="s">
        <v>304</v>
      </c>
      <c r="L393" s="2" t="s">
        <v>119</v>
      </c>
      <c r="M393" s="8" t="str">
        <f>HYPERLINK("http://slimages.macys.com/is/image/MCY/12387459 ")</f>
        <v xml:space="preserve">http://slimages.macys.com/is/image/MCY/12387459 </v>
      </c>
    </row>
    <row r="394" spans="1:13" ht="60" x14ac:dyDescent="0.25">
      <c r="A394" s="7" t="s">
        <v>12917</v>
      </c>
      <c r="B394" s="2" t="s">
        <v>12918</v>
      </c>
      <c r="C394" s="4">
        <v>1</v>
      </c>
      <c r="D394" s="5">
        <v>4</v>
      </c>
      <c r="E394" s="5">
        <v>9.99</v>
      </c>
      <c r="F394" s="4" t="s">
        <v>12919</v>
      </c>
      <c r="G394" s="2" t="s">
        <v>41</v>
      </c>
      <c r="H394" s="7" t="s">
        <v>217</v>
      </c>
      <c r="I394" s="2" t="s">
        <v>468</v>
      </c>
      <c r="J394" s="2" t="s">
        <v>469</v>
      </c>
      <c r="K394" s="2" t="s">
        <v>304</v>
      </c>
      <c r="L394" s="2" t="s">
        <v>119</v>
      </c>
      <c r="M394" s="8" t="str">
        <f>HYPERLINK("http://slimages.macys.com/is/image/MCY/12506473 ")</f>
        <v xml:space="preserve">http://slimages.macys.com/is/image/MCY/12506473 </v>
      </c>
    </row>
    <row r="395" spans="1:13" ht="60" x14ac:dyDescent="0.25">
      <c r="A395" s="7" t="s">
        <v>11677</v>
      </c>
      <c r="B395" s="2" t="s">
        <v>12920</v>
      </c>
      <c r="C395" s="4">
        <v>1</v>
      </c>
      <c r="D395" s="5">
        <v>4</v>
      </c>
      <c r="E395" s="5">
        <v>9.3000000000000007</v>
      </c>
      <c r="F395" s="4">
        <v>18207310</v>
      </c>
      <c r="G395" s="2" t="s">
        <v>28</v>
      </c>
      <c r="H395" s="7" t="s">
        <v>233</v>
      </c>
      <c r="I395" s="2" t="s">
        <v>153</v>
      </c>
      <c r="J395" s="2" t="s">
        <v>154</v>
      </c>
      <c r="K395" s="2" t="s">
        <v>304</v>
      </c>
      <c r="L395" s="2" t="s">
        <v>125</v>
      </c>
      <c r="M395" s="8" t="str">
        <f>HYPERLINK("http://slimages.macys.com/is/image/MCY/15107909 ")</f>
        <v xml:space="preserve">http://slimages.macys.com/is/image/MCY/15107909 </v>
      </c>
    </row>
    <row r="396" spans="1:13" ht="60" x14ac:dyDescent="0.25">
      <c r="A396" s="7" t="s">
        <v>11684</v>
      </c>
      <c r="B396" s="2" t="s">
        <v>12921</v>
      </c>
      <c r="C396" s="4">
        <v>1</v>
      </c>
      <c r="D396" s="5">
        <v>3.88</v>
      </c>
      <c r="E396" s="5">
        <v>10.99</v>
      </c>
      <c r="F396" s="4" t="s">
        <v>9698</v>
      </c>
      <c r="G396" s="2" t="s">
        <v>582</v>
      </c>
      <c r="H396" s="7" t="s">
        <v>196</v>
      </c>
      <c r="I396" s="2" t="s">
        <v>389</v>
      </c>
      <c r="J396" s="2" t="s">
        <v>354</v>
      </c>
      <c r="K396" s="2" t="s">
        <v>304</v>
      </c>
      <c r="L396" s="2" t="s">
        <v>358</v>
      </c>
      <c r="M396" s="8" t="str">
        <f>HYPERLINK("http://slimages.macys.com/is/image/MCY/12121793 ")</f>
        <v xml:space="preserve">http://slimages.macys.com/is/image/MCY/12121793 </v>
      </c>
    </row>
    <row r="397" spans="1:13" ht="72" x14ac:dyDescent="0.25">
      <c r="A397" s="7" t="s">
        <v>12922</v>
      </c>
      <c r="B397" s="2" t="s">
        <v>12923</v>
      </c>
      <c r="C397" s="4">
        <v>3</v>
      </c>
      <c r="D397" s="5">
        <v>3.83</v>
      </c>
      <c r="E397" s="5">
        <v>9.99</v>
      </c>
      <c r="F397" s="4" t="s">
        <v>6016</v>
      </c>
      <c r="G397" s="2" t="s">
        <v>353</v>
      </c>
      <c r="H397" s="7" t="s">
        <v>63</v>
      </c>
      <c r="I397" s="2" t="s">
        <v>515</v>
      </c>
      <c r="J397" s="2" t="s">
        <v>875</v>
      </c>
      <c r="K397" s="2" t="s">
        <v>304</v>
      </c>
      <c r="L397" s="2" t="s">
        <v>6017</v>
      </c>
      <c r="M397" s="8" t="str">
        <f t="shared" ref="M397:M402" si="5">HYPERLINK("http://slimages.macys.com/is/image/MCY/13328244 ")</f>
        <v xml:space="preserve">http://slimages.macys.com/is/image/MCY/13328244 </v>
      </c>
    </row>
    <row r="398" spans="1:13" ht="72" x14ac:dyDescent="0.25">
      <c r="A398" s="7" t="s">
        <v>12924</v>
      </c>
      <c r="B398" s="2" t="s">
        <v>12925</v>
      </c>
      <c r="C398" s="4">
        <v>3</v>
      </c>
      <c r="D398" s="5">
        <v>3.83</v>
      </c>
      <c r="E398" s="5">
        <v>9.99</v>
      </c>
      <c r="F398" s="4" t="s">
        <v>6016</v>
      </c>
      <c r="G398" s="2" t="s">
        <v>353</v>
      </c>
      <c r="H398" s="7" t="s">
        <v>311</v>
      </c>
      <c r="I398" s="2" t="s">
        <v>515</v>
      </c>
      <c r="J398" s="2" t="s">
        <v>875</v>
      </c>
      <c r="K398" s="2" t="s">
        <v>304</v>
      </c>
      <c r="L398" s="2" t="s">
        <v>6017</v>
      </c>
      <c r="M398" s="8" t="str">
        <f t="shared" si="5"/>
        <v xml:space="preserve">http://slimages.macys.com/is/image/MCY/13328244 </v>
      </c>
    </row>
    <row r="399" spans="1:13" ht="72" x14ac:dyDescent="0.25">
      <c r="A399" s="7" t="s">
        <v>12926</v>
      </c>
      <c r="B399" s="2" t="s">
        <v>12927</v>
      </c>
      <c r="C399" s="4">
        <v>2</v>
      </c>
      <c r="D399" s="5">
        <v>3.83</v>
      </c>
      <c r="E399" s="5">
        <v>9.99</v>
      </c>
      <c r="F399" s="4" t="s">
        <v>6016</v>
      </c>
      <c r="G399" s="2" t="s">
        <v>858</v>
      </c>
      <c r="H399" s="7" t="s">
        <v>63</v>
      </c>
      <c r="I399" s="2" t="s">
        <v>515</v>
      </c>
      <c r="J399" s="2" t="s">
        <v>875</v>
      </c>
      <c r="K399" s="2" t="s">
        <v>304</v>
      </c>
      <c r="L399" s="2" t="s">
        <v>6017</v>
      </c>
      <c r="M399" s="8" t="str">
        <f t="shared" si="5"/>
        <v xml:space="preserve">http://slimages.macys.com/is/image/MCY/13328244 </v>
      </c>
    </row>
    <row r="400" spans="1:13" ht="72" x14ac:dyDescent="0.25">
      <c r="A400" s="7" t="s">
        <v>12928</v>
      </c>
      <c r="B400" s="2" t="s">
        <v>12929</v>
      </c>
      <c r="C400" s="4">
        <v>1</v>
      </c>
      <c r="D400" s="5">
        <v>3.83</v>
      </c>
      <c r="E400" s="5">
        <v>9.99</v>
      </c>
      <c r="F400" s="4" t="s">
        <v>6016</v>
      </c>
      <c r="G400" s="2" t="s">
        <v>858</v>
      </c>
      <c r="H400" s="7" t="s">
        <v>123</v>
      </c>
      <c r="I400" s="2" t="s">
        <v>515</v>
      </c>
      <c r="J400" s="2" t="s">
        <v>875</v>
      </c>
      <c r="K400" s="2" t="s">
        <v>304</v>
      </c>
      <c r="L400" s="2" t="s">
        <v>6017</v>
      </c>
      <c r="M400" s="8" t="str">
        <f t="shared" si="5"/>
        <v xml:space="preserve">http://slimages.macys.com/is/image/MCY/13328244 </v>
      </c>
    </row>
    <row r="401" spans="1:13" ht="72" x14ac:dyDescent="0.25">
      <c r="A401" s="7" t="s">
        <v>12930</v>
      </c>
      <c r="B401" s="2" t="s">
        <v>12931</v>
      </c>
      <c r="C401" s="4">
        <v>3</v>
      </c>
      <c r="D401" s="5">
        <v>3.83</v>
      </c>
      <c r="E401" s="5">
        <v>9.99</v>
      </c>
      <c r="F401" s="4" t="s">
        <v>6016</v>
      </c>
      <c r="G401" s="2" t="s">
        <v>858</v>
      </c>
      <c r="H401" s="7" t="s">
        <v>311</v>
      </c>
      <c r="I401" s="2" t="s">
        <v>515</v>
      </c>
      <c r="J401" s="2" t="s">
        <v>875</v>
      </c>
      <c r="K401" s="2" t="s">
        <v>304</v>
      </c>
      <c r="L401" s="2" t="s">
        <v>6017</v>
      </c>
      <c r="M401" s="8" t="str">
        <f t="shared" si="5"/>
        <v xml:space="preserve">http://slimages.macys.com/is/image/MCY/13328244 </v>
      </c>
    </row>
    <row r="402" spans="1:13" ht="72" x14ac:dyDescent="0.25">
      <c r="A402" s="7" t="s">
        <v>12932</v>
      </c>
      <c r="B402" s="2" t="s">
        <v>12933</v>
      </c>
      <c r="C402" s="4">
        <v>4</v>
      </c>
      <c r="D402" s="5">
        <v>3.83</v>
      </c>
      <c r="E402" s="5">
        <v>9.99</v>
      </c>
      <c r="F402" s="4" t="s">
        <v>6016</v>
      </c>
      <c r="G402" s="2" t="s">
        <v>353</v>
      </c>
      <c r="H402" s="7" t="s">
        <v>123</v>
      </c>
      <c r="I402" s="2" t="s">
        <v>515</v>
      </c>
      <c r="J402" s="2" t="s">
        <v>875</v>
      </c>
      <c r="K402" s="2" t="s">
        <v>304</v>
      </c>
      <c r="L402" s="2" t="s">
        <v>6017</v>
      </c>
      <c r="M402" s="8" t="str">
        <f t="shared" si="5"/>
        <v xml:space="preserve">http://slimages.macys.com/is/image/MCY/13328244 </v>
      </c>
    </row>
    <row r="403" spans="1:13" ht="72" x14ac:dyDescent="0.25">
      <c r="A403" s="7" t="s">
        <v>12934</v>
      </c>
      <c r="B403" s="2" t="s">
        <v>12935</v>
      </c>
      <c r="C403" s="4">
        <v>2</v>
      </c>
      <c r="D403" s="5">
        <v>3.83</v>
      </c>
      <c r="E403" s="5">
        <v>9.99</v>
      </c>
      <c r="F403" s="4" t="s">
        <v>6016</v>
      </c>
      <c r="G403" s="2" t="s">
        <v>353</v>
      </c>
      <c r="H403" s="7" t="s">
        <v>514</v>
      </c>
      <c r="I403" s="2" t="s">
        <v>515</v>
      </c>
      <c r="J403" s="2" t="s">
        <v>875</v>
      </c>
      <c r="K403" s="2" t="s">
        <v>304</v>
      </c>
      <c r="L403" s="2" t="s">
        <v>6017</v>
      </c>
      <c r="M403" s="8" t="str">
        <f t="shared" ref="M403:M408" si="6">HYPERLINK("http://slimages.macys.com/is/image/MCY/12387472 ")</f>
        <v xml:space="preserve">http://slimages.macys.com/is/image/MCY/12387472 </v>
      </c>
    </row>
    <row r="404" spans="1:13" ht="72" x14ac:dyDescent="0.25">
      <c r="A404" s="7" t="s">
        <v>12936</v>
      </c>
      <c r="B404" s="2" t="s">
        <v>12937</v>
      </c>
      <c r="C404" s="4">
        <v>1</v>
      </c>
      <c r="D404" s="5">
        <v>3.83</v>
      </c>
      <c r="E404" s="5">
        <v>9.99</v>
      </c>
      <c r="F404" s="4" t="s">
        <v>6016</v>
      </c>
      <c r="G404" s="2" t="s">
        <v>858</v>
      </c>
      <c r="H404" s="7" t="s">
        <v>514</v>
      </c>
      <c r="I404" s="2" t="s">
        <v>515</v>
      </c>
      <c r="J404" s="2" t="s">
        <v>875</v>
      </c>
      <c r="K404" s="2" t="s">
        <v>304</v>
      </c>
      <c r="L404" s="2" t="s">
        <v>6017</v>
      </c>
      <c r="M404" s="8" t="str">
        <f t="shared" si="6"/>
        <v xml:space="preserve">http://slimages.macys.com/is/image/MCY/12387472 </v>
      </c>
    </row>
    <row r="405" spans="1:13" ht="72" x14ac:dyDescent="0.25">
      <c r="A405" s="7" t="s">
        <v>10598</v>
      </c>
      <c r="B405" s="2" t="s">
        <v>12938</v>
      </c>
      <c r="C405" s="4">
        <v>1</v>
      </c>
      <c r="D405" s="5">
        <v>3.83</v>
      </c>
      <c r="E405" s="5">
        <v>9.99</v>
      </c>
      <c r="F405" s="4" t="s">
        <v>6016</v>
      </c>
      <c r="G405" s="2" t="s">
        <v>858</v>
      </c>
      <c r="H405" s="7" t="s">
        <v>1151</v>
      </c>
      <c r="I405" s="2" t="s">
        <v>515</v>
      </c>
      <c r="J405" s="2" t="s">
        <v>875</v>
      </c>
      <c r="K405" s="2" t="s">
        <v>304</v>
      </c>
      <c r="L405" s="2" t="s">
        <v>6017</v>
      </c>
      <c r="M405" s="8" t="str">
        <f t="shared" si="6"/>
        <v xml:space="preserve">http://slimages.macys.com/is/image/MCY/12387472 </v>
      </c>
    </row>
    <row r="406" spans="1:13" ht="72" x14ac:dyDescent="0.25">
      <c r="A406" s="7" t="s">
        <v>12939</v>
      </c>
      <c r="B406" s="2" t="s">
        <v>12940</v>
      </c>
      <c r="C406" s="4">
        <v>2</v>
      </c>
      <c r="D406" s="5">
        <v>3.83</v>
      </c>
      <c r="E406" s="5">
        <v>9.99</v>
      </c>
      <c r="F406" s="4" t="s">
        <v>6016</v>
      </c>
      <c r="G406" s="2" t="s">
        <v>353</v>
      </c>
      <c r="H406" s="7" t="s">
        <v>578</v>
      </c>
      <c r="I406" s="2" t="s">
        <v>515</v>
      </c>
      <c r="J406" s="2" t="s">
        <v>875</v>
      </c>
      <c r="K406" s="2" t="s">
        <v>304</v>
      </c>
      <c r="L406" s="2" t="s">
        <v>6017</v>
      </c>
      <c r="M406" s="8" t="str">
        <f t="shared" si="6"/>
        <v xml:space="preserve">http://slimages.macys.com/is/image/MCY/12387472 </v>
      </c>
    </row>
    <row r="407" spans="1:13" ht="72" x14ac:dyDescent="0.25">
      <c r="A407" s="7" t="s">
        <v>6014</v>
      </c>
      <c r="B407" s="2" t="s">
        <v>12941</v>
      </c>
      <c r="C407" s="4">
        <v>2</v>
      </c>
      <c r="D407" s="5">
        <v>3.83</v>
      </c>
      <c r="E407" s="5">
        <v>9.99</v>
      </c>
      <c r="F407" s="4" t="s">
        <v>6016</v>
      </c>
      <c r="G407" s="2" t="s">
        <v>353</v>
      </c>
      <c r="H407" s="7" t="s">
        <v>1151</v>
      </c>
      <c r="I407" s="2" t="s">
        <v>515</v>
      </c>
      <c r="J407" s="2" t="s">
        <v>875</v>
      </c>
      <c r="K407" s="2" t="s">
        <v>304</v>
      </c>
      <c r="L407" s="2" t="s">
        <v>6017</v>
      </c>
      <c r="M407" s="8" t="str">
        <f t="shared" si="6"/>
        <v xml:space="preserve">http://slimages.macys.com/is/image/MCY/12387472 </v>
      </c>
    </row>
    <row r="408" spans="1:13" ht="72" x14ac:dyDescent="0.25">
      <c r="A408" s="7" t="s">
        <v>12942</v>
      </c>
      <c r="B408" s="2" t="s">
        <v>12943</v>
      </c>
      <c r="C408" s="4">
        <v>1</v>
      </c>
      <c r="D408" s="5">
        <v>3.83</v>
      </c>
      <c r="E408" s="5">
        <v>9.99</v>
      </c>
      <c r="F408" s="4" t="s">
        <v>6016</v>
      </c>
      <c r="G408" s="2" t="s">
        <v>858</v>
      </c>
      <c r="H408" s="7" t="s">
        <v>578</v>
      </c>
      <c r="I408" s="2" t="s">
        <v>515</v>
      </c>
      <c r="J408" s="2" t="s">
        <v>875</v>
      </c>
      <c r="K408" s="2" t="s">
        <v>304</v>
      </c>
      <c r="L408" s="2" t="s">
        <v>6017</v>
      </c>
      <c r="M408" s="8" t="str">
        <f t="shared" si="6"/>
        <v xml:space="preserve">http://slimages.macys.com/is/image/MCY/12387472 </v>
      </c>
    </row>
    <row r="409" spans="1:13" ht="60" x14ac:dyDescent="0.25">
      <c r="A409" s="7" t="s">
        <v>6389</v>
      </c>
      <c r="B409" s="2" t="s">
        <v>12944</v>
      </c>
      <c r="C409" s="4">
        <v>1</v>
      </c>
      <c r="D409" s="5">
        <v>3.77</v>
      </c>
      <c r="E409" s="5">
        <v>10.99</v>
      </c>
      <c r="F409" s="4" t="s">
        <v>6391</v>
      </c>
      <c r="G409" s="2" t="s">
        <v>41</v>
      </c>
      <c r="H409" s="7" t="s">
        <v>196</v>
      </c>
      <c r="I409" s="2" t="s">
        <v>389</v>
      </c>
      <c r="J409" s="2" t="s">
        <v>354</v>
      </c>
      <c r="K409" s="2" t="s">
        <v>304</v>
      </c>
      <c r="L409" s="2" t="s">
        <v>119</v>
      </c>
      <c r="M409" s="8" t="str">
        <f>HYPERLINK("http://slimages.macys.com/is/image/MCY/11499714 ")</f>
        <v xml:space="preserve">http://slimages.macys.com/is/image/MCY/11499714 </v>
      </c>
    </row>
    <row r="410" spans="1:13" ht="60" x14ac:dyDescent="0.25">
      <c r="A410" s="7" t="s">
        <v>12945</v>
      </c>
      <c r="B410" s="2" t="s">
        <v>12946</v>
      </c>
      <c r="C410" s="4">
        <v>1</v>
      </c>
      <c r="D410" s="5">
        <v>3.75</v>
      </c>
      <c r="E410" s="5">
        <v>7.99</v>
      </c>
      <c r="F410" s="4" t="s">
        <v>12947</v>
      </c>
      <c r="G410" s="2" t="s">
        <v>62</v>
      </c>
      <c r="H410" s="7" t="s">
        <v>123</v>
      </c>
      <c r="I410" s="2" t="s">
        <v>1689</v>
      </c>
      <c r="J410" s="2" t="s">
        <v>354</v>
      </c>
      <c r="K410" s="2" t="s">
        <v>304</v>
      </c>
      <c r="L410" s="2" t="s">
        <v>596</v>
      </c>
      <c r="M410" s="8" t="str">
        <f>HYPERLINK("http://slimages.macys.com/is/image/MCY/2131868 ")</f>
        <v xml:space="preserve">http://slimages.macys.com/is/image/MCY/2131868 </v>
      </c>
    </row>
    <row r="411" spans="1:13" ht="60" x14ac:dyDescent="0.25">
      <c r="A411" s="7" t="s">
        <v>6398</v>
      </c>
      <c r="B411" s="2" t="s">
        <v>12948</v>
      </c>
      <c r="C411" s="4">
        <v>1</v>
      </c>
      <c r="D411" s="5">
        <v>3.74</v>
      </c>
      <c r="E411" s="5">
        <v>10.99</v>
      </c>
      <c r="F411" s="4" t="s">
        <v>6400</v>
      </c>
      <c r="G411" s="2" t="s">
        <v>874</v>
      </c>
      <c r="H411" s="7" t="s">
        <v>149</v>
      </c>
      <c r="I411" s="2" t="s">
        <v>483</v>
      </c>
      <c r="J411" s="2" t="s">
        <v>536</v>
      </c>
      <c r="K411" s="2" t="s">
        <v>304</v>
      </c>
      <c r="L411" s="2" t="s">
        <v>38</v>
      </c>
      <c r="M411" s="8" t="str">
        <f>HYPERLINK("http://slimages.macys.com/is/image/MCY/11710357 ")</f>
        <v xml:space="preserve">http://slimages.macys.com/is/image/MCY/11710357 </v>
      </c>
    </row>
    <row r="412" spans="1:13" ht="60" x14ac:dyDescent="0.25">
      <c r="A412" s="7" t="s">
        <v>2682</v>
      </c>
      <c r="B412" s="2" t="s">
        <v>12949</v>
      </c>
      <c r="C412" s="4">
        <v>1</v>
      </c>
      <c r="D412" s="5">
        <v>3.58</v>
      </c>
      <c r="E412" s="5">
        <v>8.99</v>
      </c>
      <c r="F412" s="4" t="s">
        <v>2114</v>
      </c>
      <c r="G412" s="2" t="s">
        <v>297</v>
      </c>
      <c r="H412" s="7" t="s">
        <v>442</v>
      </c>
      <c r="I412" s="2" t="s">
        <v>483</v>
      </c>
      <c r="J412" s="2" t="s">
        <v>536</v>
      </c>
      <c r="K412" s="2" t="s">
        <v>304</v>
      </c>
      <c r="L412" s="2" t="s">
        <v>119</v>
      </c>
      <c r="M412" s="8" t="str">
        <f>HYPERLINK("http://slimages.macys.com/is/image/MCY/13987501 ")</f>
        <v xml:space="preserve">http://slimages.macys.com/is/image/MCY/13987501 </v>
      </c>
    </row>
    <row r="413" spans="1:13" ht="60" x14ac:dyDescent="0.25">
      <c r="A413" s="7" t="s">
        <v>2115</v>
      </c>
      <c r="B413" s="2" t="s">
        <v>12950</v>
      </c>
      <c r="C413" s="4">
        <v>2</v>
      </c>
      <c r="D413" s="5">
        <v>3.58</v>
      </c>
      <c r="E413" s="5">
        <v>8.99</v>
      </c>
      <c r="F413" s="4" t="s">
        <v>2114</v>
      </c>
      <c r="G413" s="2" t="s">
        <v>297</v>
      </c>
      <c r="H413" s="7" t="s">
        <v>149</v>
      </c>
      <c r="I413" s="2" t="s">
        <v>483</v>
      </c>
      <c r="J413" s="2" t="s">
        <v>536</v>
      </c>
      <c r="K413" s="2" t="s">
        <v>304</v>
      </c>
      <c r="L413" s="2" t="s">
        <v>119</v>
      </c>
      <c r="M413" s="8" t="str">
        <f>HYPERLINK("http://slimages.macys.com/is/image/MCY/13987501 ")</f>
        <v xml:space="preserve">http://slimages.macys.com/is/image/MCY/13987501 </v>
      </c>
    </row>
    <row r="414" spans="1:13" ht="60" x14ac:dyDescent="0.25">
      <c r="A414" s="7" t="s">
        <v>2112</v>
      </c>
      <c r="B414" s="2" t="s">
        <v>12951</v>
      </c>
      <c r="C414" s="4">
        <v>2</v>
      </c>
      <c r="D414" s="5">
        <v>3.58</v>
      </c>
      <c r="E414" s="5">
        <v>8.99</v>
      </c>
      <c r="F414" s="4" t="s">
        <v>2114</v>
      </c>
      <c r="G414" s="2" t="s">
        <v>297</v>
      </c>
      <c r="H414" s="7"/>
      <c r="I414" s="2" t="s">
        <v>483</v>
      </c>
      <c r="J414" s="2" t="s">
        <v>536</v>
      </c>
      <c r="K414" s="2" t="s">
        <v>304</v>
      </c>
      <c r="L414" s="2" t="s">
        <v>119</v>
      </c>
      <c r="M414" s="8" t="str">
        <f>HYPERLINK("http://slimages.macys.com/is/image/MCY/13987501 ")</f>
        <v xml:space="preserve">http://slimages.macys.com/is/image/MCY/13987501 </v>
      </c>
    </row>
    <row r="415" spans="1:13" ht="60" x14ac:dyDescent="0.25">
      <c r="A415" s="7" t="s">
        <v>2116</v>
      </c>
      <c r="B415" s="2" t="s">
        <v>12952</v>
      </c>
      <c r="C415" s="4">
        <v>1</v>
      </c>
      <c r="D415" s="5">
        <v>3.51</v>
      </c>
      <c r="E415" s="5">
        <v>8.99</v>
      </c>
      <c r="F415" s="4">
        <v>10006320100</v>
      </c>
      <c r="G415" s="2" t="s">
        <v>134</v>
      </c>
      <c r="H415" s="7"/>
      <c r="I415" s="2" t="s">
        <v>483</v>
      </c>
      <c r="J415" s="2" t="s">
        <v>536</v>
      </c>
      <c r="K415" s="2" t="s">
        <v>304</v>
      </c>
      <c r="L415" s="2" t="s">
        <v>38</v>
      </c>
      <c r="M415" s="8" t="str">
        <f>HYPERLINK("http://slimages.macys.com/is/image/MCY/13987499 ")</f>
        <v xml:space="preserve">http://slimages.macys.com/is/image/MCY/13987499 </v>
      </c>
    </row>
    <row r="416" spans="1:13" ht="60" x14ac:dyDescent="0.25">
      <c r="A416" s="7" t="s">
        <v>2118</v>
      </c>
      <c r="B416" s="2" t="s">
        <v>12953</v>
      </c>
      <c r="C416" s="4">
        <v>2</v>
      </c>
      <c r="D416" s="5">
        <v>3.51</v>
      </c>
      <c r="E416" s="5">
        <v>8.99</v>
      </c>
      <c r="F416" s="4">
        <v>10006320100</v>
      </c>
      <c r="G416" s="2" t="s">
        <v>134</v>
      </c>
      <c r="H416" s="7" t="s">
        <v>590</v>
      </c>
      <c r="I416" s="2" t="s">
        <v>483</v>
      </c>
      <c r="J416" s="2" t="s">
        <v>536</v>
      </c>
      <c r="K416" s="2" t="s">
        <v>304</v>
      </c>
      <c r="L416" s="2" t="s">
        <v>38</v>
      </c>
      <c r="M416" s="8" t="str">
        <f>HYPERLINK("http://slimages.macys.com/is/image/MCY/13987499 ")</f>
        <v xml:space="preserve">http://slimages.macys.com/is/image/MCY/13987499 </v>
      </c>
    </row>
    <row r="417" spans="1:13" ht="60" x14ac:dyDescent="0.25">
      <c r="A417" s="7" t="s">
        <v>2119</v>
      </c>
      <c r="B417" s="2" t="s">
        <v>12954</v>
      </c>
      <c r="C417" s="4">
        <v>1</v>
      </c>
      <c r="D417" s="5">
        <v>3.51</v>
      </c>
      <c r="E417" s="5">
        <v>8.99</v>
      </c>
      <c r="F417" s="4">
        <v>10006320100</v>
      </c>
      <c r="G417" s="2" t="s">
        <v>134</v>
      </c>
      <c r="H417" s="7" t="s">
        <v>149</v>
      </c>
      <c r="I417" s="2" t="s">
        <v>483</v>
      </c>
      <c r="J417" s="2" t="s">
        <v>536</v>
      </c>
      <c r="K417" s="2" t="s">
        <v>304</v>
      </c>
      <c r="L417" s="2" t="s">
        <v>38</v>
      </c>
      <c r="M417" s="8" t="str">
        <f>HYPERLINK("http://slimages.macys.com/is/image/MCY/13987499 ")</f>
        <v xml:space="preserve">http://slimages.macys.com/is/image/MCY/13987499 </v>
      </c>
    </row>
    <row r="418" spans="1:13" ht="60" x14ac:dyDescent="0.25">
      <c r="A418" s="7" t="s">
        <v>9701</v>
      </c>
      <c r="B418" s="2" t="s">
        <v>12955</v>
      </c>
      <c r="C418" s="4">
        <v>1</v>
      </c>
      <c r="D418" s="5">
        <v>3.51</v>
      </c>
      <c r="E418" s="5">
        <v>8.99</v>
      </c>
      <c r="F418" s="4">
        <v>10006320100</v>
      </c>
      <c r="G418" s="2" t="s">
        <v>134</v>
      </c>
      <c r="H418" s="7" t="s">
        <v>442</v>
      </c>
      <c r="I418" s="2" t="s">
        <v>483</v>
      </c>
      <c r="J418" s="2" t="s">
        <v>536</v>
      </c>
      <c r="K418" s="2" t="s">
        <v>304</v>
      </c>
      <c r="L418" s="2" t="s">
        <v>38</v>
      </c>
      <c r="M418" s="8" t="str">
        <f>HYPERLINK("http://slimages.macys.com/is/image/MCY/13987499 ")</f>
        <v xml:space="preserve">http://slimages.macys.com/is/image/MCY/13987499 </v>
      </c>
    </row>
    <row r="419" spans="1:13" ht="60" x14ac:dyDescent="0.25">
      <c r="A419" s="7" t="s">
        <v>4281</v>
      </c>
      <c r="B419" s="2" t="s">
        <v>12956</v>
      </c>
      <c r="C419" s="4">
        <v>1</v>
      </c>
      <c r="D419" s="5">
        <v>3.51</v>
      </c>
      <c r="E419" s="5">
        <v>8.99</v>
      </c>
      <c r="F419" s="4">
        <v>10006320100</v>
      </c>
      <c r="G419" s="2" t="s">
        <v>134</v>
      </c>
      <c r="H419" s="7" t="s">
        <v>482</v>
      </c>
      <c r="I419" s="2" t="s">
        <v>483</v>
      </c>
      <c r="J419" s="2" t="s">
        <v>536</v>
      </c>
      <c r="K419" s="2" t="s">
        <v>304</v>
      </c>
      <c r="L419" s="2" t="s">
        <v>38</v>
      </c>
      <c r="M419" s="8" t="str">
        <f>HYPERLINK("http://slimages.macys.com/is/image/MCY/13987499 ")</f>
        <v xml:space="preserve">http://slimages.macys.com/is/image/MCY/13987499 </v>
      </c>
    </row>
    <row r="420" spans="1:13" ht="60" x14ac:dyDescent="0.25">
      <c r="A420" s="7" t="s">
        <v>12957</v>
      </c>
      <c r="B420" s="2" t="s">
        <v>12958</v>
      </c>
      <c r="C420" s="4">
        <v>1</v>
      </c>
      <c r="D420" s="5">
        <v>3.49</v>
      </c>
      <c r="E420" s="5">
        <v>7.99</v>
      </c>
      <c r="F420" s="4" t="s">
        <v>11694</v>
      </c>
      <c r="G420" s="2" t="s">
        <v>86</v>
      </c>
      <c r="H420" s="7" t="s">
        <v>514</v>
      </c>
      <c r="I420" s="2" t="s">
        <v>1689</v>
      </c>
      <c r="J420" s="2" t="s">
        <v>354</v>
      </c>
      <c r="K420" s="2" t="s">
        <v>304</v>
      </c>
      <c r="L420" s="2" t="s">
        <v>596</v>
      </c>
      <c r="M420" s="8" t="str">
        <f>HYPERLINK("http://slimages.macys.com/is/image/MCY/12465650 ")</f>
        <v xml:space="preserve">http://slimages.macys.com/is/image/MCY/12465650 </v>
      </c>
    </row>
    <row r="421" spans="1:13" ht="60" x14ac:dyDescent="0.25">
      <c r="A421" s="7" t="s">
        <v>12959</v>
      </c>
      <c r="B421" s="2" t="s">
        <v>12960</v>
      </c>
      <c r="C421" s="4">
        <v>1</v>
      </c>
      <c r="D421" s="5">
        <v>3.48</v>
      </c>
      <c r="E421" s="5">
        <v>5.99</v>
      </c>
      <c r="F421" s="4" t="s">
        <v>7814</v>
      </c>
      <c r="G421" s="2" t="s">
        <v>41</v>
      </c>
      <c r="H421" s="7" t="s">
        <v>123</v>
      </c>
      <c r="I421" s="2" t="s">
        <v>80</v>
      </c>
      <c r="J421" s="2" t="s">
        <v>1857</v>
      </c>
      <c r="K421" s="2" t="s">
        <v>304</v>
      </c>
      <c r="L421" s="2" t="s">
        <v>119</v>
      </c>
      <c r="M421" s="8" t="str">
        <f>HYPERLINK("http://slimages.macys.com/is/image/MCY/12802575 ")</f>
        <v xml:space="preserve">http://slimages.macys.com/is/image/MCY/12802575 </v>
      </c>
    </row>
    <row r="422" spans="1:13" ht="60" x14ac:dyDescent="0.25">
      <c r="A422" s="7" t="s">
        <v>12961</v>
      </c>
      <c r="B422" s="2" t="s">
        <v>12962</v>
      </c>
      <c r="C422" s="4">
        <v>2</v>
      </c>
      <c r="D422" s="5">
        <v>3.48</v>
      </c>
      <c r="E422" s="5">
        <v>5.99</v>
      </c>
      <c r="F422" s="4" t="s">
        <v>2126</v>
      </c>
      <c r="G422" s="2" t="s">
        <v>41</v>
      </c>
      <c r="H422" s="7" t="s">
        <v>123</v>
      </c>
      <c r="I422" s="2" t="s">
        <v>80</v>
      </c>
      <c r="J422" s="2" t="s">
        <v>1857</v>
      </c>
      <c r="K422" s="2" t="s">
        <v>304</v>
      </c>
      <c r="L422" s="2" t="s">
        <v>119</v>
      </c>
      <c r="M422" s="8" t="str">
        <f>HYPERLINK("http://slimages.macys.com/is/image/MCY/11209888 ")</f>
        <v xml:space="preserve">http://slimages.macys.com/is/image/MCY/11209888 </v>
      </c>
    </row>
    <row r="423" spans="1:13" ht="60" x14ac:dyDescent="0.25">
      <c r="A423" s="7" t="s">
        <v>12963</v>
      </c>
      <c r="B423" s="2" t="s">
        <v>12964</v>
      </c>
      <c r="C423" s="4">
        <v>1</v>
      </c>
      <c r="D423" s="5">
        <v>3.48</v>
      </c>
      <c r="E423" s="5">
        <v>5.99</v>
      </c>
      <c r="F423" s="4" t="s">
        <v>7814</v>
      </c>
      <c r="G423" s="2" t="s">
        <v>41</v>
      </c>
      <c r="H423" s="7" t="s">
        <v>317</v>
      </c>
      <c r="I423" s="2" t="s">
        <v>80</v>
      </c>
      <c r="J423" s="2" t="s">
        <v>1857</v>
      </c>
      <c r="K423" s="2" t="s">
        <v>304</v>
      </c>
      <c r="L423" s="2" t="s">
        <v>119</v>
      </c>
      <c r="M423" s="8" t="str">
        <f>HYPERLINK("http://slimages.macys.com/is/image/MCY/12802575 ")</f>
        <v xml:space="preserve">http://slimages.macys.com/is/image/MCY/12802575 </v>
      </c>
    </row>
    <row r="424" spans="1:13" ht="60" x14ac:dyDescent="0.25">
      <c r="A424" s="7" t="s">
        <v>12965</v>
      </c>
      <c r="B424" s="2" t="s">
        <v>12966</v>
      </c>
      <c r="C424" s="4">
        <v>1</v>
      </c>
      <c r="D424" s="5">
        <v>3.48</v>
      </c>
      <c r="E424" s="5">
        <v>5.99</v>
      </c>
      <c r="F424" s="4" t="s">
        <v>2126</v>
      </c>
      <c r="G424" s="2" t="s">
        <v>41</v>
      </c>
      <c r="H424" s="7" t="s">
        <v>317</v>
      </c>
      <c r="I424" s="2" t="s">
        <v>80</v>
      </c>
      <c r="J424" s="2" t="s">
        <v>1857</v>
      </c>
      <c r="K424" s="2" t="s">
        <v>304</v>
      </c>
      <c r="L424" s="2" t="s">
        <v>119</v>
      </c>
      <c r="M424" s="8" t="str">
        <f>HYPERLINK("http://slimages.macys.com/is/image/MCY/11209888 ")</f>
        <v xml:space="preserve">http://slimages.macys.com/is/image/MCY/11209888 </v>
      </c>
    </row>
    <row r="425" spans="1:13" ht="60" x14ac:dyDescent="0.25">
      <c r="A425" s="7" t="s">
        <v>12967</v>
      </c>
      <c r="B425" s="2" t="s">
        <v>12962</v>
      </c>
      <c r="C425" s="4">
        <v>5</v>
      </c>
      <c r="D425" s="5">
        <v>3.48</v>
      </c>
      <c r="E425" s="5">
        <v>6.99</v>
      </c>
      <c r="F425" s="4" t="s">
        <v>12968</v>
      </c>
      <c r="G425" s="2" t="s">
        <v>41</v>
      </c>
      <c r="H425" s="7" t="s">
        <v>123</v>
      </c>
      <c r="I425" s="2" t="s">
        <v>80</v>
      </c>
      <c r="J425" s="2" t="s">
        <v>1857</v>
      </c>
      <c r="K425" s="2" t="s">
        <v>304</v>
      </c>
      <c r="L425" s="2" t="s">
        <v>119</v>
      </c>
      <c r="M425" s="8" t="str">
        <f>HYPERLINK("http://slimages.macys.com/is/image/MCY/11207805 ")</f>
        <v xml:space="preserve">http://slimages.macys.com/is/image/MCY/11207805 </v>
      </c>
    </row>
    <row r="426" spans="1:13" ht="60" x14ac:dyDescent="0.25">
      <c r="A426" s="7" t="s">
        <v>6429</v>
      </c>
      <c r="B426" s="2" t="s">
        <v>12969</v>
      </c>
      <c r="C426" s="4">
        <v>2</v>
      </c>
      <c r="D426" s="5">
        <v>3.48</v>
      </c>
      <c r="E426" s="5">
        <v>5.99</v>
      </c>
      <c r="F426" s="4" t="s">
        <v>6431</v>
      </c>
      <c r="G426" s="2" t="s">
        <v>303</v>
      </c>
      <c r="H426" s="7" t="s">
        <v>123</v>
      </c>
      <c r="I426" s="2" t="s">
        <v>73</v>
      </c>
      <c r="J426" s="2" t="s">
        <v>1963</v>
      </c>
      <c r="K426" s="2" t="s">
        <v>304</v>
      </c>
      <c r="L426" s="2" t="s">
        <v>119</v>
      </c>
      <c r="M426" s="8" t="str">
        <f>HYPERLINK("http://slimages.macys.com/is/image/MCY/12952993 ")</f>
        <v xml:space="preserve">http://slimages.macys.com/is/image/MCY/12952993 </v>
      </c>
    </row>
    <row r="427" spans="1:13" ht="60" x14ac:dyDescent="0.25">
      <c r="A427" s="7" t="s">
        <v>12970</v>
      </c>
      <c r="B427" s="2" t="s">
        <v>12971</v>
      </c>
      <c r="C427" s="4">
        <v>1</v>
      </c>
      <c r="D427" s="5">
        <v>3.48</v>
      </c>
      <c r="E427" s="5">
        <v>5.99</v>
      </c>
      <c r="F427" s="4" t="s">
        <v>6434</v>
      </c>
      <c r="G427" s="2" t="s">
        <v>303</v>
      </c>
      <c r="H427" s="7" t="s">
        <v>317</v>
      </c>
      <c r="I427" s="2" t="s">
        <v>73</v>
      </c>
      <c r="J427" s="2" t="s">
        <v>1963</v>
      </c>
      <c r="K427" s="2" t="s">
        <v>304</v>
      </c>
      <c r="L427" s="2" t="s">
        <v>119</v>
      </c>
      <c r="M427" s="8" t="str">
        <f>HYPERLINK("http://slimages.macys.com/is/image/MCY/12688440 ")</f>
        <v xml:space="preserve">http://slimages.macys.com/is/image/MCY/12688440 </v>
      </c>
    </row>
    <row r="428" spans="1:13" ht="60" x14ac:dyDescent="0.25">
      <c r="A428" s="7" t="s">
        <v>4321</v>
      </c>
      <c r="B428" s="2" t="s">
        <v>12972</v>
      </c>
      <c r="C428" s="4">
        <v>28</v>
      </c>
      <c r="D428" s="5">
        <v>3.44</v>
      </c>
      <c r="E428" s="5">
        <v>7.99</v>
      </c>
      <c r="F428" s="4" t="s">
        <v>3503</v>
      </c>
      <c r="G428" s="2" t="s">
        <v>752</v>
      </c>
      <c r="H428" s="7" t="s">
        <v>311</v>
      </c>
      <c r="I428" s="2" t="s">
        <v>1689</v>
      </c>
      <c r="J428" s="2" t="s">
        <v>354</v>
      </c>
      <c r="K428" s="2" t="s">
        <v>304</v>
      </c>
      <c r="L428" s="2" t="s">
        <v>596</v>
      </c>
      <c r="M428" s="8" t="str">
        <f>HYPERLINK("http://slimages.macys.com/is/image/MCY/12494891 ")</f>
        <v xml:space="preserve">http://slimages.macys.com/is/image/MCY/12494891 </v>
      </c>
    </row>
    <row r="429" spans="1:13" ht="60" x14ac:dyDescent="0.25">
      <c r="A429" s="7" t="s">
        <v>4320</v>
      </c>
      <c r="B429" s="2" t="s">
        <v>12973</v>
      </c>
      <c r="C429" s="4">
        <v>9</v>
      </c>
      <c r="D429" s="5">
        <v>3.44</v>
      </c>
      <c r="E429" s="5">
        <v>7.99</v>
      </c>
      <c r="F429" s="4" t="s">
        <v>3503</v>
      </c>
      <c r="G429" s="2" t="s">
        <v>752</v>
      </c>
      <c r="H429" s="7" t="s">
        <v>578</v>
      </c>
      <c r="I429" s="2" t="s">
        <v>1689</v>
      </c>
      <c r="J429" s="2" t="s">
        <v>354</v>
      </c>
      <c r="K429" s="2" t="s">
        <v>304</v>
      </c>
      <c r="L429" s="2" t="s">
        <v>596</v>
      </c>
      <c r="M429" s="8" t="str">
        <f>HYPERLINK("http://slimages.macys.com/is/image/MCY/12938521 ")</f>
        <v xml:space="preserve">http://slimages.macys.com/is/image/MCY/12938521 </v>
      </c>
    </row>
    <row r="430" spans="1:13" ht="60" x14ac:dyDescent="0.25">
      <c r="A430" s="7" t="s">
        <v>4323</v>
      </c>
      <c r="B430" s="2" t="s">
        <v>12974</v>
      </c>
      <c r="C430" s="4">
        <v>13</v>
      </c>
      <c r="D430" s="5">
        <v>3.44</v>
      </c>
      <c r="E430" s="5">
        <v>7.99</v>
      </c>
      <c r="F430" s="4" t="s">
        <v>3503</v>
      </c>
      <c r="G430" s="2" t="s">
        <v>752</v>
      </c>
      <c r="H430" s="7" t="s">
        <v>63</v>
      </c>
      <c r="I430" s="2" t="s">
        <v>1689</v>
      </c>
      <c r="J430" s="2" t="s">
        <v>354</v>
      </c>
      <c r="K430" s="2" t="s">
        <v>304</v>
      </c>
      <c r="L430" s="2" t="s">
        <v>596</v>
      </c>
      <c r="M430" s="8" t="str">
        <f>HYPERLINK("http://slimages.macys.com/is/image/MCY/12494891 ")</f>
        <v xml:space="preserve">http://slimages.macys.com/is/image/MCY/12494891 </v>
      </c>
    </row>
    <row r="431" spans="1:13" ht="60" x14ac:dyDescent="0.25">
      <c r="A431" s="7" t="s">
        <v>3501</v>
      </c>
      <c r="B431" s="2" t="s">
        <v>12975</v>
      </c>
      <c r="C431" s="4">
        <v>40</v>
      </c>
      <c r="D431" s="5">
        <v>3.44</v>
      </c>
      <c r="E431" s="5">
        <v>7.99</v>
      </c>
      <c r="F431" s="4" t="s">
        <v>3503</v>
      </c>
      <c r="G431" s="2" t="s">
        <v>752</v>
      </c>
      <c r="H431" s="7" t="s">
        <v>123</v>
      </c>
      <c r="I431" s="2" t="s">
        <v>1689</v>
      </c>
      <c r="J431" s="2" t="s">
        <v>354</v>
      </c>
      <c r="K431" s="2" t="s">
        <v>304</v>
      </c>
      <c r="L431" s="2" t="s">
        <v>596</v>
      </c>
      <c r="M431" s="8" t="str">
        <f>HYPERLINK("http://slimages.macys.com/is/image/MCY/12494891 ")</f>
        <v xml:space="preserve">http://slimages.macys.com/is/image/MCY/12494891 </v>
      </c>
    </row>
    <row r="432" spans="1:13" ht="60" x14ac:dyDescent="0.25">
      <c r="A432" s="7" t="s">
        <v>4318</v>
      </c>
      <c r="B432" s="2" t="s">
        <v>12976</v>
      </c>
      <c r="C432" s="4">
        <v>20</v>
      </c>
      <c r="D432" s="5">
        <v>3.44</v>
      </c>
      <c r="E432" s="5">
        <v>7.99</v>
      </c>
      <c r="F432" s="4" t="s">
        <v>3503</v>
      </c>
      <c r="G432" s="2" t="s">
        <v>752</v>
      </c>
      <c r="H432" s="7" t="s">
        <v>1151</v>
      </c>
      <c r="I432" s="2" t="s">
        <v>1689</v>
      </c>
      <c r="J432" s="2" t="s">
        <v>354</v>
      </c>
      <c r="K432" s="2" t="s">
        <v>304</v>
      </c>
      <c r="L432" s="2" t="s">
        <v>596</v>
      </c>
      <c r="M432" s="8" t="str">
        <f>HYPERLINK("http://slimages.macys.com/is/image/MCY/12938521 ")</f>
        <v xml:space="preserve">http://slimages.macys.com/is/image/MCY/12938521 </v>
      </c>
    </row>
    <row r="433" spans="1:13" ht="60" x14ac:dyDescent="0.25">
      <c r="A433" s="7" t="s">
        <v>4319</v>
      </c>
      <c r="B433" s="2" t="s">
        <v>12977</v>
      </c>
      <c r="C433" s="4">
        <v>34</v>
      </c>
      <c r="D433" s="5">
        <v>3.44</v>
      </c>
      <c r="E433" s="5">
        <v>7.99</v>
      </c>
      <c r="F433" s="4" t="s">
        <v>3503</v>
      </c>
      <c r="G433" s="2" t="s">
        <v>752</v>
      </c>
      <c r="H433" s="7" t="s">
        <v>514</v>
      </c>
      <c r="I433" s="2" t="s">
        <v>1689</v>
      </c>
      <c r="J433" s="2" t="s">
        <v>354</v>
      </c>
      <c r="K433" s="2" t="s">
        <v>304</v>
      </c>
      <c r="L433" s="2" t="s">
        <v>596</v>
      </c>
      <c r="M433" s="8" t="str">
        <f>HYPERLINK("http://slimages.macys.com/is/image/MCY/12938521 ")</f>
        <v xml:space="preserve">http://slimages.macys.com/is/image/MCY/12938521 </v>
      </c>
    </row>
    <row r="434" spans="1:13" ht="60" x14ac:dyDescent="0.25">
      <c r="A434" s="7" t="s">
        <v>2691</v>
      </c>
      <c r="B434" s="2" t="s">
        <v>12978</v>
      </c>
      <c r="C434" s="4">
        <v>2</v>
      </c>
      <c r="D434" s="5">
        <v>3.39</v>
      </c>
      <c r="E434" s="5">
        <v>8.99</v>
      </c>
      <c r="F434" s="4" t="s">
        <v>2135</v>
      </c>
      <c r="G434" s="2" t="s">
        <v>1265</v>
      </c>
      <c r="H434" s="7" t="s">
        <v>149</v>
      </c>
      <c r="I434" s="2" t="s">
        <v>483</v>
      </c>
      <c r="J434" s="2" t="s">
        <v>536</v>
      </c>
      <c r="K434" s="2" t="s">
        <v>304</v>
      </c>
      <c r="L434" s="2" t="s">
        <v>206</v>
      </c>
      <c r="M434" s="8" t="str">
        <f>HYPERLINK("http://slimages.macys.com/is/image/MCY/13337500 ")</f>
        <v xml:space="preserve">http://slimages.macys.com/is/image/MCY/13337500 </v>
      </c>
    </row>
    <row r="435" spans="1:13" ht="60" x14ac:dyDescent="0.25">
      <c r="A435" s="7" t="s">
        <v>2133</v>
      </c>
      <c r="B435" s="2" t="s">
        <v>12979</v>
      </c>
      <c r="C435" s="4">
        <v>2</v>
      </c>
      <c r="D435" s="5">
        <v>3.39</v>
      </c>
      <c r="E435" s="5">
        <v>8.99</v>
      </c>
      <c r="F435" s="4" t="s">
        <v>2135</v>
      </c>
      <c r="G435" s="2" t="s">
        <v>1265</v>
      </c>
      <c r="H435" s="7"/>
      <c r="I435" s="2" t="s">
        <v>483</v>
      </c>
      <c r="J435" s="2" t="s">
        <v>536</v>
      </c>
      <c r="K435" s="2" t="s">
        <v>304</v>
      </c>
      <c r="L435" s="2" t="s">
        <v>206</v>
      </c>
      <c r="M435" s="8" t="str">
        <f>HYPERLINK("http://slimages.macys.com/is/image/MCY/13337500 ")</f>
        <v xml:space="preserve">http://slimages.macys.com/is/image/MCY/13337500 </v>
      </c>
    </row>
    <row r="436" spans="1:13" ht="60" x14ac:dyDescent="0.25">
      <c r="A436" s="7" t="s">
        <v>12980</v>
      </c>
      <c r="B436" s="2" t="s">
        <v>12981</v>
      </c>
      <c r="C436" s="4">
        <v>1</v>
      </c>
      <c r="D436" s="5">
        <v>3.29</v>
      </c>
      <c r="E436" s="5">
        <v>7.99</v>
      </c>
      <c r="F436" s="4" t="s">
        <v>9181</v>
      </c>
      <c r="G436" s="2" t="s">
        <v>103</v>
      </c>
      <c r="H436" s="7" t="s">
        <v>578</v>
      </c>
      <c r="I436" s="2" t="s">
        <v>1689</v>
      </c>
      <c r="J436" s="2" t="s">
        <v>354</v>
      </c>
      <c r="K436" s="2" t="s">
        <v>304</v>
      </c>
      <c r="L436" s="2" t="s">
        <v>119</v>
      </c>
      <c r="M436" s="8" t="str">
        <f>HYPERLINK("http://slimages.macys.com/is/image/MCY/12890352 ")</f>
        <v xml:space="preserve">http://slimages.macys.com/is/image/MCY/12890352 </v>
      </c>
    </row>
    <row r="437" spans="1:13" ht="60" x14ac:dyDescent="0.25">
      <c r="A437" s="7" t="s">
        <v>4352</v>
      </c>
      <c r="B437" s="2" t="s">
        <v>12982</v>
      </c>
      <c r="C437" s="4">
        <v>1</v>
      </c>
      <c r="D437" s="5">
        <v>3.29</v>
      </c>
      <c r="E437" s="5">
        <v>7.99</v>
      </c>
      <c r="F437" s="4" t="s">
        <v>2157</v>
      </c>
      <c r="G437" s="2" t="s">
        <v>28</v>
      </c>
      <c r="H437" s="7" t="s">
        <v>123</v>
      </c>
      <c r="I437" s="2" t="s">
        <v>1689</v>
      </c>
      <c r="J437" s="2" t="s">
        <v>354</v>
      </c>
      <c r="K437" s="2" t="s">
        <v>304</v>
      </c>
      <c r="L437" s="2" t="s">
        <v>119</v>
      </c>
      <c r="M437" s="8" t="str">
        <f>HYPERLINK("http://slimages.macys.com/is/image/MCY/12938580 ")</f>
        <v xml:space="preserve">http://slimages.macys.com/is/image/MCY/12938580 </v>
      </c>
    </row>
    <row r="438" spans="1:13" ht="60" x14ac:dyDescent="0.25">
      <c r="A438" s="7" t="s">
        <v>9715</v>
      </c>
      <c r="B438" s="2" t="s">
        <v>12983</v>
      </c>
      <c r="C438" s="4">
        <v>1</v>
      </c>
      <c r="D438" s="5">
        <v>3.29</v>
      </c>
      <c r="E438" s="5">
        <v>7.99</v>
      </c>
      <c r="F438" s="4" t="s">
        <v>9717</v>
      </c>
      <c r="G438" s="2" t="s">
        <v>86</v>
      </c>
      <c r="H438" s="7" t="s">
        <v>311</v>
      </c>
      <c r="I438" s="2" t="s">
        <v>1689</v>
      </c>
      <c r="J438" s="2" t="s">
        <v>354</v>
      </c>
      <c r="K438" s="2" t="s">
        <v>304</v>
      </c>
      <c r="L438" s="2" t="s">
        <v>119</v>
      </c>
      <c r="M438" s="8" t="str">
        <f>HYPERLINK("http://slimages.macys.com/is/image/MCY/12003696 ")</f>
        <v xml:space="preserve">http://slimages.macys.com/is/image/MCY/12003696 </v>
      </c>
    </row>
    <row r="439" spans="1:13" ht="60" x14ac:dyDescent="0.25">
      <c r="A439" s="7" t="s">
        <v>9179</v>
      </c>
      <c r="B439" s="2" t="s">
        <v>12984</v>
      </c>
      <c r="C439" s="4">
        <v>2</v>
      </c>
      <c r="D439" s="5">
        <v>3.29</v>
      </c>
      <c r="E439" s="5">
        <v>7.99</v>
      </c>
      <c r="F439" s="4" t="s">
        <v>9181</v>
      </c>
      <c r="G439" s="2" t="s">
        <v>103</v>
      </c>
      <c r="H439" s="7" t="s">
        <v>123</v>
      </c>
      <c r="I439" s="2" t="s">
        <v>1689</v>
      </c>
      <c r="J439" s="2" t="s">
        <v>354</v>
      </c>
      <c r="K439" s="2" t="s">
        <v>304</v>
      </c>
      <c r="L439" s="2" t="s">
        <v>119</v>
      </c>
      <c r="M439" s="8" t="str">
        <f>HYPERLINK("http://slimages.macys.com/is/image/MCY/12890352 ")</f>
        <v xml:space="preserve">http://slimages.macys.com/is/image/MCY/12890352 </v>
      </c>
    </row>
    <row r="440" spans="1:13" ht="60" x14ac:dyDescent="0.25">
      <c r="A440" s="7" t="s">
        <v>12985</v>
      </c>
      <c r="B440" s="2" t="s">
        <v>12986</v>
      </c>
      <c r="C440" s="4">
        <v>1</v>
      </c>
      <c r="D440" s="5">
        <v>3.29</v>
      </c>
      <c r="E440" s="5">
        <v>7.99</v>
      </c>
      <c r="F440" s="4" t="s">
        <v>2157</v>
      </c>
      <c r="G440" s="2" t="s">
        <v>28</v>
      </c>
      <c r="H440" s="7" t="s">
        <v>1151</v>
      </c>
      <c r="I440" s="2" t="s">
        <v>1689</v>
      </c>
      <c r="J440" s="2" t="s">
        <v>354</v>
      </c>
      <c r="K440" s="2" t="s">
        <v>304</v>
      </c>
      <c r="L440" s="2" t="s">
        <v>119</v>
      </c>
      <c r="M440" s="8" t="str">
        <f>HYPERLINK("http://slimages.macys.com/is/image/MCY/12938580 ")</f>
        <v xml:space="preserve">http://slimages.macys.com/is/image/MCY/12938580 </v>
      </c>
    </row>
    <row r="441" spans="1:13" ht="60" x14ac:dyDescent="0.25">
      <c r="A441" s="7" t="s">
        <v>8402</v>
      </c>
      <c r="B441" s="2" t="s">
        <v>12987</v>
      </c>
      <c r="C441" s="4">
        <v>1</v>
      </c>
      <c r="D441" s="5">
        <v>3.29</v>
      </c>
      <c r="E441" s="5">
        <v>7.99</v>
      </c>
      <c r="F441" s="4" t="s">
        <v>7074</v>
      </c>
      <c r="G441" s="2" t="s">
        <v>582</v>
      </c>
      <c r="H441" s="7" t="s">
        <v>514</v>
      </c>
      <c r="I441" s="2" t="s">
        <v>1689</v>
      </c>
      <c r="J441" s="2" t="s">
        <v>354</v>
      </c>
      <c r="K441" s="2" t="s">
        <v>304</v>
      </c>
      <c r="L441" s="2" t="s">
        <v>119</v>
      </c>
      <c r="M441" s="8" t="str">
        <f>HYPERLINK("http://slimages.macys.com/is/image/MCY/13077225 ")</f>
        <v xml:space="preserve">http://slimages.macys.com/is/image/MCY/13077225 </v>
      </c>
    </row>
    <row r="442" spans="1:13" ht="60" x14ac:dyDescent="0.25">
      <c r="A442" s="7" t="s">
        <v>2146</v>
      </c>
      <c r="B442" s="2" t="s">
        <v>12988</v>
      </c>
      <c r="C442" s="4">
        <v>1</v>
      </c>
      <c r="D442" s="5">
        <v>3.29</v>
      </c>
      <c r="E442" s="5">
        <v>7.99</v>
      </c>
      <c r="F442" s="4" t="s">
        <v>2148</v>
      </c>
      <c r="G442" s="2" t="s">
        <v>103</v>
      </c>
      <c r="H442" s="7" t="s">
        <v>123</v>
      </c>
      <c r="I442" s="2" t="s">
        <v>1689</v>
      </c>
      <c r="J442" s="2" t="s">
        <v>354</v>
      </c>
      <c r="K442" s="2" t="s">
        <v>304</v>
      </c>
      <c r="L442" s="2" t="s">
        <v>119</v>
      </c>
      <c r="M442" s="8" t="str">
        <f>HYPERLINK("http://slimages.macys.com/is/image/MCY/12938500 ")</f>
        <v xml:space="preserve">http://slimages.macys.com/is/image/MCY/12938500 </v>
      </c>
    </row>
    <row r="443" spans="1:13" ht="60" x14ac:dyDescent="0.25">
      <c r="A443" s="7" t="s">
        <v>2149</v>
      </c>
      <c r="B443" s="2" t="s">
        <v>12989</v>
      </c>
      <c r="C443" s="4">
        <v>1</v>
      </c>
      <c r="D443" s="5">
        <v>3.29</v>
      </c>
      <c r="E443" s="5">
        <v>7.99</v>
      </c>
      <c r="F443" s="4" t="s">
        <v>2151</v>
      </c>
      <c r="G443" s="2" t="s">
        <v>86</v>
      </c>
      <c r="H443" s="7" t="s">
        <v>578</v>
      </c>
      <c r="I443" s="2" t="s">
        <v>1689</v>
      </c>
      <c r="J443" s="2" t="s">
        <v>354</v>
      </c>
      <c r="K443" s="2" t="s">
        <v>304</v>
      </c>
      <c r="L443" s="2" t="s">
        <v>119</v>
      </c>
      <c r="M443" s="8" t="str">
        <f>HYPERLINK("http://slimages.macys.com/is/image/MCY/12938525 ")</f>
        <v xml:space="preserve">http://slimages.macys.com/is/image/MCY/12938525 </v>
      </c>
    </row>
    <row r="444" spans="1:13" ht="60" x14ac:dyDescent="0.25">
      <c r="A444" s="7" t="s">
        <v>7048</v>
      </c>
      <c r="B444" s="2" t="s">
        <v>12990</v>
      </c>
      <c r="C444" s="4">
        <v>1</v>
      </c>
      <c r="D444" s="5">
        <v>3.29</v>
      </c>
      <c r="E444" s="5">
        <v>7.99</v>
      </c>
      <c r="F444" s="4" t="s">
        <v>2151</v>
      </c>
      <c r="G444" s="2" t="s">
        <v>86</v>
      </c>
      <c r="H444" s="7" t="s">
        <v>1151</v>
      </c>
      <c r="I444" s="2" t="s">
        <v>1689</v>
      </c>
      <c r="J444" s="2" t="s">
        <v>354</v>
      </c>
      <c r="K444" s="2" t="s">
        <v>304</v>
      </c>
      <c r="L444" s="2" t="s">
        <v>119</v>
      </c>
      <c r="M444" s="8" t="str">
        <f>HYPERLINK("http://slimages.macys.com/is/image/MCY/12938525 ")</f>
        <v xml:space="preserve">http://slimages.macys.com/is/image/MCY/12938525 </v>
      </c>
    </row>
    <row r="445" spans="1:13" ht="60" x14ac:dyDescent="0.25">
      <c r="A445" s="7" t="s">
        <v>2159</v>
      </c>
      <c r="B445" s="2" t="s">
        <v>12991</v>
      </c>
      <c r="C445" s="4">
        <v>1</v>
      </c>
      <c r="D445" s="5">
        <v>3.15</v>
      </c>
      <c r="E445" s="5">
        <v>7.99</v>
      </c>
      <c r="F445" s="4" t="s">
        <v>2161</v>
      </c>
      <c r="G445" s="2" t="s">
        <v>657</v>
      </c>
      <c r="H445" s="7" t="s">
        <v>1151</v>
      </c>
      <c r="I445" s="2" t="s">
        <v>483</v>
      </c>
      <c r="J445" s="2" t="s">
        <v>536</v>
      </c>
      <c r="K445" s="2" t="s">
        <v>304</v>
      </c>
      <c r="L445" s="2" t="s">
        <v>119</v>
      </c>
      <c r="M445" s="8" t="str">
        <f>HYPERLINK("http://slimages.macys.com/is/image/MCY/12644604 ")</f>
        <v xml:space="preserve">http://slimages.macys.com/is/image/MCY/12644604 </v>
      </c>
    </row>
    <row r="446" spans="1:13" ht="60" x14ac:dyDescent="0.25">
      <c r="A446" s="7" t="s">
        <v>12992</v>
      </c>
      <c r="B446" s="2" t="s">
        <v>12993</v>
      </c>
      <c r="C446" s="4">
        <v>1</v>
      </c>
      <c r="D446" s="5">
        <v>3.15</v>
      </c>
      <c r="E446" s="5">
        <v>7.99</v>
      </c>
      <c r="F446" s="4" t="s">
        <v>4369</v>
      </c>
      <c r="G446" s="2" t="s">
        <v>1360</v>
      </c>
      <c r="H446" s="7" t="s">
        <v>1151</v>
      </c>
      <c r="I446" s="2" t="s">
        <v>483</v>
      </c>
      <c r="J446" s="2" t="s">
        <v>536</v>
      </c>
      <c r="K446" s="2"/>
      <c r="L446" s="2"/>
      <c r="M446" s="8" t="str">
        <f>HYPERLINK("http://slimages.macys.com/is/image/MCY/12223498 ")</f>
        <v xml:space="preserve">http://slimages.macys.com/is/image/MCY/12223498 </v>
      </c>
    </row>
    <row r="447" spans="1:13" ht="60" x14ac:dyDescent="0.25">
      <c r="A447" s="7" t="s">
        <v>6460</v>
      </c>
      <c r="B447" s="2" t="s">
        <v>12994</v>
      </c>
      <c r="C447" s="4">
        <v>1</v>
      </c>
      <c r="D447" s="5">
        <v>3.15</v>
      </c>
      <c r="E447" s="5">
        <v>7.99</v>
      </c>
      <c r="F447" s="4" t="s">
        <v>4369</v>
      </c>
      <c r="G447" s="2" t="s">
        <v>238</v>
      </c>
      <c r="H447" s="7" t="s">
        <v>514</v>
      </c>
      <c r="I447" s="2" t="s">
        <v>483</v>
      </c>
      <c r="J447" s="2" t="s">
        <v>536</v>
      </c>
      <c r="K447" s="2" t="s">
        <v>304</v>
      </c>
      <c r="L447" s="2" t="s">
        <v>87</v>
      </c>
      <c r="M447" s="8" t="str">
        <f>HYPERLINK("http://slimages.macys.com/is/image/MCY/11436881 ")</f>
        <v xml:space="preserve">http://slimages.macys.com/is/image/MCY/11436881 </v>
      </c>
    </row>
    <row r="448" spans="1:13" ht="60" x14ac:dyDescent="0.25">
      <c r="A448" s="7" t="s">
        <v>1182</v>
      </c>
      <c r="B448" s="2" t="s">
        <v>12995</v>
      </c>
      <c r="C448" s="4">
        <v>4</v>
      </c>
      <c r="D448" s="5">
        <v>3.03</v>
      </c>
      <c r="E448" s="5">
        <v>7.99</v>
      </c>
      <c r="F448" s="4" t="s">
        <v>1184</v>
      </c>
      <c r="G448" s="2" t="s">
        <v>41</v>
      </c>
      <c r="H448" s="7" t="s">
        <v>514</v>
      </c>
      <c r="I448" s="2" t="s">
        <v>483</v>
      </c>
      <c r="J448" s="2" t="s">
        <v>536</v>
      </c>
      <c r="K448" s="2" t="s">
        <v>304</v>
      </c>
      <c r="L448" s="2" t="s">
        <v>38</v>
      </c>
      <c r="M448" s="8" t="str">
        <f>HYPERLINK("http://slimages.macys.com/is/image/MCY/13987599 ")</f>
        <v xml:space="preserve">http://slimages.macys.com/is/image/MCY/13987599 </v>
      </c>
    </row>
    <row r="449" spans="1:13" ht="60" x14ac:dyDescent="0.25">
      <c r="A449" s="7" t="s">
        <v>7104</v>
      </c>
      <c r="B449" s="2" t="s">
        <v>12996</v>
      </c>
      <c r="C449" s="4">
        <v>1</v>
      </c>
      <c r="D449" s="5">
        <v>3.03</v>
      </c>
      <c r="E449" s="5">
        <v>7.99</v>
      </c>
      <c r="F449" s="4" t="s">
        <v>4387</v>
      </c>
      <c r="G449" s="2" t="s">
        <v>28</v>
      </c>
      <c r="H449" s="7" t="s">
        <v>1151</v>
      </c>
      <c r="I449" s="2" t="s">
        <v>483</v>
      </c>
      <c r="J449" s="2" t="s">
        <v>536</v>
      </c>
      <c r="K449" s="2" t="s">
        <v>304</v>
      </c>
      <c r="L449" s="2" t="s">
        <v>100</v>
      </c>
      <c r="M449" s="8" t="str">
        <f>HYPERLINK("http://slimages.macys.com/is/image/MCY/13336558 ")</f>
        <v xml:space="preserve">http://slimages.macys.com/is/image/MCY/13336558 </v>
      </c>
    </row>
    <row r="450" spans="1:13" ht="60" x14ac:dyDescent="0.25">
      <c r="A450" s="7" t="s">
        <v>9730</v>
      </c>
      <c r="B450" s="2" t="s">
        <v>12997</v>
      </c>
      <c r="C450" s="4">
        <v>1</v>
      </c>
      <c r="D450" s="5">
        <v>3.03</v>
      </c>
      <c r="E450" s="5">
        <v>7.99</v>
      </c>
      <c r="F450" s="4" t="s">
        <v>1184</v>
      </c>
      <c r="G450" s="2" t="s">
        <v>41</v>
      </c>
      <c r="H450" s="7" t="s">
        <v>578</v>
      </c>
      <c r="I450" s="2" t="s">
        <v>483</v>
      </c>
      <c r="J450" s="2" t="s">
        <v>536</v>
      </c>
      <c r="K450" s="2" t="s">
        <v>304</v>
      </c>
      <c r="L450" s="2" t="s">
        <v>38</v>
      </c>
      <c r="M450" s="8" t="str">
        <f>HYPERLINK("http://slimages.macys.com/is/image/MCY/13987599 ")</f>
        <v xml:space="preserve">http://slimages.macys.com/is/image/MCY/13987599 </v>
      </c>
    </row>
    <row r="451" spans="1:13" ht="60" x14ac:dyDescent="0.25">
      <c r="A451" s="7" t="s">
        <v>1189</v>
      </c>
      <c r="B451" s="2" t="s">
        <v>12998</v>
      </c>
      <c r="C451" s="4">
        <v>1</v>
      </c>
      <c r="D451" s="5">
        <v>3.01</v>
      </c>
      <c r="E451" s="5">
        <v>7.99</v>
      </c>
      <c r="F451" s="4" t="s">
        <v>1191</v>
      </c>
      <c r="G451" s="2" t="s">
        <v>527</v>
      </c>
      <c r="H451" s="7" t="s">
        <v>514</v>
      </c>
      <c r="I451" s="2" t="s">
        <v>483</v>
      </c>
      <c r="J451" s="2" t="s">
        <v>536</v>
      </c>
      <c r="K451" s="2" t="s">
        <v>304</v>
      </c>
      <c r="L451" s="2" t="s">
        <v>206</v>
      </c>
      <c r="M451" s="8" t="str">
        <f>HYPERLINK("http://slimages.macys.com/is/image/MCY/13336562 ")</f>
        <v xml:space="preserve">http://slimages.macys.com/is/image/MCY/13336562 </v>
      </c>
    </row>
    <row r="452" spans="1:13" ht="60" x14ac:dyDescent="0.25">
      <c r="A452" s="7" t="s">
        <v>4394</v>
      </c>
      <c r="B452" s="2" t="s">
        <v>12999</v>
      </c>
      <c r="C452" s="4">
        <v>1</v>
      </c>
      <c r="D452" s="5">
        <v>2.97</v>
      </c>
      <c r="E452" s="5">
        <v>7.99</v>
      </c>
      <c r="F452" s="4" t="s">
        <v>2178</v>
      </c>
      <c r="G452" s="2" t="s">
        <v>86</v>
      </c>
      <c r="H452" s="7"/>
      <c r="I452" s="2" t="s">
        <v>483</v>
      </c>
      <c r="J452" s="2" t="s">
        <v>536</v>
      </c>
      <c r="K452" s="2" t="s">
        <v>304</v>
      </c>
      <c r="L452" s="2" t="s">
        <v>119</v>
      </c>
      <c r="M452" s="8" t="str">
        <f>HYPERLINK("http://slimages.macys.com/is/image/MCY/12465218 ")</f>
        <v xml:space="preserve">http://slimages.macys.com/is/image/MCY/12465218 </v>
      </c>
    </row>
    <row r="453" spans="1:13" ht="60" x14ac:dyDescent="0.25">
      <c r="A453" s="7" t="s">
        <v>2182</v>
      </c>
      <c r="B453" s="2" t="s">
        <v>13000</v>
      </c>
      <c r="C453" s="4">
        <v>1</v>
      </c>
      <c r="D453" s="5">
        <v>2.97</v>
      </c>
      <c r="E453" s="5">
        <v>7.99</v>
      </c>
      <c r="F453" s="4" t="s">
        <v>2184</v>
      </c>
      <c r="G453" s="2" t="s">
        <v>595</v>
      </c>
      <c r="H453" s="7" t="s">
        <v>149</v>
      </c>
      <c r="I453" s="2" t="s">
        <v>483</v>
      </c>
      <c r="J453" s="2" t="s">
        <v>536</v>
      </c>
      <c r="K453" s="2" t="s">
        <v>304</v>
      </c>
      <c r="L453" s="2" t="s">
        <v>119</v>
      </c>
      <c r="M453" s="8" t="str">
        <f>HYPERLINK("http://slimages.macys.com/is/image/MCY/12465363 ")</f>
        <v xml:space="preserve">http://slimages.macys.com/is/image/MCY/12465363 </v>
      </c>
    </row>
    <row r="454" spans="1:13" ht="60" x14ac:dyDescent="0.25">
      <c r="A454" s="7" t="s">
        <v>6476</v>
      </c>
      <c r="B454" s="2" t="s">
        <v>13001</v>
      </c>
      <c r="C454" s="4">
        <v>1</v>
      </c>
      <c r="D454" s="5">
        <v>2.97</v>
      </c>
      <c r="E454" s="5">
        <v>7.99</v>
      </c>
      <c r="F454" s="4" t="s">
        <v>2184</v>
      </c>
      <c r="G454" s="2" t="s">
        <v>595</v>
      </c>
      <c r="H454" s="7"/>
      <c r="I454" s="2" t="s">
        <v>483</v>
      </c>
      <c r="J454" s="2" t="s">
        <v>536</v>
      </c>
      <c r="K454" s="2" t="s">
        <v>304</v>
      </c>
      <c r="L454" s="2" t="s">
        <v>119</v>
      </c>
      <c r="M454" s="8" t="str">
        <f>HYPERLINK("http://slimages.macys.com/is/image/MCY/12465363 ")</f>
        <v xml:space="preserve">http://slimages.macys.com/is/image/MCY/12465363 </v>
      </c>
    </row>
    <row r="455" spans="1:13" ht="60" x14ac:dyDescent="0.25">
      <c r="A455" s="7" t="s">
        <v>7120</v>
      </c>
      <c r="B455" s="2" t="s">
        <v>13002</v>
      </c>
      <c r="C455" s="4">
        <v>1</v>
      </c>
      <c r="D455" s="5">
        <v>2.94</v>
      </c>
      <c r="E455" s="5">
        <v>7.99</v>
      </c>
      <c r="F455" s="4" t="s">
        <v>2194</v>
      </c>
      <c r="G455" s="2" t="s">
        <v>41</v>
      </c>
      <c r="H455" s="7" t="s">
        <v>578</v>
      </c>
      <c r="I455" s="2" t="s">
        <v>483</v>
      </c>
      <c r="J455" s="2" t="s">
        <v>536</v>
      </c>
      <c r="K455" s="2" t="s">
        <v>304</v>
      </c>
      <c r="L455" s="2" t="s">
        <v>38</v>
      </c>
      <c r="M455" s="8" t="str">
        <f>HYPERLINK("http://slimages.macys.com/is/image/MCY/13987272 ")</f>
        <v xml:space="preserve">http://slimages.macys.com/is/image/MCY/13987272 </v>
      </c>
    </row>
    <row r="456" spans="1:13" ht="60" x14ac:dyDescent="0.25">
      <c r="A456" s="7" t="s">
        <v>2192</v>
      </c>
      <c r="B456" s="2" t="s">
        <v>13003</v>
      </c>
      <c r="C456" s="4">
        <v>3</v>
      </c>
      <c r="D456" s="5">
        <v>2.94</v>
      </c>
      <c r="E456" s="5">
        <v>7.99</v>
      </c>
      <c r="F456" s="4" t="s">
        <v>2194</v>
      </c>
      <c r="G456" s="2" t="s">
        <v>41</v>
      </c>
      <c r="H456" s="7" t="s">
        <v>514</v>
      </c>
      <c r="I456" s="2" t="s">
        <v>483</v>
      </c>
      <c r="J456" s="2" t="s">
        <v>536</v>
      </c>
      <c r="K456" s="2" t="s">
        <v>304</v>
      </c>
      <c r="L456" s="2" t="s">
        <v>38</v>
      </c>
      <c r="M456" s="8" t="str">
        <f>HYPERLINK("http://slimages.macys.com/is/image/MCY/13987272 ")</f>
        <v xml:space="preserve">http://slimages.macys.com/is/image/MCY/13987272 </v>
      </c>
    </row>
    <row r="457" spans="1:13" ht="60" x14ac:dyDescent="0.25">
      <c r="A457" s="7" t="s">
        <v>7118</v>
      </c>
      <c r="B457" s="2" t="s">
        <v>13004</v>
      </c>
      <c r="C457" s="4">
        <v>2</v>
      </c>
      <c r="D457" s="5">
        <v>2.94</v>
      </c>
      <c r="E457" s="5">
        <v>7.99</v>
      </c>
      <c r="F457" s="4" t="s">
        <v>4425</v>
      </c>
      <c r="G457" s="2" t="s">
        <v>527</v>
      </c>
      <c r="H457" s="7" t="s">
        <v>514</v>
      </c>
      <c r="I457" s="2" t="s">
        <v>483</v>
      </c>
      <c r="J457" s="2" t="s">
        <v>536</v>
      </c>
      <c r="K457" s="2" t="s">
        <v>304</v>
      </c>
      <c r="L457" s="2" t="s">
        <v>119</v>
      </c>
      <c r="M457" s="8" t="str">
        <f>HYPERLINK("http://slimages.macys.com/is/image/MCY/13987179 ")</f>
        <v xml:space="preserve">http://slimages.macys.com/is/image/MCY/13987179 </v>
      </c>
    </row>
    <row r="458" spans="1:13" ht="60" x14ac:dyDescent="0.25">
      <c r="A458" s="7" t="s">
        <v>4426</v>
      </c>
      <c r="B458" s="2" t="s">
        <v>13005</v>
      </c>
      <c r="C458" s="4">
        <v>1</v>
      </c>
      <c r="D458" s="5">
        <v>2.94</v>
      </c>
      <c r="E458" s="5">
        <v>7.99</v>
      </c>
      <c r="F458" s="4" t="s">
        <v>4425</v>
      </c>
      <c r="G458" s="2" t="s">
        <v>527</v>
      </c>
      <c r="H458" s="7" t="s">
        <v>1151</v>
      </c>
      <c r="I458" s="2" t="s">
        <v>483</v>
      </c>
      <c r="J458" s="2" t="s">
        <v>536</v>
      </c>
      <c r="K458" s="2" t="s">
        <v>304</v>
      </c>
      <c r="L458" s="2" t="s">
        <v>119</v>
      </c>
      <c r="M458" s="8" t="str">
        <f>HYPERLINK("http://slimages.macys.com/is/image/MCY/13987179 ")</f>
        <v xml:space="preserve">http://slimages.macys.com/is/image/MCY/13987179 </v>
      </c>
    </row>
    <row r="459" spans="1:13" ht="60" x14ac:dyDescent="0.25">
      <c r="A459" s="7" t="s">
        <v>4413</v>
      </c>
      <c r="B459" s="2" t="s">
        <v>13006</v>
      </c>
      <c r="C459" s="4">
        <v>2</v>
      </c>
      <c r="D459" s="5">
        <v>2.94</v>
      </c>
      <c r="E459" s="5">
        <v>7.99</v>
      </c>
      <c r="F459" s="4" t="s">
        <v>2194</v>
      </c>
      <c r="G459" s="2" t="s">
        <v>41</v>
      </c>
      <c r="H459" s="7" t="s">
        <v>1151</v>
      </c>
      <c r="I459" s="2" t="s">
        <v>483</v>
      </c>
      <c r="J459" s="2" t="s">
        <v>536</v>
      </c>
      <c r="K459" s="2" t="s">
        <v>304</v>
      </c>
      <c r="L459" s="2" t="s">
        <v>38</v>
      </c>
      <c r="M459" s="8" t="str">
        <f>HYPERLINK("http://slimages.macys.com/is/image/MCY/13987272 ")</f>
        <v xml:space="preserve">http://slimages.macys.com/is/image/MCY/13987272 </v>
      </c>
    </row>
    <row r="460" spans="1:13" ht="60" x14ac:dyDescent="0.25">
      <c r="A460" s="7" t="s">
        <v>6023</v>
      </c>
      <c r="B460" s="2" t="s">
        <v>13007</v>
      </c>
      <c r="C460" s="4">
        <v>1</v>
      </c>
      <c r="D460" s="5">
        <v>2.93</v>
      </c>
      <c r="E460" s="5">
        <v>8.99</v>
      </c>
      <c r="F460" s="4">
        <v>10006317700</v>
      </c>
      <c r="G460" s="2" t="s">
        <v>134</v>
      </c>
      <c r="H460" s="7" t="s">
        <v>590</v>
      </c>
      <c r="I460" s="2" t="s">
        <v>483</v>
      </c>
      <c r="J460" s="2" t="s">
        <v>536</v>
      </c>
      <c r="K460" s="2" t="s">
        <v>304</v>
      </c>
      <c r="L460" s="2" t="s">
        <v>38</v>
      </c>
      <c r="M460" s="8" t="str">
        <f>HYPERLINK("http://slimages.macys.com/is/image/MCY/13987487 ")</f>
        <v xml:space="preserve">http://slimages.macys.com/is/image/MCY/13987487 </v>
      </c>
    </row>
    <row r="461" spans="1:13" ht="60" x14ac:dyDescent="0.25">
      <c r="A461" s="7" t="s">
        <v>2198</v>
      </c>
      <c r="B461" s="2" t="s">
        <v>13008</v>
      </c>
      <c r="C461" s="4">
        <v>1</v>
      </c>
      <c r="D461" s="5">
        <v>2.92</v>
      </c>
      <c r="E461" s="5">
        <v>7.99</v>
      </c>
      <c r="F461" s="4" t="s">
        <v>2197</v>
      </c>
      <c r="G461" s="2" t="s">
        <v>86</v>
      </c>
      <c r="H461" s="7" t="s">
        <v>514</v>
      </c>
      <c r="I461" s="2" t="s">
        <v>483</v>
      </c>
      <c r="J461" s="2" t="s">
        <v>536</v>
      </c>
      <c r="K461" s="2" t="s">
        <v>304</v>
      </c>
      <c r="L461" s="2" t="s">
        <v>38</v>
      </c>
      <c r="M461" s="8" t="str">
        <f>HYPERLINK("http://slimages.macys.com/is/image/MCY/11855486 ")</f>
        <v xml:space="preserve">http://slimages.macys.com/is/image/MCY/11855486 </v>
      </c>
    </row>
    <row r="462" spans="1:13" ht="60" x14ac:dyDescent="0.25">
      <c r="A462" s="7" t="s">
        <v>13009</v>
      </c>
      <c r="B462" s="2" t="s">
        <v>13010</v>
      </c>
      <c r="C462" s="4">
        <v>1</v>
      </c>
      <c r="D462" s="5">
        <v>2.91</v>
      </c>
      <c r="E462" s="5">
        <v>6.99</v>
      </c>
      <c r="F462" s="4" t="s">
        <v>5673</v>
      </c>
      <c r="G462" s="2" t="s">
        <v>657</v>
      </c>
      <c r="H462" s="7" t="s">
        <v>42</v>
      </c>
      <c r="I462" s="2" t="s">
        <v>483</v>
      </c>
      <c r="J462" s="2" t="s">
        <v>536</v>
      </c>
      <c r="K462" s="2" t="s">
        <v>304</v>
      </c>
      <c r="L462" s="2" t="s">
        <v>119</v>
      </c>
      <c r="M462" s="8" t="str">
        <f>HYPERLINK("http://slimages.macys.com/is/image/MCY/10326410 ")</f>
        <v xml:space="preserve">http://slimages.macys.com/is/image/MCY/10326410 </v>
      </c>
    </row>
    <row r="463" spans="1:13" ht="60" x14ac:dyDescent="0.25">
      <c r="A463" s="7" t="s">
        <v>13011</v>
      </c>
      <c r="B463" s="2" t="s">
        <v>13012</v>
      </c>
      <c r="C463" s="4">
        <v>1</v>
      </c>
      <c r="D463" s="5">
        <v>2.9</v>
      </c>
      <c r="E463" s="5">
        <v>7.99</v>
      </c>
      <c r="F463" s="4" t="s">
        <v>4435</v>
      </c>
      <c r="G463" s="2" t="s">
        <v>527</v>
      </c>
      <c r="H463" s="7" t="s">
        <v>1151</v>
      </c>
      <c r="I463" s="2" t="s">
        <v>483</v>
      </c>
      <c r="J463" s="2" t="s">
        <v>536</v>
      </c>
      <c r="K463" s="2" t="s">
        <v>304</v>
      </c>
      <c r="L463" s="2" t="s">
        <v>87</v>
      </c>
      <c r="M463" s="8" t="str">
        <f>HYPERLINK("http://slimages.macys.com/is/image/MCY/11524164 ")</f>
        <v xml:space="preserve">http://slimages.macys.com/is/image/MCY/11524164 </v>
      </c>
    </row>
    <row r="464" spans="1:13" ht="60" x14ac:dyDescent="0.25">
      <c r="A464" s="7" t="s">
        <v>13013</v>
      </c>
      <c r="B464" s="2" t="s">
        <v>13014</v>
      </c>
      <c r="C464" s="4">
        <v>2</v>
      </c>
      <c r="D464" s="5">
        <v>2.88</v>
      </c>
      <c r="E464" s="5">
        <v>6.99</v>
      </c>
      <c r="F464" s="4" t="s">
        <v>2707</v>
      </c>
      <c r="G464" s="2" t="s">
        <v>62</v>
      </c>
      <c r="H464" s="7" t="s">
        <v>91</v>
      </c>
      <c r="I464" s="2" t="s">
        <v>483</v>
      </c>
      <c r="J464" s="2" t="s">
        <v>536</v>
      </c>
      <c r="K464" s="2" t="s">
        <v>304</v>
      </c>
      <c r="L464" s="2" t="s">
        <v>119</v>
      </c>
      <c r="M464" s="8" t="str">
        <f>HYPERLINK("http://slimages.macys.com/is/image/MCY/8882367 ")</f>
        <v xml:space="preserve">http://slimages.macys.com/is/image/MCY/8882367 </v>
      </c>
    </row>
    <row r="465" spans="1:13" ht="60" x14ac:dyDescent="0.25">
      <c r="A465" s="7" t="s">
        <v>1204</v>
      </c>
      <c r="B465" s="2" t="s">
        <v>13015</v>
      </c>
      <c r="C465" s="4">
        <v>1</v>
      </c>
      <c r="D465" s="5">
        <v>2.87</v>
      </c>
      <c r="E465" s="5">
        <v>7.99</v>
      </c>
      <c r="F465" s="4" t="s">
        <v>1206</v>
      </c>
      <c r="G465" s="2" t="s">
        <v>437</v>
      </c>
      <c r="H465" s="7" t="s">
        <v>531</v>
      </c>
      <c r="I465" s="2" t="s">
        <v>483</v>
      </c>
      <c r="J465" s="2" t="s">
        <v>536</v>
      </c>
      <c r="K465" s="2" t="s">
        <v>304</v>
      </c>
      <c r="L465" s="2" t="s">
        <v>1207</v>
      </c>
      <c r="M465" s="8" t="str">
        <f>HYPERLINK("http://slimages.macys.com/is/image/MCY/12466264 ")</f>
        <v xml:space="preserve">http://slimages.macys.com/is/image/MCY/12466264 </v>
      </c>
    </row>
    <row r="466" spans="1:13" ht="60" x14ac:dyDescent="0.25">
      <c r="A466" s="7" t="s">
        <v>13016</v>
      </c>
      <c r="B466" s="2" t="s">
        <v>13017</v>
      </c>
      <c r="C466" s="4">
        <v>1</v>
      </c>
      <c r="D466" s="5">
        <v>2.85</v>
      </c>
      <c r="E466" s="5">
        <v>7.99</v>
      </c>
      <c r="F466" s="4" t="s">
        <v>10287</v>
      </c>
      <c r="G466" s="2" t="s">
        <v>41</v>
      </c>
      <c r="H466" s="7" t="s">
        <v>514</v>
      </c>
      <c r="I466" s="2" t="s">
        <v>483</v>
      </c>
      <c r="J466" s="2" t="s">
        <v>536</v>
      </c>
      <c r="K466" s="2" t="s">
        <v>304</v>
      </c>
      <c r="L466" s="2" t="s">
        <v>100</v>
      </c>
      <c r="M466" s="8" t="str">
        <f>HYPERLINK("http://slimages.macys.com/is/image/MCY/12466322 ")</f>
        <v xml:space="preserve">http://slimages.macys.com/is/image/MCY/12466322 </v>
      </c>
    </row>
    <row r="467" spans="1:13" ht="60" x14ac:dyDescent="0.25">
      <c r="A467" s="7" t="s">
        <v>13018</v>
      </c>
      <c r="B467" s="2" t="s">
        <v>13019</v>
      </c>
      <c r="C467" s="4">
        <v>1</v>
      </c>
      <c r="D467" s="5">
        <v>2.85</v>
      </c>
      <c r="E467" s="5">
        <v>7.99</v>
      </c>
      <c r="F467" s="4" t="s">
        <v>10287</v>
      </c>
      <c r="G467" s="2" t="s">
        <v>41</v>
      </c>
      <c r="H467" s="7" t="s">
        <v>1151</v>
      </c>
      <c r="I467" s="2" t="s">
        <v>483</v>
      </c>
      <c r="J467" s="2" t="s">
        <v>536</v>
      </c>
      <c r="K467" s="2" t="s">
        <v>304</v>
      </c>
      <c r="L467" s="2" t="s">
        <v>100</v>
      </c>
      <c r="M467" s="8" t="str">
        <f>HYPERLINK("http://slimages.macys.com/is/image/MCY/12466322 ")</f>
        <v xml:space="preserve">http://slimages.macys.com/is/image/MCY/12466322 </v>
      </c>
    </row>
    <row r="468" spans="1:13" ht="108" x14ac:dyDescent="0.25">
      <c r="A468" s="7" t="s">
        <v>2199</v>
      </c>
      <c r="B468" s="2" t="s">
        <v>13020</v>
      </c>
      <c r="C468" s="4">
        <v>1</v>
      </c>
      <c r="D468" s="5">
        <v>2.84</v>
      </c>
      <c r="E468" s="5">
        <v>7.99</v>
      </c>
      <c r="F468" s="4" t="s">
        <v>599</v>
      </c>
      <c r="G468" s="2" t="s">
        <v>62</v>
      </c>
      <c r="H468" s="7" t="s">
        <v>590</v>
      </c>
      <c r="I468" s="2" t="s">
        <v>483</v>
      </c>
      <c r="J468" s="2" t="s">
        <v>536</v>
      </c>
      <c r="K468" s="2" t="s">
        <v>304</v>
      </c>
      <c r="L468" s="2" t="s">
        <v>600</v>
      </c>
      <c r="M468" s="8" t="str">
        <f>HYPERLINK("http://slimages.macys.com/is/image/MCY/14384837 ")</f>
        <v xml:space="preserve">http://slimages.macys.com/is/image/MCY/14384837 </v>
      </c>
    </row>
    <row r="469" spans="1:13" ht="60" x14ac:dyDescent="0.25">
      <c r="A469" s="7" t="s">
        <v>5678</v>
      </c>
      <c r="B469" s="2" t="s">
        <v>13021</v>
      </c>
      <c r="C469" s="4">
        <v>1</v>
      </c>
      <c r="D469" s="5">
        <v>2.84</v>
      </c>
      <c r="E469" s="5">
        <v>7.99</v>
      </c>
      <c r="F469" s="4" t="s">
        <v>5676</v>
      </c>
      <c r="G469" s="2" t="s">
        <v>41</v>
      </c>
      <c r="H469" s="7"/>
      <c r="I469" s="2" t="s">
        <v>483</v>
      </c>
      <c r="J469" s="2" t="s">
        <v>536</v>
      </c>
      <c r="K469" s="2" t="s">
        <v>304</v>
      </c>
      <c r="L469" s="2" t="s">
        <v>87</v>
      </c>
      <c r="M469" s="8" t="str">
        <f>HYPERLINK("http://slimages.macys.com/is/image/MCY/14384843 ")</f>
        <v xml:space="preserve">http://slimages.macys.com/is/image/MCY/14384843 </v>
      </c>
    </row>
    <row r="470" spans="1:13" ht="108" x14ac:dyDescent="0.25">
      <c r="A470" s="7" t="s">
        <v>7125</v>
      </c>
      <c r="B470" s="2" t="s">
        <v>13022</v>
      </c>
      <c r="C470" s="4">
        <v>1</v>
      </c>
      <c r="D470" s="5">
        <v>2.84</v>
      </c>
      <c r="E470" s="5">
        <v>7.99</v>
      </c>
      <c r="F470" s="4" t="s">
        <v>599</v>
      </c>
      <c r="G470" s="2" t="s">
        <v>62</v>
      </c>
      <c r="H470" s="7" t="s">
        <v>42</v>
      </c>
      <c r="I470" s="2" t="s">
        <v>483</v>
      </c>
      <c r="J470" s="2" t="s">
        <v>536</v>
      </c>
      <c r="K470" s="2" t="s">
        <v>304</v>
      </c>
      <c r="L470" s="2" t="s">
        <v>600</v>
      </c>
      <c r="M470" s="8" t="str">
        <f>HYPERLINK("http://slimages.macys.com/is/image/MCY/14384837 ")</f>
        <v xml:space="preserve">http://slimages.macys.com/is/image/MCY/14384837 </v>
      </c>
    </row>
    <row r="471" spans="1:13" ht="60" x14ac:dyDescent="0.25">
      <c r="A471" s="7" t="s">
        <v>13023</v>
      </c>
      <c r="B471" s="2" t="s">
        <v>13024</v>
      </c>
      <c r="C471" s="4">
        <v>1</v>
      </c>
      <c r="D471" s="5">
        <v>2.81</v>
      </c>
      <c r="E471" s="5">
        <v>7.99</v>
      </c>
      <c r="F471" s="4" t="s">
        <v>2207</v>
      </c>
      <c r="G471" s="2" t="s">
        <v>41</v>
      </c>
      <c r="H471" s="7" t="s">
        <v>578</v>
      </c>
      <c r="I471" s="2" t="s">
        <v>483</v>
      </c>
      <c r="J471" s="2" t="s">
        <v>536</v>
      </c>
      <c r="K471" s="2" t="s">
        <v>304</v>
      </c>
      <c r="L471" s="2" t="s">
        <v>100</v>
      </c>
      <c r="M471" s="8" t="str">
        <f>HYPERLINK("http://slimages.macys.com/is/image/MCY/12406900 ")</f>
        <v xml:space="preserve">http://slimages.macys.com/is/image/MCY/12406900 </v>
      </c>
    </row>
    <row r="472" spans="1:13" ht="60" x14ac:dyDescent="0.25">
      <c r="A472" s="7" t="s">
        <v>2205</v>
      </c>
      <c r="B472" s="2" t="s">
        <v>13025</v>
      </c>
      <c r="C472" s="4">
        <v>1</v>
      </c>
      <c r="D472" s="5">
        <v>2.81</v>
      </c>
      <c r="E472" s="5">
        <v>7.99</v>
      </c>
      <c r="F472" s="4" t="s">
        <v>2207</v>
      </c>
      <c r="G472" s="2" t="s">
        <v>41</v>
      </c>
      <c r="H472" s="7" t="s">
        <v>514</v>
      </c>
      <c r="I472" s="2" t="s">
        <v>483</v>
      </c>
      <c r="J472" s="2" t="s">
        <v>536</v>
      </c>
      <c r="K472" s="2" t="s">
        <v>304</v>
      </c>
      <c r="L472" s="2" t="s">
        <v>100</v>
      </c>
      <c r="M472" s="8" t="str">
        <f>HYPERLINK("http://slimages.macys.com/is/image/MCY/12406900 ")</f>
        <v xml:space="preserve">http://slimages.macys.com/is/image/MCY/12406900 </v>
      </c>
    </row>
    <row r="473" spans="1:13" ht="60" x14ac:dyDescent="0.25">
      <c r="A473" s="7" t="s">
        <v>13026</v>
      </c>
      <c r="B473" s="2" t="s">
        <v>13027</v>
      </c>
      <c r="C473" s="4">
        <v>1</v>
      </c>
      <c r="D473" s="5">
        <v>2.79</v>
      </c>
      <c r="E473" s="5">
        <v>7.99</v>
      </c>
      <c r="F473" s="4">
        <v>10004191500</v>
      </c>
      <c r="G473" s="2" t="s">
        <v>2107</v>
      </c>
      <c r="H473" s="7" t="s">
        <v>482</v>
      </c>
      <c r="I473" s="2" t="s">
        <v>483</v>
      </c>
      <c r="J473" s="2" t="s">
        <v>536</v>
      </c>
      <c r="K473" s="2" t="s">
        <v>304</v>
      </c>
      <c r="L473" s="2" t="s">
        <v>119</v>
      </c>
      <c r="M473" s="8" t="str">
        <f>HYPERLINK("http://slimages.macys.com/is/image/MCY/11519969 ")</f>
        <v xml:space="preserve">http://slimages.macys.com/is/image/MCY/11519969 </v>
      </c>
    </row>
    <row r="474" spans="1:13" ht="60" x14ac:dyDescent="0.25">
      <c r="A474" s="7" t="s">
        <v>2212</v>
      </c>
      <c r="B474" s="2" t="s">
        <v>13028</v>
      </c>
      <c r="C474" s="4">
        <v>1</v>
      </c>
      <c r="D474" s="5">
        <v>2.77</v>
      </c>
      <c r="E474" s="5">
        <v>7.99</v>
      </c>
      <c r="F474" s="4">
        <v>10004191600</v>
      </c>
      <c r="G474" s="2" t="s">
        <v>1360</v>
      </c>
      <c r="H474" s="7"/>
      <c r="I474" s="2" t="s">
        <v>483</v>
      </c>
      <c r="J474" s="2" t="s">
        <v>536</v>
      </c>
      <c r="K474" s="2" t="s">
        <v>304</v>
      </c>
      <c r="L474" s="2" t="s">
        <v>119</v>
      </c>
      <c r="M474" s="8" t="str">
        <f>HYPERLINK("http://slimages.macys.com/is/image/MCY/11547113 ")</f>
        <v xml:space="preserve">http://slimages.macys.com/is/image/MCY/11547113 </v>
      </c>
    </row>
    <row r="475" spans="1:13" ht="60" x14ac:dyDescent="0.25">
      <c r="A475" s="7" t="s">
        <v>1216</v>
      </c>
      <c r="B475" s="2" t="s">
        <v>13029</v>
      </c>
      <c r="C475" s="4">
        <v>11</v>
      </c>
      <c r="D475" s="5">
        <v>2.77</v>
      </c>
      <c r="E475" s="5">
        <v>7.99</v>
      </c>
      <c r="F475" s="4">
        <v>10005049100</v>
      </c>
      <c r="G475" s="2" t="s">
        <v>527</v>
      </c>
      <c r="H475" s="7" t="s">
        <v>604</v>
      </c>
      <c r="I475" s="2" t="s">
        <v>483</v>
      </c>
      <c r="J475" s="2" t="s">
        <v>536</v>
      </c>
      <c r="K475" s="2" t="s">
        <v>304</v>
      </c>
      <c r="L475" s="2" t="s">
        <v>119</v>
      </c>
      <c r="M475" s="8" t="str">
        <f>HYPERLINK("http://slimages.macys.com/is/image/MCY/11520375 ")</f>
        <v xml:space="preserve">http://slimages.macys.com/is/image/MCY/11520375 </v>
      </c>
    </row>
    <row r="476" spans="1:13" ht="60" x14ac:dyDescent="0.25">
      <c r="A476" s="7" t="s">
        <v>605</v>
      </c>
      <c r="B476" s="2" t="s">
        <v>13030</v>
      </c>
      <c r="C476" s="4">
        <v>11</v>
      </c>
      <c r="D476" s="5">
        <v>2.77</v>
      </c>
      <c r="E476" s="5">
        <v>7.99</v>
      </c>
      <c r="F476" s="4" t="s">
        <v>603</v>
      </c>
      <c r="G476" s="2" t="s">
        <v>297</v>
      </c>
      <c r="H476" s="7"/>
      <c r="I476" s="2" t="s">
        <v>483</v>
      </c>
      <c r="J476" s="2" t="s">
        <v>536</v>
      </c>
      <c r="K476" s="2" t="s">
        <v>304</v>
      </c>
      <c r="L476" s="2" t="s">
        <v>119</v>
      </c>
      <c r="M476" s="8" t="str">
        <f>HYPERLINK("http://slimages.macys.com/is/image/MCY/11520409 ")</f>
        <v xml:space="preserve">http://slimages.macys.com/is/image/MCY/11520409 </v>
      </c>
    </row>
    <row r="477" spans="1:13" ht="60" x14ac:dyDescent="0.25">
      <c r="A477" s="7" t="s">
        <v>2210</v>
      </c>
      <c r="B477" s="2" t="s">
        <v>13031</v>
      </c>
      <c r="C477" s="4">
        <v>9</v>
      </c>
      <c r="D477" s="5">
        <v>2.77</v>
      </c>
      <c r="E477" s="5">
        <v>7.99</v>
      </c>
      <c r="F477" s="4" t="s">
        <v>603</v>
      </c>
      <c r="G477" s="2" t="s">
        <v>297</v>
      </c>
      <c r="H477" s="7" t="s">
        <v>586</v>
      </c>
      <c r="I477" s="2" t="s">
        <v>483</v>
      </c>
      <c r="J477" s="2" t="s">
        <v>536</v>
      </c>
      <c r="K477" s="2" t="s">
        <v>304</v>
      </c>
      <c r="L477" s="2" t="s">
        <v>119</v>
      </c>
      <c r="M477" s="8" t="str">
        <f>HYPERLINK("http://slimages.macys.com/is/image/MCY/11520409 ")</f>
        <v xml:space="preserve">http://slimages.macys.com/is/image/MCY/11520409 </v>
      </c>
    </row>
    <row r="478" spans="1:13" ht="60" x14ac:dyDescent="0.25">
      <c r="A478" s="7" t="s">
        <v>5679</v>
      </c>
      <c r="B478" s="2" t="s">
        <v>13032</v>
      </c>
      <c r="C478" s="4">
        <v>11</v>
      </c>
      <c r="D478" s="5">
        <v>2.77</v>
      </c>
      <c r="E478" s="5">
        <v>7.99</v>
      </c>
      <c r="F478" s="4">
        <v>10005049100</v>
      </c>
      <c r="G478" s="2" t="s">
        <v>527</v>
      </c>
      <c r="H478" s="7"/>
      <c r="I478" s="2" t="s">
        <v>483</v>
      </c>
      <c r="J478" s="2" t="s">
        <v>536</v>
      </c>
      <c r="K478" s="2" t="s">
        <v>304</v>
      </c>
      <c r="L478" s="2" t="s">
        <v>119</v>
      </c>
      <c r="M478" s="8" t="str">
        <f>HYPERLINK("http://slimages.macys.com/is/image/MCY/11520375 ")</f>
        <v xml:space="preserve">http://slimages.macys.com/is/image/MCY/11520375 </v>
      </c>
    </row>
    <row r="479" spans="1:13" ht="60" x14ac:dyDescent="0.25">
      <c r="A479" s="7" t="s">
        <v>601</v>
      </c>
      <c r="B479" s="2" t="s">
        <v>13033</v>
      </c>
      <c r="C479" s="4">
        <v>11</v>
      </c>
      <c r="D479" s="5">
        <v>2.77</v>
      </c>
      <c r="E479" s="5">
        <v>7.99</v>
      </c>
      <c r="F479" s="4" t="s">
        <v>603</v>
      </c>
      <c r="G479" s="2" t="s">
        <v>297</v>
      </c>
      <c r="H479" s="7" t="s">
        <v>604</v>
      </c>
      <c r="I479" s="2" t="s">
        <v>483</v>
      </c>
      <c r="J479" s="2" t="s">
        <v>536</v>
      </c>
      <c r="K479" s="2" t="s">
        <v>304</v>
      </c>
      <c r="L479" s="2" t="s">
        <v>119</v>
      </c>
      <c r="M479" s="8" t="str">
        <f>HYPERLINK("http://slimages.macys.com/is/image/MCY/11520409 ")</f>
        <v xml:space="preserve">http://slimages.macys.com/is/image/MCY/11520409 </v>
      </c>
    </row>
    <row r="480" spans="1:13" ht="60" x14ac:dyDescent="0.25">
      <c r="A480" s="7" t="s">
        <v>8421</v>
      </c>
      <c r="B480" s="2" t="s">
        <v>13034</v>
      </c>
      <c r="C480" s="4">
        <v>9</v>
      </c>
      <c r="D480" s="5">
        <v>2.77</v>
      </c>
      <c r="E480" s="5">
        <v>7.99</v>
      </c>
      <c r="F480" s="4">
        <v>10005049100</v>
      </c>
      <c r="G480" s="2" t="s">
        <v>527</v>
      </c>
      <c r="H480" s="7" t="s">
        <v>586</v>
      </c>
      <c r="I480" s="2" t="s">
        <v>483</v>
      </c>
      <c r="J480" s="2" t="s">
        <v>536</v>
      </c>
      <c r="K480" s="2" t="s">
        <v>304</v>
      </c>
      <c r="L480" s="2" t="s">
        <v>119</v>
      </c>
      <c r="M480" s="8" t="str">
        <f>HYPERLINK("http://slimages.macys.com/is/image/MCY/11520375 ")</f>
        <v xml:space="preserve">http://slimages.macys.com/is/image/MCY/11520375 </v>
      </c>
    </row>
    <row r="481" spans="1:13" ht="96" x14ac:dyDescent="0.25">
      <c r="A481" s="7" t="s">
        <v>2218</v>
      </c>
      <c r="B481" s="2" t="s">
        <v>13035</v>
      </c>
      <c r="C481" s="4">
        <v>1</v>
      </c>
      <c r="D481" s="5">
        <v>2.74</v>
      </c>
      <c r="E481" s="5">
        <v>7.99</v>
      </c>
      <c r="F481" s="4" t="s">
        <v>1223</v>
      </c>
      <c r="G481" s="2" t="s">
        <v>41</v>
      </c>
      <c r="H481" s="7" t="s">
        <v>514</v>
      </c>
      <c r="I481" s="2" t="s">
        <v>483</v>
      </c>
      <c r="J481" s="2" t="s">
        <v>536</v>
      </c>
      <c r="K481" s="2" t="s">
        <v>304</v>
      </c>
      <c r="L481" s="2" t="s">
        <v>1224</v>
      </c>
      <c r="M481" s="8" t="str">
        <f>HYPERLINK("http://slimages.macys.com/is/image/MCY/13386590 ")</f>
        <v xml:space="preserve">http://slimages.macys.com/is/image/MCY/13386590 </v>
      </c>
    </row>
    <row r="482" spans="1:13" ht="60" x14ac:dyDescent="0.25">
      <c r="A482" s="7" t="s">
        <v>13036</v>
      </c>
      <c r="B482" s="2" t="s">
        <v>13037</v>
      </c>
      <c r="C482" s="4">
        <v>1</v>
      </c>
      <c r="D482" s="5">
        <v>2.71</v>
      </c>
      <c r="E482" s="5">
        <v>7.99</v>
      </c>
      <c r="F482" s="4" t="s">
        <v>13038</v>
      </c>
      <c r="G482" s="2" t="s">
        <v>582</v>
      </c>
      <c r="H482" s="7" t="s">
        <v>149</v>
      </c>
      <c r="I482" s="2" t="s">
        <v>483</v>
      </c>
      <c r="J482" s="2" t="s">
        <v>536</v>
      </c>
      <c r="K482" s="2" t="s">
        <v>304</v>
      </c>
      <c r="L482" s="2" t="s">
        <v>100</v>
      </c>
      <c r="M482" s="8" t="str">
        <f>HYPERLINK("http://slimages.macys.com/is/image/MCY/12466265 ")</f>
        <v xml:space="preserve">http://slimages.macys.com/is/image/MCY/12466265 </v>
      </c>
    </row>
    <row r="483" spans="1:13" ht="60" x14ac:dyDescent="0.25">
      <c r="A483" s="7" t="s">
        <v>2222</v>
      </c>
      <c r="B483" s="2" t="s">
        <v>13039</v>
      </c>
      <c r="C483" s="4">
        <v>1</v>
      </c>
      <c r="D483" s="5">
        <v>2.69</v>
      </c>
      <c r="E483" s="5">
        <v>5.99</v>
      </c>
      <c r="F483" s="4" t="s">
        <v>2224</v>
      </c>
      <c r="G483" s="2" t="s">
        <v>62</v>
      </c>
      <c r="H483" s="7" t="s">
        <v>91</v>
      </c>
      <c r="I483" s="2" t="s">
        <v>483</v>
      </c>
      <c r="J483" s="2" t="s">
        <v>536</v>
      </c>
      <c r="K483" s="2" t="s">
        <v>304</v>
      </c>
      <c r="L483" s="2" t="s">
        <v>206</v>
      </c>
      <c r="M483" s="8" t="str">
        <f>HYPERLINK("http://slimages.macys.com/is/image/MCY/11436881 ")</f>
        <v xml:space="preserve">http://slimages.macys.com/is/image/MCY/11436881 </v>
      </c>
    </row>
    <row r="484" spans="1:13" ht="60" x14ac:dyDescent="0.25">
      <c r="A484" s="7" t="s">
        <v>9200</v>
      </c>
      <c r="B484" s="2" t="s">
        <v>13040</v>
      </c>
      <c r="C484" s="4">
        <v>1</v>
      </c>
      <c r="D484" s="5">
        <v>2.69</v>
      </c>
      <c r="E484" s="5">
        <v>5.99</v>
      </c>
      <c r="F484" s="4" t="s">
        <v>2224</v>
      </c>
      <c r="G484" s="2" t="s">
        <v>437</v>
      </c>
      <c r="H484" s="7" t="s">
        <v>91</v>
      </c>
      <c r="I484" s="2" t="s">
        <v>483</v>
      </c>
      <c r="J484" s="2" t="s">
        <v>536</v>
      </c>
      <c r="K484" s="2" t="s">
        <v>304</v>
      </c>
      <c r="L484" s="2" t="s">
        <v>206</v>
      </c>
      <c r="M484" s="8" t="str">
        <f>HYPERLINK("http://slimages.macys.com/is/image/MCY/11436881 ")</f>
        <v xml:space="preserve">http://slimages.macys.com/is/image/MCY/11436881 </v>
      </c>
    </row>
    <row r="485" spans="1:13" ht="60" x14ac:dyDescent="0.25">
      <c r="A485" s="7" t="s">
        <v>5681</v>
      </c>
      <c r="B485" s="2" t="s">
        <v>13041</v>
      </c>
      <c r="C485" s="4">
        <v>3</v>
      </c>
      <c r="D485" s="5">
        <v>2.69</v>
      </c>
      <c r="E485" s="5">
        <v>5.99</v>
      </c>
      <c r="F485" s="4" t="s">
        <v>2224</v>
      </c>
      <c r="G485" s="2" t="s">
        <v>62</v>
      </c>
      <c r="H485" s="7" t="s">
        <v>42</v>
      </c>
      <c r="I485" s="2" t="s">
        <v>483</v>
      </c>
      <c r="J485" s="2" t="s">
        <v>536</v>
      </c>
      <c r="K485" s="2" t="s">
        <v>304</v>
      </c>
      <c r="L485" s="2" t="s">
        <v>206</v>
      </c>
      <c r="M485" s="8" t="str">
        <f>HYPERLINK("http://slimages.macys.com/is/image/MCY/11436881 ")</f>
        <v xml:space="preserve">http://slimages.macys.com/is/image/MCY/11436881 </v>
      </c>
    </row>
    <row r="486" spans="1:13" ht="60" x14ac:dyDescent="0.25">
      <c r="A486" s="7" t="s">
        <v>6488</v>
      </c>
      <c r="B486" s="2" t="s">
        <v>13042</v>
      </c>
      <c r="C486" s="4">
        <v>1</v>
      </c>
      <c r="D486" s="5">
        <v>2.69</v>
      </c>
      <c r="E486" s="5">
        <v>5.99</v>
      </c>
      <c r="F486" s="4" t="s">
        <v>2224</v>
      </c>
      <c r="G486" s="2" t="s">
        <v>28</v>
      </c>
      <c r="H486" s="7" t="s">
        <v>91</v>
      </c>
      <c r="I486" s="2" t="s">
        <v>483</v>
      </c>
      <c r="J486" s="2" t="s">
        <v>536</v>
      </c>
      <c r="K486" s="2" t="s">
        <v>304</v>
      </c>
      <c r="L486" s="2" t="s">
        <v>206</v>
      </c>
      <c r="M486" s="8" t="str">
        <f>HYPERLINK("http://slimages.macys.com/is/image/MCY/11436881 ")</f>
        <v xml:space="preserve">http://slimages.macys.com/is/image/MCY/11436881 </v>
      </c>
    </row>
    <row r="487" spans="1:13" ht="60" x14ac:dyDescent="0.25">
      <c r="A487" s="7" t="s">
        <v>8424</v>
      </c>
      <c r="B487" s="2" t="s">
        <v>13043</v>
      </c>
      <c r="C487" s="4">
        <v>1</v>
      </c>
      <c r="D487" s="5">
        <v>2.68</v>
      </c>
      <c r="E487" s="5">
        <v>7.99</v>
      </c>
      <c r="F487" s="4" t="s">
        <v>1230</v>
      </c>
      <c r="G487" s="2" t="s">
        <v>41</v>
      </c>
      <c r="H487" s="7" t="s">
        <v>578</v>
      </c>
      <c r="I487" s="2" t="s">
        <v>483</v>
      </c>
      <c r="J487" s="2" t="s">
        <v>536</v>
      </c>
      <c r="K487" s="2" t="s">
        <v>304</v>
      </c>
      <c r="L487" s="2" t="s">
        <v>38</v>
      </c>
      <c r="M487" s="8" t="str">
        <f>HYPERLINK("http://slimages.macys.com/is/image/MCY/13987603 ")</f>
        <v xml:space="preserve">http://slimages.macys.com/is/image/MCY/13987603 </v>
      </c>
    </row>
    <row r="488" spans="1:13" ht="60" x14ac:dyDescent="0.25">
      <c r="A488" s="7" t="s">
        <v>13044</v>
      </c>
      <c r="B488" s="2" t="s">
        <v>13045</v>
      </c>
      <c r="C488" s="4">
        <v>1</v>
      </c>
      <c r="D488" s="5">
        <v>2.68</v>
      </c>
      <c r="E488" s="5">
        <v>7.99</v>
      </c>
      <c r="F488" s="4" t="s">
        <v>4473</v>
      </c>
      <c r="G488" s="2" t="s">
        <v>62</v>
      </c>
      <c r="H488" s="7" t="s">
        <v>514</v>
      </c>
      <c r="I488" s="2" t="s">
        <v>483</v>
      </c>
      <c r="J488" s="2" t="s">
        <v>536</v>
      </c>
      <c r="K488" s="2" t="s">
        <v>304</v>
      </c>
      <c r="L488" s="2" t="s">
        <v>100</v>
      </c>
      <c r="M488" s="8" t="str">
        <f>HYPERLINK("http://slimages.macys.com/is/image/MCY/12463166 ")</f>
        <v xml:space="preserve">http://slimages.macys.com/is/image/MCY/12463166 </v>
      </c>
    </row>
    <row r="489" spans="1:13" ht="60" x14ac:dyDescent="0.25">
      <c r="A489" s="7" t="s">
        <v>1228</v>
      </c>
      <c r="B489" s="2" t="s">
        <v>13046</v>
      </c>
      <c r="C489" s="4">
        <v>1</v>
      </c>
      <c r="D489" s="5">
        <v>2.68</v>
      </c>
      <c r="E489" s="5">
        <v>7.99</v>
      </c>
      <c r="F489" s="4" t="s">
        <v>1230</v>
      </c>
      <c r="G489" s="2" t="s">
        <v>41</v>
      </c>
      <c r="H489" s="7" t="s">
        <v>1151</v>
      </c>
      <c r="I489" s="2" t="s">
        <v>483</v>
      </c>
      <c r="J489" s="2" t="s">
        <v>536</v>
      </c>
      <c r="K489" s="2" t="s">
        <v>304</v>
      </c>
      <c r="L489" s="2" t="s">
        <v>38</v>
      </c>
      <c r="M489" s="8" t="str">
        <f>HYPERLINK("http://slimages.macys.com/is/image/MCY/13987603 ")</f>
        <v xml:space="preserve">http://slimages.macys.com/is/image/MCY/13987603 </v>
      </c>
    </row>
    <row r="490" spans="1:13" ht="84" x14ac:dyDescent="0.25">
      <c r="A490" s="7" t="s">
        <v>2238</v>
      </c>
      <c r="B490" s="2" t="s">
        <v>13047</v>
      </c>
      <c r="C490" s="4">
        <v>2</v>
      </c>
      <c r="D490" s="5">
        <v>2.67</v>
      </c>
      <c r="E490" s="5">
        <v>7.99</v>
      </c>
      <c r="F490" s="4" t="s">
        <v>2229</v>
      </c>
      <c r="G490" s="2" t="s">
        <v>527</v>
      </c>
      <c r="H490" s="7" t="s">
        <v>590</v>
      </c>
      <c r="I490" s="2" t="s">
        <v>483</v>
      </c>
      <c r="J490" s="2" t="s">
        <v>536</v>
      </c>
      <c r="K490" s="2" t="s">
        <v>304</v>
      </c>
      <c r="L490" s="2" t="s">
        <v>2230</v>
      </c>
      <c r="M490" s="8" t="str">
        <f>HYPERLINK("http://slimages.macys.com/is/image/MCY/14385110 ")</f>
        <v xml:space="preserve">http://slimages.macys.com/is/image/MCY/14385110 </v>
      </c>
    </row>
    <row r="491" spans="1:13" ht="84" x14ac:dyDescent="0.25">
      <c r="A491" s="7" t="s">
        <v>4484</v>
      </c>
      <c r="B491" s="2" t="s">
        <v>13048</v>
      </c>
      <c r="C491" s="4">
        <v>1</v>
      </c>
      <c r="D491" s="5">
        <v>2.67</v>
      </c>
      <c r="E491" s="5">
        <v>7.99</v>
      </c>
      <c r="F491" s="4" t="s">
        <v>2229</v>
      </c>
      <c r="G491" s="2" t="s">
        <v>527</v>
      </c>
      <c r="H491" s="7" t="s">
        <v>91</v>
      </c>
      <c r="I491" s="2" t="s">
        <v>483</v>
      </c>
      <c r="J491" s="2" t="s">
        <v>536</v>
      </c>
      <c r="K491" s="2" t="s">
        <v>304</v>
      </c>
      <c r="L491" s="2" t="s">
        <v>2230</v>
      </c>
      <c r="M491" s="8" t="str">
        <f>HYPERLINK("http://slimages.macys.com/is/image/MCY/14385110 ")</f>
        <v xml:space="preserve">http://slimages.macys.com/is/image/MCY/14385110 </v>
      </c>
    </row>
    <row r="492" spans="1:13" ht="60" x14ac:dyDescent="0.25">
      <c r="A492" s="7" t="s">
        <v>13049</v>
      </c>
      <c r="B492" s="2" t="s">
        <v>13050</v>
      </c>
      <c r="C492" s="4">
        <v>1</v>
      </c>
      <c r="D492" s="5">
        <v>2.67</v>
      </c>
      <c r="E492" s="5">
        <v>6.99</v>
      </c>
      <c r="F492" s="4" t="s">
        <v>1234</v>
      </c>
      <c r="G492" s="2" t="s">
        <v>171</v>
      </c>
      <c r="H492" s="7"/>
      <c r="I492" s="2" t="s">
        <v>483</v>
      </c>
      <c r="J492" s="2" t="s">
        <v>536</v>
      </c>
      <c r="K492" s="2" t="s">
        <v>304</v>
      </c>
      <c r="L492" s="2" t="s">
        <v>119</v>
      </c>
      <c r="M492" s="8" t="str">
        <f>HYPERLINK("http://slimages.macys.com/is/image/MCY/12646582 ")</f>
        <v xml:space="preserve">http://slimages.macys.com/is/image/MCY/12646582 </v>
      </c>
    </row>
    <row r="493" spans="1:13" ht="84" x14ac:dyDescent="0.25">
      <c r="A493" s="7" t="s">
        <v>2227</v>
      </c>
      <c r="B493" s="2" t="s">
        <v>13051</v>
      </c>
      <c r="C493" s="4">
        <v>3</v>
      </c>
      <c r="D493" s="5">
        <v>2.67</v>
      </c>
      <c r="E493" s="5">
        <v>7.99</v>
      </c>
      <c r="F493" s="4" t="s">
        <v>2229</v>
      </c>
      <c r="G493" s="2" t="s">
        <v>527</v>
      </c>
      <c r="H493" s="7" t="s">
        <v>149</v>
      </c>
      <c r="I493" s="2" t="s">
        <v>483</v>
      </c>
      <c r="J493" s="2" t="s">
        <v>536</v>
      </c>
      <c r="K493" s="2" t="s">
        <v>304</v>
      </c>
      <c r="L493" s="2" t="s">
        <v>2230</v>
      </c>
      <c r="M493" s="8" t="str">
        <f>HYPERLINK("http://slimages.macys.com/is/image/MCY/14385110 ")</f>
        <v xml:space="preserve">http://slimages.macys.com/is/image/MCY/14385110 </v>
      </c>
    </row>
    <row r="494" spans="1:13" ht="60" x14ac:dyDescent="0.25">
      <c r="A494" s="7" t="s">
        <v>13052</v>
      </c>
      <c r="B494" s="2" t="s">
        <v>13053</v>
      </c>
      <c r="C494" s="4">
        <v>1</v>
      </c>
      <c r="D494" s="5">
        <v>2.65</v>
      </c>
      <c r="E494" s="5">
        <v>5.99</v>
      </c>
      <c r="F494" s="4" t="s">
        <v>6502</v>
      </c>
      <c r="G494" s="2" t="s">
        <v>134</v>
      </c>
      <c r="H494" s="7" t="s">
        <v>590</v>
      </c>
      <c r="I494" s="2" t="s">
        <v>483</v>
      </c>
      <c r="J494" s="2" t="s">
        <v>536</v>
      </c>
      <c r="K494" s="2" t="s">
        <v>304</v>
      </c>
      <c r="L494" s="2" t="s">
        <v>119</v>
      </c>
      <c r="M494" s="8" t="str">
        <f>HYPERLINK("http://slimages.macys.com/is/image/MCY/12644420 ")</f>
        <v xml:space="preserve">http://slimages.macys.com/is/image/MCY/12644420 </v>
      </c>
    </row>
    <row r="495" spans="1:13" ht="60" x14ac:dyDescent="0.25">
      <c r="A495" s="7" t="s">
        <v>13054</v>
      </c>
      <c r="B495" s="2" t="s">
        <v>13055</v>
      </c>
      <c r="C495" s="4">
        <v>1</v>
      </c>
      <c r="D495" s="5">
        <v>2.65</v>
      </c>
      <c r="E495" s="5">
        <v>7.99</v>
      </c>
      <c r="F495" s="4" t="s">
        <v>13056</v>
      </c>
      <c r="G495" s="2" t="s">
        <v>41</v>
      </c>
      <c r="H495" s="7" t="s">
        <v>514</v>
      </c>
      <c r="I495" s="2" t="s">
        <v>483</v>
      </c>
      <c r="J495" s="2" t="s">
        <v>536</v>
      </c>
      <c r="K495" s="2" t="s">
        <v>304</v>
      </c>
      <c r="L495" s="2" t="s">
        <v>206</v>
      </c>
      <c r="M495" s="8" t="str">
        <f>HYPERLINK("http://slimages.macys.com/is/image/MCY/11857585 ")</f>
        <v xml:space="preserve">http://slimages.macys.com/is/image/MCY/11857585 </v>
      </c>
    </row>
    <row r="496" spans="1:13" ht="96" x14ac:dyDescent="0.25">
      <c r="A496" s="7" t="s">
        <v>8434</v>
      </c>
      <c r="B496" s="2" t="s">
        <v>13057</v>
      </c>
      <c r="C496" s="4">
        <v>1</v>
      </c>
      <c r="D496" s="5">
        <v>2.64</v>
      </c>
      <c r="E496" s="5">
        <v>6.99</v>
      </c>
      <c r="F496" s="4" t="s">
        <v>8432</v>
      </c>
      <c r="G496" s="2" t="s">
        <v>171</v>
      </c>
      <c r="H496" s="7" t="s">
        <v>586</v>
      </c>
      <c r="I496" s="2" t="s">
        <v>483</v>
      </c>
      <c r="J496" s="2" t="s">
        <v>536</v>
      </c>
      <c r="K496" s="2" t="s">
        <v>304</v>
      </c>
      <c r="L496" s="2" t="s">
        <v>8433</v>
      </c>
      <c r="M496" s="8" t="str">
        <f>HYPERLINK("http://slimages.macys.com/is/image/MCY/11435760 ")</f>
        <v xml:space="preserve">http://slimages.macys.com/is/image/MCY/11435760 </v>
      </c>
    </row>
    <row r="497" spans="1:13" ht="60" x14ac:dyDescent="0.25">
      <c r="A497" s="7" t="s">
        <v>2249</v>
      </c>
      <c r="B497" s="2" t="s">
        <v>13058</v>
      </c>
      <c r="C497" s="4">
        <v>1</v>
      </c>
      <c r="D497" s="5">
        <v>2.64</v>
      </c>
      <c r="E497" s="5">
        <v>6.99</v>
      </c>
      <c r="F497" s="4" t="s">
        <v>2247</v>
      </c>
      <c r="G497" s="2" t="s">
        <v>262</v>
      </c>
      <c r="H497" s="7" t="s">
        <v>149</v>
      </c>
      <c r="I497" s="2" t="s">
        <v>483</v>
      </c>
      <c r="J497" s="2" t="s">
        <v>536</v>
      </c>
      <c r="K497" s="2" t="s">
        <v>304</v>
      </c>
      <c r="L497" s="2" t="s">
        <v>119</v>
      </c>
      <c r="M497" s="8" t="str">
        <f>HYPERLINK("http://slimages.macys.com/is/image/MCY/13987489 ")</f>
        <v xml:space="preserve">http://slimages.macys.com/is/image/MCY/13987489 </v>
      </c>
    </row>
    <row r="498" spans="1:13" ht="60" x14ac:dyDescent="0.25">
      <c r="A498" s="7" t="s">
        <v>9742</v>
      </c>
      <c r="B498" s="2" t="s">
        <v>13059</v>
      </c>
      <c r="C498" s="4">
        <v>1</v>
      </c>
      <c r="D498" s="5">
        <v>2.64</v>
      </c>
      <c r="E498" s="5">
        <v>7.99</v>
      </c>
      <c r="F498" s="4" t="s">
        <v>9744</v>
      </c>
      <c r="G498" s="2" t="s">
        <v>643</v>
      </c>
      <c r="H498" s="7" t="s">
        <v>514</v>
      </c>
      <c r="I498" s="2" t="s">
        <v>483</v>
      </c>
      <c r="J498" s="2" t="s">
        <v>536</v>
      </c>
      <c r="K498" s="2" t="s">
        <v>304</v>
      </c>
      <c r="L498" s="2" t="s">
        <v>206</v>
      </c>
      <c r="M498" s="8" t="str">
        <f>HYPERLINK("http://slimages.macys.com/is/image/MCY/13386674 ")</f>
        <v xml:space="preserve">http://slimages.macys.com/is/image/MCY/13386674 </v>
      </c>
    </row>
    <row r="499" spans="1:13" ht="60" x14ac:dyDescent="0.25">
      <c r="A499" s="7" t="s">
        <v>6035</v>
      </c>
      <c r="B499" s="2" t="s">
        <v>13060</v>
      </c>
      <c r="C499" s="4">
        <v>2</v>
      </c>
      <c r="D499" s="5">
        <v>2.62</v>
      </c>
      <c r="E499" s="5">
        <v>6.99</v>
      </c>
      <c r="F499" s="4" t="s">
        <v>1247</v>
      </c>
      <c r="G499" s="2" t="s">
        <v>41</v>
      </c>
      <c r="H499" s="7" t="s">
        <v>442</v>
      </c>
      <c r="I499" s="2" t="s">
        <v>483</v>
      </c>
      <c r="J499" s="2" t="s">
        <v>536</v>
      </c>
      <c r="K499" s="2" t="s">
        <v>304</v>
      </c>
      <c r="L499" s="2" t="s">
        <v>100</v>
      </c>
      <c r="M499" s="8" t="str">
        <f>HYPERLINK("http://slimages.macys.com/is/image/MCY/13337544 ")</f>
        <v xml:space="preserve">http://slimages.macys.com/is/image/MCY/13337544 </v>
      </c>
    </row>
    <row r="500" spans="1:13" ht="60" x14ac:dyDescent="0.25">
      <c r="A500" s="7" t="s">
        <v>1248</v>
      </c>
      <c r="B500" s="2" t="s">
        <v>13061</v>
      </c>
      <c r="C500" s="4">
        <v>1</v>
      </c>
      <c r="D500" s="5">
        <v>2.62</v>
      </c>
      <c r="E500" s="5">
        <v>6.99</v>
      </c>
      <c r="F500" s="4" t="s">
        <v>1244</v>
      </c>
      <c r="G500" s="2" t="s">
        <v>41</v>
      </c>
      <c r="H500" s="7" t="s">
        <v>590</v>
      </c>
      <c r="I500" s="2" t="s">
        <v>483</v>
      </c>
      <c r="J500" s="2" t="s">
        <v>536</v>
      </c>
      <c r="K500" s="2" t="s">
        <v>304</v>
      </c>
      <c r="L500" s="2" t="s">
        <v>38</v>
      </c>
      <c r="M500" s="8" t="str">
        <f>HYPERLINK("http://slimages.macys.com/is/image/MCY/13987599 ")</f>
        <v xml:space="preserve">http://slimages.macys.com/is/image/MCY/13987599 </v>
      </c>
    </row>
    <row r="501" spans="1:13" ht="60" x14ac:dyDescent="0.25">
      <c r="A501" s="7" t="s">
        <v>13062</v>
      </c>
      <c r="B501" s="2" t="s">
        <v>13063</v>
      </c>
      <c r="C501" s="4">
        <v>1</v>
      </c>
      <c r="D501" s="5">
        <v>2.62</v>
      </c>
      <c r="E501" s="5">
        <v>6.99</v>
      </c>
      <c r="F501" s="4" t="s">
        <v>7907</v>
      </c>
      <c r="G501" s="2" t="s">
        <v>41</v>
      </c>
      <c r="H501" s="7" t="s">
        <v>42</v>
      </c>
      <c r="I501" s="2" t="s">
        <v>483</v>
      </c>
      <c r="J501" s="2" t="s">
        <v>536</v>
      </c>
      <c r="K501" s="2" t="s">
        <v>304</v>
      </c>
      <c r="L501" s="2" t="s">
        <v>100</v>
      </c>
      <c r="M501" s="8" t="str">
        <f>HYPERLINK("http://slimages.macys.com/is/image/MCY/11855828 ")</f>
        <v xml:space="preserve">http://slimages.macys.com/is/image/MCY/11855828 </v>
      </c>
    </row>
    <row r="502" spans="1:13" ht="60" x14ac:dyDescent="0.25">
      <c r="A502" s="7" t="s">
        <v>7164</v>
      </c>
      <c r="B502" s="2" t="s">
        <v>13064</v>
      </c>
      <c r="C502" s="4">
        <v>1</v>
      </c>
      <c r="D502" s="5">
        <v>2.62</v>
      </c>
      <c r="E502" s="5">
        <v>6.99</v>
      </c>
      <c r="F502" s="4" t="s">
        <v>1244</v>
      </c>
      <c r="G502" s="2" t="s">
        <v>41</v>
      </c>
      <c r="H502" s="7" t="s">
        <v>91</v>
      </c>
      <c r="I502" s="2" t="s">
        <v>483</v>
      </c>
      <c r="J502" s="2" t="s">
        <v>536</v>
      </c>
      <c r="K502" s="2" t="s">
        <v>304</v>
      </c>
      <c r="L502" s="2" t="s">
        <v>38</v>
      </c>
      <c r="M502" s="8" t="str">
        <f>HYPERLINK("http://slimages.macys.com/is/image/MCY/13987599 ")</f>
        <v xml:space="preserve">http://slimages.macys.com/is/image/MCY/13987599 </v>
      </c>
    </row>
    <row r="503" spans="1:13" ht="60" x14ac:dyDescent="0.25">
      <c r="A503" s="7" t="s">
        <v>1245</v>
      </c>
      <c r="B503" s="2" t="s">
        <v>13065</v>
      </c>
      <c r="C503" s="4">
        <v>1</v>
      </c>
      <c r="D503" s="5">
        <v>2.62</v>
      </c>
      <c r="E503" s="5">
        <v>6.99</v>
      </c>
      <c r="F503" s="4" t="s">
        <v>1247</v>
      </c>
      <c r="G503" s="2" t="s">
        <v>41</v>
      </c>
      <c r="H503" s="7" t="s">
        <v>149</v>
      </c>
      <c r="I503" s="2" t="s">
        <v>483</v>
      </c>
      <c r="J503" s="2" t="s">
        <v>536</v>
      </c>
      <c r="K503" s="2" t="s">
        <v>304</v>
      </c>
      <c r="L503" s="2" t="s">
        <v>100</v>
      </c>
      <c r="M503" s="8" t="str">
        <f>HYPERLINK("http://slimages.macys.com/is/image/MCY/13337544 ")</f>
        <v xml:space="preserve">http://slimages.macys.com/is/image/MCY/13337544 </v>
      </c>
    </row>
    <row r="504" spans="1:13" ht="60" x14ac:dyDescent="0.25">
      <c r="A504" s="7" t="s">
        <v>2256</v>
      </c>
      <c r="B504" s="2" t="s">
        <v>13066</v>
      </c>
      <c r="C504" s="4">
        <v>1</v>
      </c>
      <c r="D504" s="5">
        <v>2.62</v>
      </c>
      <c r="E504" s="5">
        <v>5.99</v>
      </c>
      <c r="F504" s="4" t="s">
        <v>2255</v>
      </c>
      <c r="G504" s="2" t="s">
        <v>657</v>
      </c>
      <c r="H504" s="7" t="s">
        <v>149</v>
      </c>
      <c r="I504" s="2" t="s">
        <v>483</v>
      </c>
      <c r="J504" s="2" t="s">
        <v>536</v>
      </c>
      <c r="K504" s="2" t="s">
        <v>304</v>
      </c>
      <c r="L504" s="2" t="s">
        <v>119</v>
      </c>
      <c r="M504" s="8" t="str">
        <f>HYPERLINK("http://slimages.macys.com/is/image/MCY/12644604 ")</f>
        <v xml:space="preserve">http://slimages.macys.com/is/image/MCY/12644604 </v>
      </c>
    </row>
    <row r="505" spans="1:13" ht="60" x14ac:dyDescent="0.25">
      <c r="A505" s="7" t="s">
        <v>10299</v>
      </c>
      <c r="B505" s="2" t="s">
        <v>13067</v>
      </c>
      <c r="C505" s="4">
        <v>1</v>
      </c>
      <c r="D505" s="5">
        <v>2.62</v>
      </c>
      <c r="E505" s="5">
        <v>6.99</v>
      </c>
      <c r="F505" s="4" t="s">
        <v>7907</v>
      </c>
      <c r="G505" s="2" t="s">
        <v>41</v>
      </c>
      <c r="H505" s="7" t="s">
        <v>91</v>
      </c>
      <c r="I505" s="2" t="s">
        <v>483</v>
      </c>
      <c r="J505" s="2" t="s">
        <v>536</v>
      </c>
      <c r="K505" s="2" t="s">
        <v>304</v>
      </c>
      <c r="L505" s="2" t="s">
        <v>100</v>
      </c>
      <c r="M505" s="8" t="str">
        <f>HYPERLINK("http://slimages.macys.com/is/image/MCY/11855828 ")</f>
        <v xml:space="preserve">http://slimages.macys.com/is/image/MCY/11855828 </v>
      </c>
    </row>
    <row r="506" spans="1:13" ht="60" x14ac:dyDescent="0.25">
      <c r="A506" s="7" t="s">
        <v>2267</v>
      </c>
      <c r="B506" s="2" t="s">
        <v>13068</v>
      </c>
      <c r="C506" s="4">
        <v>1</v>
      </c>
      <c r="D506" s="5">
        <v>2.62</v>
      </c>
      <c r="E506" s="5">
        <v>5.99</v>
      </c>
      <c r="F506" s="4" t="s">
        <v>2255</v>
      </c>
      <c r="G506" s="2" t="s">
        <v>657</v>
      </c>
      <c r="H506" s="7" t="s">
        <v>590</v>
      </c>
      <c r="I506" s="2" t="s">
        <v>483</v>
      </c>
      <c r="J506" s="2" t="s">
        <v>536</v>
      </c>
      <c r="K506" s="2" t="s">
        <v>304</v>
      </c>
      <c r="L506" s="2" t="s">
        <v>119</v>
      </c>
      <c r="M506" s="8" t="str">
        <f>HYPERLINK("http://slimages.macys.com/is/image/MCY/12644604 ")</f>
        <v xml:space="preserve">http://slimages.macys.com/is/image/MCY/12644604 </v>
      </c>
    </row>
    <row r="507" spans="1:13" ht="60" x14ac:dyDescent="0.25">
      <c r="A507" s="7" t="s">
        <v>2275</v>
      </c>
      <c r="B507" s="2" t="s">
        <v>13069</v>
      </c>
      <c r="C507" s="4">
        <v>1</v>
      </c>
      <c r="D507" s="5">
        <v>2.61</v>
      </c>
      <c r="E507" s="5">
        <v>6.99</v>
      </c>
      <c r="F507" s="4" t="s">
        <v>2277</v>
      </c>
      <c r="G507" s="2" t="s">
        <v>527</v>
      </c>
      <c r="H507" s="7" t="s">
        <v>91</v>
      </c>
      <c r="I507" s="2" t="s">
        <v>483</v>
      </c>
      <c r="J507" s="2" t="s">
        <v>536</v>
      </c>
      <c r="K507" s="2" t="s">
        <v>304</v>
      </c>
      <c r="L507" s="2" t="s">
        <v>206</v>
      </c>
      <c r="M507" s="8" t="str">
        <f>HYPERLINK("http://slimages.macys.com/is/image/MCY/13336562 ")</f>
        <v xml:space="preserve">http://slimages.macys.com/is/image/MCY/13336562 </v>
      </c>
    </row>
    <row r="508" spans="1:13" ht="60" x14ac:dyDescent="0.25">
      <c r="A508" s="7" t="s">
        <v>4524</v>
      </c>
      <c r="B508" s="2" t="s">
        <v>13070</v>
      </c>
      <c r="C508" s="4">
        <v>1</v>
      </c>
      <c r="D508" s="5">
        <v>2.61</v>
      </c>
      <c r="E508" s="5">
        <v>6.99</v>
      </c>
      <c r="F508" s="4" t="s">
        <v>4519</v>
      </c>
      <c r="G508" s="2" t="s">
        <v>171</v>
      </c>
      <c r="H508" s="7"/>
      <c r="I508" s="2" t="s">
        <v>483</v>
      </c>
      <c r="J508" s="2" t="s">
        <v>536</v>
      </c>
      <c r="K508" s="2" t="s">
        <v>304</v>
      </c>
      <c r="L508" s="2" t="s">
        <v>623</v>
      </c>
      <c r="M508" s="8" t="str">
        <f>HYPERLINK("http://slimages.macys.com/is/image/MCY/12466225 ")</f>
        <v xml:space="preserve">http://slimages.macys.com/is/image/MCY/12466225 </v>
      </c>
    </row>
    <row r="509" spans="1:13" ht="60" x14ac:dyDescent="0.25">
      <c r="A509" s="7" t="s">
        <v>2278</v>
      </c>
      <c r="B509" s="2" t="s">
        <v>13071</v>
      </c>
      <c r="C509" s="4">
        <v>1</v>
      </c>
      <c r="D509" s="5">
        <v>2.59</v>
      </c>
      <c r="E509" s="5">
        <v>7.99</v>
      </c>
      <c r="F509" s="4" t="s">
        <v>2280</v>
      </c>
      <c r="G509" s="2" t="s">
        <v>86</v>
      </c>
      <c r="H509" s="7"/>
      <c r="I509" s="2" t="s">
        <v>483</v>
      </c>
      <c r="J509" s="2" t="s">
        <v>536</v>
      </c>
      <c r="K509" s="2" t="s">
        <v>304</v>
      </c>
      <c r="L509" s="2" t="s">
        <v>100</v>
      </c>
      <c r="M509" s="8" t="str">
        <f>HYPERLINK("http://slimages.macys.com/is/image/MCY/12465706 ")</f>
        <v xml:space="preserve">http://slimages.macys.com/is/image/MCY/12465706 </v>
      </c>
    </row>
    <row r="510" spans="1:13" ht="60" x14ac:dyDescent="0.25">
      <c r="A510" s="7" t="s">
        <v>6057</v>
      </c>
      <c r="B510" s="2" t="s">
        <v>13072</v>
      </c>
      <c r="C510" s="4">
        <v>1</v>
      </c>
      <c r="D510" s="5">
        <v>2.57</v>
      </c>
      <c r="E510" s="5">
        <v>6.99</v>
      </c>
      <c r="F510" s="4" t="s">
        <v>6033</v>
      </c>
      <c r="G510" s="2" t="s">
        <v>297</v>
      </c>
      <c r="H510" s="7" t="s">
        <v>590</v>
      </c>
      <c r="I510" s="2" t="s">
        <v>483</v>
      </c>
      <c r="J510" s="2" t="s">
        <v>536</v>
      </c>
      <c r="K510" s="2" t="s">
        <v>304</v>
      </c>
      <c r="L510" s="2" t="s">
        <v>100</v>
      </c>
      <c r="M510" s="8" t="str">
        <f>HYPERLINK("http://slimages.macys.com/is/image/MCY/11378279 ")</f>
        <v xml:space="preserve">http://slimages.macys.com/is/image/MCY/11378279 </v>
      </c>
    </row>
    <row r="511" spans="1:13" ht="60" x14ac:dyDescent="0.25">
      <c r="A511" s="7" t="s">
        <v>3517</v>
      </c>
      <c r="B511" s="2" t="s">
        <v>13073</v>
      </c>
      <c r="C511" s="4">
        <v>1</v>
      </c>
      <c r="D511" s="5">
        <v>2.56</v>
      </c>
      <c r="E511" s="5">
        <v>6.99</v>
      </c>
      <c r="F511" s="4" t="s">
        <v>1261</v>
      </c>
      <c r="G511" s="2" t="s">
        <v>437</v>
      </c>
      <c r="H511" s="7" t="s">
        <v>149</v>
      </c>
      <c r="I511" s="2" t="s">
        <v>483</v>
      </c>
      <c r="J511" s="2" t="s">
        <v>536</v>
      </c>
      <c r="K511" s="2" t="s">
        <v>304</v>
      </c>
      <c r="L511" s="2" t="s">
        <v>100</v>
      </c>
      <c r="M511" s="8" t="str">
        <f>HYPERLINK("http://slimages.macys.com/is/image/MCY/11779082 ")</f>
        <v xml:space="preserve">http://slimages.macys.com/is/image/MCY/11779082 </v>
      </c>
    </row>
    <row r="512" spans="1:13" ht="60" x14ac:dyDescent="0.25">
      <c r="A512" s="7" t="s">
        <v>12219</v>
      </c>
      <c r="B512" s="2" t="s">
        <v>13074</v>
      </c>
      <c r="C512" s="4">
        <v>2</v>
      </c>
      <c r="D512" s="5">
        <v>2.5499999999999998</v>
      </c>
      <c r="E512" s="5">
        <v>6.99</v>
      </c>
      <c r="F512" s="4">
        <v>10004349300</v>
      </c>
      <c r="G512" s="2" t="s">
        <v>134</v>
      </c>
      <c r="H512" s="7" t="s">
        <v>590</v>
      </c>
      <c r="I512" s="2" t="s">
        <v>483</v>
      </c>
      <c r="J512" s="2" t="s">
        <v>536</v>
      </c>
      <c r="K512" s="2" t="s">
        <v>304</v>
      </c>
      <c r="L512" s="2" t="s">
        <v>38</v>
      </c>
      <c r="M512" s="8" t="str">
        <f>HYPERLINK("http://slimages.macys.com/is/image/MCY/11437074 ")</f>
        <v xml:space="preserve">http://slimages.macys.com/is/image/MCY/11437074 </v>
      </c>
    </row>
    <row r="513" spans="1:13" ht="60" x14ac:dyDescent="0.25">
      <c r="A513" s="7" t="s">
        <v>6065</v>
      </c>
      <c r="B513" s="2" t="s">
        <v>13075</v>
      </c>
      <c r="C513" s="4">
        <v>2</v>
      </c>
      <c r="D513" s="5">
        <v>2.5499999999999998</v>
      </c>
      <c r="E513" s="5">
        <v>5.99</v>
      </c>
      <c r="F513" s="4" t="s">
        <v>2284</v>
      </c>
      <c r="G513" s="2" t="s">
        <v>86</v>
      </c>
      <c r="H513" s="7" t="s">
        <v>91</v>
      </c>
      <c r="I513" s="2" t="s">
        <v>483</v>
      </c>
      <c r="J513" s="2" t="s">
        <v>536</v>
      </c>
      <c r="K513" s="2" t="s">
        <v>304</v>
      </c>
      <c r="L513" s="2" t="s">
        <v>206</v>
      </c>
      <c r="M513" s="8" t="str">
        <f>HYPERLINK("http://slimages.macys.com/is/image/MCY/11436902 ")</f>
        <v xml:space="preserve">http://slimages.macys.com/is/image/MCY/11436902 </v>
      </c>
    </row>
    <row r="514" spans="1:13" ht="60" x14ac:dyDescent="0.25">
      <c r="A514" s="7" t="s">
        <v>13076</v>
      </c>
      <c r="B514" s="2" t="s">
        <v>13077</v>
      </c>
      <c r="C514" s="4">
        <v>1</v>
      </c>
      <c r="D514" s="5">
        <v>2.5499999999999998</v>
      </c>
      <c r="E514" s="5">
        <v>6.99</v>
      </c>
      <c r="F514" s="4">
        <v>10004349300</v>
      </c>
      <c r="G514" s="2" t="s">
        <v>134</v>
      </c>
      <c r="H514" s="7" t="s">
        <v>482</v>
      </c>
      <c r="I514" s="2" t="s">
        <v>483</v>
      </c>
      <c r="J514" s="2" t="s">
        <v>536</v>
      </c>
      <c r="K514" s="2" t="s">
        <v>304</v>
      </c>
      <c r="L514" s="2" t="s">
        <v>38</v>
      </c>
      <c r="M514" s="8" t="str">
        <f>HYPERLINK("http://slimages.macys.com/is/image/MCY/11437074 ")</f>
        <v xml:space="preserve">http://slimages.macys.com/is/image/MCY/11437074 </v>
      </c>
    </row>
    <row r="515" spans="1:13" ht="60" x14ac:dyDescent="0.25">
      <c r="A515" s="7" t="s">
        <v>6546</v>
      </c>
      <c r="B515" s="2" t="s">
        <v>13078</v>
      </c>
      <c r="C515" s="4">
        <v>1</v>
      </c>
      <c r="D515" s="5">
        <v>2.5499999999999998</v>
      </c>
      <c r="E515" s="5">
        <v>6.99</v>
      </c>
      <c r="F515" s="4">
        <v>10004349400</v>
      </c>
      <c r="G515" s="2" t="s">
        <v>134</v>
      </c>
      <c r="H515" s="7" t="s">
        <v>590</v>
      </c>
      <c r="I515" s="2" t="s">
        <v>483</v>
      </c>
      <c r="J515" s="2" t="s">
        <v>536</v>
      </c>
      <c r="K515" s="2" t="s">
        <v>304</v>
      </c>
      <c r="L515" s="2" t="s">
        <v>206</v>
      </c>
      <c r="M515" s="8" t="str">
        <f>HYPERLINK("http://slimages.macys.com/is/image/MCY/11434520 ")</f>
        <v xml:space="preserve">http://slimages.macys.com/is/image/MCY/11434520 </v>
      </c>
    </row>
    <row r="516" spans="1:13" ht="60" x14ac:dyDescent="0.25">
      <c r="A516" s="7" t="s">
        <v>13079</v>
      </c>
      <c r="B516" s="2" t="s">
        <v>13080</v>
      </c>
      <c r="C516" s="4">
        <v>3</v>
      </c>
      <c r="D516" s="5">
        <v>2.5499999999999998</v>
      </c>
      <c r="E516" s="5">
        <v>6.99</v>
      </c>
      <c r="F516" s="4">
        <v>10004349300</v>
      </c>
      <c r="G516" s="2" t="s">
        <v>134</v>
      </c>
      <c r="H516" s="7"/>
      <c r="I516" s="2" t="s">
        <v>483</v>
      </c>
      <c r="J516" s="2" t="s">
        <v>536</v>
      </c>
      <c r="K516" s="2" t="s">
        <v>304</v>
      </c>
      <c r="L516" s="2" t="s">
        <v>38</v>
      </c>
      <c r="M516" s="8" t="str">
        <f>HYPERLINK("http://slimages.macys.com/is/image/MCY/11437074 ")</f>
        <v xml:space="preserve">http://slimages.macys.com/is/image/MCY/11437074 </v>
      </c>
    </row>
    <row r="517" spans="1:13" ht="84" x14ac:dyDescent="0.25">
      <c r="A517" s="7" t="s">
        <v>4537</v>
      </c>
      <c r="B517" s="2" t="s">
        <v>13081</v>
      </c>
      <c r="C517" s="4">
        <v>1</v>
      </c>
      <c r="D517" s="5">
        <v>2.5499999999999998</v>
      </c>
      <c r="E517" s="5">
        <v>6.99</v>
      </c>
      <c r="F517" s="4" t="s">
        <v>4539</v>
      </c>
      <c r="G517" s="2" t="s">
        <v>1265</v>
      </c>
      <c r="H517" s="7" t="s">
        <v>590</v>
      </c>
      <c r="I517" s="2" t="s">
        <v>483</v>
      </c>
      <c r="J517" s="2" t="s">
        <v>536</v>
      </c>
      <c r="K517" s="2" t="s">
        <v>304</v>
      </c>
      <c r="L517" s="2" t="s">
        <v>1308</v>
      </c>
      <c r="M517" s="8" t="str">
        <f>HYPERLINK("http://slimages.macys.com/is/image/MCY/13987471 ")</f>
        <v xml:space="preserve">http://slimages.macys.com/is/image/MCY/13987471 </v>
      </c>
    </row>
    <row r="518" spans="1:13" ht="60" x14ac:dyDescent="0.25">
      <c r="A518" s="7" t="s">
        <v>6064</v>
      </c>
      <c r="B518" s="2" t="s">
        <v>13082</v>
      </c>
      <c r="C518" s="4">
        <v>4</v>
      </c>
      <c r="D518" s="5">
        <v>2.5499999999999998</v>
      </c>
      <c r="E518" s="5">
        <v>5.99</v>
      </c>
      <c r="F518" s="4" t="s">
        <v>2284</v>
      </c>
      <c r="G518" s="2" t="s">
        <v>86</v>
      </c>
      <c r="H518" s="7" t="s">
        <v>42</v>
      </c>
      <c r="I518" s="2" t="s">
        <v>483</v>
      </c>
      <c r="J518" s="2" t="s">
        <v>536</v>
      </c>
      <c r="K518" s="2" t="s">
        <v>304</v>
      </c>
      <c r="L518" s="2" t="s">
        <v>206</v>
      </c>
      <c r="M518" s="8" t="str">
        <f>HYPERLINK("http://slimages.macys.com/is/image/MCY/11436902 ")</f>
        <v xml:space="preserve">http://slimages.macys.com/is/image/MCY/11436902 </v>
      </c>
    </row>
    <row r="519" spans="1:13" ht="60" x14ac:dyDescent="0.25">
      <c r="A519" s="7" t="s">
        <v>2282</v>
      </c>
      <c r="B519" s="2" t="s">
        <v>13083</v>
      </c>
      <c r="C519" s="4">
        <v>1</v>
      </c>
      <c r="D519" s="5">
        <v>2.5499999999999998</v>
      </c>
      <c r="E519" s="5">
        <v>5.99</v>
      </c>
      <c r="F519" s="4" t="s">
        <v>2284</v>
      </c>
      <c r="G519" s="2" t="s">
        <v>86</v>
      </c>
      <c r="H519" s="7" t="s">
        <v>149</v>
      </c>
      <c r="I519" s="2" t="s">
        <v>483</v>
      </c>
      <c r="J519" s="2" t="s">
        <v>536</v>
      </c>
      <c r="K519" s="2" t="s">
        <v>304</v>
      </c>
      <c r="L519" s="2" t="s">
        <v>206</v>
      </c>
      <c r="M519" s="8" t="str">
        <f>HYPERLINK("http://slimages.macys.com/is/image/MCY/11436902 ")</f>
        <v xml:space="preserve">http://slimages.macys.com/is/image/MCY/11436902 </v>
      </c>
    </row>
    <row r="520" spans="1:13" ht="60" x14ac:dyDescent="0.25">
      <c r="A520" s="7" t="s">
        <v>9211</v>
      </c>
      <c r="B520" s="2" t="s">
        <v>13084</v>
      </c>
      <c r="C520" s="4">
        <v>1</v>
      </c>
      <c r="D520" s="5">
        <v>2.5499999999999998</v>
      </c>
      <c r="E520" s="5">
        <v>6.99</v>
      </c>
      <c r="F520" s="4">
        <v>10004349300</v>
      </c>
      <c r="G520" s="2" t="s">
        <v>134</v>
      </c>
      <c r="H520" s="7" t="s">
        <v>149</v>
      </c>
      <c r="I520" s="2" t="s">
        <v>483</v>
      </c>
      <c r="J520" s="2" t="s">
        <v>536</v>
      </c>
      <c r="K520" s="2" t="s">
        <v>304</v>
      </c>
      <c r="L520" s="2" t="s">
        <v>38</v>
      </c>
      <c r="M520" s="8" t="str">
        <f>HYPERLINK("http://slimages.macys.com/is/image/MCY/11437074 ")</f>
        <v xml:space="preserve">http://slimages.macys.com/is/image/MCY/11437074 </v>
      </c>
    </row>
    <row r="521" spans="1:13" ht="60" x14ac:dyDescent="0.25">
      <c r="A521" s="7" t="s">
        <v>2288</v>
      </c>
      <c r="B521" s="2" t="s">
        <v>13085</v>
      </c>
      <c r="C521" s="4">
        <v>1</v>
      </c>
      <c r="D521" s="5">
        <v>2.5499999999999998</v>
      </c>
      <c r="E521" s="5">
        <v>5.99</v>
      </c>
      <c r="F521" s="4" t="s">
        <v>2284</v>
      </c>
      <c r="G521" s="2" t="s">
        <v>86</v>
      </c>
      <c r="H521" s="7" t="s">
        <v>442</v>
      </c>
      <c r="I521" s="2" t="s">
        <v>483</v>
      </c>
      <c r="J521" s="2" t="s">
        <v>536</v>
      </c>
      <c r="K521" s="2" t="s">
        <v>304</v>
      </c>
      <c r="L521" s="2" t="s">
        <v>206</v>
      </c>
      <c r="M521" s="8" t="str">
        <f>HYPERLINK("http://slimages.macys.com/is/image/MCY/11436902 ")</f>
        <v xml:space="preserve">http://slimages.macys.com/is/image/MCY/11436902 </v>
      </c>
    </row>
    <row r="522" spans="1:13" ht="60" x14ac:dyDescent="0.25">
      <c r="A522" s="7" t="s">
        <v>6555</v>
      </c>
      <c r="B522" s="2" t="s">
        <v>13086</v>
      </c>
      <c r="C522" s="4">
        <v>1</v>
      </c>
      <c r="D522" s="5">
        <v>2.5299999999999998</v>
      </c>
      <c r="E522" s="5">
        <v>5.99</v>
      </c>
      <c r="F522" s="4" t="s">
        <v>1284</v>
      </c>
      <c r="G522" s="2" t="s">
        <v>41</v>
      </c>
      <c r="H522" s="7" t="s">
        <v>42</v>
      </c>
      <c r="I522" s="2" t="s">
        <v>483</v>
      </c>
      <c r="J522" s="2" t="s">
        <v>536</v>
      </c>
      <c r="K522" s="2" t="s">
        <v>304</v>
      </c>
      <c r="L522" s="2" t="s">
        <v>38</v>
      </c>
      <c r="M522" s="8" t="str">
        <f>HYPERLINK("http://slimages.macys.com/is/image/MCY/13337388 ")</f>
        <v xml:space="preserve">http://slimages.macys.com/is/image/MCY/13337388 </v>
      </c>
    </row>
    <row r="523" spans="1:13" ht="60" x14ac:dyDescent="0.25">
      <c r="A523" s="7" t="s">
        <v>9754</v>
      </c>
      <c r="B523" s="2" t="s">
        <v>13087</v>
      </c>
      <c r="C523" s="4">
        <v>1</v>
      </c>
      <c r="D523" s="5">
        <v>2.5299999999999998</v>
      </c>
      <c r="E523" s="5">
        <v>5.99</v>
      </c>
      <c r="F523" s="4" t="s">
        <v>5713</v>
      </c>
      <c r="G523" s="2" t="s">
        <v>28</v>
      </c>
      <c r="H523" s="7" t="s">
        <v>91</v>
      </c>
      <c r="I523" s="2" t="s">
        <v>483</v>
      </c>
      <c r="J523" s="2" t="s">
        <v>536</v>
      </c>
      <c r="K523" s="2" t="s">
        <v>304</v>
      </c>
      <c r="L523" s="2" t="s">
        <v>206</v>
      </c>
      <c r="M523" s="8" t="str">
        <f>HYPERLINK("http://slimages.macys.com/is/image/MCY/13386207 ")</f>
        <v xml:space="preserve">http://slimages.macys.com/is/image/MCY/13386207 </v>
      </c>
    </row>
    <row r="524" spans="1:13" ht="60" x14ac:dyDescent="0.25">
      <c r="A524" s="7" t="s">
        <v>5711</v>
      </c>
      <c r="B524" s="2" t="s">
        <v>13088</v>
      </c>
      <c r="C524" s="4">
        <v>1</v>
      </c>
      <c r="D524" s="5">
        <v>2.5299999999999998</v>
      </c>
      <c r="E524" s="5">
        <v>5.99</v>
      </c>
      <c r="F524" s="4" t="s">
        <v>5713</v>
      </c>
      <c r="G524" s="2" t="s">
        <v>28</v>
      </c>
      <c r="H524" s="7" t="s">
        <v>590</v>
      </c>
      <c r="I524" s="2" t="s">
        <v>483</v>
      </c>
      <c r="J524" s="2" t="s">
        <v>536</v>
      </c>
      <c r="K524" s="2" t="s">
        <v>304</v>
      </c>
      <c r="L524" s="2" t="s">
        <v>206</v>
      </c>
      <c r="M524" s="8" t="str">
        <f>HYPERLINK("http://slimages.macys.com/is/image/MCY/13386207 ")</f>
        <v xml:space="preserve">http://slimages.macys.com/is/image/MCY/13386207 </v>
      </c>
    </row>
    <row r="525" spans="1:13" ht="60" x14ac:dyDescent="0.25">
      <c r="A525" s="7" t="s">
        <v>13089</v>
      </c>
      <c r="B525" s="2" t="s">
        <v>13090</v>
      </c>
      <c r="C525" s="4">
        <v>1</v>
      </c>
      <c r="D525" s="5">
        <v>2.5299999999999998</v>
      </c>
      <c r="E525" s="5">
        <v>5.99</v>
      </c>
      <c r="F525" s="4" t="s">
        <v>11743</v>
      </c>
      <c r="G525" s="2" t="s">
        <v>41</v>
      </c>
      <c r="H525" s="7" t="s">
        <v>590</v>
      </c>
      <c r="I525" s="2" t="s">
        <v>483</v>
      </c>
      <c r="J525" s="2" t="s">
        <v>536</v>
      </c>
      <c r="K525" s="2" t="s">
        <v>304</v>
      </c>
      <c r="L525" s="2" t="s">
        <v>38</v>
      </c>
      <c r="M525" s="8" t="str">
        <f>HYPERLINK("http://slimages.macys.com/is/image/MCY/13385759 ")</f>
        <v xml:space="preserve">http://slimages.macys.com/is/image/MCY/13385759 </v>
      </c>
    </row>
    <row r="526" spans="1:13" ht="60" x14ac:dyDescent="0.25">
      <c r="A526" s="7" t="s">
        <v>1285</v>
      </c>
      <c r="B526" s="2" t="s">
        <v>13091</v>
      </c>
      <c r="C526" s="4">
        <v>1</v>
      </c>
      <c r="D526" s="5">
        <v>2.5299999999999998</v>
      </c>
      <c r="E526" s="5">
        <v>5.99</v>
      </c>
      <c r="F526" s="4" t="s">
        <v>1287</v>
      </c>
      <c r="G526" s="2" t="s">
        <v>41</v>
      </c>
      <c r="H526" s="7" t="s">
        <v>442</v>
      </c>
      <c r="I526" s="2" t="s">
        <v>483</v>
      </c>
      <c r="J526" s="2" t="s">
        <v>536</v>
      </c>
      <c r="K526" s="2" t="s">
        <v>304</v>
      </c>
      <c r="L526" s="2" t="s">
        <v>38</v>
      </c>
      <c r="M526" s="8" t="str">
        <f>HYPERLINK("http://slimages.macys.com/is/image/MCY/13987272 ")</f>
        <v xml:space="preserve">http://slimages.macys.com/is/image/MCY/13987272 </v>
      </c>
    </row>
    <row r="527" spans="1:13" ht="60" x14ac:dyDescent="0.25">
      <c r="A527" s="7" t="s">
        <v>13092</v>
      </c>
      <c r="B527" s="2" t="s">
        <v>13093</v>
      </c>
      <c r="C527" s="4">
        <v>1</v>
      </c>
      <c r="D527" s="5">
        <v>2.5299999999999998</v>
      </c>
      <c r="E527" s="5">
        <v>5.99</v>
      </c>
      <c r="F527" s="4" t="s">
        <v>1290</v>
      </c>
      <c r="G527" s="2" t="s">
        <v>353</v>
      </c>
      <c r="H527" s="7" t="s">
        <v>42</v>
      </c>
      <c r="I527" s="2" t="s">
        <v>483</v>
      </c>
      <c r="J527" s="2" t="s">
        <v>536</v>
      </c>
      <c r="K527" s="2" t="s">
        <v>304</v>
      </c>
      <c r="L527" s="2" t="s">
        <v>206</v>
      </c>
      <c r="M527" s="8" t="str">
        <f>HYPERLINK("http://slimages.macys.com/is/image/MCY/13386702 ")</f>
        <v xml:space="preserve">http://slimages.macys.com/is/image/MCY/13386702 </v>
      </c>
    </row>
    <row r="528" spans="1:13" ht="60" x14ac:dyDescent="0.25">
      <c r="A528" s="7" t="s">
        <v>1279</v>
      </c>
      <c r="B528" s="2" t="s">
        <v>13094</v>
      </c>
      <c r="C528" s="4">
        <v>1</v>
      </c>
      <c r="D528" s="5">
        <v>2.5299999999999998</v>
      </c>
      <c r="E528" s="5">
        <v>5.99</v>
      </c>
      <c r="F528" s="4" t="s">
        <v>1281</v>
      </c>
      <c r="G528" s="2" t="s">
        <v>41</v>
      </c>
      <c r="H528" s="7" t="s">
        <v>149</v>
      </c>
      <c r="I528" s="2" t="s">
        <v>483</v>
      </c>
      <c r="J528" s="2" t="s">
        <v>536</v>
      </c>
      <c r="K528" s="2" t="s">
        <v>304</v>
      </c>
      <c r="L528" s="2" t="s">
        <v>206</v>
      </c>
      <c r="M528" s="8" t="str">
        <f>HYPERLINK("http://slimages.macys.com/is/image/MCY/13385820 ")</f>
        <v xml:space="preserve">http://slimages.macys.com/is/image/MCY/13385820 </v>
      </c>
    </row>
    <row r="529" spans="1:13" ht="60" x14ac:dyDescent="0.25">
      <c r="A529" s="7" t="s">
        <v>13095</v>
      </c>
      <c r="B529" s="2" t="s">
        <v>13096</v>
      </c>
      <c r="C529" s="4">
        <v>2</v>
      </c>
      <c r="D529" s="5">
        <v>2.5299999999999998</v>
      </c>
      <c r="E529" s="5">
        <v>5.99</v>
      </c>
      <c r="F529" s="4" t="s">
        <v>11743</v>
      </c>
      <c r="G529" s="2" t="s">
        <v>41</v>
      </c>
      <c r="H529" s="7" t="s">
        <v>91</v>
      </c>
      <c r="I529" s="2" t="s">
        <v>483</v>
      </c>
      <c r="J529" s="2" t="s">
        <v>536</v>
      </c>
      <c r="K529" s="2" t="s">
        <v>304</v>
      </c>
      <c r="L529" s="2" t="s">
        <v>38</v>
      </c>
      <c r="M529" s="8" t="str">
        <f>HYPERLINK("http://slimages.macys.com/is/image/MCY/13385759 ")</f>
        <v xml:space="preserve">http://slimages.macys.com/is/image/MCY/13385759 </v>
      </c>
    </row>
    <row r="530" spans="1:13" ht="60" x14ac:dyDescent="0.25">
      <c r="A530" s="7" t="s">
        <v>7197</v>
      </c>
      <c r="B530" s="2" t="s">
        <v>13097</v>
      </c>
      <c r="C530" s="4">
        <v>1</v>
      </c>
      <c r="D530" s="5">
        <v>2.5299999999999998</v>
      </c>
      <c r="E530" s="5">
        <v>5.99</v>
      </c>
      <c r="F530" s="4" t="s">
        <v>1287</v>
      </c>
      <c r="G530" s="2" t="s">
        <v>41</v>
      </c>
      <c r="H530" s="7" t="s">
        <v>91</v>
      </c>
      <c r="I530" s="2" t="s">
        <v>483</v>
      </c>
      <c r="J530" s="2" t="s">
        <v>536</v>
      </c>
      <c r="K530" s="2" t="s">
        <v>304</v>
      </c>
      <c r="L530" s="2" t="s">
        <v>38</v>
      </c>
      <c r="M530" s="8" t="str">
        <f>HYPERLINK("http://slimages.macys.com/is/image/MCY/13987272 ")</f>
        <v xml:space="preserve">http://slimages.macys.com/is/image/MCY/13987272 </v>
      </c>
    </row>
    <row r="531" spans="1:13" ht="60" x14ac:dyDescent="0.25">
      <c r="A531" s="7" t="s">
        <v>13098</v>
      </c>
      <c r="B531" s="2" t="s">
        <v>13099</v>
      </c>
      <c r="C531" s="4">
        <v>1</v>
      </c>
      <c r="D531" s="5">
        <v>2.5299999999999998</v>
      </c>
      <c r="E531" s="5">
        <v>5.99</v>
      </c>
      <c r="F531" s="4" t="s">
        <v>1278</v>
      </c>
      <c r="G531" s="2" t="s">
        <v>527</v>
      </c>
      <c r="H531" s="7" t="s">
        <v>149</v>
      </c>
      <c r="I531" s="2" t="s">
        <v>483</v>
      </c>
      <c r="J531" s="2" t="s">
        <v>536</v>
      </c>
      <c r="K531" s="2" t="s">
        <v>304</v>
      </c>
      <c r="L531" s="2" t="s">
        <v>119</v>
      </c>
      <c r="M531" s="8" t="str">
        <f>HYPERLINK("http://slimages.macys.com/is/image/MCY/13987179 ")</f>
        <v xml:space="preserve">http://slimages.macys.com/is/image/MCY/13987179 </v>
      </c>
    </row>
    <row r="532" spans="1:13" ht="60" x14ac:dyDescent="0.25">
      <c r="A532" s="7" t="s">
        <v>9759</v>
      </c>
      <c r="B532" s="2" t="s">
        <v>13100</v>
      </c>
      <c r="C532" s="4">
        <v>1</v>
      </c>
      <c r="D532" s="5">
        <v>2.52</v>
      </c>
      <c r="E532" s="5">
        <v>7.99</v>
      </c>
      <c r="F532" s="4" t="s">
        <v>9761</v>
      </c>
      <c r="G532" s="2" t="s">
        <v>657</v>
      </c>
      <c r="H532" s="7" t="s">
        <v>1151</v>
      </c>
      <c r="I532" s="2" t="s">
        <v>483</v>
      </c>
      <c r="J532" s="2" t="s">
        <v>536</v>
      </c>
      <c r="K532" s="2" t="s">
        <v>304</v>
      </c>
      <c r="L532" s="2" t="s">
        <v>38</v>
      </c>
      <c r="M532" s="8" t="str">
        <f>HYPERLINK("http://slimages.macys.com/is/image/MCY/13987613 ")</f>
        <v xml:space="preserve">http://slimages.macys.com/is/image/MCY/13987613 </v>
      </c>
    </row>
    <row r="533" spans="1:13" ht="60" x14ac:dyDescent="0.25">
      <c r="A533" s="7" t="s">
        <v>6075</v>
      </c>
      <c r="B533" s="2" t="s">
        <v>13101</v>
      </c>
      <c r="C533" s="4">
        <v>1</v>
      </c>
      <c r="D533" s="5">
        <v>2.5099999999999998</v>
      </c>
      <c r="E533" s="5">
        <v>5.99</v>
      </c>
      <c r="F533" s="4" t="s">
        <v>2296</v>
      </c>
      <c r="G533" s="2" t="s">
        <v>28</v>
      </c>
      <c r="H533" s="7" t="s">
        <v>442</v>
      </c>
      <c r="I533" s="2" t="s">
        <v>483</v>
      </c>
      <c r="J533" s="2" t="s">
        <v>536</v>
      </c>
      <c r="K533" s="2" t="s">
        <v>304</v>
      </c>
      <c r="L533" s="2" t="s">
        <v>119</v>
      </c>
      <c r="M533" s="8" t="str">
        <f>HYPERLINK("http://slimages.macys.com/is/image/MCY/11436914 ")</f>
        <v xml:space="preserve">http://slimages.macys.com/is/image/MCY/11436914 </v>
      </c>
    </row>
    <row r="534" spans="1:13" ht="60" x14ac:dyDescent="0.25">
      <c r="A534" s="7" t="s">
        <v>2297</v>
      </c>
      <c r="B534" s="2" t="s">
        <v>13102</v>
      </c>
      <c r="C534" s="4">
        <v>3</v>
      </c>
      <c r="D534" s="5">
        <v>2.5099999999999998</v>
      </c>
      <c r="E534" s="5">
        <v>5.99</v>
      </c>
      <c r="F534" s="4" t="s">
        <v>2296</v>
      </c>
      <c r="G534" s="2" t="s">
        <v>28</v>
      </c>
      <c r="H534" s="7" t="s">
        <v>91</v>
      </c>
      <c r="I534" s="2" t="s">
        <v>483</v>
      </c>
      <c r="J534" s="2" t="s">
        <v>536</v>
      </c>
      <c r="K534" s="2" t="s">
        <v>304</v>
      </c>
      <c r="L534" s="2" t="s">
        <v>119</v>
      </c>
      <c r="M534" s="8" t="str">
        <f>HYPERLINK("http://slimages.macys.com/is/image/MCY/11436914 ")</f>
        <v xml:space="preserve">http://slimages.macys.com/is/image/MCY/11436914 </v>
      </c>
    </row>
    <row r="535" spans="1:13" ht="60" x14ac:dyDescent="0.25">
      <c r="A535" s="7" t="s">
        <v>2294</v>
      </c>
      <c r="B535" s="2" t="s">
        <v>13103</v>
      </c>
      <c r="C535" s="4">
        <v>1</v>
      </c>
      <c r="D535" s="5">
        <v>2.5099999999999998</v>
      </c>
      <c r="E535" s="5">
        <v>5.99</v>
      </c>
      <c r="F535" s="4" t="s">
        <v>2296</v>
      </c>
      <c r="G535" s="2" t="s">
        <v>28</v>
      </c>
      <c r="H535" s="7" t="s">
        <v>590</v>
      </c>
      <c r="I535" s="2" t="s">
        <v>483</v>
      </c>
      <c r="J535" s="2" t="s">
        <v>536</v>
      </c>
      <c r="K535" s="2" t="s">
        <v>304</v>
      </c>
      <c r="L535" s="2" t="s">
        <v>119</v>
      </c>
      <c r="M535" s="8" t="str">
        <f>HYPERLINK("http://slimages.macys.com/is/image/MCY/11436914 ")</f>
        <v xml:space="preserve">http://slimages.macys.com/is/image/MCY/11436914 </v>
      </c>
    </row>
    <row r="536" spans="1:13" ht="60" x14ac:dyDescent="0.25">
      <c r="A536" s="7" t="s">
        <v>6074</v>
      </c>
      <c r="B536" s="2" t="s">
        <v>13104</v>
      </c>
      <c r="C536" s="4">
        <v>2</v>
      </c>
      <c r="D536" s="5">
        <v>2.5099999999999998</v>
      </c>
      <c r="E536" s="5">
        <v>5.99</v>
      </c>
      <c r="F536" s="4" t="s">
        <v>2296</v>
      </c>
      <c r="G536" s="2" t="s">
        <v>28</v>
      </c>
      <c r="H536" s="7" t="s">
        <v>42</v>
      </c>
      <c r="I536" s="2" t="s">
        <v>483</v>
      </c>
      <c r="J536" s="2" t="s">
        <v>536</v>
      </c>
      <c r="K536" s="2" t="s">
        <v>304</v>
      </c>
      <c r="L536" s="2" t="s">
        <v>119</v>
      </c>
      <c r="M536" s="8" t="str">
        <f>HYPERLINK("http://slimages.macys.com/is/image/MCY/11436914 ")</f>
        <v xml:space="preserve">http://slimages.macys.com/is/image/MCY/11436914 </v>
      </c>
    </row>
    <row r="537" spans="1:13" ht="60" x14ac:dyDescent="0.25">
      <c r="A537" s="7" t="s">
        <v>6076</v>
      </c>
      <c r="B537" s="2" t="s">
        <v>13105</v>
      </c>
      <c r="C537" s="4">
        <v>1</v>
      </c>
      <c r="D537" s="5">
        <v>2.5099999999999998</v>
      </c>
      <c r="E537" s="5">
        <v>5.99</v>
      </c>
      <c r="F537" s="4" t="s">
        <v>2296</v>
      </c>
      <c r="G537" s="2" t="s">
        <v>28</v>
      </c>
      <c r="H537" s="7" t="s">
        <v>149</v>
      </c>
      <c r="I537" s="2" t="s">
        <v>483</v>
      </c>
      <c r="J537" s="2" t="s">
        <v>536</v>
      </c>
      <c r="K537" s="2" t="s">
        <v>304</v>
      </c>
      <c r="L537" s="2" t="s">
        <v>119</v>
      </c>
      <c r="M537" s="8" t="str">
        <f>HYPERLINK("http://slimages.macys.com/is/image/MCY/11436914 ")</f>
        <v xml:space="preserve">http://slimages.macys.com/is/image/MCY/11436914 </v>
      </c>
    </row>
    <row r="538" spans="1:13" ht="60" x14ac:dyDescent="0.25">
      <c r="A538" s="7" t="s">
        <v>13106</v>
      </c>
      <c r="B538" s="2" t="s">
        <v>13107</v>
      </c>
      <c r="C538" s="4">
        <v>1</v>
      </c>
      <c r="D538" s="5">
        <v>2.5</v>
      </c>
      <c r="E538" s="5">
        <v>5.99</v>
      </c>
      <c r="F538" s="4" t="s">
        <v>2726</v>
      </c>
      <c r="G538" s="2" t="s">
        <v>7924</v>
      </c>
      <c r="H538" s="7" t="s">
        <v>149</v>
      </c>
      <c r="I538" s="2" t="s">
        <v>483</v>
      </c>
      <c r="J538" s="2" t="s">
        <v>536</v>
      </c>
      <c r="K538" s="2" t="s">
        <v>304</v>
      </c>
      <c r="L538" s="2" t="s">
        <v>87</v>
      </c>
      <c r="M538" s="8" t="str">
        <f>HYPERLINK("http://slimages.macys.com/is/image/MCY/11524163 ")</f>
        <v xml:space="preserve">http://slimages.macys.com/is/image/MCY/11524163 </v>
      </c>
    </row>
    <row r="539" spans="1:13" ht="60" x14ac:dyDescent="0.25">
      <c r="A539" s="7" t="s">
        <v>9217</v>
      </c>
      <c r="B539" s="2" t="s">
        <v>13108</v>
      </c>
      <c r="C539" s="4">
        <v>4</v>
      </c>
      <c r="D539" s="5">
        <v>2.5</v>
      </c>
      <c r="E539" s="5">
        <v>5.99</v>
      </c>
      <c r="F539" s="4" t="s">
        <v>2726</v>
      </c>
      <c r="G539" s="2" t="s">
        <v>86</v>
      </c>
      <c r="H539" s="7" t="s">
        <v>149</v>
      </c>
      <c r="I539" s="2" t="s">
        <v>483</v>
      </c>
      <c r="J539" s="2" t="s">
        <v>536</v>
      </c>
      <c r="K539" s="2" t="s">
        <v>304</v>
      </c>
      <c r="L539" s="2" t="s">
        <v>87</v>
      </c>
      <c r="M539" s="8" t="str">
        <f>HYPERLINK("http://slimages.macys.com/is/image/MCY/11524096 ")</f>
        <v xml:space="preserve">http://slimages.macys.com/is/image/MCY/11524096 </v>
      </c>
    </row>
    <row r="540" spans="1:13" ht="60" x14ac:dyDescent="0.25">
      <c r="A540" s="7" t="s">
        <v>6559</v>
      </c>
      <c r="B540" s="2" t="s">
        <v>13109</v>
      </c>
      <c r="C540" s="4">
        <v>1</v>
      </c>
      <c r="D540" s="5">
        <v>2.5</v>
      </c>
      <c r="E540" s="5">
        <v>5.99</v>
      </c>
      <c r="F540" s="4" t="s">
        <v>2726</v>
      </c>
      <c r="G540" s="2" t="s">
        <v>86</v>
      </c>
      <c r="H540" s="7" t="s">
        <v>442</v>
      </c>
      <c r="I540" s="2" t="s">
        <v>483</v>
      </c>
      <c r="J540" s="2" t="s">
        <v>536</v>
      </c>
      <c r="K540" s="2" t="s">
        <v>304</v>
      </c>
      <c r="L540" s="2" t="s">
        <v>87</v>
      </c>
      <c r="M540" s="8" t="str">
        <f>HYPERLINK("http://slimages.macys.com/is/image/MCY/11524096 ")</f>
        <v xml:space="preserve">http://slimages.macys.com/is/image/MCY/11524096 </v>
      </c>
    </row>
    <row r="541" spans="1:13" ht="60" x14ac:dyDescent="0.25">
      <c r="A541" s="7" t="s">
        <v>6566</v>
      </c>
      <c r="B541" s="2" t="s">
        <v>13110</v>
      </c>
      <c r="C541" s="4">
        <v>1</v>
      </c>
      <c r="D541" s="5">
        <v>2.4900000000000002</v>
      </c>
      <c r="E541" s="5">
        <v>5.99</v>
      </c>
      <c r="F541" s="4" t="s">
        <v>6568</v>
      </c>
      <c r="G541" s="2" t="s">
        <v>353</v>
      </c>
      <c r="H541" s="7" t="s">
        <v>149</v>
      </c>
      <c r="I541" s="2" t="s">
        <v>483</v>
      </c>
      <c r="J541" s="2" t="s">
        <v>536</v>
      </c>
      <c r="K541" s="2" t="s">
        <v>304</v>
      </c>
      <c r="L541" s="2" t="s">
        <v>87</v>
      </c>
      <c r="M541" s="8" t="str">
        <f>HYPERLINK("http://slimages.macys.com/is/image/MCY/12462744 ")</f>
        <v xml:space="preserve">http://slimages.macys.com/is/image/MCY/12462744 </v>
      </c>
    </row>
    <row r="542" spans="1:13" ht="60" x14ac:dyDescent="0.25">
      <c r="A542" s="7" t="s">
        <v>11761</v>
      </c>
      <c r="B542" s="2" t="s">
        <v>13111</v>
      </c>
      <c r="C542" s="4">
        <v>1</v>
      </c>
      <c r="D542" s="5">
        <v>2.4900000000000002</v>
      </c>
      <c r="E542" s="5">
        <v>6.99</v>
      </c>
      <c r="F542" s="4" t="s">
        <v>1298</v>
      </c>
      <c r="G542" s="2" t="s">
        <v>171</v>
      </c>
      <c r="H542" s="7" t="s">
        <v>149</v>
      </c>
      <c r="I542" s="2" t="s">
        <v>483</v>
      </c>
      <c r="J542" s="2" t="s">
        <v>536</v>
      </c>
      <c r="K542" s="2" t="s">
        <v>304</v>
      </c>
      <c r="L542" s="2" t="s">
        <v>100</v>
      </c>
      <c r="M542" s="8" t="str">
        <f>HYPERLINK("http://slimages.macys.com/is/image/MCY/13987459 ")</f>
        <v xml:space="preserve">http://slimages.macys.com/is/image/MCY/13987459 </v>
      </c>
    </row>
    <row r="543" spans="1:13" ht="96" x14ac:dyDescent="0.25">
      <c r="A543" s="7" t="s">
        <v>2308</v>
      </c>
      <c r="B543" s="2" t="s">
        <v>13112</v>
      </c>
      <c r="C543" s="4">
        <v>1</v>
      </c>
      <c r="D543" s="5">
        <v>2.4900000000000002</v>
      </c>
      <c r="E543" s="5">
        <v>6.99</v>
      </c>
      <c r="F543" s="4" t="s">
        <v>2303</v>
      </c>
      <c r="G543" s="2" t="s">
        <v>134</v>
      </c>
      <c r="H543" s="7" t="s">
        <v>590</v>
      </c>
      <c r="I543" s="2" t="s">
        <v>483</v>
      </c>
      <c r="J543" s="2" t="s">
        <v>536</v>
      </c>
      <c r="K543" s="2" t="s">
        <v>304</v>
      </c>
      <c r="L543" s="2" t="s">
        <v>2304</v>
      </c>
      <c r="M543" s="8" t="str">
        <f>HYPERLINK("http://slimages.macys.com/is/image/MCY/13987461 ")</f>
        <v xml:space="preserve">http://slimages.macys.com/is/image/MCY/13987461 </v>
      </c>
    </row>
    <row r="544" spans="1:13" ht="84" x14ac:dyDescent="0.25">
      <c r="A544" s="7" t="s">
        <v>8472</v>
      </c>
      <c r="B544" s="2" t="s">
        <v>13113</v>
      </c>
      <c r="C544" s="4">
        <v>1</v>
      </c>
      <c r="D544" s="5">
        <v>2.4900000000000002</v>
      </c>
      <c r="E544" s="5">
        <v>6.99</v>
      </c>
      <c r="F544" s="4">
        <v>10006315700</v>
      </c>
      <c r="G544" s="2" t="s">
        <v>41</v>
      </c>
      <c r="H544" s="7" t="s">
        <v>149</v>
      </c>
      <c r="I544" s="2" t="s">
        <v>483</v>
      </c>
      <c r="J544" s="2" t="s">
        <v>536</v>
      </c>
      <c r="K544" s="2" t="s">
        <v>304</v>
      </c>
      <c r="L544" s="2" t="s">
        <v>1308</v>
      </c>
      <c r="M544" s="8" t="str">
        <f>HYPERLINK("http://slimages.macys.com/is/image/MCY/13987457 ")</f>
        <v xml:space="preserve">http://slimages.macys.com/is/image/MCY/13987457 </v>
      </c>
    </row>
    <row r="545" spans="1:13" ht="84" x14ac:dyDescent="0.25">
      <c r="A545" s="7" t="s">
        <v>1306</v>
      </c>
      <c r="B545" s="2" t="s">
        <v>13114</v>
      </c>
      <c r="C545" s="4">
        <v>1</v>
      </c>
      <c r="D545" s="5">
        <v>2.4900000000000002</v>
      </c>
      <c r="E545" s="5">
        <v>6.99</v>
      </c>
      <c r="F545" s="4">
        <v>10006315700</v>
      </c>
      <c r="G545" s="2" t="s">
        <v>41</v>
      </c>
      <c r="H545" s="7" t="s">
        <v>590</v>
      </c>
      <c r="I545" s="2" t="s">
        <v>483</v>
      </c>
      <c r="J545" s="2" t="s">
        <v>536</v>
      </c>
      <c r="K545" s="2" t="s">
        <v>304</v>
      </c>
      <c r="L545" s="2" t="s">
        <v>1308</v>
      </c>
      <c r="M545" s="8" t="str">
        <f>HYPERLINK("http://slimages.macys.com/is/image/MCY/13987457 ")</f>
        <v xml:space="preserve">http://slimages.macys.com/is/image/MCY/13987457 </v>
      </c>
    </row>
    <row r="546" spans="1:13" ht="60" x14ac:dyDescent="0.25">
      <c r="A546" s="7" t="s">
        <v>1316</v>
      </c>
      <c r="B546" s="2" t="s">
        <v>13115</v>
      </c>
      <c r="C546" s="4">
        <v>4</v>
      </c>
      <c r="D546" s="5">
        <v>2.4900000000000002</v>
      </c>
      <c r="E546" s="5">
        <v>5.99</v>
      </c>
      <c r="F546" s="4" t="s">
        <v>1305</v>
      </c>
      <c r="G546" s="2" t="s">
        <v>86</v>
      </c>
      <c r="H546" s="7" t="s">
        <v>149</v>
      </c>
      <c r="I546" s="2" t="s">
        <v>483</v>
      </c>
      <c r="J546" s="2" t="s">
        <v>536</v>
      </c>
      <c r="K546" s="2" t="s">
        <v>304</v>
      </c>
      <c r="L546" s="2" t="s">
        <v>38</v>
      </c>
      <c r="M546" s="8" t="str">
        <f>HYPERLINK("http://slimages.macys.com/is/image/MCY/11855486 ")</f>
        <v xml:space="preserve">http://slimages.macys.com/is/image/MCY/11855486 </v>
      </c>
    </row>
    <row r="547" spans="1:13" ht="60" x14ac:dyDescent="0.25">
      <c r="A547" s="7" t="s">
        <v>1317</v>
      </c>
      <c r="B547" s="2" t="s">
        <v>13116</v>
      </c>
      <c r="C547" s="4">
        <v>8</v>
      </c>
      <c r="D547" s="5">
        <v>2.4900000000000002</v>
      </c>
      <c r="E547" s="5">
        <v>5.99</v>
      </c>
      <c r="F547" s="4" t="s">
        <v>1305</v>
      </c>
      <c r="G547" s="2" t="s">
        <v>86</v>
      </c>
      <c r="H547" s="7" t="s">
        <v>42</v>
      </c>
      <c r="I547" s="2" t="s">
        <v>483</v>
      </c>
      <c r="J547" s="2" t="s">
        <v>536</v>
      </c>
      <c r="K547" s="2" t="s">
        <v>304</v>
      </c>
      <c r="L547" s="2" t="s">
        <v>38</v>
      </c>
      <c r="M547" s="8" t="str">
        <f>HYPERLINK("http://slimages.macys.com/is/image/MCY/11855486 ")</f>
        <v xml:space="preserve">http://slimages.macys.com/is/image/MCY/11855486 </v>
      </c>
    </row>
    <row r="548" spans="1:13" ht="60" x14ac:dyDescent="0.25">
      <c r="A548" s="7" t="s">
        <v>1315</v>
      </c>
      <c r="B548" s="2" t="s">
        <v>13117</v>
      </c>
      <c r="C548" s="4">
        <v>4</v>
      </c>
      <c r="D548" s="5">
        <v>2.4900000000000002</v>
      </c>
      <c r="E548" s="5">
        <v>5.99</v>
      </c>
      <c r="F548" s="4" t="s">
        <v>1305</v>
      </c>
      <c r="G548" s="2" t="s">
        <v>86</v>
      </c>
      <c r="H548" s="7" t="s">
        <v>590</v>
      </c>
      <c r="I548" s="2" t="s">
        <v>483</v>
      </c>
      <c r="J548" s="2" t="s">
        <v>536</v>
      </c>
      <c r="K548" s="2" t="s">
        <v>304</v>
      </c>
      <c r="L548" s="2" t="s">
        <v>38</v>
      </c>
      <c r="M548" s="8" t="str">
        <f>HYPERLINK("http://slimages.macys.com/is/image/MCY/11855486 ")</f>
        <v xml:space="preserve">http://slimages.macys.com/is/image/MCY/11855486 </v>
      </c>
    </row>
    <row r="549" spans="1:13" ht="60" x14ac:dyDescent="0.25">
      <c r="A549" s="7" t="s">
        <v>1319</v>
      </c>
      <c r="B549" s="2" t="s">
        <v>13118</v>
      </c>
      <c r="C549" s="4">
        <v>8</v>
      </c>
      <c r="D549" s="5">
        <v>2.4900000000000002</v>
      </c>
      <c r="E549" s="5">
        <v>5.99</v>
      </c>
      <c r="F549" s="4" t="s">
        <v>1305</v>
      </c>
      <c r="G549" s="2" t="s">
        <v>86</v>
      </c>
      <c r="H549" s="7" t="s">
        <v>91</v>
      </c>
      <c r="I549" s="2" t="s">
        <v>483</v>
      </c>
      <c r="J549" s="2" t="s">
        <v>536</v>
      </c>
      <c r="K549" s="2" t="s">
        <v>304</v>
      </c>
      <c r="L549" s="2" t="s">
        <v>38</v>
      </c>
      <c r="M549" s="8" t="str">
        <f>HYPERLINK("http://slimages.macys.com/is/image/MCY/11855486 ")</f>
        <v xml:space="preserve">http://slimages.macys.com/is/image/MCY/11855486 </v>
      </c>
    </row>
    <row r="550" spans="1:13" ht="60" x14ac:dyDescent="0.25">
      <c r="A550" s="7" t="s">
        <v>1303</v>
      </c>
      <c r="B550" s="2" t="s">
        <v>13119</v>
      </c>
      <c r="C550" s="4">
        <v>5</v>
      </c>
      <c r="D550" s="5">
        <v>2.4900000000000002</v>
      </c>
      <c r="E550" s="5">
        <v>5.99</v>
      </c>
      <c r="F550" s="4" t="s">
        <v>1305</v>
      </c>
      <c r="G550" s="2" t="s">
        <v>86</v>
      </c>
      <c r="H550" s="7" t="s">
        <v>442</v>
      </c>
      <c r="I550" s="2" t="s">
        <v>483</v>
      </c>
      <c r="J550" s="2" t="s">
        <v>536</v>
      </c>
      <c r="K550" s="2" t="s">
        <v>304</v>
      </c>
      <c r="L550" s="2" t="s">
        <v>38</v>
      </c>
      <c r="M550" s="8" t="str">
        <f>HYPERLINK("http://slimages.macys.com/is/image/MCY/11855486 ")</f>
        <v xml:space="preserve">http://slimages.macys.com/is/image/MCY/11855486 </v>
      </c>
    </row>
    <row r="551" spans="1:13" ht="60" x14ac:dyDescent="0.25">
      <c r="A551" s="7" t="s">
        <v>2314</v>
      </c>
      <c r="B551" s="2" t="s">
        <v>13120</v>
      </c>
      <c r="C551" s="4">
        <v>4</v>
      </c>
      <c r="D551" s="5">
        <v>2.48</v>
      </c>
      <c r="E551" s="5">
        <v>7.99</v>
      </c>
      <c r="F551" s="4">
        <v>10005379300</v>
      </c>
      <c r="G551" s="2" t="s">
        <v>437</v>
      </c>
      <c r="H551" s="7"/>
      <c r="I551" s="2" t="s">
        <v>483</v>
      </c>
      <c r="J551" s="2" t="s">
        <v>536</v>
      </c>
      <c r="K551" s="2" t="s">
        <v>304</v>
      </c>
      <c r="L551" s="2" t="s">
        <v>623</v>
      </c>
      <c r="M551" s="8" t="str">
        <f>HYPERLINK("http://slimages.macys.com/is/image/MCY/12465415 ")</f>
        <v xml:space="preserve">http://slimages.macys.com/is/image/MCY/12465415 </v>
      </c>
    </row>
    <row r="552" spans="1:13" ht="60" x14ac:dyDescent="0.25">
      <c r="A552" s="7" t="s">
        <v>621</v>
      </c>
      <c r="B552" s="2" t="s">
        <v>13121</v>
      </c>
      <c r="C552" s="4">
        <v>1</v>
      </c>
      <c r="D552" s="5">
        <v>2.48</v>
      </c>
      <c r="E552" s="5">
        <v>7.99</v>
      </c>
      <c r="F552" s="4">
        <v>10005379300</v>
      </c>
      <c r="G552" s="2" t="s">
        <v>437</v>
      </c>
      <c r="H552" s="7" t="s">
        <v>590</v>
      </c>
      <c r="I552" s="2" t="s">
        <v>483</v>
      </c>
      <c r="J552" s="2" t="s">
        <v>536</v>
      </c>
      <c r="K552" s="2" t="s">
        <v>304</v>
      </c>
      <c r="L552" s="2" t="s">
        <v>623</v>
      </c>
      <c r="M552" s="8" t="str">
        <f>HYPERLINK("http://slimages.macys.com/is/image/MCY/12465415 ")</f>
        <v xml:space="preserve">http://slimages.macys.com/is/image/MCY/12465415 </v>
      </c>
    </row>
    <row r="553" spans="1:13" ht="60" x14ac:dyDescent="0.25">
      <c r="A553" s="7" t="s">
        <v>2310</v>
      </c>
      <c r="B553" s="2" t="s">
        <v>13122</v>
      </c>
      <c r="C553" s="4">
        <v>1</v>
      </c>
      <c r="D553" s="5">
        <v>2.48</v>
      </c>
      <c r="E553" s="5">
        <v>7.99</v>
      </c>
      <c r="F553" s="4">
        <v>10005379300</v>
      </c>
      <c r="G553" s="2" t="s">
        <v>62</v>
      </c>
      <c r="H553" s="7"/>
      <c r="I553" s="2" t="s">
        <v>483</v>
      </c>
      <c r="J553" s="2" t="s">
        <v>536</v>
      </c>
      <c r="K553" s="2" t="s">
        <v>304</v>
      </c>
      <c r="L553" s="2" t="s">
        <v>623</v>
      </c>
      <c r="M553" s="8" t="str">
        <f>HYPERLINK("http://slimages.macys.com/is/image/MCY/12465415 ")</f>
        <v xml:space="preserve">http://slimages.macys.com/is/image/MCY/12465415 </v>
      </c>
    </row>
    <row r="554" spans="1:13" ht="60" x14ac:dyDescent="0.25">
      <c r="A554" s="7" t="s">
        <v>2309</v>
      </c>
      <c r="B554" s="2" t="s">
        <v>13123</v>
      </c>
      <c r="C554" s="4">
        <v>1</v>
      </c>
      <c r="D554" s="5">
        <v>2.48</v>
      </c>
      <c r="E554" s="5">
        <v>7.99</v>
      </c>
      <c r="F554" s="4">
        <v>10005379300</v>
      </c>
      <c r="G554" s="2" t="s">
        <v>437</v>
      </c>
      <c r="H554" s="7" t="s">
        <v>482</v>
      </c>
      <c r="I554" s="2" t="s">
        <v>483</v>
      </c>
      <c r="J554" s="2" t="s">
        <v>536</v>
      </c>
      <c r="K554" s="2" t="s">
        <v>304</v>
      </c>
      <c r="L554" s="2" t="s">
        <v>623</v>
      </c>
      <c r="M554" s="8" t="str">
        <f>HYPERLINK("http://slimages.macys.com/is/image/MCY/12465415 ")</f>
        <v xml:space="preserve">http://slimages.macys.com/is/image/MCY/12465415 </v>
      </c>
    </row>
    <row r="555" spans="1:13" ht="60" x14ac:dyDescent="0.25">
      <c r="A555" s="7" t="s">
        <v>2313</v>
      </c>
      <c r="B555" s="2" t="s">
        <v>13124</v>
      </c>
      <c r="C555" s="4">
        <v>2</v>
      </c>
      <c r="D555" s="5">
        <v>2.48</v>
      </c>
      <c r="E555" s="5">
        <v>7.99</v>
      </c>
      <c r="F555" s="4">
        <v>10005379300</v>
      </c>
      <c r="G555" s="2" t="s">
        <v>437</v>
      </c>
      <c r="H555" s="7" t="s">
        <v>149</v>
      </c>
      <c r="I555" s="2" t="s">
        <v>483</v>
      </c>
      <c r="J555" s="2" t="s">
        <v>536</v>
      </c>
      <c r="K555" s="2" t="s">
        <v>304</v>
      </c>
      <c r="L555" s="2" t="s">
        <v>623</v>
      </c>
      <c r="M555" s="8" t="str">
        <f>HYPERLINK("http://slimages.macys.com/is/image/MCY/12465415 ")</f>
        <v xml:space="preserve">http://slimages.macys.com/is/image/MCY/12465415 </v>
      </c>
    </row>
    <row r="556" spans="1:13" ht="60" x14ac:dyDescent="0.25">
      <c r="A556" s="7" t="s">
        <v>2320</v>
      </c>
      <c r="B556" s="2" t="s">
        <v>13125</v>
      </c>
      <c r="C556" s="4">
        <v>1</v>
      </c>
      <c r="D556" s="5">
        <v>2.44</v>
      </c>
      <c r="E556" s="5">
        <v>5.99</v>
      </c>
      <c r="F556" s="4" t="s">
        <v>1328</v>
      </c>
      <c r="G556" s="2" t="s">
        <v>41</v>
      </c>
      <c r="H556" s="7" t="s">
        <v>149</v>
      </c>
      <c r="I556" s="2" t="s">
        <v>483</v>
      </c>
      <c r="J556" s="2" t="s">
        <v>536</v>
      </c>
      <c r="K556" s="2" t="s">
        <v>304</v>
      </c>
      <c r="L556" s="2" t="s">
        <v>119</v>
      </c>
      <c r="M556" s="8" t="str">
        <f>HYPERLINK("http://slimages.macys.com/is/image/MCY/12466322 ")</f>
        <v xml:space="preserve">http://slimages.macys.com/is/image/MCY/12466322 </v>
      </c>
    </row>
    <row r="557" spans="1:13" ht="60" x14ac:dyDescent="0.25">
      <c r="A557" s="7" t="s">
        <v>9774</v>
      </c>
      <c r="B557" s="2" t="s">
        <v>13126</v>
      </c>
      <c r="C557" s="4">
        <v>1</v>
      </c>
      <c r="D557" s="5">
        <v>2.4300000000000002</v>
      </c>
      <c r="E557" s="5">
        <v>6.99</v>
      </c>
      <c r="F557" s="4" t="s">
        <v>4565</v>
      </c>
      <c r="G557" s="2" t="s">
        <v>171</v>
      </c>
      <c r="H557" s="7" t="s">
        <v>590</v>
      </c>
      <c r="I557" s="2" t="s">
        <v>483</v>
      </c>
      <c r="J557" s="2" t="s">
        <v>536</v>
      </c>
      <c r="K557" s="2" t="s">
        <v>304</v>
      </c>
      <c r="L557" s="2" t="s">
        <v>100</v>
      </c>
      <c r="M557" s="8" t="str">
        <f>HYPERLINK("http://slimages.macys.com/is/image/MCY/13987449 ")</f>
        <v xml:space="preserve">http://slimages.macys.com/is/image/MCY/13987449 </v>
      </c>
    </row>
    <row r="558" spans="1:13" ht="60" x14ac:dyDescent="0.25">
      <c r="A558" s="7" t="s">
        <v>7220</v>
      </c>
      <c r="B558" s="2" t="s">
        <v>13127</v>
      </c>
      <c r="C558" s="4">
        <v>1</v>
      </c>
      <c r="D558" s="5">
        <v>2.4300000000000002</v>
      </c>
      <c r="E558" s="5">
        <v>6.99</v>
      </c>
      <c r="F558" s="4" t="s">
        <v>4565</v>
      </c>
      <c r="G558" s="2" t="s">
        <v>171</v>
      </c>
      <c r="H558" s="7"/>
      <c r="I558" s="2" t="s">
        <v>483</v>
      </c>
      <c r="J558" s="2" t="s">
        <v>536</v>
      </c>
      <c r="K558" s="2" t="s">
        <v>304</v>
      </c>
      <c r="L558" s="2" t="s">
        <v>100</v>
      </c>
      <c r="M558" s="8" t="str">
        <f>HYPERLINK("http://slimages.macys.com/is/image/MCY/13987449 ")</f>
        <v xml:space="preserve">http://slimages.macys.com/is/image/MCY/13987449 </v>
      </c>
    </row>
    <row r="559" spans="1:13" ht="108" x14ac:dyDescent="0.25">
      <c r="A559" s="7" t="s">
        <v>2326</v>
      </c>
      <c r="B559" s="2" t="s">
        <v>13128</v>
      </c>
      <c r="C559" s="4">
        <v>1</v>
      </c>
      <c r="D559" s="5">
        <v>2.4300000000000002</v>
      </c>
      <c r="E559" s="5">
        <v>7.99</v>
      </c>
      <c r="F559" s="4" t="s">
        <v>2323</v>
      </c>
      <c r="G559" s="2" t="s">
        <v>41</v>
      </c>
      <c r="H559" s="7" t="s">
        <v>149</v>
      </c>
      <c r="I559" s="2" t="s">
        <v>483</v>
      </c>
      <c r="J559" s="2" t="s">
        <v>536</v>
      </c>
      <c r="K559" s="2" t="s">
        <v>304</v>
      </c>
      <c r="L559" s="2" t="s">
        <v>2324</v>
      </c>
      <c r="M559" s="8" t="str">
        <f>HYPERLINK("http://slimages.macys.com/is/image/MCY/14384998 ")</f>
        <v xml:space="preserve">http://slimages.macys.com/is/image/MCY/14384998 </v>
      </c>
    </row>
    <row r="560" spans="1:13" ht="60" x14ac:dyDescent="0.25">
      <c r="A560" s="7" t="s">
        <v>6593</v>
      </c>
      <c r="B560" s="2" t="s">
        <v>13129</v>
      </c>
      <c r="C560" s="4">
        <v>1</v>
      </c>
      <c r="D560" s="5">
        <v>2.4</v>
      </c>
      <c r="E560" s="5">
        <v>5.99</v>
      </c>
      <c r="F560" s="4" t="s">
        <v>6595</v>
      </c>
      <c r="G560" s="2" t="s">
        <v>28</v>
      </c>
      <c r="H560" s="7" t="s">
        <v>590</v>
      </c>
      <c r="I560" s="2" t="s">
        <v>483</v>
      </c>
      <c r="J560" s="2" t="s">
        <v>536</v>
      </c>
      <c r="K560" s="2" t="s">
        <v>304</v>
      </c>
      <c r="L560" s="2" t="s">
        <v>87</v>
      </c>
      <c r="M560" s="8" t="str">
        <f>HYPERLINK("http://slimages.macys.com/is/image/MCY/12466288 ")</f>
        <v xml:space="preserve">http://slimages.macys.com/is/image/MCY/12466288 </v>
      </c>
    </row>
    <row r="561" spans="1:13" ht="60" x14ac:dyDescent="0.25">
      <c r="A561" s="7" t="s">
        <v>10317</v>
      </c>
      <c r="B561" s="2" t="s">
        <v>13130</v>
      </c>
      <c r="C561" s="4">
        <v>1</v>
      </c>
      <c r="D561" s="5">
        <v>2.36</v>
      </c>
      <c r="E561" s="5">
        <v>5.99</v>
      </c>
      <c r="F561" s="4" t="s">
        <v>1349</v>
      </c>
      <c r="G561" s="2" t="s">
        <v>62</v>
      </c>
      <c r="H561" s="7" t="s">
        <v>91</v>
      </c>
      <c r="I561" s="2" t="s">
        <v>483</v>
      </c>
      <c r="J561" s="2" t="s">
        <v>536</v>
      </c>
      <c r="K561" s="2" t="s">
        <v>304</v>
      </c>
      <c r="L561" s="2" t="s">
        <v>38</v>
      </c>
      <c r="M561" s="8" t="str">
        <f>HYPERLINK("http://slimages.macys.com/is/image/MCY/13337362 ")</f>
        <v xml:space="preserve">http://slimages.macys.com/is/image/MCY/13337362 </v>
      </c>
    </row>
    <row r="562" spans="1:13" ht="60" x14ac:dyDescent="0.25">
      <c r="A562" s="7" t="s">
        <v>2340</v>
      </c>
      <c r="B562" s="2" t="s">
        <v>13131</v>
      </c>
      <c r="C562" s="4">
        <v>1</v>
      </c>
      <c r="D562" s="5">
        <v>2.34</v>
      </c>
      <c r="E562" s="5">
        <v>5.99</v>
      </c>
      <c r="F562" s="4" t="s">
        <v>2339</v>
      </c>
      <c r="G562" s="2" t="s">
        <v>41</v>
      </c>
      <c r="H562" s="7" t="s">
        <v>42</v>
      </c>
      <c r="I562" s="2" t="s">
        <v>483</v>
      </c>
      <c r="J562" s="2" t="s">
        <v>536</v>
      </c>
      <c r="K562" s="2" t="s">
        <v>304</v>
      </c>
      <c r="L562" s="2" t="s">
        <v>38</v>
      </c>
      <c r="M562" s="8" t="str">
        <f>HYPERLINK("http://slimages.macys.com/is/image/MCY/13386590 ")</f>
        <v xml:space="preserve">http://slimages.macys.com/is/image/MCY/13386590 </v>
      </c>
    </row>
    <row r="563" spans="1:13" ht="60" x14ac:dyDescent="0.25">
      <c r="A563" s="7" t="s">
        <v>4571</v>
      </c>
      <c r="B563" s="2" t="s">
        <v>13132</v>
      </c>
      <c r="C563" s="4">
        <v>2</v>
      </c>
      <c r="D563" s="5">
        <v>2.34</v>
      </c>
      <c r="E563" s="5">
        <v>5.99</v>
      </c>
      <c r="F563" s="4" t="s">
        <v>1355</v>
      </c>
      <c r="G563" s="2" t="s">
        <v>643</v>
      </c>
      <c r="H563" s="7" t="s">
        <v>42</v>
      </c>
      <c r="I563" s="2" t="s">
        <v>483</v>
      </c>
      <c r="J563" s="2" t="s">
        <v>536</v>
      </c>
      <c r="K563" s="2" t="s">
        <v>304</v>
      </c>
      <c r="L563" s="2" t="s">
        <v>38</v>
      </c>
      <c r="M563" s="8" t="str">
        <f>HYPERLINK("http://slimages.macys.com/is/image/MCY/13337390 ")</f>
        <v xml:space="preserve">http://slimages.macys.com/is/image/MCY/13337390 </v>
      </c>
    </row>
    <row r="564" spans="1:13" ht="60" x14ac:dyDescent="0.25">
      <c r="A564" s="7" t="s">
        <v>2337</v>
      </c>
      <c r="B564" s="2" t="s">
        <v>13133</v>
      </c>
      <c r="C564" s="4">
        <v>1</v>
      </c>
      <c r="D564" s="5">
        <v>2.34</v>
      </c>
      <c r="E564" s="5">
        <v>5.99</v>
      </c>
      <c r="F564" s="4" t="s">
        <v>2339</v>
      </c>
      <c r="G564" s="2" t="s">
        <v>41</v>
      </c>
      <c r="H564" s="7" t="s">
        <v>442</v>
      </c>
      <c r="I564" s="2" t="s">
        <v>483</v>
      </c>
      <c r="J564" s="2" t="s">
        <v>536</v>
      </c>
      <c r="K564" s="2" t="s">
        <v>304</v>
      </c>
      <c r="L564" s="2" t="s">
        <v>38</v>
      </c>
      <c r="M564" s="8" t="str">
        <f>HYPERLINK("http://slimages.macys.com/is/image/MCY/13386590 ")</f>
        <v xml:space="preserve">http://slimages.macys.com/is/image/MCY/13386590 </v>
      </c>
    </row>
    <row r="565" spans="1:13" ht="60" x14ac:dyDescent="0.25">
      <c r="A565" s="7" t="s">
        <v>2341</v>
      </c>
      <c r="B565" s="2" t="s">
        <v>13134</v>
      </c>
      <c r="C565" s="4">
        <v>1</v>
      </c>
      <c r="D565" s="5">
        <v>2.34</v>
      </c>
      <c r="E565" s="5">
        <v>5.99</v>
      </c>
      <c r="F565" s="4" t="s">
        <v>2339</v>
      </c>
      <c r="G565" s="2" t="s">
        <v>41</v>
      </c>
      <c r="H565" s="7" t="s">
        <v>590</v>
      </c>
      <c r="I565" s="2" t="s">
        <v>483</v>
      </c>
      <c r="J565" s="2" t="s">
        <v>536</v>
      </c>
      <c r="K565" s="2" t="s">
        <v>304</v>
      </c>
      <c r="L565" s="2" t="s">
        <v>38</v>
      </c>
      <c r="M565" s="8" t="str">
        <f>HYPERLINK("http://slimages.macys.com/is/image/MCY/13386590 ")</f>
        <v xml:space="preserve">http://slimages.macys.com/is/image/MCY/13386590 </v>
      </c>
    </row>
    <row r="566" spans="1:13" ht="60" x14ac:dyDescent="0.25">
      <c r="A566" s="7" t="s">
        <v>4582</v>
      </c>
      <c r="B566" s="2" t="s">
        <v>13135</v>
      </c>
      <c r="C566" s="4">
        <v>1</v>
      </c>
      <c r="D566" s="5">
        <v>2.31</v>
      </c>
      <c r="E566" s="5">
        <v>7.99</v>
      </c>
      <c r="F566" s="4" t="s">
        <v>4584</v>
      </c>
      <c r="G566" s="2" t="s">
        <v>657</v>
      </c>
      <c r="H566" s="7" t="s">
        <v>1151</v>
      </c>
      <c r="I566" s="2" t="s">
        <v>483</v>
      </c>
      <c r="J566" s="2" t="s">
        <v>536</v>
      </c>
      <c r="K566" s="2" t="s">
        <v>304</v>
      </c>
      <c r="L566" s="2" t="s">
        <v>119</v>
      </c>
      <c r="M566" s="8" t="str">
        <f>HYPERLINK("http://slimages.macys.com/is/image/MCY/12636887 ")</f>
        <v xml:space="preserve">http://slimages.macys.com/is/image/MCY/12636887 </v>
      </c>
    </row>
    <row r="567" spans="1:13" ht="60" x14ac:dyDescent="0.25">
      <c r="A567" s="7" t="s">
        <v>2347</v>
      </c>
      <c r="B567" s="2" t="s">
        <v>13136</v>
      </c>
      <c r="C567" s="4">
        <v>9</v>
      </c>
      <c r="D567" s="5">
        <v>2.31</v>
      </c>
      <c r="E567" s="5">
        <v>7.99</v>
      </c>
      <c r="F567" s="4">
        <v>10005380100</v>
      </c>
      <c r="G567" s="2" t="s">
        <v>1360</v>
      </c>
      <c r="H567" s="7" t="s">
        <v>531</v>
      </c>
      <c r="I567" s="2" t="s">
        <v>483</v>
      </c>
      <c r="J567" s="2" t="s">
        <v>536</v>
      </c>
      <c r="K567" s="2" t="s">
        <v>304</v>
      </c>
      <c r="L567" s="2" t="s">
        <v>87</v>
      </c>
      <c r="M567" s="8" t="str">
        <f>HYPERLINK("http://slimages.macys.com/is/image/MCY/12466174 ")</f>
        <v xml:space="preserve">http://slimages.macys.com/is/image/MCY/12466174 </v>
      </c>
    </row>
    <row r="568" spans="1:13" ht="60" x14ac:dyDescent="0.25">
      <c r="A568" s="7" t="s">
        <v>5764</v>
      </c>
      <c r="B568" s="2" t="s">
        <v>13137</v>
      </c>
      <c r="C568" s="4">
        <v>1</v>
      </c>
      <c r="D568" s="5">
        <v>2.31</v>
      </c>
      <c r="E568" s="5">
        <v>7.99</v>
      </c>
      <c r="F568" s="4">
        <v>10004192100</v>
      </c>
      <c r="G568" s="2" t="s">
        <v>171</v>
      </c>
      <c r="H568" s="7" t="s">
        <v>531</v>
      </c>
      <c r="I568" s="2" t="s">
        <v>483</v>
      </c>
      <c r="J568" s="2" t="s">
        <v>536</v>
      </c>
      <c r="K568" s="2" t="s">
        <v>304</v>
      </c>
      <c r="L568" s="2" t="s">
        <v>75</v>
      </c>
      <c r="M568" s="8" t="str">
        <f>HYPERLINK("http://slimages.macys.com/is/image/MCY/11519987 ")</f>
        <v xml:space="preserve">http://slimages.macys.com/is/image/MCY/11519987 </v>
      </c>
    </row>
    <row r="569" spans="1:13" ht="60" x14ac:dyDescent="0.25">
      <c r="A569" s="7" t="s">
        <v>5765</v>
      </c>
      <c r="B569" s="2" t="s">
        <v>13138</v>
      </c>
      <c r="C569" s="4">
        <v>1</v>
      </c>
      <c r="D569" s="5">
        <v>2.31</v>
      </c>
      <c r="E569" s="5">
        <v>7.99</v>
      </c>
      <c r="F569" s="4" t="s">
        <v>2354</v>
      </c>
      <c r="G569" s="2" t="s">
        <v>657</v>
      </c>
      <c r="H569" s="7" t="s">
        <v>514</v>
      </c>
      <c r="I569" s="2" t="s">
        <v>483</v>
      </c>
      <c r="J569" s="2" t="s">
        <v>536</v>
      </c>
      <c r="K569" s="2" t="s">
        <v>304</v>
      </c>
      <c r="L569" s="2" t="s">
        <v>119</v>
      </c>
      <c r="M569" s="8" t="str">
        <f>HYPERLINK("http://slimages.macys.com/is/image/MCY/13987628 ")</f>
        <v xml:space="preserve">http://slimages.macys.com/is/image/MCY/13987628 </v>
      </c>
    </row>
    <row r="570" spans="1:13" ht="60" x14ac:dyDescent="0.25">
      <c r="A570" s="7" t="s">
        <v>3546</v>
      </c>
      <c r="B570" s="2" t="s">
        <v>13139</v>
      </c>
      <c r="C570" s="4">
        <v>1</v>
      </c>
      <c r="D570" s="5">
        <v>2.31</v>
      </c>
      <c r="E570" s="5">
        <v>7.99</v>
      </c>
      <c r="F570" s="4" t="s">
        <v>2354</v>
      </c>
      <c r="G570" s="2" t="s">
        <v>657</v>
      </c>
      <c r="H570" s="7" t="s">
        <v>578</v>
      </c>
      <c r="I570" s="2" t="s">
        <v>483</v>
      </c>
      <c r="J570" s="2" t="s">
        <v>536</v>
      </c>
      <c r="K570" s="2" t="s">
        <v>304</v>
      </c>
      <c r="L570" s="2" t="s">
        <v>119</v>
      </c>
      <c r="M570" s="8" t="str">
        <f>HYPERLINK("http://slimages.macys.com/is/image/MCY/13987628 ")</f>
        <v xml:space="preserve">http://slimages.macys.com/is/image/MCY/13987628 </v>
      </c>
    </row>
    <row r="571" spans="1:13" ht="60" x14ac:dyDescent="0.25">
      <c r="A571" s="7" t="s">
        <v>13140</v>
      </c>
      <c r="B571" s="2" t="s">
        <v>13141</v>
      </c>
      <c r="C571" s="4">
        <v>1</v>
      </c>
      <c r="D571" s="5">
        <v>2.31</v>
      </c>
      <c r="E571" s="5">
        <v>7.99</v>
      </c>
      <c r="F571" s="4" t="s">
        <v>13142</v>
      </c>
      <c r="G571" s="2" t="s">
        <v>41</v>
      </c>
      <c r="H571" s="7" t="s">
        <v>514</v>
      </c>
      <c r="I571" s="2" t="s">
        <v>483</v>
      </c>
      <c r="J571" s="2" t="s">
        <v>536</v>
      </c>
      <c r="K571" s="2" t="s">
        <v>304</v>
      </c>
      <c r="L571" s="2" t="s">
        <v>87</v>
      </c>
      <c r="M571" s="8" t="str">
        <f>HYPERLINK("http://slimages.macys.com/is/image/MCY/12644612 ")</f>
        <v xml:space="preserve">http://slimages.macys.com/is/image/MCY/12644612 </v>
      </c>
    </row>
    <row r="572" spans="1:13" ht="108" x14ac:dyDescent="0.25">
      <c r="A572" s="7" t="s">
        <v>5086</v>
      </c>
      <c r="B572" s="2" t="s">
        <v>13143</v>
      </c>
      <c r="C572" s="4">
        <v>1</v>
      </c>
      <c r="D572" s="5">
        <v>2.2999999999999998</v>
      </c>
      <c r="E572" s="5">
        <v>6.99</v>
      </c>
      <c r="F572" s="4">
        <v>10004350400</v>
      </c>
      <c r="G572" s="2" t="s">
        <v>134</v>
      </c>
      <c r="H572" s="7" t="s">
        <v>531</v>
      </c>
      <c r="I572" s="2" t="s">
        <v>483</v>
      </c>
      <c r="J572" s="2" t="s">
        <v>536</v>
      </c>
      <c r="K572" s="2" t="s">
        <v>304</v>
      </c>
      <c r="L572" s="2" t="s">
        <v>5088</v>
      </c>
      <c r="M572" s="8" t="str">
        <f>HYPERLINK("http://slimages.macys.com/is/image/MCY/11437055 ")</f>
        <v xml:space="preserve">http://slimages.macys.com/is/image/MCY/11437055 </v>
      </c>
    </row>
    <row r="573" spans="1:13" ht="60" x14ac:dyDescent="0.25">
      <c r="A573" s="7" t="s">
        <v>2358</v>
      </c>
      <c r="B573" s="2" t="s">
        <v>13144</v>
      </c>
      <c r="C573" s="4">
        <v>1</v>
      </c>
      <c r="D573" s="5">
        <v>2.29</v>
      </c>
      <c r="E573" s="5">
        <v>5.99</v>
      </c>
      <c r="F573" s="4" t="s">
        <v>2360</v>
      </c>
      <c r="G573" s="2" t="s">
        <v>28</v>
      </c>
      <c r="H573" s="7" t="s">
        <v>42</v>
      </c>
      <c r="I573" s="2" t="s">
        <v>483</v>
      </c>
      <c r="J573" s="2" t="s">
        <v>536</v>
      </c>
      <c r="K573" s="2" t="s">
        <v>304</v>
      </c>
      <c r="L573" s="2" t="s">
        <v>119</v>
      </c>
      <c r="M573" s="8" t="str">
        <f>HYPERLINK("http://slimages.macys.com/is/image/MCY/12644507 ")</f>
        <v xml:space="preserve">http://slimages.macys.com/is/image/MCY/12644507 </v>
      </c>
    </row>
    <row r="574" spans="1:13" ht="60" x14ac:dyDescent="0.25">
      <c r="A574" s="7" t="s">
        <v>13145</v>
      </c>
      <c r="B574" s="2" t="s">
        <v>13146</v>
      </c>
      <c r="C574" s="4">
        <v>1</v>
      </c>
      <c r="D574" s="5">
        <v>2.29</v>
      </c>
      <c r="E574" s="5">
        <v>5.99</v>
      </c>
      <c r="F574" s="4" t="s">
        <v>13147</v>
      </c>
      <c r="G574" s="2" t="s">
        <v>41</v>
      </c>
      <c r="H574" s="7" t="s">
        <v>42</v>
      </c>
      <c r="I574" s="2" t="s">
        <v>483</v>
      </c>
      <c r="J574" s="2" t="s">
        <v>536</v>
      </c>
      <c r="K574" s="2" t="s">
        <v>304</v>
      </c>
      <c r="L574" s="2" t="s">
        <v>38</v>
      </c>
      <c r="M574" s="8" t="str">
        <f>HYPERLINK("http://slimages.macys.com/is/image/MCY/11857501 ")</f>
        <v xml:space="preserve">http://slimages.macys.com/is/image/MCY/11857501 </v>
      </c>
    </row>
    <row r="575" spans="1:13" ht="60" x14ac:dyDescent="0.25">
      <c r="A575" s="7" t="s">
        <v>1364</v>
      </c>
      <c r="B575" s="2" t="s">
        <v>13148</v>
      </c>
      <c r="C575" s="4">
        <v>2</v>
      </c>
      <c r="D575" s="5">
        <v>2.29</v>
      </c>
      <c r="E575" s="5">
        <v>5.99</v>
      </c>
      <c r="F575" s="4" t="s">
        <v>1366</v>
      </c>
      <c r="G575" s="2" t="s">
        <v>62</v>
      </c>
      <c r="H575" s="7" t="s">
        <v>590</v>
      </c>
      <c r="I575" s="2" t="s">
        <v>483</v>
      </c>
      <c r="J575" s="2" t="s">
        <v>536</v>
      </c>
      <c r="K575" s="2" t="s">
        <v>304</v>
      </c>
      <c r="L575" s="2" t="s">
        <v>206</v>
      </c>
      <c r="M575" s="8" t="str">
        <f>HYPERLINK("http://slimages.macys.com/is/image/MCY/12463166 ")</f>
        <v xml:space="preserve">http://slimages.macys.com/is/image/MCY/12463166 </v>
      </c>
    </row>
    <row r="576" spans="1:13" ht="60" x14ac:dyDescent="0.25">
      <c r="A576" s="7" t="s">
        <v>13149</v>
      </c>
      <c r="B576" s="2" t="s">
        <v>13150</v>
      </c>
      <c r="C576" s="4">
        <v>1</v>
      </c>
      <c r="D576" s="5">
        <v>2.27</v>
      </c>
      <c r="E576" s="5">
        <v>5.99</v>
      </c>
      <c r="F576" s="4" t="s">
        <v>6632</v>
      </c>
      <c r="G576" s="2" t="s">
        <v>353</v>
      </c>
      <c r="H576" s="7" t="s">
        <v>91</v>
      </c>
      <c r="I576" s="2" t="s">
        <v>483</v>
      </c>
      <c r="J576" s="2" t="s">
        <v>536</v>
      </c>
      <c r="K576" s="2" t="s">
        <v>304</v>
      </c>
      <c r="L576" s="2" t="s">
        <v>38</v>
      </c>
      <c r="M576" s="8" t="str">
        <f>HYPERLINK("http://slimages.macys.com/is/image/MCY/12466331 ")</f>
        <v xml:space="preserve">http://slimages.macys.com/is/image/MCY/12466331 </v>
      </c>
    </row>
    <row r="577" spans="1:13" ht="60" x14ac:dyDescent="0.25">
      <c r="A577" s="7" t="s">
        <v>11232</v>
      </c>
      <c r="B577" s="2" t="s">
        <v>13151</v>
      </c>
      <c r="C577" s="4">
        <v>1</v>
      </c>
      <c r="D577" s="5">
        <v>2.27</v>
      </c>
      <c r="E577" s="5">
        <v>5.99</v>
      </c>
      <c r="F577" s="4" t="s">
        <v>7248</v>
      </c>
      <c r="G577" s="2" t="s">
        <v>41</v>
      </c>
      <c r="H577" s="7" t="s">
        <v>149</v>
      </c>
      <c r="I577" s="2" t="s">
        <v>483</v>
      </c>
      <c r="J577" s="2" t="s">
        <v>536</v>
      </c>
      <c r="K577" s="2" t="s">
        <v>304</v>
      </c>
      <c r="L577" s="2" t="s">
        <v>87</v>
      </c>
      <c r="M577" s="8" t="str">
        <f>HYPERLINK("http://slimages.macys.com/is/image/MCY/12466263 ")</f>
        <v xml:space="preserve">http://slimages.macys.com/is/image/MCY/12466263 </v>
      </c>
    </row>
    <row r="578" spans="1:13" ht="60" x14ac:dyDescent="0.25">
      <c r="A578" s="7" t="s">
        <v>2373</v>
      </c>
      <c r="B578" s="2" t="s">
        <v>13152</v>
      </c>
      <c r="C578" s="4">
        <v>1</v>
      </c>
      <c r="D578" s="5">
        <v>2.2599999999999998</v>
      </c>
      <c r="E578" s="5">
        <v>6.99</v>
      </c>
      <c r="F578" s="4" t="s">
        <v>2375</v>
      </c>
      <c r="G578" s="2" t="s">
        <v>41</v>
      </c>
      <c r="H578" s="7" t="s">
        <v>149</v>
      </c>
      <c r="I578" s="2" t="s">
        <v>483</v>
      </c>
      <c r="J578" s="2" t="s">
        <v>536</v>
      </c>
      <c r="K578" s="2" t="s">
        <v>304</v>
      </c>
      <c r="L578" s="2" t="s">
        <v>100</v>
      </c>
      <c r="M578" s="8" t="str">
        <f>HYPERLINK("http://slimages.macys.com/is/image/MCY/11792552 ")</f>
        <v xml:space="preserve">http://slimages.macys.com/is/image/MCY/11792552 </v>
      </c>
    </row>
    <row r="579" spans="1:13" ht="60" x14ac:dyDescent="0.25">
      <c r="A579" s="7" t="s">
        <v>8032</v>
      </c>
      <c r="B579" s="2" t="s">
        <v>13153</v>
      </c>
      <c r="C579" s="4">
        <v>1</v>
      </c>
      <c r="D579" s="5">
        <v>2.25</v>
      </c>
      <c r="E579" s="5">
        <v>5.99</v>
      </c>
      <c r="F579" s="4" t="s">
        <v>1380</v>
      </c>
      <c r="G579" s="2" t="s">
        <v>41</v>
      </c>
      <c r="H579" s="7" t="s">
        <v>590</v>
      </c>
      <c r="I579" s="2" t="s">
        <v>483</v>
      </c>
      <c r="J579" s="2" t="s">
        <v>536</v>
      </c>
      <c r="K579" s="2" t="s">
        <v>304</v>
      </c>
      <c r="L579" s="2" t="s">
        <v>206</v>
      </c>
      <c r="M579" s="8" t="str">
        <f>HYPERLINK("http://slimages.macys.com/is/image/MCY/13386152 ")</f>
        <v xml:space="preserve">http://slimages.macys.com/is/image/MCY/13386152 </v>
      </c>
    </row>
    <row r="580" spans="1:13" ht="60" x14ac:dyDescent="0.25">
      <c r="A580" s="7" t="s">
        <v>9245</v>
      </c>
      <c r="B580" s="2" t="s">
        <v>13154</v>
      </c>
      <c r="C580" s="4">
        <v>1</v>
      </c>
      <c r="D580" s="5">
        <v>2.2400000000000002</v>
      </c>
      <c r="E580" s="5">
        <v>5.99</v>
      </c>
      <c r="F580" s="4" t="s">
        <v>7260</v>
      </c>
      <c r="G580" s="2" t="s">
        <v>353</v>
      </c>
      <c r="H580" s="7" t="s">
        <v>590</v>
      </c>
      <c r="I580" s="2" t="s">
        <v>483</v>
      </c>
      <c r="J580" s="2" t="s">
        <v>536</v>
      </c>
      <c r="K580" s="2" t="s">
        <v>304</v>
      </c>
      <c r="L580" s="2" t="s">
        <v>206</v>
      </c>
      <c r="M580" s="8" t="str">
        <f>HYPERLINK("http://slimages.macys.com/is/image/MCY/12644528 ")</f>
        <v xml:space="preserve">http://slimages.macys.com/is/image/MCY/12644528 </v>
      </c>
    </row>
    <row r="581" spans="1:13" ht="60" x14ac:dyDescent="0.25">
      <c r="A581" s="7" t="s">
        <v>13155</v>
      </c>
      <c r="B581" s="2" t="s">
        <v>13156</v>
      </c>
      <c r="C581" s="4">
        <v>1</v>
      </c>
      <c r="D581" s="5">
        <v>2.2200000000000002</v>
      </c>
      <c r="E581" s="5">
        <v>5.99</v>
      </c>
      <c r="F581" s="4" t="s">
        <v>6641</v>
      </c>
      <c r="G581" s="2" t="s">
        <v>200</v>
      </c>
      <c r="H581" s="7" t="s">
        <v>149</v>
      </c>
      <c r="I581" s="2" t="s">
        <v>483</v>
      </c>
      <c r="J581" s="2" t="s">
        <v>536</v>
      </c>
      <c r="K581" s="2" t="s">
        <v>304</v>
      </c>
      <c r="L581" s="2" t="s">
        <v>596</v>
      </c>
      <c r="M581" s="8" t="str">
        <f>HYPERLINK("http://slimages.macys.com/is/image/MCY/11709298 ")</f>
        <v xml:space="preserve">http://slimages.macys.com/is/image/MCY/11709298 </v>
      </c>
    </row>
    <row r="582" spans="1:13" ht="60" x14ac:dyDescent="0.25">
      <c r="A582" s="7" t="s">
        <v>7271</v>
      </c>
      <c r="B582" s="2" t="s">
        <v>13157</v>
      </c>
      <c r="C582" s="4">
        <v>1</v>
      </c>
      <c r="D582" s="5">
        <v>2.2200000000000002</v>
      </c>
      <c r="E582" s="5">
        <v>5.99</v>
      </c>
      <c r="F582" s="4" t="s">
        <v>2381</v>
      </c>
      <c r="G582" s="2" t="s">
        <v>28</v>
      </c>
      <c r="H582" s="7" t="s">
        <v>590</v>
      </c>
      <c r="I582" s="2" t="s">
        <v>483</v>
      </c>
      <c r="J582" s="2" t="s">
        <v>536</v>
      </c>
      <c r="K582" s="2" t="s">
        <v>304</v>
      </c>
      <c r="L582" s="2" t="s">
        <v>119</v>
      </c>
      <c r="M582" s="8" t="str">
        <f>HYPERLINK("http://slimages.macys.com/is/image/MCY/12462743 ")</f>
        <v xml:space="preserve">http://slimages.macys.com/is/image/MCY/12462743 </v>
      </c>
    </row>
    <row r="583" spans="1:13" ht="60" x14ac:dyDescent="0.25">
      <c r="A583" s="7" t="s">
        <v>2382</v>
      </c>
      <c r="B583" s="2" t="s">
        <v>13158</v>
      </c>
      <c r="C583" s="4">
        <v>3</v>
      </c>
      <c r="D583" s="5">
        <v>2.2200000000000002</v>
      </c>
      <c r="E583" s="5">
        <v>4.99</v>
      </c>
      <c r="F583" s="4">
        <v>10004193500</v>
      </c>
      <c r="G583" s="2" t="s">
        <v>1360</v>
      </c>
      <c r="H583" s="7" t="s">
        <v>531</v>
      </c>
      <c r="I583" s="2" t="s">
        <v>483</v>
      </c>
      <c r="J583" s="2" t="s">
        <v>536</v>
      </c>
      <c r="K583" s="2" t="s">
        <v>304</v>
      </c>
      <c r="L583" s="2" t="s">
        <v>87</v>
      </c>
      <c r="M583" s="8" t="str">
        <f>HYPERLINK("http://slimages.macys.com/is/image/MCY/11520388 ")</f>
        <v xml:space="preserve">http://slimages.macys.com/is/image/MCY/11520388 </v>
      </c>
    </row>
    <row r="584" spans="1:13" ht="60" x14ac:dyDescent="0.25">
      <c r="A584" s="7" t="s">
        <v>1387</v>
      </c>
      <c r="B584" s="2" t="s">
        <v>13159</v>
      </c>
      <c r="C584" s="4">
        <v>2</v>
      </c>
      <c r="D584" s="5">
        <v>2.21</v>
      </c>
      <c r="E584" s="5">
        <v>5.99</v>
      </c>
      <c r="F584" s="4" t="s">
        <v>1389</v>
      </c>
      <c r="G584" s="2" t="s">
        <v>129</v>
      </c>
      <c r="H584" s="7" t="s">
        <v>91</v>
      </c>
      <c r="I584" s="2" t="s">
        <v>483</v>
      </c>
      <c r="J584" s="2" t="s">
        <v>536</v>
      </c>
      <c r="K584" s="2" t="s">
        <v>304</v>
      </c>
      <c r="L584" s="2" t="s">
        <v>38</v>
      </c>
      <c r="M584" s="8" t="str">
        <f>HYPERLINK("http://slimages.macys.com/is/image/MCY/13987618 ")</f>
        <v xml:space="preserve">http://slimages.macys.com/is/image/MCY/13987618 </v>
      </c>
    </row>
    <row r="585" spans="1:13" ht="60" x14ac:dyDescent="0.25">
      <c r="A585" s="7" t="s">
        <v>9257</v>
      </c>
      <c r="B585" s="2" t="s">
        <v>13160</v>
      </c>
      <c r="C585" s="4">
        <v>1</v>
      </c>
      <c r="D585" s="5">
        <v>2.21</v>
      </c>
      <c r="E585" s="5">
        <v>5.99</v>
      </c>
      <c r="F585" s="4" t="s">
        <v>1389</v>
      </c>
      <c r="G585" s="2" t="s">
        <v>129</v>
      </c>
      <c r="H585" s="7" t="s">
        <v>590</v>
      </c>
      <c r="I585" s="2" t="s">
        <v>483</v>
      </c>
      <c r="J585" s="2" t="s">
        <v>536</v>
      </c>
      <c r="K585" s="2" t="s">
        <v>304</v>
      </c>
      <c r="L585" s="2" t="s">
        <v>38</v>
      </c>
      <c r="M585" s="8" t="str">
        <f>HYPERLINK("http://slimages.macys.com/is/image/MCY/13987618 ")</f>
        <v xml:space="preserve">http://slimages.macys.com/is/image/MCY/13987618 </v>
      </c>
    </row>
    <row r="586" spans="1:13" ht="60" x14ac:dyDescent="0.25">
      <c r="A586" s="7" t="s">
        <v>7276</v>
      </c>
      <c r="B586" s="2" t="s">
        <v>13161</v>
      </c>
      <c r="C586" s="4">
        <v>2</v>
      </c>
      <c r="D586" s="5">
        <v>2.21</v>
      </c>
      <c r="E586" s="5">
        <v>5.99</v>
      </c>
      <c r="F586" s="4" t="s">
        <v>1389</v>
      </c>
      <c r="G586" s="2" t="s">
        <v>129</v>
      </c>
      <c r="H586" s="7" t="s">
        <v>442</v>
      </c>
      <c r="I586" s="2" t="s">
        <v>483</v>
      </c>
      <c r="J586" s="2" t="s">
        <v>536</v>
      </c>
      <c r="K586" s="2" t="s">
        <v>304</v>
      </c>
      <c r="L586" s="2" t="s">
        <v>38</v>
      </c>
      <c r="M586" s="8" t="str">
        <f>HYPERLINK("http://slimages.macys.com/is/image/MCY/13987618 ")</f>
        <v xml:space="preserve">http://slimages.macys.com/is/image/MCY/13987618 </v>
      </c>
    </row>
    <row r="587" spans="1:13" ht="60" x14ac:dyDescent="0.25">
      <c r="A587" s="7" t="s">
        <v>7294</v>
      </c>
      <c r="B587" s="2" t="s">
        <v>13162</v>
      </c>
      <c r="C587" s="4">
        <v>1</v>
      </c>
      <c r="D587" s="5">
        <v>2.11</v>
      </c>
      <c r="E587" s="5">
        <v>5.99</v>
      </c>
      <c r="F587" s="4" t="s">
        <v>5110</v>
      </c>
      <c r="G587" s="2" t="s">
        <v>793</v>
      </c>
      <c r="H587" s="7" t="s">
        <v>590</v>
      </c>
      <c r="I587" s="2" t="s">
        <v>483</v>
      </c>
      <c r="J587" s="2" t="s">
        <v>536</v>
      </c>
      <c r="K587" s="2" t="s">
        <v>304</v>
      </c>
      <c r="L587" s="2" t="s">
        <v>119</v>
      </c>
      <c r="M587" s="8" t="str">
        <f>HYPERLINK("http://slimages.macys.com/is/image/MCY/13987430 ")</f>
        <v xml:space="preserve">http://slimages.macys.com/is/image/MCY/13987430 </v>
      </c>
    </row>
    <row r="588" spans="1:13" ht="60" x14ac:dyDescent="0.25">
      <c r="A588" s="7" t="s">
        <v>6654</v>
      </c>
      <c r="B588" s="2" t="s">
        <v>13163</v>
      </c>
      <c r="C588" s="4">
        <v>1</v>
      </c>
      <c r="D588" s="5">
        <v>2.0299999999999998</v>
      </c>
      <c r="E588" s="5">
        <v>4.99</v>
      </c>
      <c r="F588" s="4" t="s">
        <v>1325</v>
      </c>
      <c r="G588" s="2" t="s">
        <v>28</v>
      </c>
      <c r="H588" s="7" t="s">
        <v>284</v>
      </c>
      <c r="I588" s="2" t="s">
        <v>523</v>
      </c>
      <c r="J588" s="2" t="s">
        <v>921</v>
      </c>
      <c r="K588" s="2" t="s">
        <v>304</v>
      </c>
      <c r="L588" s="2" t="s">
        <v>323</v>
      </c>
      <c r="M588" s="8" t="str">
        <f>HYPERLINK("http://slimages.macys.com/is/image/MCY/8345548 ")</f>
        <v xml:space="preserve">http://slimages.macys.com/is/image/MCY/8345548 </v>
      </c>
    </row>
    <row r="589" spans="1:13" ht="60" x14ac:dyDescent="0.25">
      <c r="A589" s="7" t="s">
        <v>1398</v>
      </c>
      <c r="B589" s="2" t="s">
        <v>13164</v>
      </c>
      <c r="C589" s="4">
        <v>3</v>
      </c>
      <c r="D589" s="5">
        <v>1.97</v>
      </c>
      <c r="E589" s="5">
        <v>5.99</v>
      </c>
      <c r="F589" s="4" t="s">
        <v>1400</v>
      </c>
      <c r="G589" s="2" t="s">
        <v>657</v>
      </c>
      <c r="H589" s="7" t="s">
        <v>590</v>
      </c>
      <c r="I589" s="2" t="s">
        <v>483</v>
      </c>
      <c r="J589" s="2" t="s">
        <v>536</v>
      </c>
      <c r="K589" s="2" t="s">
        <v>304</v>
      </c>
      <c r="L589" s="2" t="s">
        <v>119</v>
      </c>
      <c r="M589" s="8" t="str">
        <f>HYPERLINK("http://slimages.macys.com/is/image/MCY/13987628 ")</f>
        <v xml:space="preserve">http://slimages.macys.com/is/image/MCY/13987628 </v>
      </c>
    </row>
    <row r="590" spans="1:13" ht="60" x14ac:dyDescent="0.25">
      <c r="A590" s="7" t="s">
        <v>12301</v>
      </c>
      <c r="B590" s="2" t="s">
        <v>13165</v>
      </c>
      <c r="C590" s="4">
        <v>1</v>
      </c>
      <c r="D590" s="5">
        <v>1.95</v>
      </c>
      <c r="E590" s="5">
        <v>5.99</v>
      </c>
      <c r="F590" s="4" t="s">
        <v>5803</v>
      </c>
      <c r="G590" s="2" t="s">
        <v>657</v>
      </c>
      <c r="H590" s="7" t="s">
        <v>91</v>
      </c>
      <c r="I590" s="2" t="s">
        <v>483</v>
      </c>
      <c r="J590" s="2" t="s">
        <v>536</v>
      </c>
      <c r="K590" s="2" t="s">
        <v>304</v>
      </c>
      <c r="L590" s="2" t="s">
        <v>119</v>
      </c>
      <c r="M590" s="8" t="str">
        <f>HYPERLINK("http://slimages.macys.com/is/image/MCY/11856984 ")</f>
        <v xml:space="preserve">http://slimages.macys.com/is/image/MCY/11856984 </v>
      </c>
    </row>
    <row r="591" spans="1:13" ht="36" x14ac:dyDescent="0.25">
      <c r="A591" s="7" t="s">
        <v>13166</v>
      </c>
      <c r="B591" s="2" t="s">
        <v>6662</v>
      </c>
      <c r="C591" s="4">
        <v>1</v>
      </c>
      <c r="D591" s="5">
        <v>7.05</v>
      </c>
      <c r="E591" s="5">
        <v>16.04</v>
      </c>
      <c r="F591" s="4">
        <v>17862810</v>
      </c>
      <c r="G591" s="2" t="s">
        <v>79</v>
      </c>
      <c r="H591" s="7" t="s">
        <v>675</v>
      </c>
      <c r="I591" s="2" t="s">
        <v>153</v>
      </c>
      <c r="J591" s="2" t="s">
        <v>154</v>
      </c>
      <c r="K591" s="2"/>
      <c r="L591" s="2"/>
      <c r="M591" s="8"/>
    </row>
    <row r="592" spans="1:13" ht="36" x14ac:dyDescent="0.25">
      <c r="A592" s="7" t="s">
        <v>13167</v>
      </c>
      <c r="B592" s="2" t="s">
        <v>6664</v>
      </c>
      <c r="C592" s="4">
        <v>1</v>
      </c>
      <c r="D592" s="5">
        <v>7.05</v>
      </c>
      <c r="E592" s="5">
        <v>16.04</v>
      </c>
      <c r="F592" s="4">
        <v>17863210</v>
      </c>
      <c r="G592" s="2" t="s">
        <v>41</v>
      </c>
      <c r="H592" s="7" t="s">
        <v>91</v>
      </c>
      <c r="I592" s="2" t="s">
        <v>153</v>
      </c>
      <c r="J592" s="2" t="s">
        <v>154</v>
      </c>
      <c r="K592" s="2"/>
      <c r="L592" s="2"/>
      <c r="M592" s="8"/>
    </row>
    <row r="593" spans="1:13" ht="36" x14ac:dyDescent="0.25">
      <c r="A593" s="7" t="s">
        <v>13168</v>
      </c>
      <c r="B593" s="2" t="s">
        <v>5118</v>
      </c>
      <c r="C593" s="4">
        <v>1</v>
      </c>
      <c r="D593" s="5">
        <v>6.4</v>
      </c>
      <c r="E593" s="5">
        <v>14.55</v>
      </c>
      <c r="F593" s="4">
        <v>17891410</v>
      </c>
      <c r="G593" s="2" t="s">
        <v>48</v>
      </c>
      <c r="H593" s="7" t="s">
        <v>233</v>
      </c>
      <c r="I593" s="2" t="s">
        <v>153</v>
      </c>
      <c r="J593" s="2" t="s">
        <v>154</v>
      </c>
      <c r="K593" s="2"/>
      <c r="L593" s="2"/>
      <c r="M593" s="8"/>
    </row>
  </sheetData>
  <pageMargins left="0.5" right="0.5" top="0.25" bottom="0.25" header="0.3" footer="0.3"/>
  <pageSetup scale="65" orientation="landscape" horizontalDpi="0" verticalDpi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515"/>
  <sheetViews>
    <sheetView workbookViewId="0">
      <selection activeCell="N5" sqref="N5"/>
    </sheetView>
  </sheetViews>
  <sheetFormatPr defaultRowHeight="15" x14ac:dyDescent="0.25"/>
  <cols>
    <col min="1" max="1" width="14.28515625" customWidth="1"/>
    <col min="2" max="2" width="41.7109375" customWidth="1"/>
    <col min="3" max="3" width="15" customWidth="1"/>
    <col min="4" max="4" width="10.85546875" customWidth="1"/>
    <col min="5" max="6" width="15" customWidth="1"/>
    <col min="7" max="7" width="10.28515625" customWidth="1"/>
    <col min="8" max="8" width="12.5703125" customWidth="1"/>
    <col min="9" max="10" width="11.42578125" customWidth="1"/>
    <col min="11" max="11" width="10.85546875" customWidth="1"/>
    <col min="12" max="12" width="7.42578125" customWidth="1"/>
    <col min="13" max="13" width="10.85546875" customWidth="1"/>
    <col min="14" max="14" width="12.140625" customWidth="1"/>
    <col min="15" max="15" width="36.5703125" bestFit="1" customWidth="1"/>
    <col min="16" max="17" width="20.7109375" customWidth="1"/>
    <col min="18" max="18" width="64.28515625" customWidth="1"/>
  </cols>
  <sheetData>
    <row r="1" spans="1:13" ht="36" x14ac:dyDescent="0.25">
      <c r="A1" s="28" t="s">
        <v>0</v>
      </c>
      <c r="B1" s="28" t="s">
        <v>1</v>
      </c>
      <c r="C1" s="28" t="s">
        <v>2</v>
      </c>
      <c r="D1" s="28" t="s">
        <v>3</v>
      </c>
      <c r="E1" s="28" t="s">
        <v>4</v>
      </c>
      <c r="F1" s="28" t="s">
        <v>5</v>
      </c>
      <c r="G1" s="28" t="s">
        <v>6</v>
      </c>
      <c r="H1" s="28" t="s">
        <v>7</v>
      </c>
      <c r="I1" s="28" t="s">
        <v>8</v>
      </c>
      <c r="J1" s="28" t="s">
        <v>9</v>
      </c>
    </row>
    <row r="2" spans="1:13" ht="36" x14ac:dyDescent="0.25">
      <c r="A2" s="2" t="s">
        <v>654</v>
      </c>
      <c r="B2" s="3">
        <v>12410531</v>
      </c>
      <c r="C2" s="2" t="s">
        <v>11</v>
      </c>
      <c r="D2" s="2" t="s">
        <v>12</v>
      </c>
      <c r="E2" s="4">
        <v>1</v>
      </c>
      <c r="F2" s="4">
        <v>19</v>
      </c>
      <c r="G2" s="2">
        <v>293</v>
      </c>
      <c r="H2" s="5">
        <v>3771.68</v>
      </c>
      <c r="I2" s="5">
        <v>9421.91</v>
      </c>
      <c r="J2" s="2">
        <v>647</v>
      </c>
    </row>
    <row r="4" spans="1:13" s="6" customFormat="1" x14ac:dyDescent="0.25"/>
    <row r="7" spans="1:13" s="6" customFormat="1" x14ac:dyDescent="0.25"/>
    <row r="8" spans="1:13" ht="36" x14ac:dyDescent="0.25">
      <c r="A8" s="28" t="s">
        <v>13</v>
      </c>
      <c r="B8" s="28" t="s">
        <v>14</v>
      </c>
      <c r="C8" s="28" t="s">
        <v>15</v>
      </c>
      <c r="D8" s="28" t="s">
        <v>16</v>
      </c>
      <c r="E8" s="28" t="s">
        <v>17</v>
      </c>
      <c r="F8" s="28" t="s">
        <v>18</v>
      </c>
      <c r="G8" s="28" t="s">
        <v>19</v>
      </c>
      <c r="H8" s="28" t="s">
        <v>20</v>
      </c>
      <c r="I8" s="28" t="s">
        <v>21</v>
      </c>
      <c r="J8" s="28" t="s">
        <v>22</v>
      </c>
      <c r="K8" s="28" t="s">
        <v>2737</v>
      </c>
      <c r="L8" s="28" t="s">
        <v>23</v>
      </c>
      <c r="M8" s="28" t="s">
        <v>24</v>
      </c>
    </row>
    <row r="9" spans="1:13" ht="60" x14ac:dyDescent="0.25">
      <c r="A9" s="7" t="s">
        <v>11802</v>
      </c>
      <c r="B9" s="2" t="s">
        <v>4630</v>
      </c>
      <c r="C9" s="4">
        <v>1</v>
      </c>
      <c r="D9" s="5">
        <v>38</v>
      </c>
      <c r="E9" s="5">
        <v>76.989999999999995</v>
      </c>
      <c r="F9" s="4" t="s">
        <v>4631</v>
      </c>
      <c r="G9" s="2" t="s">
        <v>262</v>
      </c>
      <c r="H9" s="7" t="s">
        <v>172</v>
      </c>
      <c r="I9" s="2" t="s">
        <v>30</v>
      </c>
      <c r="J9" s="2" t="s">
        <v>2986</v>
      </c>
      <c r="K9" s="2" t="s">
        <v>304</v>
      </c>
      <c r="L9" s="2" t="s">
        <v>712</v>
      </c>
      <c r="M9" s="8" t="str">
        <f>HYPERLINK("http://slimages.macys.com/is/image/MCY/12237744 ")</f>
        <v xml:space="preserve">http://slimages.macys.com/is/image/MCY/12237744 </v>
      </c>
    </row>
    <row r="10" spans="1:13" ht="60" x14ac:dyDescent="0.25">
      <c r="A10" s="7" t="s">
        <v>11803</v>
      </c>
      <c r="B10" s="2" t="s">
        <v>11804</v>
      </c>
      <c r="C10" s="4">
        <v>1</v>
      </c>
      <c r="D10" s="5">
        <v>33.75</v>
      </c>
      <c r="E10" s="5">
        <v>75</v>
      </c>
      <c r="F10" s="4">
        <v>313735365001</v>
      </c>
      <c r="G10" s="2" t="s">
        <v>129</v>
      </c>
      <c r="H10" s="7" t="s">
        <v>179</v>
      </c>
      <c r="I10" s="2" t="s">
        <v>3028</v>
      </c>
      <c r="J10" s="2" t="s">
        <v>205</v>
      </c>
      <c r="K10" s="2" t="s">
        <v>304</v>
      </c>
      <c r="L10" s="2" t="s">
        <v>38</v>
      </c>
      <c r="M10" s="8" t="str">
        <f>HYPERLINK("http://slimages.macys.com/is/image/MCY/12703142 ")</f>
        <v xml:space="preserve">http://slimages.macys.com/is/image/MCY/12703142 </v>
      </c>
    </row>
    <row r="11" spans="1:13" ht="60" x14ac:dyDescent="0.25">
      <c r="A11" s="7" t="s">
        <v>11805</v>
      </c>
      <c r="B11" s="2" t="s">
        <v>11806</v>
      </c>
      <c r="C11" s="4">
        <v>1</v>
      </c>
      <c r="D11" s="5">
        <v>26.78</v>
      </c>
      <c r="E11" s="5">
        <v>59.5</v>
      </c>
      <c r="F11" s="4">
        <v>313735363001</v>
      </c>
      <c r="G11" s="2" t="s">
        <v>28</v>
      </c>
      <c r="H11" s="7" t="s">
        <v>166</v>
      </c>
      <c r="I11" s="2" t="s">
        <v>3028</v>
      </c>
      <c r="J11" s="2" t="s">
        <v>205</v>
      </c>
      <c r="K11" s="2" t="s">
        <v>304</v>
      </c>
      <c r="L11" s="2" t="s">
        <v>38</v>
      </c>
      <c r="M11" s="8" t="str">
        <f>HYPERLINK("http://slimages.macys.com/is/image/MCY/12938638 ")</f>
        <v xml:space="preserve">http://slimages.macys.com/is/image/MCY/12938638 </v>
      </c>
    </row>
    <row r="12" spans="1:13" ht="132" x14ac:dyDescent="0.25">
      <c r="A12" s="7" t="s">
        <v>4664</v>
      </c>
      <c r="B12" s="2" t="s">
        <v>4665</v>
      </c>
      <c r="C12" s="4">
        <v>1</v>
      </c>
      <c r="D12" s="5">
        <v>23</v>
      </c>
      <c r="E12" s="5">
        <v>51.99</v>
      </c>
      <c r="F12" s="4" t="s">
        <v>4666</v>
      </c>
      <c r="G12" s="2" t="s">
        <v>657</v>
      </c>
      <c r="H12" s="7" t="s">
        <v>266</v>
      </c>
      <c r="I12" s="2" t="s">
        <v>3129</v>
      </c>
      <c r="J12" s="2" t="s">
        <v>4667</v>
      </c>
      <c r="K12" s="2" t="s">
        <v>304</v>
      </c>
      <c r="L12" s="2" t="s">
        <v>4668</v>
      </c>
      <c r="M12" s="8" t="str">
        <f>HYPERLINK("http://slimages.macys.com/is/image/MCY/8687592 ")</f>
        <v xml:space="preserve">http://slimages.macys.com/is/image/MCY/8687592 </v>
      </c>
    </row>
    <row r="13" spans="1:13" ht="60" x14ac:dyDescent="0.25">
      <c r="A13" s="7" t="s">
        <v>11807</v>
      </c>
      <c r="B13" s="2" t="s">
        <v>2864</v>
      </c>
      <c r="C13" s="4">
        <v>1</v>
      </c>
      <c r="D13" s="5">
        <v>20.170000000000002</v>
      </c>
      <c r="E13" s="5">
        <v>54.5</v>
      </c>
      <c r="F13" s="4" t="s">
        <v>2865</v>
      </c>
      <c r="G13" s="2" t="s">
        <v>79</v>
      </c>
      <c r="H13" s="7" t="s">
        <v>266</v>
      </c>
      <c r="I13" s="2" t="s">
        <v>880</v>
      </c>
      <c r="J13" s="2" t="s">
        <v>881</v>
      </c>
      <c r="K13" s="2" t="s">
        <v>304</v>
      </c>
      <c r="L13" s="2" t="s">
        <v>87</v>
      </c>
      <c r="M13" s="8" t="str">
        <f>HYPERLINK("http://slimages.macys.com/is/image/MCY/12049413 ")</f>
        <v xml:space="preserve">http://slimages.macys.com/is/image/MCY/12049413 </v>
      </c>
    </row>
    <row r="14" spans="1:13" ht="60" x14ac:dyDescent="0.25">
      <c r="A14" s="7" t="s">
        <v>11808</v>
      </c>
      <c r="B14" s="2" t="s">
        <v>3616</v>
      </c>
      <c r="C14" s="4">
        <v>1</v>
      </c>
      <c r="D14" s="5">
        <v>20.02</v>
      </c>
      <c r="E14" s="5">
        <v>40.99</v>
      </c>
      <c r="F14" s="4" t="s">
        <v>3617</v>
      </c>
      <c r="G14" s="2" t="s">
        <v>892</v>
      </c>
      <c r="H14" s="7" t="s">
        <v>284</v>
      </c>
      <c r="I14" s="2" t="s">
        <v>73</v>
      </c>
      <c r="J14" s="2" t="s">
        <v>160</v>
      </c>
      <c r="K14" s="2" t="s">
        <v>304</v>
      </c>
      <c r="L14" s="2" t="s">
        <v>119</v>
      </c>
      <c r="M14" s="8" t="str">
        <f>HYPERLINK("http://slimages.macys.com/is/image/MCY/12875354 ")</f>
        <v xml:space="preserve">http://slimages.macys.com/is/image/MCY/12875354 </v>
      </c>
    </row>
    <row r="15" spans="1:13" ht="72" x14ac:dyDescent="0.25">
      <c r="A15" s="7" t="s">
        <v>11809</v>
      </c>
      <c r="B15" s="2" t="s">
        <v>11810</v>
      </c>
      <c r="C15" s="4">
        <v>1</v>
      </c>
      <c r="D15" s="5">
        <v>20</v>
      </c>
      <c r="E15" s="5">
        <v>54.99</v>
      </c>
      <c r="F15" s="4" t="s">
        <v>11811</v>
      </c>
      <c r="G15" s="2" t="s">
        <v>195</v>
      </c>
      <c r="H15" s="7" t="s">
        <v>172</v>
      </c>
      <c r="I15" s="2" t="s">
        <v>668</v>
      </c>
      <c r="J15" s="2" t="s">
        <v>5228</v>
      </c>
      <c r="K15" s="2" t="s">
        <v>304</v>
      </c>
      <c r="L15" s="2" t="s">
        <v>8829</v>
      </c>
      <c r="M15" s="8" t="str">
        <f>HYPERLINK("http://slimages.macys.com/is/image/MCY/12746382 ")</f>
        <v xml:space="preserve">http://slimages.macys.com/is/image/MCY/12746382 </v>
      </c>
    </row>
    <row r="16" spans="1:13" ht="60" x14ac:dyDescent="0.25">
      <c r="A16" s="7" t="s">
        <v>10786</v>
      </c>
      <c r="B16" s="2" t="s">
        <v>6698</v>
      </c>
      <c r="C16" s="4">
        <v>1</v>
      </c>
      <c r="D16" s="5">
        <v>19.8</v>
      </c>
      <c r="E16" s="5">
        <v>49.5</v>
      </c>
      <c r="F16" s="4" t="s">
        <v>10787</v>
      </c>
      <c r="G16" s="2" t="s">
        <v>79</v>
      </c>
      <c r="H16" s="7"/>
      <c r="I16" s="2" t="s">
        <v>57</v>
      </c>
      <c r="J16" s="2" t="s">
        <v>58</v>
      </c>
      <c r="K16" s="2" t="s">
        <v>304</v>
      </c>
      <c r="L16" s="2" t="s">
        <v>38</v>
      </c>
      <c r="M16" s="8" t="str">
        <f>HYPERLINK("http://slimages.macys.com/is/image/MCY/13049212 ")</f>
        <v xml:space="preserve">http://slimages.macys.com/is/image/MCY/13049212 </v>
      </c>
    </row>
    <row r="17" spans="1:13" ht="108" x14ac:dyDescent="0.25">
      <c r="A17" s="7" t="s">
        <v>11812</v>
      </c>
      <c r="B17" s="2" t="s">
        <v>9809</v>
      </c>
      <c r="C17" s="4">
        <v>1</v>
      </c>
      <c r="D17" s="5">
        <v>19</v>
      </c>
      <c r="E17" s="5">
        <v>35.99</v>
      </c>
      <c r="F17" s="4" t="s">
        <v>9810</v>
      </c>
      <c r="G17" s="2" t="s">
        <v>297</v>
      </c>
      <c r="H17" s="7" t="s">
        <v>159</v>
      </c>
      <c r="I17" s="2" t="s">
        <v>73</v>
      </c>
      <c r="J17" s="2" t="s">
        <v>160</v>
      </c>
      <c r="K17" s="2" t="s">
        <v>304</v>
      </c>
      <c r="L17" s="2" t="s">
        <v>9811</v>
      </c>
      <c r="M17" s="8" t="str">
        <f>HYPERLINK("http://slimages.macys.com/is/image/MCY/12337164 ")</f>
        <v xml:space="preserve">http://slimages.macys.com/is/image/MCY/12337164 </v>
      </c>
    </row>
    <row r="18" spans="1:13" ht="60" x14ac:dyDescent="0.25">
      <c r="A18" s="7" t="s">
        <v>11271</v>
      </c>
      <c r="B18" s="2" t="s">
        <v>8570</v>
      </c>
      <c r="C18" s="4">
        <v>1</v>
      </c>
      <c r="D18" s="5">
        <v>17.8</v>
      </c>
      <c r="E18" s="5">
        <v>44.5</v>
      </c>
      <c r="F18" s="4" t="s">
        <v>8571</v>
      </c>
      <c r="G18" s="2" t="s">
        <v>86</v>
      </c>
      <c r="H18" s="7" t="s">
        <v>144</v>
      </c>
      <c r="I18" s="2" t="s">
        <v>690</v>
      </c>
      <c r="J18" s="2" t="s">
        <v>58</v>
      </c>
      <c r="K18" s="2" t="s">
        <v>304</v>
      </c>
      <c r="L18" s="2" t="s">
        <v>206</v>
      </c>
      <c r="M18" s="8" t="str">
        <f>HYPERLINK("http://slimages.macys.com/is/image/MCY/13049221 ")</f>
        <v xml:space="preserve">http://slimages.macys.com/is/image/MCY/13049221 </v>
      </c>
    </row>
    <row r="19" spans="1:13" ht="60" x14ac:dyDescent="0.25">
      <c r="A19" s="7" t="s">
        <v>83</v>
      </c>
      <c r="B19" s="2" t="s">
        <v>84</v>
      </c>
      <c r="C19" s="4">
        <v>1</v>
      </c>
      <c r="D19" s="5">
        <v>17.8</v>
      </c>
      <c r="E19" s="5">
        <v>44.5</v>
      </c>
      <c r="F19" s="4" t="s">
        <v>85</v>
      </c>
      <c r="G19" s="2" t="s">
        <v>86</v>
      </c>
      <c r="H19" s="7"/>
      <c r="I19" s="2" t="s">
        <v>57</v>
      </c>
      <c r="J19" s="2" t="s">
        <v>58</v>
      </c>
      <c r="K19" s="2" t="s">
        <v>304</v>
      </c>
      <c r="L19" s="2" t="s">
        <v>87</v>
      </c>
      <c r="M19" s="8" t="str">
        <f>HYPERLINK("http://slimages.macys.com/is/image/MCY/13043471 ")</f>
        <v xml:space="preserve">http://slimages.macys.com/is/image/MCY/13043471 </v>
      </c>
    </row>
    <row r="20" spans="1:13" ht="60" x14ac:dyDescent="0.25">
      <c r="A20" s="7" t="s">
        <v>11813</v>
      </c>
      <c r="B20" s="2" t="s">
        <v>8570</v>
      </c>
      <c r="C20" s="4">
        <v>1</v>
      </c>
      <c r="D20" s="5">
        <v>17.8</v>
      </c>
      <c r="E20" s="5">
        <v>44.5</v>
      </c>
      <c r="F20" s="4" t="s">
        <v>8571</v>
      </c>
      <c r="G20" s="2" t="s">
        <v>86</v>
      </c>
      <c r="H20" s="7" t="s">
        <v>317</v>
      </c>
      <c r="I20" s="2" t="s">
        <v>690</v>
      </c>
      <c r="J20" s="2" t="s">
        <v>58</v>
      </c>
      <c r="K20" s="2" t="s">
        <v>304</v>
      </c>
      <c r="L20" s="2" t="s">
        <v>206</v>
      </c>
      <c r="M20" s="8" t="str">
        <f>HYPERLINK("http://slimages.macys.com/is/image/MCY/13049221 ")</f>
        <v xml:space="preserve">http://slimages.macys.com/is/image/MCY/13049221 </v>
      </c>
    </row>
    <row r="21" spans="1:13" ht="60" x14ac:dyDescent="0.25">
      <c r="A21" s="7" t="s">
        <v>11814</v>
      </c>
      <c r="B21" s="2" t="s">
        <v>8570</v>
      </c>
      <c r="C21" s="4">
        <v>1</v>
      </c>
      <c r="D21" s="5">
        <v>17.8</v>
      </c>
      <c r="E21" s="5">
        <v>44.5</v>
      </c>
      <c r="F21" s="4" t="s">
        <v>8571</v>
      </c>
      <c r="G21" s="2" t="s">
        <v>86</v>
      </c>
      <c r="H21" s="7" t="s">
        <v>311</v>
      </c>
      <c r="I21" s="2" t="s">
        <v>690</v>
      </c>
      <c r="J21" s="2" t="s">
        <v>58</v>
      </c>
      <c r="K21" s="2" t="s">
        <v>304</v>
      </c>
      <c r="L21" s="2" t="s">
        <v>206</v>
      </c>
      <c r="M21" s="8" t="str">
        <f>HYPERLINK("http://slimages.macys.com/is/image/MCY/13049221 ")</f>
        <v xml:space="preserve">http://slimages.macys.com/is/image/MCY/13049221 </v>
      </c>
    </row>
    <row r="22" spans="1:13" ht="60" x14ac:dyDescent="0.25">
      <c r="A22" s="7" t="s">
        <v>8117</v>
      </c>
      <c r="B22" s="2" t="s">
        <v>5825</v>
      </c>
      <c r="C22" s="4">
        <v>1</v>
      </c>
      <c r="D22" s="5">
        <v>17.78</v>
      </c>
      <c r="E22" s="5">
        <v>39.5</v>
      </c>
      <c r="F22" s="4">
        <v>322749981002</v>
      </c>
      <c r="G22" s="2" t="s">
        <v>41</v>
      </c>
      <c r="H22" s="7" t="s">
        <v>166</v>
      </c>
      <c r="I22" s="2" t="s">
        <v>204</v>
      </c>
      <c r="J22" s="2" t="s">
        <v>205</v>
      </c>
      <c r="K22" s="2" t="s">
        <v>304</v>
      </c>
      <c r="L22" s="2" t="s">
        <v>87</v>
      </c>
      <c r="M22" s="8" t="str">
        <f>HYPERLINK("http://slimages.macys.com/is/image/MCY/14356710 ")</f>
        <v xml:space="preserve">http://slimages.macys.com/is/image/MCY/14356710 </v>
      </c>
    </row>
    <row r="23" spans="1:13" ht="96" x14ac:dyDescent="0.25">
      <c r="A23" s="7" t="s">
        <v>11815</v>
      </c>
      <c r="B23" s="2" t="s">
        <v>2459</v>
      </c>
      <c r="C23" s="4">
        <v>1</v>
      </c>
      <c r="D23" s="5">
        <v>17.78</v>
      </c>
      <c r="E23" s="5">
        <v>39.5</v>
      </c>
      <c r="F23" s="4">
        <v>321750092004</v>
      </c>
      <c r="G23" s="2" t="s">
        <v>28</v>
      </c>
      <c r="H23" s="7" t="s">
        <v>144</v>
      </c>
      <c r="I23" s="2" t="s">
        <v>204</v>
      </c>
      <c r="J23" s="2" t="s">
        <v>205</v>
      </c>
      <c r="K23" s="2" t="s">
        <v>304</v>
      </c>
      <c r="L23" s="2" t="s">
        <v>11816</v>
      </c>
      <c r="M23" s="8" t="str">
        <f>HYPERLINK("http://slimages.macys.com/is/image/MCY/14413113 ")</f>
        <v xml:space="preserve">http://slimages.macys.com/is/image/MCY/14413113 </v>
      </c>
    </row>
    <row r="24" spans="1:13" ht="60" x14ac:dyDescent="0.25">
      <c r="A24" s="7" t="s">
        <v>1442</v>
      </c>
      <c r="B24" s="2" t="s">
        <v>1443</v>
      </c>
      <c r="C24" s="4">
        <v>1</v>
      </c>
      <c r="D24" s="5">
        <v>17.78</v>
      </c>
      <c r="E24" s="5">
        <v>39.5</v>
      </c>
      <c r="F24" s="4">
        <v>323736959007</v>
      </c>
      <c r="G24" s="2" t="s">
        <v>129</v>
      </c>
      <c r="H24" s="7" t="s">
        <v>1411</v>
      </c>
      <c r="I24" s="2" t="s">
        <v>204</v>
      </c>
      <c r="J24" s="2" t="s">
        <v>205</v>
      </c>
      <c r="K24" s="2" t="s">
        <v>304</v>
      </c>
      <c r="L24" s="2" t="s">
        <v>38</v>
      </c>
      <c r="M24" s="8" t="str">
        <f>HYPERLINK("http://slimages.macys.com/is/image/MCY/13895756 ")</f>
        <v xml:space="preserve">http://slimages.macys.com/is/image/MCY/13895756 </v>
      </c>
    </row>
    <row r="25" spans="1:13" ht="60" x14ac:dyDescent="0.25">
      <c r="A25" s="7" t="s">
        <v>11817</v>
      </c>
      <c r="B25" s="2" t="s">
        <v>84</v>
      </c>
      <c r="C25" s="4">
        <v>1</v>
      </c>
      <c r="D25" s="5">
        <v>17</v>
      </c>
      <c r="E25" s="5">
        <v>42.5</v>
      </c>
      <c r="F25" s="4" t="s">
        <v>5168</v>
      </c>
      <c r="G25" s="2" t="s">
        <v>86</v>
      </c>
      <c r="H25" s="7" t="s">
        <v>166</v>
      </c>
      <c r="I25" s="2" t="s">
        <v>690</v>
      </c>
      <c r="J25" s="2" t="s">
        <v>58</v>
      </c>
      <c r="K25" s="2" t="s">
        <v>304</v>
      </c>
      <c r="L25" s="2" t="s">
        <v>87</v>
      </c>
      <c r="M25" s="8" t="str">
        <f>HYPERLINK("http://slimages.macys.com/is/image/MCY/13043471 ")</f>
        <v xml:space="preserve">http://slimages.macys.com/is/image/MCY/13043471 </v>
      </c>
    </row>
    <row r="26" spans="1:13" ht="60" x14ac:dyDescent="0.25">
      <c r="A26" s="7" t="s">
        <v>5167</v>
      </c>
      <c r="B26" s="2" t="s">
        <v>84</v>
      </c>
      <c r="C26" s="4">
        <v>1</v>
      </c>
      <c r="D26" s="5">
        <v>17</v>
      </c>
      <c r="E26" s="5">
        <v>42.5</v>
      </c>
      <c r="F26" s="4" t="s">
        <v>5168</v>
      </c>
      <c r="G26" s="2" t="s">
        <v>86</v>
      </c>
      <c r="H26" s="7" t="s">
        <v>317</v>
      </c>
      <c r="I26" s="2" t="s">
        <v>690</v>
      </c>
      <c r="J26" s="2" t="s">
        <v>58</v>
      </c>
      <c r="K26" s="2" t="s">
        <v>304</v>
      </c>
      <c r="L26" s="2" t="s">
        <v>87</v>
      </c>
      <c r="M26" s="8" t="str">
        <f>HYPERLINK("http://slimages.macys.com/is/image/MCY/13043471 ")</f>
        <v xml:space="preserve">http://slimages.macys.com/is/image/MCY/13043471 </v>
      </c>
    </row>
    <row r="27" spans="1:13" ht="60" x14ac:dyDescent="0.25">
      <c r="A27" s="7" t="s">
        <v>11818</v>
      </c>
      <c r="B27" s="2" t="s">
        <v>11819</v>
      </c>
      <c r="C27" s="4">
        <v>1</v>
      </c>
      <c r="D27" s="5">
        <v>16</v>
      </c>
      <c r="E27" s="5">
        <v>40</v>
      </c>
      <c r="F27" s="4" t="s">
        <v>11820</v>
      </c>
      <c r="G27" s="2" t="s">
        <v>892</v>
      </c>
      <c r="H27" s="7" t="s">
        <v>11821</v>
      </c>
      <c r="I27" s="2" t="s">
        <v>700</v>
      </c>
      <c r="J27" s="2" t="s">
        <v>701</v>
      </c>
      <c r="K27" s="2" t="s">
        <v>304</v>
      </c>
      <c r="L27" s="2" t="s">
        <v>38</v>
      </c>
      <c r="M27" s="8" t="str">
        <f>HYPERLINK("http://slimages.macys.com/is/image/MCY/11868837 ")</f>
        <v xml:space="preserve">http://slimages.macys.com/is/image/MCY/11868837 </v>
      </c>
    </row>
    <row r="28" spans="1:13" ht="60" x14ac:dyDescent="0.25">
      <c r="A28" s="7" t="s">
        <v>11822</v>
      </c>
      <c r="B28" s="2" t="s">
        <v>110</v>
      </c>
      <c r="C28" s="4">
        <v>1</v>
      </c>
      <c r="D28" s="5">
        <v>15.8</v>
      </c>
      <c r="E28" s="5">
        <v>39.5</v>
      </c>
      <c r="F28" s="4" t="s">
        <v>111</v>
      </c>
      <c r="G28" s="2" t="s">
        <v>41</v>
      </c>
      <c r="H28" s="7"/>
      <c r="I28" s="2" t="s">
        <v>57</v>
      </c>
      <c r="J28" s="2" t="s">
        <v>58</v>
      </c>
      <c r="K28" s="2" t="s">
        <v>304</v>
      </c>
      <c r="L28" s="2" t="s">
        <v>100</v>
      </c>
      <c r="M28" s="8" t="str">
        <f>HYPERLINK("http://slimages.macys.com/is/image/MCY/13049173 ")</f>
        <v xml:space="preserve">http://slimages.macys.com/is/image/MCY/13049173 </v>
      </c>
    </row>
    <row r="29" spans="1:13" ht="60" x14ac:dyDescent="0.25">
      <c r="A29" s="7" t="s">
        <v>10806</v>
      </c>
      <c r="B29" s="2" t="s">
        <v>5845</v>
      </c>
      <c r="C29" s="4">
        <v>1</v>
      </c>
      <c r="D29" s="5">
        <v>15.8</v>
      </c>
      <c r="E29" s="5">
        <v>39.5</v>
      </c>
      <c r="F29" s="4" t="s">
        <v>5846</v>
      </c>
      <c r="G29" s="2" t="s">
        <v>86</v>
      </c>
      <c r="H29" s="7"/>
      <c r="I29" s="2" t="s">
        <v>57</v>
      </c>
      <c r="J29" s="2" t="s">
        <v>58</v>
      </c>
      <c r="K29" s="2" t="s">
        <v>304</v>
      </c>
      <c r="L29" s="2" t="s">
        <v>100</v>
      </c>
      <c r="M29" s="8" t="str">
        <f>HYPERLINK("http://slimages.macys.com/is/image/MCY/13815553 ")</f>
        <v xml:space="preserve">http://slimages.macys.com/is/image/MCY/13815553 </v>
      </c>
    </row>
    <row r="30" spans="1:13" ht="60" x14ac:dyDescent="0.25">
      <c r="A30" s="7" t="s">
        <v>109</v>
      </c>
      <c r="B30" s="2" t="s">
        <v>110</v>
      </c>
      <c r="C30" s="4">
        <v>1</v>
      </c>
      <c r="D30" s="5">
        <v>15.8</v>
      </c>
      <c r="E30" s="5">
        <v>39.5</v>
      </c>
      <c r="F30" s="4" t="s">
        <v>111</v>
      </c>
      <c r="G30" s="2" t="s">
        <v>41</v>
      </c>
      <c r="H30" s="7"/>
      <c r="I30" s="2" t="s">
        <v>57</v>
      </c>
      <c r="J30" s="2" t="s">
        <v>58</v>
      </c>
      <c r="K30" s="2" t="s">
        <v>304</v>
      </c>
      <c r="L30" s="2" t="s">
        <v>100</v>
      </c>
      <c r="M30" s="8" t="str">
        <f>HYPERLINK("http://slimages.macys.com/is/image/MCY/13049173 ")</f>
        <v xml:space="preserve">http://slimages.macys.com/is/image/MCY/13049173 </v>
      </c>
    </row>
    <row r="31" spans="1:13" ht="60" x14ac:dyDescent="0.25">
      <c r="A31" s="7" t="s">
        <v>11823</v>
      </c>
      <c r="B31" s="2" t="s">
        <v>8134</v>
      </c>
      <c r="C31" s="4">
        <v>1</v>
      </c>
      <c r="D31" s="5">
        <v>15.73</v>
      </c>
      <c r="E31" s="5">
        <v>42.5</v>
      </c>
      <c r="F31" s="4" t="s">
        <v>11824</v>
      </c>
      <c r="G31" s="2" t="s">
        <v>28</v>
      </c>
      <c r="H31" s="7" t="s">
        <v>248</v>
      </c>
      <c r="I31" s="2" t="s">
        <v>880</v>
      </c>
      <c r="J31" s="2" t="s">
        <v>881</v>
      </c>
      <c r="K31" s="2" t="s">
        <v>304</v>
      </c>
      <c r="L31" s="2" t="s">
        <v>119</v>
      </c>
      <c r="M31" s="8" t="str">
        <f>HYPERLINK("http://slimages.macys.com/is/image/MCY/13076804 ")</f>
        <v xml:space="preserve">http://slimages.macys.com/is/image/MCY/13076804 </v>
      </c>
    </row>
    <row r="32" spans="1:13" ht="60" x14ac:dyDescent="0.25">
      <c r="A32" s="7" t="s">
        <v>6715</v>
      </c>
      <c r="B32" s="2" t="s">
        <v>5176</v>
      </c>
      <c r="C32" s="4">
        <v>1</v>
      </c>
      <c r="D32" s="5">
        <v>15</v>
      </c>
      <c r="E32" s="5">
        <v>37.5</v>
      </c>
      <c r="F32" s="4" t="s">
        <v>5177</v>
      </c>
      <c r="G32" s="2" t="s">
        <v>41</v>
      </c>
      <c r="H32" s="7" t="s">
        <v>166</v>
      </c>
      <c r="I32" s="2" t="s">
        <v>690</v>
      </c>
      <c r="J32" s="2" t="s">
        <v>58</v>
      </c>
      <c r="K32" s="2" t="s">
        <v>304</v>
      </c>
      <c r="L32" s="2" t="s">
        <v>100</v>
      </c>
      <c r="M32" s="8" t="str">
        <f>HYPERLINK("http://slimages.macys.com/is/image/MCY/13049148 ")</f>
        <v xml:space="preserve">http://slimages.macys.com/is/image/MCY/13049148 </v>
      </c>
    </row>
    <row r="33" spans="1:13" ht="60" x14ac:dyDescent="0.25">
      <c r="A33" s="7" t="s">
        <v>5852</v>
      </c>
      <c r="B33" s="2" t="s">
        <v>5176</v>
      </c>
      <c r="C33" s="4">
        <v>1</v>
      </c>
      <c r="D33" s="5">
        <v>15</v>
      </c>
      <c r="E33" s="5">
        <v>37.5</v>
      </c>
      <c r="F33" s="4" t="s">
        <v>5177</v>
      </c>
      <c r="G33" s="2" t="s">
        <v>41</v>
      </c>
      <c r="H33" s="7" t="s">
        <v>68</v>
      </c>
      <c r="I33" s="2" t="s">
        <v>690</v>
      </c>
      <c r="J33" s="2" t="s">
        <v>58</v>
      </c>
      <c r="K33" s="2" t="s">
        <v>304</v>
      </c>
      <c r="L33" s="2" t="s">
        <v>100</v>
      </c>
      <c r="M33" s="8" t="str">
        <f>HYPERLINK("http://slimages.macys.com/is/image/MCY/13049148 ")</f>
        <v xml:space="preserve">http://slimages.macys.com/is/image/MCY/13049148 </v>
      </c>
    </row>
    <row r="34" spans="1:13" ht="60" x14ac:dyDescent="0.25">
      <c r="A34" s="7" t="s">
        <v>11825</v>
      </c>
      <c r="B34" s="2" t="s">
        <v>5176</v>
      </c>
      <c r="C34" s="4">
        <v>1</v>
      </c>
      <c r="D34" s="5">
        <v>15</v>
      </c>
      <c r="E34" s="5">
        <v>37.5</v>
      </c>
      <c r="F34" s="4" t="s">
        <v>5177</v>
      </c>
      <c r="G34" s="2" t="s">
        <v>41</v>
      </c>
      <c r="H34" s="7" t="s">
        <v>311</v>
      </c>
      <c r="I34" s="2" t="s">
        <v>690</v>
      </c>
      <c r="J34" s="2" t="s">
        <v>58</v>
      </c>
      <c r="K34" s="2" t="s">
        <v>304</v>
      </c>
      <c r="L34" s="2" t="s">
        <v>100</v>
      </c>
      <c r="M34" s="8" t="str">
        <f>HYPERLINK("http://slimages.macys.com/is/image/MCY/13049148 ")</f>
        <v xml:space="preserve">http://slimages.macys.com/is/image/MCY/13049148 </v>
      </c>
    </row>
    <row r="35" spans="1:13" ht="84" x14ac:dyDescent="0.25">
      <c r="A35" s="7" t="s">
        <v>11826</v>
      </c>
      <c r="B35" s="2" t="s">
        <v>10813</v>
      </c>
      <c r="C35" s="4">
        <v>1</v>
      </c>
      <c r="D35" s="5">
        <v>15</v>
      </c>
      <c r="E35" s="5">
        <v>44.99</v>
      </c>
      <c r="F35" s="4" t="s">
        <v>10814</v>
      </c>
      <c r="G35" s="2"/>
      <c r="H35" s="7"/>
      <c r="I35" s="2" t="s">
        <v>668</v>
      </c>
      <c r="J35" s="2" t="s">
        <v>1437</v>
      </c>
      <c r="K35" s="2" t="s">
        <v>304</v>
      </c>
      <c r="L35" s="2" t="s">
        <v>1117</v>
      </c>
      <c r="M35" s="8" t="str">
        <f>HYPERLINK("http://slimages.macys.com/is/image/MCY/12257782 ")</f>
        <v xml:space="preserve">http://slimages.macys.com/is/image/MCY/12257782 </v>
      </c>
    </row>
    <row r="36" spans="1:13" ht="60" x14ac:dyDescent="0.25">
      <c r="A36" s="7" t="s">
        <v>11827</v>
      </c>
      <c r="B36" s="2" t="s">
        <v>8134</v>
      </c>
      <c r="C36" s="4">
        <v>1</v>
      </c>
      <c r="D36" s="5">
        <v>14.62</v>
      </c>
      <c r="E36" s="5">
        <v>39.5</v>
      </c>
      <c r="F36" s="4" t="s">
        <v>8135</v>
      </c>
      <c r="G36" s="2" t="s">
        <v>28</v>
      </c>
      <c r="H36" s="7" t="s">
        <v>63</v>
      </c>
      <c r="I36" s="2" t="s">
        <v>880</v>
      </c>
      <c r="J36" s="2" t="s">
        <v>881</v>
      </c>
      <c r="K36" s="2" t="s">
        <v>304</v>
      </c>
      <c r="L36" s="2" t="s">
        <v>119</v>
      </c>
      <c r="M36" s="8" t="str">
        <f>HYPERLINK("http://slimages.macys.com/is/image/MCY/13076804 ")</f>
        <v xml:space="preserve">http://slimages.macys.com/is/image/MCY/13076804 </v>
      </c>
    </row>
    <row r="37" spans="1:13" ht="60" x14ac:dyDescent="0.25">
      <c r="A37" s="7" t="s">
        <v>1487</v>
      </c>
      <c r="B37" s="2" t="s">
        <v>1488</v>
      </c>
      <c r="C37" s="4">
        <v>1</v>
      </c>
      <c r="D37" s="5">
        <v>14.62</v>
      </c>
      <c r="E37" s="5">
        <v>39.5</v>
      </c>
      <c r="F37" s="4" t="s">
        <v>1489</v>
      </c>
      <c r="G37" s="2" t="s">
        <v>28</v>
      </c>
      <c r="H37" s="7" t="s">
        <v>172</v>
      </c>
      <c r="I37" s="2" t="s">
        <v>880</v>
      </c>
      <c r="J37" s="2" t="s">
        <v>881</v>
      </c>
      <c r="K37" s="2" t="s">
        <v>304</v>
      </c>
      <c r="L37" s="2" t="s">
        <v>119</v>
      </c>
      <c r="M37" s="8" t="str">
        <f>HYPERLINK("http://slimages.macys.com/is/image/MCY/12051814 ")</f>
        <v xml:space="preserve">http://slimages.macys.com/is/image/MCY/12051814 </v>
      </c>
    </row>
    <row r="38" spans="1:13" ht="60" x14ac:dyDescent="0.25">
      <c r="A38" s="7" t="s">
        <v>11828</v>
      </c>
      <c r="B38" s="2" t="s">
        <v>11829</v>
      </c>
      <c r="C38" s="4">
        <v>1</v>
      </c>
      <c r="D38" s="5">
        <v>14.5</v>
      </c>
      <c r="E38" s="5">
        <v>44.99</v>
      </c>
      <c r="F38" s="4" t="s">
        <v>11830</v>
      </c>
      <c r="G38" s="2" t="s">
        <v>36</v>
      </c>
      <c r="H38" s="7" t="s">
        <v>97</v>
      </c>
      <c r="I38" s="2" t="s">
        <v>668</v>
      </c>
      <c r="J38" s="2" t="s">
        <v>2923</v>
      </c>
      <c r="K38" s="2" t="s">
        <v>304</v>
      </c>
      <c r="L38" s="2" t="s">
        <v>11831</v>
      </c>
      <c r="M38" s="8" t="str">
        <f>HYPERLINK("http://slimages.macys.com/is/image/MCY/11857635 ")</f>
        <v xml:space="preserve">http://slimages.macys.com/is/image/MCY/11857635 </v>
      </c>
    </row>
    <row r="39" spans="1:13" ht="60" x14ac:dyDescent="0.25">
      <c r="A39" s="7" t="s">
        <v>11832</v>
      </c>
      <c r="B39" s="2" t="s">
        <v>11833</v>
      </c>
      <c r="C39" s="4">
        <v>1</v>
      </c>
      <c r="D39" s="5">
        <v>14.5</v>
      </c>
      <c r="E39" s="5">
        <v>39.99</v>
      </c>
      <c r="F39" s="4" t="s">
        <v>11834</v>
      </c>
      <c r="G39" s="2" t="s">
        <v>527</v>
      </c>
      <c r="H39" s="7" t="s">
        <v>91</v>
      </c>
      <c r="I39" s="2" t="s">
        <v>92</v>
      </c>
      <c r="J39" s="2" t="s">
        <v>239</v>
      </c>
      <c r="K39" s="2" t="s">
        <v>304</v>
      </c>
      <c r="L39" s="2" t="s">
        <v>125</v>
      </c>
      <c r="M39" s="8" t="str">
        <f>HYPERLINK("http://slimages.macys.com/is/image/MCY/13894111 ")</f>
        <v xml:space="preserve">http://slimages.macys.com/is/image/MCY/13894111 </v>
      </c>
    </row>
    <row r="40" spans="1:13" ht="60" x14ac:dyDescent="0.25">
      <c r="A40" s="7" t="s">
        <v>11835</v>
      </c>
      <c r="B40" s="2" t="s">
        <v>11836</v>
      </c>
      <c r="C40" s="4">
        <v>1</v>
      </c>
      <c r="D40" s="5">
        <v>14.4</v>
      </c>
      <c r="E40" s="5">
        <v>32.99</v>
      </c>
      <c r="F40" s="4" t="s">
        <v>11837</v>
      </c>
      <c r="G40" s="2" t="s">
        <v>165</v>
      </c>
      <c r="H40" s="7" t="s">
        <v>217</v>
      </c>
      <c r="I40" s="2" t="s">
        <v>80</v>
      </c>
      <c r="J40" s="2" t="s">
        <v>2967</v>
      </c>
      <c r="K40" s="2" t="s">
        <v>304</v>
      </c>
      <c r="L40" s="2" t="s">
        <v>125</v>
      </c>
      <c r="M40" s="8" t="str">
        <f>HYPERLINK("http://slimages.macys.com/is/image/MCY/11707682 ")</f>
        <v xml:space="preserve">http://slimages.macys.com/is/image/MCY/11707682 </v>
      </c>
    </row>
    <row r="41" spans="1:13" ht="60" x14ac:dyDescent="0.25">
      <c r="A41" s="7" t="s">
        <v>11838</v>
      </c>
      <c r="B41" s="2" t="s">
        <v>750</v>
      </c>
      <c r="C41" s="4">
        <v>1</v>
      </c>
      <c r="D41" s="5">
        <v>14</v>
      </c>
      <c r="E41" s="5">
        <v>32.99</v>
      </c>
      <c r="F41" s="4" t="s">
        <v>751</v>
      </c>
      <c r="G41" s="2" t="s">
        <v>752</v>
      </c>
      <c r="H41" s="7" t="s">
        <v>166</v>
      </c>
      <c r="I41" s="2" t="s">
        <v>80</v>
      </c>
      <c r="J41" s="2" t="s">
        <v>145</v>
      </c>
      <c r="K41" s="2" t="s">
        <v>304</v>
      </c>
      <c r="L41" s="2" t="s">
        <v>125</v>
      </c>
      <c r="M41" s="8" t="str">
        <f>HYPERLINK("http://slimages.macys.com/is/image/MCY/13356716 ")</f>
        <v xml:space="preserve">http://slimages.macys.com/is/image/MCY/13356716 </v>
      </c>
    </row>
    <row r="42" spans="1:13" ht="60" x14ac:dyDescent="0.25">
      <c r="A42" s="7" t="s">
        <v>9324</v>
      </c>
      <c r="B42" s="2" t="s">
        <v>750</v>
      </c>
      <c r="C42" s="4">
        <v>1</v>
      </c>
      <c r="D42" s="5">
        <v>14</v>
      </c>
      <c r="E42" s="5">
        <v>32.99</v>
      </c>
      <c r="F42" s="4" t="s">
        <v>751</v>
      </c>
      <c r="G42" s="2" t="s">
        <v>752</v>
      </c>
      <c r="H42" s="7" t="s">
        <v>311</v>
      </c>
      <c r="I42" s="2" t="s">
        <v>80</v>
      </c>
      <c r="J42" s="2" t="s">
        <v>145</v>
      </c>
      <c r="K42" s="2" t="s">
        <v>304</v>
      </c>
      <c r="L42" s="2" t="s">
        <v>125</v>
      </c>
      <c r="M42" s="8" t="str">
        <f>HYPERLINK("http://slimages.macys.com/is/image/MCY/13356716 ")</f>
        <v xml:space="preserve">http://slimages.macys.com/is/image/MCY/13356716 </v>
      </c>
    </row>
    <row r="43" spans="1:13" ht="60" x14ac:dyDescent="0.25">
      <c r="A43" s="7" t="s">
        <v>11839</v>
      </c>
      <c r="B43" s="2" t="s">
        <v>11840</v>
      </c>
      <c r="C43" s="4">
        <v>1</v>
      </c>
      <c r="D43" s="5">
        <v>14</v>
      </c>
      <c r="E43" s="5">
        <v>22.99</v>
      </c>
      <c r="F43" s="4" t="s">
        <v>11841</v>
      </c>
      <c r="G43" s="2" t="s">
        <v>79</v>
      </c>
      <c r="H43" s="7" t="s">
        <v>166</v>
      </c>
      <c r="I43" s="2" t="s">
        <v>80</v>
      </c>
      <c r="J43" s="2" t="s">
        <v>124</v>
      </c>
      <c r="K43" s="2" t="s">
        <v>304</v>
      </c>
      <c r="L43" s="2" t="s">
        <v>125</v>
      </c>
      <c r="M43" s="8" t="str">
        <f>HYPERLINK("http://slimages.macys.com/is/image/MCY/11647312 ")</f>
        <v xml:space="preserve">http://slimages.macys.com/is/image/MCY/11647312 </v>
      </c>
    </row>
    <row r="44" spans="1:13" ht="72" x14ac:dyDescent="0.25">
      <c r="A44" s="7" t="s">
        <v>8649</v>
      </c>
      <c r="B44" s="2" t="s">
        <v>8650</v>
      </c>
      <c r="C44" s="4">
        <v>1</v>
      </c>
      <c r="D44" s="5">
        <v>13.8</v>
      </c>
      <c r="E44" s="5">
        <v>33.99</v>
      </c>
      <c r="F44" s="4" t="s">
        <v>8651</v>
      </c>
      <c r="G44" s="2" t="s">
        <v>892</v>
      </c>
      <c r="H44" s="7" t="s">
        <v>196</v>
      </c>
      <c r="I44" s="2" t="s">
        <v>321</v>
      </c>
      <c r="J44" s="2" t="s">
        <v>1512</v>
      </c>
      <c r="K44" s="2" t="s">
        <v>304</v>
      </c>
      <c r="L44" s="2" t="s">
        <v>1520</v>
      </c>
      <c r="M44" s="8" t="str">
        <f>HYPERLINK("http://slimages.macys.com/is/image/MCY/10750351 ")</f>
        <v xml:space="preserve">http://slimages.macys.com/is/image/MCY/10750351 </v>
      </c>
    </row>
    <row r="45" spans="1:13" ht="84" x14ac:dyDescent="0.25">
      <c r="A45" s="7" t="s">
        <v>8647</v>
      </c>
      <c r="B45" s="2" t="s">
        <v>1510</v>
      </c>
      <c r="C45" s="4">
        <v>1</v>
      </c>
      <c r="D45" s="5">
        <v>13.8</v>
      </c>
      <c r="E45" s="5">
        <v>33.99</v>
      </c>
      <c r="F45" s="4" t="s">
        <v>1511</v>
      </c>
      <c r="G45" s="2" t="s">
        <v>103</v>
      </c>
      <c r="H45" s="7" t="s">
        <v>196</v>
      </c>
      <c r="I45" s="2" t="s">
        <v>321</v>
      </c>
      <c r="J45" s="2" t="s">
        <v>1512</v>
      </c>
      <c r="K45" s="2" t="s">
        <v>304</v>
      </c>
      <c r="L45" s="2" t="s">
        <v>1117</v>
      </c>
      <c r="M45" s="8" t="str">
        <f>HYPERLINK("http://slimages.macys.com/is/image/MCY/10750360 ")</f>
        <v xml:space="preserve">http://slimages.macys.com/is/image/MCY/10750360 </v>
      </c>
    </row>
    <row r="46" spans="1:13" ht="72" x14ac:dyDescent="0.25">
      <c r="A46" s="7" t="s">
        <v>11842</v>
      </c>
      <c r="B46" s="2" t="s">
        <v>6728</v>
      </c>
      <c r="C46" s="4">
        <v>1</v>
      </c>
      <c r="D46" s="5">
        <v>13.8</v>
      </c>
      <c r="E46" s="5">
        <v>33.99</v>
      </c>
      <c r="F46" s="4" t="s">
        <v>6729</v>
      </c>
      <c r="G46" s="2" t="s">
        <v>62</v>
      </c>
      <c r="H46" s="7" t="s">
        <v>228</v>
      </c>
      <c r="I46" s="2" t="s">
        <v>321</v>
      </c>
      <c r="J46" s="2" t="s">
        <v>1512</v>
      </c>
      <c r="K46" s="2" t="s">
        <v>304</v>
      </c>
      <c r="L46" s="2" t="s">
        <v>1520</v>
      </c>
      <c r="M46" s="8" t="str">
        <f>HYPERLINK("http://slimages.macys.com/is/image/MCY/10750422 ")</f>
        <v xml:space="preserve">http://slimages.macys.com/is/image/MCY/10750422 </v>
      </c>
    </row>
    <row r="47" spans="1:13" ht="84" x14ac:dyDescent="0.25">
      <c r="A47" s="7" t="s">
        <v>8652</v>
      </c>
      <c r="B47" s="2" t="s">
        <v>1510</v>
      </c>
      <c r="C47" s="4">
        <v>1</v>
      </c>
      <c r="D47" s="5">
        <v>13.8</v>
      </c>
      <c r="E47" s="5">
        <v>33.99</v>
      </c>
      <c r="F47" s="4" t="s">
        <v>1511</v>
      </c>
      <c r="G47" s="2" t="s">
        <v>698</v>
      </c>
      <c r="H47" s="7" t="s">
        <v>196</v>
      </c>
      <c r="I47" s="2" t="s">
        <v>321</v>
      </c>
      <c r="J47" s="2" t="s">
        <v>1512</v>
      </c>
      <c r="K47" s="2" t="s">
        <v>304</v>
      </c>
      <c r="L47" s="2" t="s">
        <v>1117</v>
      </c>
      <c r="M47" s="8" t="str">
        <f>HYPERLINK("http://slimages.macys.com/is/image/MCY/10750360 ")</f>
        <v xml:space="preserve">http://slimages.macys.com/is/image/MCY/10750360 </v>
      </c>
    </row>
    <row r="48" spans="1:13" ht="72" x14ac:dyDescent="0.25">
      <c r="A48" s="7" t="s">
        <v>6727</v>
      </c>
      <c r="B48" s="2" t="s">
        <v>6728</v>
      </c>
      <c r="C48" s="4">
        <v>1</v>
      </c>
      <c r="D48" s="5">
        <v>13.8</v>
      </c>
      <c r="E48" s="5">
        <v>33.99</v>
      </c>
      <c r="F48" s="4" t="s">
        <v>6729</v>
      </c>
      <c r="G48" s="2" t="s">
        <v>62</v>
      </c>
      <c r="H48" s="7" t="s">
        <v>196</v>
      </c>
      <c r="I48" s="2" t="s">
        <v>321</v>
      </c>
      <c r="J48" s="2" t="s">
        <v>1512</v>
      </c>
      <c r="K48" s="2" t="s">
        <v>304</v>
      </c>
      <c r="L48" s="2" t="s">
        <v>1520</v>
      </c>
      <c r="M48" s="8" t="str">
        <f>HYPERLINK("http://slimages.macys.com/is/image/MCY/10750422 ")</f>
        <v xml:space="preserve">http://slimages.macys.com/is/image/MCY/10750422 </v>
      </c>
    </row>
    <row r="49" spans="1:13" ht="84" x14ac:dyDescent="0.25">
      <c r="A49" s="7" t="s">
        <v>8648</v>
      </c>
      <c r="B49" s="2" t="s">
        <v>1510</v>
      </c>
      <c r="C49" s="4">
        <v>1</v>
      </c>
      <c r="D49" s="5">
        <v>13.8</v>
      </c>
      <c r="E49" s="5">
        <v>33.99</v>
      </c>
      <c r="F49" s="4" t="s">
        <v>1511</v>
      </c>
      <c r="G49" s="2" t="s">
        <v>698</v>
      </c>
      <c r="H49" s="7" t="s">
        <v>228</v>
      </c>
      <c r="I49" s="2" t="s">
        <v>321</v>
      </c>
      <c r="J49" s="2" t="s">
        <v>1512</v>
      </c>
      <c r="K49" s="2" t="s">
        <v>304</v>
      </c>
      <c r="L49" s="2" t="s">
        <v>1117</v>
      </c>
      <c r="M49" s="8" t="str">
        <f>HYPERLINK("http://slimages.macys.com/is/image/MCY/10750360 ")</f>
        <v xml:space="preserve">http://slimages.macys.com/is/image/MCY/10750360 </v>
      </c>
    </row>
    <row r="50" spans="1:13" ht="84" x14ac:dyDescent="0.25">
      <c r="A50" s="7" t="s">
        <v>11843</v>
      </c>
      <c r="B50" s="2" t="s">
        <v>11844</v>
      </c>
      <c r="C50" s="4">
        <v>1</v>
      </c>
      <c r="D50" s="5">
        <v>13.8</v>
      </c>
      <c r="E50" s="5">
        <v>33.99</v>
      </c>
      <c r="F50" s="4" t="s">
        <v>11845</v>
      </c>
      <c r="G50" s="2" t="s">
        <v>103</v>
      </c>
      <c r="H50" s="7" t="s">
        <v>196</v>
      </c>
      <c r="I50" s="2" t="s">
        <v>321</v>
      </c>
      <c r="J50" s="2" t="s">
        <v>1512</v>
      </c>
      <c r="K50" s="2" t="s">
        <v>304</v>
      </c>
      <c r="L50" s="2" t="s">
        <v>1460</v>
      </c>
      <c r="M50" s="8" t="str">
        <f>HYPERLINK("http://slimages.macys.com/is/image/MCY/11647436 ")</f>
        <v xml:space="preserve">http://slimages.macys.com/is/image/MCY/11647436 </v>
      </c>
    </row>
    <row r="51" spans="1:13" ht="96" x14ac:dyDescent="0.25">
      <c r="A51" s="7" t="s">
        <v>11846</v>
      </c>
      <c r="B51" s="2" t="s">
        <v>11847</v>
      </c>
      <c r="C51" s="4">
        <v>1</v>
      </c>
      <c r="D51" s="5">
        <v>13.5</v>
      </c>
      <c r="E51" s="5">
        <v>39.99</v>
      </c>
      <c r="F51" s="4" t="s">
        <v>11848</v>
      </c>
      <c r="G51" s="2" t="s">
        <v>28</v>
      </c>
      <c r="H51" s="7" t="s">
        <v>97</v>
      </c>
      <c r="I51" s="2" t="s">
        <v>668</v>
      </c>
      <c r="J51" s="2" t="s">
        <v>1427</v>
      </c>
      <c r="K51" s="2" t="s">
        <v>304</v>
      </c>
      <c r="L51" s="2" t="s">
        <v>1516</v>
      </c>
      <c r="M51" s="8" t="str">
        <f>HYPERLINK("http://slimages.macys.com/is/image/MCY/12712221 ")</f>
        <v xml:space="preserve">http://slimages.macys.com/is/image/MCY/12712221 </v>
      </c>
    </row>
    <row r="52" spans="1:13" ht="96" x14ac:dyDescent="0.25">
      <c r="A52" s="7" t="s">
        <v>11849</v>
      </c>
      <c r="B52" s="2" t="s">
        <v>11847</v>
      </c>
      <c r="C52" s="4">
        <v>1</v>
      </c>
      <c r="D52" s="5">
        <v>13.5</v>
      </c>
      <c r="E52" s="5">
        <v>39.99</v>
      </c>
      <c r="F52" s="4" t="s">
        <v>11848</v>
      </c>
      <c r="G52" s="2" t="s">
        <v>28</v>
      </c>
      <c r="H52" s="7" t="s">
        <v>172</v>
      </c>
      <c r="I52" s="2" t="s">
        <v>668</v>
      </c>
      <c r="J52" s="2" t="s">
        <v>1427</v>
      </c>
      <c r="K52" s="2" t="s">
        <v>304</v>
      </c>
      <c r="L52" s="2" t="s">
        <v>1516</v>
      </c>
      <c r="M52" s="8" t="str">
        <f>HYPERLINK("http://slimages.macys.com/is/image/MCY/12712221 ")</f>
        <v xml:space="preserve">http://slimages.macys.com/is/image/MCY/12712221 </v>
      </c>
    </row>
    <row r="53" spans="1:13" ht="60" x14ac:dyDescent="0.25">
      <c r="A53" s="7" t="s">
        <v>11850</v>
      </c>
      <c r="B53" s="2" t="s">
        <v>11851</v>
      </c>
      <c r="C53" s="4">
        <v>1</v>
      </c>
      <c r="D53" s="5">
        <v>13.5</v>
      </c>
      <c r="E53" s="5">
        <v>31.4</v>
      </c>
      <c r="F53" s="4">
        <v>16519011</v>
      </c>
      <c r="G53" s="2"/>
      <c r="H53" s="7" t="s">
        <v>675</v>
      </c>
      <c r="I53" s="2" t="s">
        <v>153</v>
      </c>
      <c r="J53" s="2" t="s">
        <v>154</v>
      </c>
      <c r="K53" s="2" t="s">
        <v>304</v>
      </c>
      <c r="L53" s="2" t="s">
        <v>11852</v>
      </c>
      <c r="M53" s="8" t="str">
        <f>HYPERLINK("http://slimages.macys.com/is/image/MCY/11644413 ")</f>
        <v xml:space="preserve">http://slimages.macys.com/is/image/MCY/11644413 </v>
      </c>
    </row>
    <row r="54" spans="1:13" ht="72" x14ac:dyDescent="0.25">
      <c r="A54" s="7" t="s">
        <v>11853</v>
      </c>
      <c r="B54" s="2" t="s">
        <v>11854</v>
      </c>
      <c r="C54" s="4">
        <v>1</v>
      </c>
      <c r="D54" s="5">
        <v>13.44</v>
      </c>
      <c r="E54" s="5">
        <v>42</v>
      </c>
      <c r="F54" s="4" t="s">
        <v>11855</v>
      </c>
      <c r="G54" s="2" t="s">
        <v>79</v>
      </c>
      <c r="H54" s="7" t="s">
        <v>172</v>
      </c>
      <c r="I54" s="2" t="s">
        <v>3685</v>
      </c>
      <c r="J54" s="2" t="s">
        <v>3686</v>
      </c>
      <c r="K54" s="2" t="s">
        <v>304</v>
      </c>
      <c r="L54" s="2" t="s">
        <v>11856</v>
      </c>
      <c r="M54" s="8" t="str">
        <f>HYPERLINK("http://slimages.macys.com/is/image/MCY/13384427 ")</f>
        <v xml:space="preserve">http://slimages.macys.com/is/image/MCY/13384427 </v>
      </c>
    </row>
    <row r="55" spans="1:13" ht="60" x14ac:dyDescent="0.25">
      <c r="A55" s="7" t="s">
        <v>11857</v>
      </c>
      <c r="B55" s="2" t="s">
        <v>5854</v>
      </c>
      <c r="C55" s="4">
        <v>1</v>
      </c>
      <c r="D55" s="5">
        <v>13.35</v>
      </c>
      <c r="E55" s="5">
        <v>26.99</v>
      </c>
      <c r="F55" s="4" t="s">
        <v>5855</v>
      </c>
      <c r="G55" s="2" t="s">
        <v>165</v>
      </c>
      <c r="H55" s="7" t="s">
        <v>284</v>
      </c>
      <c r="I55" s="2" t="s">
        <v>80</v>
      </c>
      <c r="J55" s="2" t="s">
        <v>160</v>
      </c>
      <c r="K55" s="2" t="s">
        <v>304</v>
      </c>
      <c r="L55" s="2" t="s">
        <v>125</v>
      </c>
      <c r="M55" s="8" t="str">
        <f>HYPERLINK("http://slimages.macys.com/is/image/MCY/12337025 ")</f>
        <v xml:space="preserve">http://slimages.macys.com/is/image/MCY/12337025 </v>
      </c>
    </row>
    <row r="56" spans="1:13" ht="168" x14ac:dyDescent="0.25">
      <c r="A56" s="7" t="s">
        <v>11858</v>
      </c>
      <c r="B56" s="2" t="s">
        <v>2500</v>
      </c>
      <c r="C56" s="4">
        <v>1</v>
      </c>
      <c r="D56" s="5">
        <v>13.35</v>
      </c>
      <c r="E56" s="5">
        <v>31.05</v>
      </c>
      <c r="F56" s="4">
        <v>18867810</v>
      </c>
      <c r="G56" s="2" t="s">
        <v>476</v>
      </c>
      <c r="H56" s="7" t="s">
        <v>91</v>
      </c>
      <c r="I56" s="2" t="s">
        <v>153</v>
      </c>
      <c r="J56" s="2" t="s">
        <v>154</v>
      </c>
      <c r="K56" s="2" t="s">
        <v>304</v>
      </c>
      <c r="L56" s="2" t="s">
        <v>2501</v>
      </c>
      <c r="M56" s="8" t="str">
        <f>HYPERLINK("http://slimages.macys.com/is/image/MCY/14661999 ")</f>
        <v xml:space="preserve">http://slimages.macys.com/is/image/MCY/14661999 </v>
      </c>
    </row>
    <row r="57" spans="1:13" ht="132" x14ac:dyDescent="0.25">
      <c r="A57" s="7" t="s">
        <v>11859</v>
      </c>
      <c r="B57" s="2" t="s">
        <v>11860</v>
      </c>
      <c r="C57" s="4">
        <v>1</v>
      </c>
      <c r="D57" s="5">
        <v>12.5</v>
      </c>
      <c r="E57" s="5">
        <v>29.99</v>
      </c>
      <c r="F57" s="4" t="s">
        <v>11861</v>
      </c>
      <c r="G57" s="2" t="s">
        <v>310</v>
      </c>
      <c r="H57" s="7" t="s">
        <v>209</v>
      </c>
      <c r="I57" s="2" t="s">
        <v>380</v>
      </c>
      <c r="J57" s="2" t="s">
        <v>896</v>
      </c>
      <c r="K57" s="2" t="s">
        <v>304</v>
      </c>
      <c r="L57" s="2" t="s">
        <v>11862</v>
      </c>
      <c r="M57" s="8" t="str">
        <f>HYPERLINK("http://slimages.macys.com/is/image/MCY/11289922 ")</f>
        <v xml:space="preserve">http://slimages.macys.com/is/image/MCY/11289922 </v>
      </c>
    </row>
    <row r="58" spans="1:13" ht="120" x14ac:dyDescent="0.25">
      <c r="A58" s="7" t="s">
        <v>11863</v>
      </c>
      <c r="B58" s="2" t="s">
        <v>1562</v>
      </c>
      <c r="C58" s="4">
        <v>1</v>
      </c>
      <c r="D58" s="5">
        <v>12.46</v>
      </c>
      <c r="E58" s="5">
        <v>24.99</v>
      </c>
      <c r="F58" s="4" t="s">
        <v>1563</v>
      </c>
      <c r="G58" s="2" t="s">
        <v>48</v>
      </c>
      <c r="H58" s="7" t="s">
        <v>196</v>
      </c>
      <c r="I58" s="2" t="s">
        <v>73</v>
      </c>
      <c r="J58" s="2" t="s">
        <v>160</v>
      </c>
      <c r="K58" s="2" t="s">
        <v>304</v>
      </c>
      <c r="L58" s="2" t="s">
        <v>1564</v>
      </c>
      <c r="M58" s="8" t="str">
        <f>HYPERLINK("http://slimages.macys.com/is/image/MCY/11973367 ")</f>
        <v xml:space="preserve">http://slimages.macys.com/is/image/MCY/11973367 </v>
      </c>
    </row>
    <row r="59" spans="1:13" ht="120" x14ac:dyDescent="0.25">
      <c r="A59" s="7" t="s">
        <v>11864</v>
      </c>
      <c r="B59" s="2" t="s">
        <v>5307</v>
      </c>
      <c r="C59" s="4">
        <v>1</v>
      </c>
      <c r="D59" s="5">
        <v>12.46</v>
      </c>
      <c r="E59" s="5">
        <v>24.99</v>
      </c>
      <c r="F59" s="4" t="s">
        <v>1563</v>
      </c>
      <c r="G59" s="2" t="s">
        <v>388</v>
      </c>
      <c r="H59" s="7" t="s">
        <v>228</v>
      </c>
      <c r="I59" s="2" t="s">
        <v>73</v>
      </c>
      <c r="J59" s="2" t="s">
        <v>160</v>
      </c>
      <c r="K59" s="2" t="s">
        <v>304</v>
      </c>
      <c r="L59" s="2" t="s">
        <v>1564</v>
      </c>
      <c r="M59" s="8" t="str">
        <f>HYPERLINK("http://slimages.macys.com/is/image/MCY/11973367 ")</f>
        <v xml:space="preserve">http://slimages.macys.com/is/image/MCY/11973367 </v>
      </c>
    </row>
    <row r="60" spans="1:13" ht="60" x14ac:dyDescent="0.25">
      <c r="A60" s="7" t="s">
        <v>11865</v>
      </c>
      <c r="B60" s="2" t="s">
        <v>4818</v>
      </c>
      <c r="C60" s="4">
        <v>1</v>
      </c>
      <c r="D60" s="5">
        <v>12.25</v>
      </c>
      <c r="E60" s="5">
        <v>26.99</v>
      </c>
      <c r="F60" s="4" t="s">
        <v>4819</v>
      </c>
      <c r="G60" s="2" t="s">
        <v>752</v>
      </c>
      <c r="H60" s="7" t="s">
        <v>159</v>
      </c>
      <c r="I60" s="2" t="s">
        <v>80</v>
      </c>
      <c r="J60" s="2" t="s">
        <v>2967</v>
      </c>
      <c r="K60" s="2" t="s">
        <v>304</v>
      </c>
      <c r="L60" s="2" t="s">
        <v>125</v>
      </c>
      <c r="M60" s="8" t="str">
        <f>HYPERLINK("http://slimages.macys.com/is/image/MCY/13318382 ")</f>
        <v xml:space="preserve">http://slimages.macys.com/is/image/MCY/13318382 </v>
      </c>
    </row>
    <row r="61" spans="1:13" ht="60" x14ac:dyDescent="0.25">
      <c r="A61" s="7" t="s">
        <v>11866</v>
      </c>
      <c r="B61" s="2" t="s">
        <v>11867</v>
      </c>
      <c r="C61" s="4">
        <v>1</v>
      </c>
      <c r="D61" s="5">
        <v>12.05</v>
      </c>
      <c r="E61" s="5">
        <v>30.99</v>
      </c>
      <c r="F61" s="4" t="s">
        <v>11868</v>
      </c>
      <c r="G61" s="2" t="s">
        <v>41</v>
      </c>
      <c r="H61" s="7" t="s">
        <v>228</v>
      </c>
      <c r="I61" s="2" t="s">
        <v>389</v>
      </c>
      <c r="J61" s="2" t="s">
        <v>354</v>
      </c>
      <c r="K61" s="2" t="s">
        <v>304</v>
      </c>
      <c r="L61" s="2" t="s">
        <v>11869</v>
      </c>
      <c r="M61" s="8" t="str">
        <f>HYPERLINK("http://slimages.macys.com/is/image/MCY/12642082 ")</f>
        <v xml:space="preserve">http://slimages.macys.com/is/image/MCY/12642082 </v>
      </c>
    </row>
    <row r="62" spans="1:13" ht="60" x14ac:dyDescent="0.25">
      <c r="A62" s="7" t="s">
        <v>11870</v>
      </c>
      <c r="B62" s="2" t="s">
        <v>11871</v>
      </c>
      <c r="C62" s="4">
        <v>1</v>
      </c>
      <c r="D62" s="5">
        <v>12</v>
      </c>
      <c r="E62" s="5">
        <v>23.99</v>
      </c>
      <c r="F62" s="4" t="s">
        <v>11872</v>
      </c>
      <c r="G62" s="2" t="s">
        <v>62</v>
      </c>
      <c r="H62" s="7"/>
      <c r="I62" s="2" t="s">
        <v>523</v>
      </c>
      <c r="J62" s="2" t="s">
        <v>11873</v>
      </c>
      <c r="K62" s="2" t="s">
        <v>304</v>
      </c>
      <c r="L62" s="2" t="s">
        <v>11874</v>
      </c>
      <c r="M62" s="8" t="str">
        <f>HYPERLINK("http://slimages.macys.com/is/image/MCY/12077735 ")</f>
        <v xml:space="preserve">http://slimages.macys.com/is/image/MCY/12077735 </v>
      </c>
    </row>
    <row r="63" spans="1:13" ht="60" x14ac:dyDescent="0.25">
      <c r="A63" s="7" t="s">
        <v>11875</v>
      </c>
      <c r="B63" s="2" t="s">
        <v>8173</v>
      </c>
      <c r="C63" s="4">
        <v>8</v>
      </c>
      <c r="D63" s="5">
        <v>11.77</v>
      </c>
      <c r="E63" s="5">
        <v>30.99</v>
      </c>
      <c r="F63" s="4" t="s">
        <v>8174</v>
      </c>
      <c r="G63" s="2" t="s">
        <v>388</v>
      </c>
      <c r="H63" s="7" t="s">
        <v>196</v>
      </c>
      <c r="I63" s="2" t="s">
        <v>389</v>
      </c>
      <c r="J63" s="2" t="s">
        <v>354</v>
      </c>
      <c r="K63" s="2" t="s">
        <v>304</v>
      </c>
      <c r="L63" s="2" t="s">
        <v>38</v>
      </c>
      <c r="M63" s="8" t="str">
        <f>HYPERLINK("http://slimages.macys.com/is/image/MCY/11163177 ")</f>
        <v xml:space="preserve">http://slimages.macys.com/is/image/MCY/11163177 </v>
      </c>
    </row>
    <row r="64" spans="1:13" ht="60" x14ac:dyDescent="0.25">
      <c r="A64" s="7" t="s">
        <v>8172</v>
      </c>
      <c r="B64" s="2" t="s">
        <v>8173</v>
      </c>
      <c r="C64" s="4">
        <v>2</v>
      </c>
      <c r="D64" s="5">
        <v>11.77</v>
      </c>
      <c r="E64" s="5">
        <v>30.99</v>
      </c>
      <c r="F64" s="4" t="s">
        <v>8174</v>
      </c>
      <c r="G64" s="2" t="s">
        <v>388</v>
      </c>
      <c r="H64" s="7" t="s">
        <v>228</v>
      </c>
      <c r="I64" s="2" t="s">
        <v>389</v>
      </c>
      <c r="J64" s="2" t="s">
        <v>354</v>
      </c>
      <c r="K64" s="2" t="s">
        <v>304</v>
      </c>
      <c r="L64" s="2" t="s">
        <v>38</v>
      </c>
      <c r="M64" s="8" t="str">
        <f>HYPERLINK("http://slimages.macys.com/is/image/MCY/11163177 ")</f>
        <v xml:space="preserve">http://slimages.macys.com/is/image/MCY/11163177 </v>
      </c>
    </row>
    <row r="65" spans="1:13" ht="60" x14ac:dyDescent="0.25">
      <c r="A65" s="7" t="s">
        <v>11876</v>
      </c>
      <c r="B65" s="2" t="s">
        <v>9365</v>
      </c>
      <c r="C65" s="4">
        <v>2</v>
      </c>
      <c r="D65" s="5">
        <v>11.75</v>
      </c>
      <c r="E65" s="5">
        <v>28.99</v>
      </c>
      <c r="F65" s="4" t="s">
        <v>9366</v>
      </c>
      <c r="G65" s="2"/>
      <c r="H65" s="7" t="s">
        <v>159</v>
      </c>
      <c r="I65" s="2" t="s">
        <v>321</v>
      </c>
      <c r="J65" s="2" t="s">
        <v>3099</v>
      </c>
      <c r="K65" s="2" t="s">
        <v>304</v>
      </c>
      <c r="L65" s="2" t="s">
        <v>125</v>
      </c>
      <c r="M65" s="8" t="str">
        <f>HYPERLINK("http://slimages.macys.com/is/image/MCY/11641226 ")</f>
        <v xml:space="preserve">http://slimages.macys.com/is/image/MCY/11641226 </v>
      </c>
    </row>
    <row r="66" spans="1:13" ht="60" x14ac:dyDescent="0.25">
      <c r="A66" s="7" t="s">
        <v>11877</v>
      </c>
      <c r="B66" s="2" t="s">
        <v>9365</v>
      </c>
      <c r="C66" s="4">
        <v>1</v>
      </c>
      <c r="D66" s="5">
        <v>11.75</v>
      </c>
      <c r="E66" s="5">
        <v>28.99</v>
      </c>
      <c r="F66" s="4" t="s">
        <v>9366</v>
      </c>
      <c r="G66" s="2" t="s">
        <v>28</v>
      </c>
      <c r="H66" s="7" t="s">
        <v>284</v>
      </c>
      <c r="I66" s="2" t="s">
        <v>321</v>
      </c>
      <c r="J66" s="2" t="s">
        <v>3099</v>
      </c>
      <c r="K66" s="2" t="s">
        <v>304</v>
      </c>
      <c r="L66" s="2" t="s">
        <v>125</v>
      </c>
      <c r="M66" s="8" t="str">
        <f>HYPERLINK("http://slimages.macys.com/is/image/MCY/11641226 ")</f>
        <v xml:space="preserve">http://slimages.macys.com/is/image/MCY/11641226 </v>
      </c>
    </row>
    <row r="67" spans="1:13" ht="60" x14ac:dyDescent="0.25">
      <c r="A67" s="7" t="s">
        <v>11878</v>
      </c>
      <c r="B67" s="2" t="s">
        <v>10865</v>
      </c>
      <c r="C67" s="4">
        <v>1</v>
      </c>
      <c r="D67" s="5">
        <v>11.75</v>
      </c>
      <c r="E67" s="5">
        <v>28.99</v>
      </c>
      <c r="F67" s="4" t="s">
        <v>10866</v>
      </c>
      <c r="G67" s="2" t="s">
        <v>28</v>
      </c>
      <c r="H67" s="7" t="s">
        <v>217</v>
      </c>
      <c r="I67" s="2" t="s">
        <v>321</v>
      </c>
      <c r="J67" s="2" t="s">
        <v>3099</v>
      </c>
      <c r="K67" s="2" t="s">
        <v>304</v>
      </c>
      <c r="L67" s="2" t="s">
        <v>125</v>
      </c>
      <c r="M67" s="8" t="str">
        <f>HYPERLINK("http://slimages.macys.com/is/image/MCY/11641279 ")</f>
        <v xml:space="preserve">http://slimages.macys.com/is/image/MCY/11641279 </v>
      </c>
    </row>
    <row r="68" spans="1:13" ht="60" x14ac:dyDescent="0.25">
      <c r="A68" s="7" t="s">
        <v>10864</v>
      </c>
      <c r="B68" s="2" t="s">
        <v>10865</v>
      </c>
      <c r="C68" s="4">
        <v>1</v>
      </c>
      <c r="D68" s="5">
        <v>11.75</v>
      </c>
      <c r="E68" s="5">
        <v>28.99</v>
      </c>
      <c r="F68" s="4" t="s">
        <v>10866</v>
      </c>
      <c r="G68" s="2" t="s">
        <v>28</v>
      </c>
      <c r="H68" s="7" t="s">
        <v>284</v>
      </c>
      <c r="I68" s="2" t="s">
        <v>321</v>
      </c>
      <c r="J68" s="2" t="s">
        <v>3099</v>
      </c>
      <c r="K68" s="2" t="s">
        <v>304</v>
      </c>
      <c r="L68" s="2" t="s">
        <v>125</v>
      </c>
      <c r="M68" s="8" t="str">
        <f>HYPERLINK("http://slimages.macys.com/is/image/MCY/11641279 ")</f>
        <v xml:space="preserve">http://slimages.macys.com/is/image/MCY/11641279 </v>
      </c>
    </row>
    <row r="69" spans="1:13" ht="60" x14ac:dyDescent="0.25">
      <c r="A69" s="7" t="s">
        <v>11879</v>
      </c>
      <c r="B69" s="2" t="s">
        <v>11880</v>
      </c>
      <c r="C69" s="4">
        <v>1</v>
      </c>
      <c r="D69" s="5">
        <v>11.5</v>
      </c>
      <c r="E69" s="5">
        <v>18.989999999999998</v>
      </c>
      <c r="F69" s="4">
        <v>850003</v>
      </c>
      <c r="G69" s="2" t="s">
        <v>41</v>
      </c>
      <c r="H69" s="7" t="s">
        <v>11881</v>
      </c>
      <c r="I69" s="2" t="s">
        <v>43</v>
      </c>
      <c r="J69" s="2" t="s">
        <v>11882</v>
      </c>
      <c r="K69" s="2" t="s">
        <v>2746</v>
      </c>
      <c r="L69" s="2" t="s">
        <v>11883</v>
      </c>
      <c r="M69" s="8" t="str">
        <f>HYPERLINK("http://slimages.macys.com/is/image/MCY/10490527 ")</f>
        <v xml:space="preserve">http://slimages.macys.com/is/image/MCY/10490527 </v>
      </c>
    </row>
    <row r="70" spans="1:13" ht="60" x14ac:dyDescent="0.25">
      <c r="A70" s="7" t="s">
        <v>11884</v>
      </c>
      <c r="B70" s="2" t="s">
        <v>11885</v>
      </c>
      <c r="C70" s="4">
        <v>1</v>
      </c>
      <c r="D70" s="5">
        <v>11.25</v>
      </c>
      <c r="E70" s="5">
        <v>34</v>
      </c>
      <c r="F70" s="4" t="s">
        <v>11886</v>
      </c>
      <c r="G70" s="2" t="s">
        <v>171</v>
      </c>
      <c r="H70" s="7" t="s">
        <v>438</v>
      </c>
      <c r="I70" s="2" t="s">
        <v>43</v>
      </c>
      <c r="J70" s="2" t="s">
        <v>497</v>
      </c>
      <c r="K70" s="2" t="s">
        <v>304</v>
      </c>
      <c r="L70" s="2" t="s">
        <v>38</v>
      </c>
      <c r="M70" s="8" t="str">
        <f>HYPERLINK("http://slimages.macys.com/is/image/MCY/12875107 ")</f>
        <v xml:space="preserve">http://slimages.macys.com/is/image/MCY/12875107 </v>
      </c>
    </row>
    <row r="71" spans="1:13" ht="60" x14ac:dyDescent="0.25">
      <c r="A71" s="7" t="s">
        <v>11887</v>
      </c>
      <c r="B71" s="2" t="s">
        <v>203</v>
      </c>
      <c r="C71" s="4">
        <v>1</v>
      </c>
      <c r="D71" s="5">
        <v>11.25</v>
      </c>
      <c r="E71" s="5">
        <v>25</v>
      </c>
      <c r="F71" s="4">
        <v>322756711001</v>
      </c>
      <c r="G71" s="2" t="s">
        <v>476</v>
      </c>
      <c r="H71" s="7" t="s">
        <v>166</v>
      </c>
      <c r="I71" s="2" t="s">
        <v>204</v>
      </c>
      <c r="J71" s="2" t="s">
        <v>205</v>
      </c>
      <c r="K71" s="2" t="s">
        <v>304</v>
      </c>
      <c r="L71" s="2" t="s">
        <v>206</v>
      </c>
      <c r="M71" s="8" t="str">
        <f>HYPERLINK("http://slimages.macys.com/is/image/MCY/12461746 ")</f>
        <v xml:space="preserve">http://slimages.macys.com/is/image/MCY/12461746 </v>
      </c>
    </row>
    <row r="72" spans="1:13" ht="60" x14ac:dyDescent="0.25">
      <c r="A72" s="7" t="s">
        <v>11888</v>
      </c>
      <c r="B72" s="2" t="s">
        <v>11889</v>
      </c>
      <c r="C72" s="4">
        <v>1</v>
      </c>
      <c r="D72" s="5">
        <v>11.2</v>
      </c>
      <c r="E72" s="5">
        <v>27.99</v>
      </c>
      <c r="F72" s="4" t="s">
        <v>11890</v>
      </c>
      <c r="G72" s="2" t="s">
        <v>310</v>
      </c>
      <c r="H72" s="7" t="s">
        <v>179</v>
      </c>
      <c r="I72" s="2" t="s">
        <v>312</v>
      </c>
      <c r="J72" s="2" t="s">
        <v>1618</v>
      </c>
      <c r="K72" s="2" t="s">
        <v>304</v>
      </c>
      <c r="L72" s="2" t="s">
        <v>206</v>
      </c>
      <c r="M72" s="8" t="str">
        <f>HYPERLINK("http://slimages.macys.com/is/image/MCY/11488714 ")</f>
        <v xml:space="preserve">http://slimages.macys.com/is/image/MCY/11488714 </v>
      </c>
    </row>
    <row r="73" spans="1:13" ht="60" x14ac:dyDescent="0.25">
      <c r="A73" s="7" t="s">
        <v>1585</v>
      </c>
      <c r="B73" s="2" t="s">
        <v>1580</v>
      </c>
      <c r="C73" s="4">
        <v>1</v>
      </c>
      <c r="D73" s="5">
        <v>11.12</v>
      </c>
      <c r="E73" s="5">
        <v>22.99</v>
      </c>
      <c r="F73" s="4" t="s">
        <v>1581</v>
      </c>
      <c r="G73" s="2" t="s">
        <v>195</v>
      </c>
      <c r="H73" s="7" t="s">
        <v>228</v>
      </c>
      <c r="I73" s="2" t="s">
        <v>73</v>
      </c>
      <c r="J73" s="2" t="s">
        <v>160</v>
      </c>
      <c r="K73" s="2" t="s">
        <v>304</v>
      </c>
      <c r="L73" s="2" t="s">
        <v>206</v>
      </c>
      <c r="M73" s="8" t="str">
        <f>HYPERLINK("http://slimages.macys.com/is/image/MCY/12337182 ")</f>
        <v xml:space="preserve">http://slimages.macys.com/is/image/MCY/12337182 </v>
      </c>
    </row>
    <row r="74" spans="1:13" ht="108" x14ac:dyDescent="0.25">
      <c r="A74" s="7" t="s">
        <v>5869</v>
      </c>
      <c r="B74" s="2" t="s">
        <v>5870</v>
      </c>
      <c r="C74" s="4">
        <v>1</v>
      </c>
      <c r="D74" s="5">
        <v>11</v>
      </c>
      <c r="E74" s="5">
        <v>21.99</v>
      </c>
      <c r="F74" s="4" t="s">
        <v>5871</v>
      </c>
      <c r="G74" s="2" t="s">
        <v>657</v>
      </c>
      <c r="H74" s="7" t="s">
        <v>42</v>
      </c>
      <c r="I74" s="2" t="s">
        <v>92</v>
      </c>
      <c r="J74" s="2" t="s">
        <v>778</v>
      </c>
      <c r="K74" s="2" t="s">
        <v>304</v>
      </c>
      <c r="L74" s="2" t="s">
        <v>5872</v>
      </c>
      <c r="M74" s="8" t="str">
        <f>HYPERLINK("http://slimages.macys.com/is/image/MCY/11860099 ")</f>
        <v xml:space="preserve">http://slimages.macys.com/is/image/MCY/11860099 </v>
      </c>
    </row>
    <row r="75" spans="1:13" ht="60" x14ac:dyDescent="0.25">
      <c r="A75" s="7" t="s">
        <v>10888</v>
      </c>
      <c r="B75" s="2" t="s">
        <v>10889</v>
      </c>
      <c r="C75" s="4">
        <v>1</v>
      </c>
      <c r="D75" s="5">
        <v>10.9</v>
      </c>
      <c r="E75" s="5">
        <v>29.99</v>
      </c>
      <c r="F75" s="4" t="s">
        <v>10890</v>
      </c>
      <c r="G75" s="2" t="s">
        <v>41</v>
      </c>
      <c r="H75" s="7" t="s">
        <v>123</v>
      </c>
      <c r="I75" s="2" t="s">
        <v>218</v>
      </c>
      <c r="J75" s="2" t="s">
        <v>2008</v>
      </c>
      <c r="K75" s="2" t="s">
        <v>304</v>
      </c>
      <c r="L75" s="2" t="s">
        <v>125</v>
      </c>
      <c r="M75" s="8" t="str">
        <f>HYPERLINK("http://slimages.macys.com/is/image/MCY/11640002 ")</f>
        <v xml:space="preserve">http://slimages.macys.com/is/image/MCY/11640002 </v>
      </c>
    </row>
    <row r="76" spans="1:13" ht="84" x14ac:dyDescent="0.25">
      <c r="A76" s="7" t="s">
        <v>11891</v>
      </c>
      <c r="B76" s="2" t="s">
        <v>11892</v>
      </c>
      <c r="C76" s="4">
        <v>1</v>
      </c>
      <c r="D76" s="5">
        <v>10.75</v>
      </c>
      <c r="E76" s="5">
        <v>27.99</v>
      </c>
      <c r="F76" s="4" t="s">
        <v>11893</v>
      </c>
      <c r="G76" s="2" t="s">
        <v>262</v>
      </c>
      <c r="H76" s="7" t="s">
        <v>166</v>
      </c>
      <c r="I76" s="2" t="s">
        <v>80</v>
      </c>
      <c r="J76" s="2" t="s">
        <v>167</v>
      </c>
      <c r="K76" s="2" t="s">
        <v>304</v>
      </c>
      <c r="L76" s="2" t="s">
        <v>382</v>
      </c>
      <c r="M76" s="8" t="str">
        <f>HYPERLINK("http://slimages.macys.com/is/image/MCY/12793556 ")</f>
        <v xml:space="preserve">http://slimages.macys.com/is/image/MCY/12793556 </v>
      </c>
    </row>
    <row r="77" spans="1:13" ht="60" x14ac:dyDescent="0.25">
      <c r="A77" s="7" t="s">
        <v>11894</v>
      </c>
      <c r="B77" s="2" t="s">
        <v>11895</v>
      </c>
      <c r="C77" s="4">
        <v>1</v>
      </c>
      <c r="D77" s="5">
        <v>10.62</v>
      </c>
      <c r="E77" s="5">
        <v>26.99</v>
      </c>
      <c r="F77" s="4" t="s">
        <v>11896</v>
      </c>
      <c r="G77" s="2" t="s">
        <v>171</v>
      </c>
      <c r="H77" s="7" t="s">
        <v>196</v>
      </c>
      <c r="I77" s="2" t="s">
        <v>389</v>
      </c>
      <c r="J77" s="2" t="s">
        <v>354</v>
      </c>
      <c r="K77" s="2" t="s">
        <v>304</v>
      </c>
      <c r="L77" s="2" t="s">
        <v>2562</v>
      </c>
      <c r="M77" s="8" t="str">
        <f>HYPERLINK("http://slimages.macys.com/is/image/MCY/12122209 ")</f>
        <v xml:space="preserve">http://slimages.macys.com/is/image/MCY/12122209 </v>
      </c>
    </row>
    <row r="78" spans="1:13" ht="60" x14ac:dyDescent="0.25">
      <c r="A78" s="7" t="s">
        <v>9905</v>
      </c>
      <c r="B78" s="2" t="s">
        <v>5262</v>
      </c>
      <c r="C78" s="4">
        <v>1</v>
      </c>
      <c r="D78" s="5">
        <v>10.6</v>
      </c>
      <c r="E78" s="5">
        <v>26.5</v>
      </c>
      <c r="F78" s="4" t="s">
        <v>5263</v>
      </c>
      <c r="G78" s="2" t="s">
        <v>62</v>
      </c>
      <c r="H78" s="7" t="s">
        <v>144</v>
      </c>
      <c r="I78" s="2" t="s">
        <v>690</v>
      </c>
      <c r="J78" s="2" t="s">
        <v>58</v>
      </c>
      <c r="K78" s="2" t="s">
        <v>304</v>
      </c>
      <c r="L78" s="2" t="s">
        <v>38</v>
      </c>
      <c r="M78" s="8" t="str">
        <f>HYPERLINK("http://slimages.macys.com/is/image/MCY/13787149 ")</f>
        <v xml:space="preserve">http://slimages.macys.com/is/image/MCY/13787149 </v>
      </c>
    </row>
    <row r="79" spans="1:13" ht="60" x14ac:dyDescent="0.25">
      <c r="A79" s="7" t="s">
        <v>11897</v>
      </c>
      <c r="B79" s="2" t="s">
        <v>5262</v>
      </c>
      <c r="C79" s="4">
        <v>1</v>
      </c>
      <c r="D79" s="5">
        <v>10.6</v>
      </c>
      <c r="E79" s="5">
        <v>26.5</v>
      </c>
      <c r="F79" s="4" t="s">
        <v>5263</v>
      </c>
      <c r="G79" s="2" t="s">
        <v>62</v>
      </c>
      <c r="H79" s="7" t="s">
        <v>123</v>
      </c>
      <c r="I79" s="2" t="s">
        <v>690</v>
      </c>
      <c r="J79" s="2" t="s">
        <v>58</v>
      </c>
      <c r="K79" s="2" t="s">
        <v>304</v>
      </c>
      <c r="L79" s="2" t="s">
        <v>119</v>
      </c>
      <c r="M79" s="8" t="str">
        <f>HYPERLINK("http://slimages.macys.com/is/image/MCY/13787149 ")</f>
        <v xml:space="preserve">http://slimages.macys.com/is/image/MCY/13787149 </v>
      </c>
    </row>
    <row r="80" spans="1:13" ht="60" x14ac:dyDescent="0.25">
      <c r="A80" s="7" t="s">
        <v>11898</v>
      </c>
      <c r="B80" s="2" t="s">
        <v>5262</v>
      </c>
      <c r="C80" s="4">
        <v>1</v>
      </c>
      <c r="D80" s="5">
        <v>10.6</v>
      </c>
      <c r="E80" s="5">
        <v>26.5</v>
      </c>
      <c r="F80" s="4" t="s">
        <v>5263</v>
      </c>
      <c r="G80" s="2" t="s">
        <v>62</v>
      </c>
      <c r="H80" s="7" t="s">
        <v>166</v>
      </c>
      <c r="I80" s="2" t="s">
        <v>690</v>
      </c>
      <c r="J80" s="2" t="s">
        <v>58</v>
      </c>
      <c r="K80" s="2" t="s">
        <v>304</v>
      </c>
      <c r="L80" s="2" t="s">
        <v>119</v>
      </c>
      <c r="M80" s="8" t="str">
        <f>HYPERLINK("http://slimages.macys.com/is/image/MCY/13787149 ")</f>
        <v xml:space="preserve">http://slimages.macys.com/is/image/MCY/13787149 </v>
      </c>
    </row>
    <row r="81" spans="1:13" ht="60" x14ac:dyDescent="0.25">
      <c r="A81" s="7" t="s">
        <v>11899</v>
      </c>
      <c r="B81" s="2" t="s">
        <v>5262</v>
      </c>
      <c r="C81" s="4">
        <v>1</v>
      </c>
      <c r="D81" s="5">
        <v>10.6</v>
      </c>
      <c r="E81" s="5">
        <v>26.5</v>
      </c>
      <c r="F81" s="4" t="s">
        <v>5263</v>
      </c>
      <c r="G81" s="2" t="s">
        <v>62</v>
      </c>
      <c r="H81" s="7" t="s">
        <v>317</v>
      </c>
      <c r="I81" s="2" t="s">
        <v>690</v>
      </c>
      <c r="J81" s="2" t="s">
        <v>58</v>
      </c>
      <c r="K81" s="2" t="s">
        <v>304</v>
      </c>
      <c r="L81" s="2" t="s">
        <v>119</v>
      </c>
      <c r="M81" s="8" t="str">
        <f>HYPERLINK("http://slimages.macys.com/is/image/MCY/13787149 ")</f>
        <v xml:space="preserve">http://slimages.macys.com/is/image/MCY/13787149 </v>
      </c>
    </row>
    <row r="82" spans="1:13" ht="60" x14ac:dyDescent="0.25">
      <c r="A82" s="7" t="s">
        <v>11900</v>
      </c>
      <c r="B82" s="2" t="s">
        <v>843</v>
      </c>
      <c r="C82" s="4">
        <v>1</v>
      </c>
      <c r="D82" s="5">
        <v>10.57</v>
      </c>
      <c r="E82" s="5">
        <v>24.99</v>
      </c>
      <c r="F82" s="4" t="s">
        <v>5265</v>
      </c>
      <c r="G82" s="2" t="s">
        <v>62</v>
      </c>
      <c r="H82" s="7" t="s">
        <v>159</v>
      </c>
      <c r="I82" s="2" t="s">
        <v>515</v>
      </c>
      <c r="J82" s="2" t="s">
        <v>827</v>
      </c>
      <c r="K82" s="2" t="s">
        <v>304</v>
      </c>
      <c r="L82" s="2" t="s">
        <v>358</v>
      </c>
      <c r="M82" s="8" t="str">
        <f>HYPERLINK("http://slimages.macys.com/is/image/MCY/12687309 ")</f>
        <v xml:space="preserve">http://slimages.macys.com/is/image/MCY/12687309 </v>
      </c>
    </row>
    <row r="83" spans="1:13" ht="108" x14ac:dyDescent="0.25">
      <c r="A83" s="7" t="s">
        <v>11901</v>
      </c>
      <c r="B83" s="2" t="s">
        <v>3825</v>
      </c>
      <c r="C83" s="4">
        <v>1</v>
      </c>
      <c r="D83" s="5">
        <v>10.5</v>
      </c>
      <c r="E83" s="5">
        <v>26.5</v>
      </c>
      <c r="F83" s="4" t="s">
        <v>3826</v>
      </c>
      <c r="G83" s="2" t="s">
        <v>310</v>
      </c>
      <c r="H83" s="7" t="s">
        <v>123</v>
      </c>
      <c r="I83" s="2" t="s">
        <v>380</v>
      </c>
      <c r="J83" s="2" t="s">
        <v>99</v>
      </c>
      <c r="K83" s="2" t="s">
        <v>304</v>
      </c>
      <c r="L83" s="2" t="s">
        <v>3827</v>
      </c>
      <c r="M83" s="8" t="str">
        <f>HYPERLINK("http://slimages.macys.com/is/image/MCY/12227881 ")</f>
        <v xml:space="preserve">http://slimages.macys.com/is/image/MCY/12227881 </v>
      </c>
    </row>
    <row r="84" spans="1:13" ht="60" x14ac:dyDescent="0.25">
      <c r="A84" s="7" t="s">
        <v>11902</v>
      </c>
      <c r="B84" s="2" t="s">
        <v>9908</v>
      </c>
      <c r="C84" s="4">
        <v>1</v>
      </c>
      <c r="D84" s="5">
        <v>10.5</v>
      </c>
      <c r="E84" s="5">
        <v>28</v>
      </c>
      <c r="F84" s="4" t="s">
        <v>11903</v>
      </c>
      <c r="G84" s="2" t="s">
        <v>297</v>
      </c>
      <c r="H84" s="7"/>
      <c r="I84" s="2" t="s">
        <v>73</v>
      </c>
      <c r="J84" s="2" t="s">
        <v>74</v>
      </c>
      <c r="K84" s="2" t="s">
        <v>304</v>
      </c>
      <c r="L84" s="2" t="s">
        <v>38</v>
      </c>
      <c r="M84" s="8" t="str">
        <f>HYPERLINK("http://slimages.macys.com/is/image/MCY/11433081 ")</f>
        <v xml:space="preserve">http://slimages.macys.com/is/image/MCY/11433081 </v>
      </c>
    </row>
    <row r="85" spans="1:13" ht="72" x14ac:dyDescent="0.25">
      <c r="A85" s="7" t="s">
        <v>11904</v>
      </c>
      <c r="B85" s="2" t="s">
        <v>11905</v>
      </c>
      <c r="C85" s="4">
        <v>1</v>
      </c>
      <c r="D85" s="5">
        <v>9.9600000000000009</v>
      </c>
      <c r="E85" s="5">
        <v>23.99</v>
      </c>
      <c r="F85" s="4" t="s">
        <v>11906</v>
      </c>
      <c r="G85" s="2" t="s">
        <v>86</v>
      </c>
      <c r="H85" s="7" t="s">
        <v>1151</v>
      </c>
      <c r="I85" s="2" t="s">
        <v>1689</v>
      </c>
      <c r="J85" s="2" t="s">
        <v>354</v>
      </c>
      <c r="K85" s="2" t="s">
        <v>304</v>
      </c>
      <c r="L85" s="2" t="s">
        <v>3142</v>
      </c>
      <c r="M85" s="8" t="str">
        <f>HYPERLINK("http://slimages.macys.com/is/image/MCY/12506922 ")</f>
        <v xml:space="preserve">http://slimages.macys.com/is/image/MCY/12506922 </v>
      </c>
    </row>
    <row r="86" spans="1:13" ht="60" x14ac:dyDescent="0.25">
      <c r="A86" s="7" t="s">
        <v>11907</v>
      </c>
      <c r="B86" s="2" t="s">
        <v>11908</v>
      </c>
      <c r="C86" s="4">
        <v>1</v>
      </c>
      <c r="D86" s="5">
        <v>9.8000000000000007</v>
      </c>
      <c r="E86" s="5">
        <v>24.99</v>
      </c>
      <c r="F86" s="4" t="s">
        <v>11909</v>
      </c>
      <c r="G86" s="2" t="s">
        <v>134</v>
      </c>
      <c r="H86" s="7" t="s">
        <v>317</v>
      </c>
      <c r="I86" s="2" t="s">
        <v>218</v>
      </c>
      <c r="J86" s="2" t="s">
        <v>2008</v>
      </c>
      <c r="K86" s="2" t="s">
        <v>304</v>
      </c>
      <c r="L86" s="2" t="s">
        <v>623</v>
      </c>
      <c r="M86" s="8" t="str">
        <f>HYPERLINK("http://slimages.macys.com/is/image/MCY/11526571 ")</f>
        <v xml:space="preserve">http://slimages.macys.com/is/image/MCY/11526571 </v>
      </c>
    </row>
    <row r="87" spans="1:13" ht="60" x14ac:dyDescent="0.25">
      <c r="A87" s="7" t="s">
        <v>10912</v>
      </c>
      <c r="B87" s="2" t="s">
        <v>4860</v>
      </c>
      <c r="C87" s="4">
        <v>1</v>
      </c>
      <c r="D87" s="5">
        <v>9.8000000000000007</v>
      </c>
      <c r="E87" s="5">
        <v>24.5</v>
      </c>
      <c r="F87" s="4" t="s">
        <v>4861</v>
      </c>
      <c r="G87" s="2" t="s">
        <v>62</v>
      </c>
      <c r="H87" s="7"/>
      <c r="I87" s="2" t="s">
        <v>57</v>
      </c>
      <c r="J87" s="2" t="s">
        <v>58</v>
      </c>
      <c r="K87" s="2" t="s">
        <v>304</v>
      </c>
      <c r="L87" s="2" t="s">
        <v>119</v>
      </c>
      <c r="M87" s="8" t="str">
        <f>HYPERLINK("http://slimages.macys.com/is/image/MCY/12899348 ")</f>
        <v xml:space="preserve">http://slimages.macys.com/is/image/MCY/12899348 </v>
      </c>
    </row>
    <row r="88" spans="1:13" ht="84" x14ac:dyDescent="0.25">
      <c r="A88" s="7" t="s">
        <v>11910</v>
      </c>
      <c r="B88" s="2" t="s">
        <v>11402</v>
      </c>
      <c r="C88" s="4">
        <v>2</v>
      </c>
      <c r="D88" s="5">
        <v>9.75</v>
      </c>
      <c r="E88" s="5">
        <v>24.99</v>
      </c>
      <c r="F88" s="4" t="s">
        <v>11403</v>
      </c>
      <c r="G88" s="2" t="s">
        <v>86</v>
      </c>
      <c r="H88" s="7" t="s">
        <v>266</v>
      </c>
      <c r="I88" s="2" t="s">
        <v>321</v>
      </c>
      <c r="J88" s="2" t="s">
        <v>8764</v>
      </c>
      <c r="K88" s="2" t="s">
        <v>304</v>
      </c>
      <c r="L88" s="2" t="s">
        <v>1117</v>
      </c>
      <c r="M88" s="8" t="str">
        <f>HYPERLINK("http://slimages.macys.com/is/image/MCY/11724594 ")</f>
        <v xml:space="preserve">http://slimages.macys.com/is/image/MCY/11724594 </v>
      </c>
    </row>
    <row r="89" spans="1:13" ht="60" x14ac:dyDescent="0.25">
      <c r="A89" s="7" t="s">
        <v>11911</v>
      </c>
      <c r="B89" s="2" t="s">
        <v>11912</v>
      </c>
      <c r="C89" s="4">
        <v>1</v>
      </c>
      <c r="D89" s="5">
        <v>9.75</v>
      </c>
      <c r="E89" s="5">
        <v>22.41</v>
      </c>
      <c r="F89" s="4">
        <v>16416314</v>
      </c>
      <c r="G89" s="2"/>
      <c r="H89" s="7" t="s">
        <v>91</v>
      </c>
      <c r="I89" s="2" t="s">
        <v>153</v>
      </c>
      <c r="J89" s="2" t="s">
        <v>3580</v>
      </c>
      <c r="K89" s="2" t="s">
        <v>304</v>
      </c>
      <c r="L89" s="2" t="s">
        <v>38</v>
      </c>
      <c r="M89" s="8" t="str">
        <f>HYPERLINK("http://slimages.macys.com/is/image/MCY/11671832 ")</f>
        <v xml:space="preserve">http://slimages.macys.com/is/image/MCY/11671832 </v>
      </c>
    </row>
    <row r="90" spans="1:13" ht="60" x14ac:dyDescent="0.25">
      <c r="A90" s="7" t="s">
        <v>11913</v>
      </c>
      <c r="B90" s="2" t="s">
        <v>7399</v>
      </c>
      <c r="C90" s="4">
        <v>1</v>
      </c>
      <c r="D90" s="5">
        <v>9.75</v>
      </c>
      <c r="E90" s="5">
        <v>22.41</v>
      </c>
      <c r="F90" s="4">
        <v>16484514</v>
      </c>
      <c r="G90" s="2"/>
      <c r="H90" s="7" t="s">
        <v>675</v>
      </c>
      <c r="I90" s="2" t="s">
        <v>153</v>
      </c>
      <c r="J90" s="2" t="s">
        <v>3580</v>
      </c>
      <c r="K90" s="2" t="s">
        <v>304</v>
      </c>
      <c r="L90" s="2" t="s">
        <v>38</v>
      </c>
      <c r="M90" s="8" t="str">
        <f>HYPERLINK("http://slimages.macys.com/is/image/MCY/11386946 ")</f>
        <v xml:space="preserve">http://slimages.macys.com/is/image/MCY/11386946 </v>
      </c>
    </row>
    <row r="91" spans="1:13" ht="132" x14ac:dyDescent="0.25">
      <c r="A91" s="7" t="s">
        <v>9400</v>
      </c>
      <c r="B91" s="2" t="s">
        <v>8196</v>
      </c>
      <c r="C91" s="4">
        <v>1</v>
      </c>
      <c r="D91" s="5">
        <v>9.65</v>
      </c>
      <c r="E91" s="5">
        <v>19.3</v>
      </c>
      <c r="F91" s="4" t="s">
        <v>8197</v>
      </c>
      <c r="G91" s="2" t="s">
        <v>653</v>
      </c>
      <c r="H91" s="7" t="s">
        <v>166</v>
      </c>
      <c r="I91" s="2" t="s">
        <v>487</v>
      </c>
      <c r="J91" s="2" t="s">
        <v>488</v>
      </c>
      <c r="K91" s="2" t="s">
        <v>304</v>
      </c>
      <c r="L91" s="2" t="s">
        <v>8198</v>
      </c>
      <c r="M91" s="8" t="str">
        <f>HYPERLINK("http://slimages.macys.com/is/image/MCY/11867737 ")</f>
        <v xml:space="preserve">http://slimages.macys.com/is/image/MCY/11867737 </v>
      </c>
    </row>
    <row r="92" spans="1:13" ht="72" x14ac:dyDescent="0.25">
      <c r="A92" s="7" t="s">
        <v>11914</v>
      </c>
      <c r="B92" s="2" t="s">
        <v>4872</v>
      </c>
      <c r="C92" s="4">
        <v>2</v>
      </c>
      <c r="D92" s="5">
        <v>9.6</v>
      </c>
      <c r="E92" s="5">
        <v>23.99</v>
      </c>
      <c r="F92" s="4" t="s">
        <v>4873</v>
      </c>
      <c r="G92" s="2" t="s">
        <v>86</v>
      </c>
      <c r="H92" s="7" t="s">
        <v>177</v>
      </c>
      <c r="I92" s="2" t="s">
        <v>173</v>
      </c>
      <c r="J92" s="2" t="s">
        <v>174</v>
      </c>
      <c r="K92" s="2" t="s">
        <v>304</v>
      </c>
      <c r="L92" s="2" t="s">
        <v>2540</v>
      </c>
      <c r="M92" s="8" t="str">
        <f>HYPERLINK("http://slimages.macys.com/is/image/MCY/12726105 ")</f>
        <v xml:space="preserve">http://slimages.macys.com/is/image/MCY/12726105 </v>
      </c>
    </row>
    <row r="93" spans="1:13" ht="72" x14ac:dyDescent="0.25">
      <c r="A93" s="7" t="s">
        <v>11915</v>
      </c>
      <c r="B93" s="2" t="s">
        <v>3219</v>
      </c>
      <c r="C93" s="4">
        <v>1</v>
      </c>
      <c r="D93" s="5">
        <v>9.6</v>
      </c>
      <c r="E93" s="5">
        <v>23.99</v>
      </c>
      <c r="F93" s="4" t="s">
        <v>3874</v>
      </c>
      <c r="G93" s="2" t="s">
        <v>171</v>
      </c>
      <c r="H93" s="7" t="s">
        <v>166</v>
      </c>
      <c r="I93" s="2" t="s">
        <v>173</v>
      </c>
      <c r="J93" s="2" t="s">
        <v>174</v>
      </c>
      <c r="K93" s="2" t="s">
        <v>304</v>
      </c>
      <c r="L93" s="2" t="s">
        <v>2540</v>
      </c>
      <c r="M93" s="8" t="str">
        <f>HYPERLINK("http://slimages.macys.com/is/image/MCY/12726096 ")</f>
        <v xml:space="preserve">http://slimages.macys.com/is/image/MCY/12726096 </v>
      </c>
    </row>
    <row r="94" spans="1:13" ht="72" x14ac:dyDescent="0.25">
      <c r="A94" s="7" t="s">
        <v>3873</v>
      </c>
      <c r="B94" s="2" t="s">
        <v>3219</v>
      </c>
      <c r="C94" s="4">
        <v>1</v>
      </c>
      <c r="D94" s="5">
        <v>9.6</v>
      </c>
      <c r="E94" s="5">
        <v>23.99</v>
      </c>
      <c r="F94" s="4" t="s">
        <v>3874</v>
      </c>
      <c r="G94" s="2" t="s">
        <v>171</v>
      </c>
      <c r="H94" s="7" t="s">
        <v>179</v>
      </c>
      <c r="I94" s="2" t="s">
        <v>173</v>
      </c>
      <c r="J94" s="2" t="s">
        <v>174</v>
      </c>
      <c r="K94" s="2" t="s">
        <v>304</v>
      </c>
      <c r="L94" s="2" t="s">
        <v>2540</v>
      </c>
      <c r="M94" s="8" t="str">
        <f>HYPERLINK("http://slimages.macys.com/is/image/MCY/12726096 ")</f>
        <v xml:space="preserve">http://slimages.macys.com/is/image/MCY/12726096 </v>
      </c>
    </row>
    <row r="95" spans="1:13" ht="72" x14ac:dyDescent="0.25">
      <c r="A95" s="7" t="s">
        <v>11916</v>
      </c>
      <c r="B95" s="2" t="s">
        <v>3219</v>
      </c>
      <c r="C95" s="4">
        <v>1</v>
      </c>
      <c r="D95" s="5">
        <v>9.6</v>
      </c>
      <c r="E95" s="5">
        <v>23.99</v>
      </c>
      <c r="F95" s="4" t="s">
        <v>3874</v>
      </c>
      <c r="G95" s="2" t="s">
        <v>171</v>
      </c>
      <c r="H95" s="7"/>
      <c r="I95" s="2" t="s">
        <v>173</v>
      </c>
      <c r="J95" s="2" t="s">
        <v>174</v>
      </c>
      <c r="K95" s="2" t="s">
        <v>304</v>
      </c>
      <c r="L95" s="2" t="s">
        <v>2540</v>
      </c>
      <c r="M95" s="8" t="str">
        <f>HYPERLINK("http://slimages.macys.com/is/image/MCY/12726096 ")</f>
        <v xml:space="preserve">http://slimages.macys.com/is/image/MCY/12726096 </v>
      </c>
    </row>
    <row r="96" spans="1:13" ht="72" x14ac:dyDescent="0.25">
      <c r="A96" s="7" t="s">
        <v>11917</v>
      </c>
      <c r="B96" s="2" t="s">
        <v>3219</v>
      </c>
      <c r="C96" s="4">
        <v>2</v>
      </c>
      <c r="D96" s="5">
        <v>9.6</v>
      </c>
      <c r="E96" s="5">
        <v>23.99</v>
      </c>
      <c r="F96" s="4" t="s">
        <v>3874</v>
      </c>
      <c r="G96" s="2" t="s">
        <v>171</v>
      </c>
      <c r="H96" s="7" t="s">
        <v>97</v>
      </c>
      <c r="I96" s="2" t="s">
        <v>173</v>
      </c>
      <c r="J96" s="2" t="s">
        <v>174</v>
      </c>
      <c r="K96" s="2" t="s">
        <v>304</v>
      </c>
      <c r="L96" s="2" t="s">
        <v>2540</v>
      </c>
      <c r="M96" s="8" t="str">
        <f>HYPERLINK("http://slimages.macys.com/is/image/MCY/12726096 ")</f>
        <v xml:space="preserve">http://slimages.macys.com/is/image/MCY/12726096 </v>
      </c>
    </row>
    <row r="97" spans="1:13" ht="72" x14ac:dyDescent="0.25">
      <c r="A97" s="7" t="s">
        <v>10922</v>
      </c>
      <c r="B97" s="2" t="s">
        <v>4872</v>
      </c>
      <c r="C97" s="4">
        <v>1</v>
      </c>
      <c r="D97" s="5">
        <v>9.6</v>
      </c>
      <c r="E97" s="5">
        <v>23.99</v>
      </c>
      <c r="F97" s="4" t="s">
        <v>4873</v>
      </c>
      <c r="G97" s="2" t="s">
        <v>86</v>
      </c>
      <c r="H97" s="7"/>
      <c r="I97" s="2" t="s">
        <v>173</v>
      </c>
      <c r="J97" s="2" t="s">
        <v>174</v>
      </c>
      <c r="K97" s="2" t="s">
        <v>304</v>
      </c>
      <c r="L97" s="2" t="s">
        <v>2540</v>
      </c>
      <c r="M97" s="8" t="str">
        <f>HYPERLINK("http://slimages.macys.com/is/image/MCY/12726105 ")</f>
        <v xml:space="preserve">http://slimages.macys.com/is/image/MCY/12726105 </v>
      </c>
    </row>
    <row r="98" spans="1:13" ht="72" x14ac:dyDescent="0.25">
      <c r="A98" s="7" t="s">
        <v>11918</v>
      </c>
      <c r="B98" s="2" t="s">
        <v>3219</v>
      </c>
      <c r="C98" s="4">
        <v>1</v>
      </c>
      <c r="D98" s="5">
        <v>9.6</v>
      </c>
      <c r="E98" s="5">
        <v>23.99</v>
      </c>
      <c r="F98" s="4" t="s">
        <v>3874</v>
      </c>
      <c r="G98" s="2" t="s">
        <v>41</v>
      </c>
      <c r="H98" s="7" t="s">
        <v>172</v>
      </c>
      <c r="I98" s="2" t="s">
        <v>173</v>
      </c>
      <c r="J98" s="2" t="s">
        <v>174</v>
      </c>
      <c r="K98" s="2" t="s">
        <v>304</v>
      </c>
      <c r="L98" s="2" t="s">
        <v>2540</v>
      </c>
      <c r="M98" s="8" t="str">
        <f>HYPERLINK("http://slimages.macys.com/is/image/MCY/12726096 ")</f>
        <v xml:space="preserve">http://slimages.macys.com/is/image/MCY/12726096 </v>
      </c>
    </row>
    <row r="99" spans="1:13" ht="60" x14ac:dyDescent="0.25">
      <c r="A99" s="7" t="s">
        <v>11919</v>
      </c>
      <c r="B99" s="2" t="s">
        <v>8767</v>
      </c>
      <c r="C99" s="4">
        <v>1</v>
      </c>
      <c r="D99" s="5">
        <v>9.6</v>
      </c>
      <c r="E99" s="5">
        <v>18.670000000000002</v>
      </c>
      <c r="F99" s="4" t="s">
        <v>8768</v>
      </c>
      <c r="G99" s="2" t="s">
        <v>28</v>
      </c>
      <c r="H99" s="7" t="s">
        <v>228</v>
      </c>
      <c r="I99" s="2" t="s">
        <v>468</v>
      </c>
      <c r="J99" s="2" t="s">
        <v>2468</v>
      </c>
      <c r="K99" s="2" t="s">
        <v>304</v>
      </c>
      <c r="L99" s="2" t="s">
        <v>119</v>
      </c>
      <c r="M99" s="8" t="str">
        <f>HYPERLINK("http://slimages.macys.com/is/image/MCY/12672250 ")</f>
        <v xml:space="preserve">http://slimages.macys.com/is/image/MCY/12672250 </v>
      </c>
    </row>
    <row r="100" spans="1:13" ht="72" x14ac:dyDescent="0.25">
      <c r="A100" s="7" t="s">
        <v>4871</v>
      </c>
      <c r="B100" s="2" t="s">
        <v>4872</v>
      </c>
      <c r="C100" s="4">
        <v>2</v>
      </c>
      <c r="D100" s="5">
        <v>9.6</v>
      </c>
      <c r="E100" s="5">
        <v>23.99</v>
      </c>
      <c r="F100" s="4" t="s">
        <v>4873</v>
      </c>
      <c r="G100" s="2" t="s">
        <v>86</v>
      </c>
      <c r="H100" s="7" t="s">
        <v>97</v>
      </c>
      <c r="I100" s="2" t="s">
        <v>173</v>
      </c>
      <c r="J100" s="2" t="s">
        <v>174</v>
      </c>
      <c r="K100" s="2" t="s">
        <v>304</v>
      </c>
      <c r="L100" s="2" t="s">
        <v>2540</v>
      </c>
      <c r="M100" s="8" t="str">
        <f>HYPERLINK("http://slimages.macys.com/is/image/MCY/12726105 ")</f>
        <v xml:space="preserve">http://slimages.macys.com/is/image/MCY/12726105 </v>
      </c>
    </row>
    <row r="101" spans="1:13" ht="72" x14ac:dyDescent="0.25">
      <c r="A101" s="7" t="s">
        <v>11920</v>
      </c>
      <c r="B101" s="2" t="s">
        <v>4872</v>
      </c>
      <c r="C101" s="4">
        <v>1</v>
      </c>
      <c r="D101" s="5">
        <v>9.6</v>
      </c>
      <c r="E101" s="5">
        <v>23.99</v>
      </c>
      <c r="F101" s="4" t="s">
        <v>4873</v>
      </c>
      <c r="G101" s="2" t="s">
        <v>86</v>
      </c>
      <c r="H101" s="7" t="s">
        <v>179</v>
      </c>
      <c r="I101" s="2" t="s">
        <v>173</v>
      </c>
      <c r="J101" s="2" t="s">
        <v>174</v>
      </c>
      <c r="K101" s="2" t="s">
        <v>304</v>
      </c>
      <c r="L101" s="2" t="s">
        <v>2540</v>
      </c>
      <c r="M101" s="8" t="str">
        <f>HYPERLINK("http://slimages.macys.com/is/image/MCY/12726105 ")</f>
        <v xml:space="preserve">http://slimages.macys.com/is/image/MCY/12726105 </v>
      </c>
    </row>
    <row r="102" spans="1:13" ht="72" x14ac:dyDescent="0.25">
      <c r="A102" s="7" t="s">
        <v>11921</v>
      </c>
      <c r="B102" s="2" t="s">
        <v>4872</v>
      </c>
      <c r="C102" s="4">
        <v>1</v>
      </c>
      <c r="D102" s="5">
        <v>9.6</v>
      </c>
      <c r="E102" s="5">
        <v>23.99</v>
      </c>
      <c r="F102" s="4" t="s">
        <v>4873</v>
      </c>
      <c r="G102" s="2" t="s">
        <v>86</v>
      </c>
      <c r="H102" s="7" t="s">
        <v>166</v>
      </c>
      <c r="I102" s="2" t="s">
        <v>173</v>
      </c>
      <c r="J102" s="2" t="s">
        <v>174</v>
      </c>
      <c r="K102" s="2" t="s">
        <v>304</v>
      </c>
      <c r="L102" s="2" t="s">
        <v>2540</v>
      </c>
      <c r="M102" s="8" t="str">
        <f>HYPERLINK("http://slimages.macys.com/is/image/MCY/12726105 ")</f>
        <v xml:space="preserve">http://slimages.macys.com/is/image/MCY/12726105 </v>
      </c>
    </row>
    <row r="103" spans="1:13" ht="72" x14ac:dyDescent="0.25">
      <c r="A103" s="7" t="s">
        <v>11922</v>
      </c>
      <c r="B103" s="2" t="s">
        <v>3219</v>
      </c>
      <c r="C103" s="4">
        <v>2</v>
      </c>
      <c r="D103" s="5">
        <v>9.6</v>
      </c>
      <c r="E103" s="5">
        <v>23.99</v>
      </c>
      <c r="F103" s="4" t="s">
        <v>3874</v>
      </c>
      <c r="G103" s="2" t="s">
        <v>171</v>
      </c>
      <c r="H103" s="7" t="s">
        <v>177</v>
      </c>
      <c r="I103" s="2" t="s">
        <v>173</v>
      </c>
      <c r="J103" s="2" t="s">
        <v>174</v>
      </c>
      <c r="K103" s="2" t="s">
        <v>304</v>
      </c>
      <c r="L103" s="2" t="s">
        <v>2540</v>
      </c>
      <c r="M103" s="8" t="str">
        <f>HYPERLINK("http://slimages.macys.com/is/image/MCY/12726096 ")</f>
        <v xml:space="preserve">http://slimages.macys.com/is/image/MCY/12726096 </v>
      </c>
    </row>
    <row r="104" spans="1:13" ht="96" x14ac:dyDescent="0.25">
      <c r="A104" s="7" t="s">
        <v>11923</v>
      </c>
      <c r="B104" s="2" t="s">
        <v>11924</v>
      </c>
      <c r="C104" s="4">
        <v>1</v>
      </c>
      <c r="D104" s="5">
        <v>9.5</v>
      </c>
      <c r="E104" s="5">
        <v>24.99</v>
      </c>
      <c r="F104" s="4" t="s">
        <v>11925</v>
      </c>
      <c r="G104" s="2" t="s">
        <v>41</v>
      </c>
      <c r="H104" s="7" t="s">
        <v>172</v>
      </c>
      <c r="I104" s="2" t="s">
        <v>321</v>
      </c>
      <c r="J104" s="2" t="s">
        <v>11926</v>
      </c>
      <c r="K104" s="2" t="s">
        <v>304</v>
      </c>
      <c r="L104" s="2" t="s">
        <v>1516</v>
      </c>
      <c r="M104" s="8" t="str">
        <f>HYPERLINK("http://slimages.macys.com/is/image/MCY/13791301 ")</f>
        <v xml:space="preserve">http://slimages.macys.com/is/image/MCY/13791301 </v>
      </c>
    </row>
    <row r="105" spans="1:13" ht="60" x14ac:dyDescent="0.25">
      <c r="A105" s="7" t="s">
        <v>11927</v>
      </c>
      <c r="B105" s="2" t="s">
        <v>5304</v>
      </c>
      <c r="C105" s="4">
        <v>2</v>
      </c>
      <c r="D105" s="5">
        <v>9.4</v>
      </c>
      <c r="E105" s="5">
        <v>24.99</v>
      </c>
      <c r="F105" s="4" t="s">
        <v>5305</v>
      </c>
      <c r="G105" s="2" t="s">
        <v>310</v>
      </c>
      <c r="H105" s="7" t="s">
        <v>97</v>
      </c>
      <c r="I105" s="2" t="s">
        <v>312</v>
      </c>
      <c r="J105" s="2" t="s">
        <v>1618</v>
      </c>
      <c r="K105" s="2" t="s">
        <v>304</v>
      </c>
      <c r="L105" s="2" t="s">
        <v>125</v>
      </c>
      <c r="M105" s="8" t="str">
        <f>HYPERLINK("http://slimages.macys.com/is/image/MCY/13294910 ")</f>
        <v xml:space="preserve">http://slimages.macys.com/is/image/MCY/13294910 </v>
      </c>
    </row>
    <row r="106" spans="1:13" ht="60" x14ac:dyDescent="0.25">
      <c r="A106" s="7" t="s">
        <v>5303</v>
      </c>
      <c r="B106" s="2" t="s">
        <v>5304</v>
      </c>
      <c r="C106" s="4">
        <v>2</v>
      </c>
      <c r="D106" s="5">
        <v>9.4</v>
      </c>
      <c r="E106" s="5">
        <v>24.99</v>
      </c>
      <c r="F106" s="4" t="s">
        <v>5305</v>
      </c>
      <c r="G106" s="2" t="s">
        <v>310</v>
      </c>
      <c r="H106" s="7" t="s">
        <v>177</v>
      </c>
      <c r="I106" s="2" t="s">
        <v>312</v>
      </c>
      <c r="J106" s="2" t="s">
        <v>1618</v>
      </c>
      <c r="K106" s="2" t="s">
        <v>304</v>
      </c>
      <c r="L106" s="2" t="s">
        <v>125</v>
      </c>
      <c r="M106" s="8" t="str">
        <f>HYPERLINK("http://slimages.macys.com/is/image/MCY/13294910 ")</f>
        <v xml:space="preserve">http://slimages.macys.com/is/image/MCY/13294910 </v>
      </c>
    </row>
    <row r="107" spans="1:13" ht="60" x14ac:dyDescent="0.25">
      <c r="A107" s="7" t="s">
        <v>11928</v>
      </c>
      <c r="B107" s="2" t="s">
        <v>11929</v>
      </c>
      <c r="C107" s="4">
        <v>1</v>
      </c>
      <c r="D107" s="5">
        <v>9.31</v>
      </c>
      <c r="E107" s="5">
        <v>26.99</v>
      </c>
      <c r="F107" s="4" t="s">
        <v>11930</v>
      </c>
      <c r="G107" s="2" t="s">
        <v>582</v>
      </c>
      <c r="H107" s="7" t="s">
        <v>159</v>
      </c>
      <c r="I107" s="2" t="s">
        <v>389</v>
      </c>
      <c r="J107" s="2" t="s">
        <v>354</v>
      </c>
      <c r="K107" s="2" t="s">
        <v>304</v>
      </c>
      <c r="L107" s="2" t="s">
        <v>206</v>
      </c>
      <c r="M107" s="8" t="str">
        <f>HYPERLINK("http://slimages.macys.com/is/image/MCY/12122219 ")</f>
        <v xml:space="preserve">http://slimages.macys.com/is/image/MCY/12122219 </v>
      </c>
    </row>
    <row r="108" spans="1:13" ht="60" x14ac:dyDescent="0.25">
      <c r="A108" s="7" t="s">
        <v>11931</v>
      </c>
      <c r="B108" s="2" t="s">
        <v>11932</v>
      </c>
      <c r="C108" s="4">
        <v>1</v>
      </c>
      <c r="D108" s="5">
        <v>9.2799999999999994</v>
      </c>
      <c r="E108" s="5">
        <v>17.989999999999998</v>
      </c>
      <c r="F108" s="4" t="s">
        <v>11933</v>
      </c>
      <c r="G108" s="2" t="s">
        <v>653</v>
      </c>
      <c r="H108" s="7" t="s">
        <v>266</v>
      </c>
      <c r="I108" s="2" t="s">
        <v>73</v>
      </c>
      <c r="J108" s="2" t="s">
        <v>249</v>
      </c>
      <c r="K108" s="2" t="s">
        <v>304</v>
      </c>
      <c r="L108" s="2" t="s">
        <v>358</v>
      </c>
      <c r="M108" s="8" t="str">
        <f>HYPERLINK("http://slimages.macys.com/is/image/MCY/13330318 ")</f>
        <v xml:space="preserve">http://slimages.macys.com/is/image/MCY/13330318 </v>
      </c>
    </row>
    <row r="109" spans="1:13" ht="60" x14ac:dyDescent="0.25">
      <c r="A109" s="7" t="s">
        <v>11934</v>
      </c>
      <c r="B109" s="2" t="s">
        <v>11935</v>
      </c>
      <c r="C109" s="4">
        <v>1</v>
      </c>
      <c r="D109" s="5">
        <v>9.1999999999999993</v>
      </c>
      <c r="E109" s="5">
        <v>21.99</v>
      </c>
      <c r="F109" s="4">
        <v>16520210</v>
      </c>
      <c r="G109" s="2"/>
      <c r="H109" s="7" t="s">
        <v>675</v>
      </c>
      <c r="I109" s="2" t="s">
        <v>153</v>
      </c>
      <c r="J109" s="2" t="s">
        <v>154</v>
      </c>
      <c r="K109" s="2" t="s">
        <v>304</v>
      </c>
      <c r="L109" s="2" t="s">
        <v>206</v>
      </c>
      <c r="M109" s="8" t="str">
        <f>HYPERLINK("http://slimages.macys.com/is/image/MCY/11637174 ")</f>
        <v xml:space="preserve">http://slimages.macys.com/is/image/MCY/11637174 </v>
      </c>
    </row>
    <row r="110" spans="1:13" ht="120" x14ac:dyDescent="0.25">
      <c r="A110" s="7" t="s">
        <v>11936</v>
      </c>
      <c r="B110" s="2" t="s">
        <v>11937</v>
      </c>
      <c r="C110" s="4">
        <v>2</v>
      </c>
      <c r="D110" s="5">
        <v>9.1999999999999993</v>
      </c>
      <c r="E110" s="5">
        <v>21.99</v>
      </c>
      <c r="F110" s="4">
        <v>16487510</v>
      </c>
      <c r="G110" s="2" t="s">
        <v>892</v>
      </c>
      <c r="H110" s="7" t="s">
        <v>91</v>
      </c>
      <c r="I110" s="2" t="s">
        <v>153</v>
      </c>
      <c r="J110" s="2" t="s">
        <v>154</v>
      </c>
      <c r="K110" s="2" t="s">
        <v>304</v>
      </c>
      <c r="L110" s="2" t="s">
        <v>11938</v>
      </c>
      <c r="M110" s="8" t="str">
        <f>HYPERLINK("http://slimages.macys.com/is/image/MCY/11867484 ")</f>
        <v xml:space="preserve">http://slimages.macys.com/is/image/MCY/11867484 </v>
      </c>
    </row>
    <row r="111" spans="1:13" ht="120" x14ac:dyDescent="0.25">
      <c r="A111" s="7" t="s">
        <v>11939</v>
      </c>
      <c r="B111" s="2" t="s">
        <v>11937</v>
      </c>
      <c r="C111" s="4">
        <v>1</v>
      </c>
      <c r="D111" s="5">
        <v>9.1999999999999993</v>
      </c>
      <c r="E111" s="5">
        <v>21.99</v>
      </c>
      <c r="F111" s="4">
        <v>16487510</v>
      </c>
      <c r="G111" s="2" t="s">
        <v>892</v>
      </c>
      <c r="H111" s="7" t="s">
        <v>42</v>
      </c>
      <c r="I111" s="2" t="s">
        <v>153</v>
      </c>
      <c r="J111" s="2" t="s">
        <v>154</v>
      </c>
      <c r="K111" s="2" t="s">
        <v>304</v>
      </c>
      <c r="L111" s="2" t="s">
        <v>11938</v>
      </c>
      <c r="M111" s="8" t="str">
        <f>HYPERLINK("http://slimages.macys.com/is/image/MCY/11867484 ")</f>
        <v xml:space="preserve">http://slimages.macys.com/is/image/MCY/11867484 </v>
      </c>
    </row>
    <row r="112" spans="1:13" ht="120" x14ac:dyDescent="0.25">
      <c r="A112" s="7" t="s">
        <v>11940</v>
      </c>
      <c r="B112" s="2" t="s">
        <v>11937</v>
      </c>
      <c r="C112" s="4">
        <v>2</v>
      </c>
      <c r="D112" s="5">
        <v>9.1999999999999993</v>
      </c>
      <c r="E112" s="5">
        <v>21.99</v>
      </c>
      <c r="F112" s="4">
        <v>16487510</v>
      </c>
      <c r="G112" s="2" t="s">
        <v>892</v>
      </c>
      <c r="H112" s="7" t="s">
        <v>442</v>
      </c>
      <c r="I112" s="2" t="s">
        <v>153</v>
      </c>
      <c r="J112" s="2" t="s">
        <v>154</v>
      </c>
      <c r="K112" s="2" t="s">
        <v>304</v>
      </c>
      <c r="L112" s="2" t="s">
        <v>11938</v>
      </c>
      <c r="M112" s="8" t="str">
        <f>HYPERLINK("http://slimages.macys.com/is/image/MCY/11867484 ")</f>
        <v xml:space="preserve">http://slimages.macys.com/is/image/MCY/11867484 </v>
      </c>
    </row>
    <row r="113" spans="1:13" ht="60" x14ac:dyDescent="0.25">
      <c r="A113" s="7" t="s">
        <v>7445</v>
      </c>
      <c r="B113" s="2" t="s">
        <v>6205</v>
      </c>
      <c r="C113" s="4">
        <v>2</v>
      </c>
      <c r="D113" s="5">
        <v>9.09</v>
      </c>
      <c r="E113" s="5">
        <v>26.99</v>
      </c>
      <c r="F113" s="4" t="s">
        <v>6206</v>
      </c>
      <c r="G113" s="2" t="s">
        <v>86</v>
      </c>
      <c r="H113" s="7" t="s">
        <v>228</v>
      </c>
      <c r="I113" s="2" t="s">
        <v>389</v>
      </c>
      <c r="J113" s="2" t="s">
        <v>354</v>
      </c>
      <c r="K113" s="2" t="s">
        <v>304</v>
      </c>
      <c r="L113" s="2" t="s">
        <v>6207</v>
      </c>
      <c r="M113" s="8" t="str">
        <f>HYPERLINK("http://slimages.macys.com/is/image/MCY/13079495 ")</f>
        <v xml:space="preserve">http://slimages.macys.com/is/image/MCY/13079495 </v>
      </c>
    </row>
    <row r="114" spans="1:13" ht="60" x14ac:dyDescent="0.25">
      <c r="A114" s="7" t="s">
        <v>11941</v>
      </c>
      <c r="B114" s="2" t="s">
        <v>10453</v>
      </c>
      <c r="C114" s="4">
        <v>1</v>
      </c>
      <c r="D114" s="5">
        <v>9</v>
      </c>
      <c r="E114" s="5">
        <v>22.5</v>
      </c>
      <c r="F114" s="4" t="s">
        <v>10454</v>
      </c>
      <c r="G114" s="2" t="s">
        <v>800</v>
      </c>
      <c r="H114" s="7" t="s">
        <v>317</v>
      </c>
      <c r="I114" s="2" t="s">
        <v>690</v>
      </c>
      <c r="J114" s="2" t="s">
        <v>58</v>
      </c>
      <c r="K114" s="2" t="s">
        <v>304</v>
      </c>
      <c r="L114" s="2" t="s">
        <v>119</v>
      </c>
      <c r="M114" s="8" t="str">
        <f>HYPERLINK("http://slimages.macys.com/is/image/MCY/12355287 ")</f>
        <v xml:space="preserve">http://slimages.macys.com/is/image/MCY/12355287 </v>
      </c>
    </row>
    <row r="115" spans="1:13" ht="60" x14ac:dyDescent="0.25">
      <c r="A115" s="7" t="s">
        <v>11942</v>
      </c>
      <c r="B115" s="2" t="s">
        <v>4853</v>
      </c>
      <c r="C115" s="4">
        <v>1</v>
      </c>
      <c r="D115" s="5">
        <v>9</v>
      </c>
      <c r="E115" s="5">
        <v>22.5</v>
      </c>
      <c r="F115" s="4" t="s">
        <v>8781</v>
      </c>
      <c r="G115" s="2" t="s">
        <v>86</v>
      </c>
      <c r="H115" s="7" t="s">
        <v>68</v>
      </c>
      <c r="I115" s="2" t="s">
        <v>690</v>
      </c>
      <c r="J115" s="2" t="s">
        <v>58</v>
      </c>
      <c r="K115" s="2" t="s">
        <v>304</v>
      </c>
      <c r="L115" s="2" t="s">
        <v>87</v>
      </c>
      <c r="M115" s="8" t="str">
        <f>HYPERLINK("http://slimages.macys.com/is/image/MCY/13049176 ")</f>
        <v xml:space="preserve">http://slimages.macys.com/is/image/MCY/13049176 </v>
      </c>
    </row>
    <row r="116" spans="1:13" ht="60" x14ac:dyDescent="0.25">
      <c r="A116" s="7" t="s">
        <v>8207</v>
      </c>
      <c r="B116" s="2" t="s">
        <v>3219</v>
      </c>
      <c r="C116" s="4">
        <v>1</v>
      </c>
      <c r="D116" s="5">
        <v>9</v>
      </c>
      <c r="E116" s="5">
        <v>20.99</v>
      </c>
      <c r="F116" s="4" t="s">
        <v>3222</v>
      </c>
      <c r="G116" s="2" t="s">
        <v>171</v>
      </c>
      <c r="H116" s="7" t="s">
        <v>63</v>
      </c>
      <c r="I116" s="2" t="s">
        <v>173</v>
      </c>
      <c r="J116" s="2" t="s">
        <v>1967</v>
      </c>
      <c r="K116" s="2" t="s">
        <v>304</v>
      </c>
      <c r="L116" s="2" t="s">
        <v>3223</v>
      </c>
      <c r="M116" s="8" t="str">
        <f>HYPERLINK("http://slimages.macys.com/is/image/MCY/12726096 ")</f>
        <v xml:space="preserve">http://slimages.macys.com/is/image/MCY/12726096 </v>
      </c>
    </row>
    <row r="117" spans="1:13" ht="60" x14ac:dyDescent="0.25">
      <c r="A117" s="7" t="s">
        <v>11943</v>
      </c>
      <c r="B117" s="2" t="s">
        <v>846</v>
      </c>
      <c r="C117" s="4">
        <v>1</v>
      </c>
      <c r="D117" s="5">
        <v>8.98</v>
      </c>
      <c r="E117" s="5">
        <v>17.989999999999998</v>
      </c>
      <c r="F117" s="4" t="s">
        <v>847</v>
      </c>
      <c r="G117" s="2" t="s">
        <v>28</v>
      </c>
      <c r="H117" s="7" t="s">
        <v>123</v>
      </c>
      <c r="I117" s="2" t="s">
        <v>292</v>
      </c>
      <c r="J117" s="2" t="s">
        <v>354</v>
      </c>
      <c r="K117" s="2" t="s">
        <v>304</v>
      </c>
      <c r="L117" s="2" t="s">
        <v>38</v>
      </c>
      <c r="M117" s="8" t="str">
        <f>HYPERLINK("http://slimages.macys.com/is/image/MCY/11526465 ")</f>
        <v xml:space="preserve">http://slimages.macys.com/is/image/MCY/11526465 </v>
      </c>
    </row>
    <row r="118" spans="1:13" ht="60" x14ac:dyDescent="0.25">
      <c r="A118" s="7" t="s">
        <v>11944</v>
      </c>
      <c r="B118" s="2" t="s">
        <v>846</v>
      </c>
      <c r="C118" s="4">
        <v>1</v>
      </c>
      <c r="D118" s="5">
        <v>8.98</v>
      </c>
      <c r="E118" s="5">
        <v>17.989999999999998</v>
      </c>
      <c r="F118" s="4" t="s">
        <v>847</v>
      </c>
      <c r="G118" s="2" t="s">
        <v>28</v>
      </c>
      <c r="H118" s="7" t="s">
        <v>311</v>
      </c>
      <c r="I118" s="2" t="s">
        <v>292</v>
      </c>
      <c r="J118" s="2" t="s">
        <v>354</v>
      </c>
      <c r="K118" s="2" t="s">
        <v>304</v>
      </c>
      <c r="L118" s="2" t="s">
        <v>38</v>
      </c>
      <c r="M118" s="8" t="str">
        <f>HYPERLINK("http://slimages.macys.com/is/image/MCY/11526465 ")</f>
        <v xml:space="preserve">http://slimages.macys.com/is/image/MCY/11526465 </v>
      </c>
    </row>
    <row r="119" spans="1:13" ht="60" x14ac:dyDescent="0.25">
      <c r="A119" s="7" t="s">
        <v>11945</v>
      </c>
      <c r="B119" s="2" t="s">
        <v>6213</v>
      </c>
      <c r="C119" s="4">
        <v>1</v>
      </c>
      <c r="D119" s="5">
        <v>8.92</v>
      </c>
      <c r="E119" s="5">
        <v>21.99</v>
      </c>
      <c r="F119" s="4" t="s">
        <v>6214</v>
      </c>
      <c r="G119" s="2" t="s">
        <v>86</v>
      </c>
      <c r="H119" s="7" t="s">
        <v>196</v>
      </c>
      <c r="I119" s="2" t="s">
        <v>389</v>
      </c>
      <c r="J119" s="2" t="s">
        <v>354</v>
      </c>
      <c r="K119" s="2" t="s">
        <v>304</v>
      </c>
      <c r="L119" s="2" t="s">
        <v>6215</v>
      </c>
      <c r="M119" s="8" t="str">
        <f>HYPERLINK("http://slimages.macys.com/is/image/MCY/11499908 ")</f>
        <v xml:space="preserve">http://slimages.macys.com/is/image/MCY/11499908 </v>
      </c>
    </row>
    <row r="120" spans="1:13" ht="132" x14ac:dyDescent="0.25">
      <c r="A120" s="7" t="s">
        <v>11946</v>
      </c>
      <c r="B120" s="2" t="s">
        <v>11947</v>
      </c>
      <c r="C120" s="4">
        <v>1</v>
      </c>
      <c r="D120" s="5">
        <v>8.65</v>
      </c>
      <c r="E120" s="5">
        <v>21.99</v>
      </c>
      <c r="F120" s="4" t="s">
        <v>11948</v>
      </c>
      <c r="G120" s="2" t="s">
        <v>437</v>
      </c>
      <c r="H120" s="7" t="s">
        <v>123</v>
      </c>
      <c r="I120" s="2" t="s">
        <v>218</v>
      </c>
      <c r="J120" s="2" t="s">
        <v>2008</v>
      </c>
      <c r="K120" s="2" t="s">
        <v>304</v>
      </c>
      <c r="L120" s="2" t="s">
        <v>11949</v>
      </c>
      <c r="M120" s="8" t="str">
        <f>HYPERLINK("http://slimages.macys.com/is/image/MCY/12684306 ")</f>
        <v xml:space="preserve">http://slimages.macys.com/is/image/MCY/12684306 </v>
      </c>
    </row>
    <row r="121" spans="1:13" ht="60" x14ac:dyDescent="0.25">
      <c r="A121" s="7" t="s">
        <v>5353</v>
      </c>
      <c r="B121" s="2" t="s">
        <v>5354</v>
      </c>
      <c r="C121" s="4">
        <v>1</v>
      </c>
      <c r="D121" s="5">
        <v>8.6</v>
      </c>
      <c r="E121" s="5">
        <v>22.99</v>
      </c>
      <c r="F121" s="4" t="s">
        <v>5355</v>
      </c>
      <c r="G121" s="2" t="s">
        <v>785</v>
      </c>
      <c r="H121" s="7" t="s">
        <v>196</v>
      </c>
      <c r="I121" s="2" t="s">
        <v>389</v>
      </c>
      <c r="J121" s="2" t="s">
        <v>354</v>
      </c>
      <c r="K121" s="2" t="s">
        <v>304</v>
      </c>
      <c r="L121" s="2" t="s">
        <v>596</v>
      </c>
      <c r="M121" s="8" t="str">
        <f>HYPERLINK("http://slimages.macys.com/is/image/MCY/12938530 ")</f>
        <v xml:space="preserve">http://slimages.macys.com/is/image/MCY/12938530 </v>
      </c>
    </row>
    <row r="122" spans="1:13" ht="60" x14ac:dyDescent="0.25">
      <c r="A122" s="7" t="s">
        <v>11950</v>
      </c>
      <c r="B122" s="2" t="s">
        <v>5899</v>
      </c>
      <c r="C122" s="4">
        <v>1</v>
      </c>
      <c r="D122" s="5">
        <v>8.5</v>
      </c>
      <c r="E122" s="5">
        <v>21.99</v>
      </c>
      <c r="F122" s="4" t="s">
        <v>11951</v>
      </c>
      <c r="G122" s="2" t="s">
        <v>800</v>
      </c>
      <c r="H122" s="7"/>
      <c r="I122" s="2" t="s">
        <v>321</v>
      </c>
      <c r="J122" s="2" t="s">
        <v>5901</v>
      </c>
      <c r="K122" s="2" t="s">
        <v>304</v>
      </c>
      <c r="L122" s="2" t="s">
        <v>358</v>
      </c>
      <c r="M122" s="8" t="str">
        <f>HYPERLINK("http://slimages.macys.com/is/image/MCY/11647250 ")</f>
        <v xml:space="preserve">http://slimages.macys.com/is/image/MCY/11647250 </v>
      </c>
    </row>
    <row r="123" spans="1:13" ht="84" x14ac:dyDescent="0.25">
      <c r="A123" s="7" t="s">
        <v>3924</v>
      </c>
      <c r="B123" s="2" t="s">
        <v>3925</v>
      </c>
      <c r="C123" s="4">
        <v>1</v>
      </c>
      <c r="D123" s="5">
        <v>8.5</v>
      </c>
      <c r="E123" s="5">
        <v>20</v>
      </c>
      <c r="F123" s="4" t="s">
        <v>3926</v>
      </c>
      <c r="G123" s="2" t="s">
        <v>171</v>
      </c>
      <c r="H123" s="7" t="s">
        <v>618</v>
      </c>
      <c r="I123" s="2" t="s">
        <v>380</v>
      </c>
      <c r="J123" s="2" t="s">
        <v>381</v>
      </c>
      <c r="K123" s="2" t="s">
        <v>304</v>
      </c>
      <c r="L123" s="2" t="s">
        <v>382</v>
      </c>
      <c r="M123" s="8" t="str">
        <f>HYPERLINK("http://slimages.macys.com/is/image/MCY/12550115 ")</f>
        <v xml:space="preserve">http://slimages.macys.com/is/image/MCY/12550115 </v>
      </c>
    </row>
    <row r="124" spans="1:13" ht="60" x14ac:dyDescent="0.25">
      <c r="A124" s="7" t="s">
        <v>11952</v>
      </c>
      <c r="B124" s="2" t="s">
        <v>10002</v>
      </c>
      <c r="C124" s="4">
        <v>1</v>
      </c>
      <c r="D124" s="5">
        <v>8.5</v>
      </c>
      <c r="E124" s="5">
        <v>21.99</v>
      </c>
      <c r="F124" s="4" t="s">
        <v>10003</v>
      </c>
      <c r="G124" s="2" t="s">
        <v>892</v>
      </c>
      <c r="H124" s="7"/>
      <c r="I124" s="2" t="s">
        <v>321</v>
      </c>
      <c r="J124" s="2" t="s">
        <v>1671</v>
      </c>
      <c r="K124" s="2" t="s">
        <v>304</v>
      </c>
      <c r="L124" s="2" t="s">
        <v>125</v>
      </c>
      <c r="M124" s="8" t="str">
        <f>HYPERLINK("http://slimages.macys.com/is/image/MCY/11647215 ")</f>
        <v xml:space="preserve">http://slimages.macys.com/is/image/MCY/11647215 </v>
      </c>
    </row>
    <row r="125" spans="1:13" ht="60" x14ac:dyDescent="0.25">
      <c r="A125" s="7" t="s">
        <v>11953</v>
      </c>
      <c r="B125" s="2" t="s">
        <v>11954</v>
      </c>
      <c r="C125" s="4">
        <v>1</v>
      </c>
      <c r="D125" s="5">
        <v>8.43</v>
      </c>
      <c r="E125" s="5">
        <v>26.99</v>
      </c>
      <c r="F125" s="4" t="s">
        <v>11955</v>
      </c>
      <c r="G125" s="2" t="s">
        <v>86</v>
      </c>
      <c r="H125" s="7" t="s">
        <v>159</v>
      </c>
      <c r="I125" s="2" t="s">
        <v>389</v>
      </c>
      <c r="J125" s="2" t="s">
        <v>354</v>
      </c>
      <c r="K125" s="2" t="s">
        <v>304</v>
      </c>
      <c r="L125" s="2" t="s">
        <v>206</v>
      </c>
      <c r="M125" s="8" t="str">
        <f>HYPERLINK("http://slimages.macys.com/is/image/MCY/12654944 ")</f>
        <v xml:space="preserve">http://slimages.macys.com/is/image/MCY/12654944 </v>
      </c>
    </row>
    <row r="126" spans="1:13" ht="60" x14ac:dyDescent="0.25">
      <c r="A126" s="7" t="s">
        <v>11956</v>
      </c>
      <c r="B126" s="2" t="s">
        <v>386</v>
      </c>
      <c r="C126" s="4">
        <v>1</v>
      </c>
      <c r="D126" s="5">
        <v>8.43</v>
      </c>
      <c r="E126" s="5">
        <v>26.99</v>
      </c>
      <c r="F126" s="4" t="s">
        <v>387</v>
      </c>
      <c r="G126" s="2" t="s">
        <v>388</v>
      </c>
      <c r="H126" s="7" t="s">
        <v>196</v>
      </c>
      <c r="I126" s="2" t="s">
        <v>389</v>
      </c>
      <c r="J126" s="2" t="s">
        <v>354</v>
      </c>
      <c r="K126" s="2" t="s">
        <v>304</v>
      </c>
      <c r="L126" s="2" t="s">
        <v>390</v>
      </c>
      <c r="M126" s="8" t="str">
        <f>HYPERLINK("http://slimages.macys.com/is/image/MCY/12938536 ")</f>
        <v xml:space="preserve">http://slimages.macys.com/is/image/MCY/12938536 </v>
      </c>
    </row>
    <row r="127" spans="1:13" ht="60" x14ac:dyDescent="0.25">
      <c r="A127" s="7" t="s">
        <v>11957</v>
      </c>
      <c r="B127" s="2" t="s">
        <v>7472</v>
      </c>
      <c r="C127" s="4">
        <v>1</v>
      </c>
      <c r="D127" s="5">
        <v>8.3800000000000008</v>
      </c>
      <c r="E127" s="5">
        <v>24.99</v>
      </c>
      <c r="F127" s="4" t="s">
        <v>7473</v>
      </c>
      <c r="G127" s="2" t="s">
        <v>785</v>
      </c>
      <c r="H127" s="7" t="s">
        <v>1151</v>
      </c>
      <c r="I127" s="2" t="s">
        <v>1689</v>
      </c>
      <c r="J127" s="2" t="s">
        <v>354</v>
      </c>
      <c r="K127" s="2" t="s">
        <v>304</v>
      </c>
      <c r="L127" s="2" t="s">
        <v>119</v>
      </c>
      <c r="M127" s="8" t="str">
        <f>HYPERLINK("http://slimages.macys.com/is/image/MCY/13824201 ")</f>
        <v xml:space="preserve">http://slimages.macys.com/is/image/MCY/13824201 </v>
      </c>
    </row>
    <row r="128" spans="1:13" ht="60" x14ac:dyDescent="0.25">
      <c r="A128" s="7" t="s">
        <v>3950</v>
      </c>
      <c r="B128" s="2" t="s">
        <v>3951</v>
      </c>
      <c r="C128" s="4">
        <v>2</v>
      </c>
      <c r="D128" s="5">
        <v>8.2100000000000009</v>
      </c>
      <c r="E128" s="5">
        <v>26.99</v>
      </c>
      <c r="F128" s="4" t="s">
        <v>3952</v>
      </c>
      <c r="G128" s="2" t="s">
        <v>171</v>
      </c>
      <c r="H128" s="7" t="s">
        <v>196</v>
      </c>
      <c r="I128" s="2" t="s">
        <v>389</v>
      </c>
      <c r="J128" s="2" t="s">
        <v>354</v>
      </c>
      <c r="K128" s="2" t="s">
        <v>304</v>
      </c>
      <c r="L128" s="2" t="s">
        <v>390</v>
      </c>
      <c r="M128" s="8" t="str">
        <f>HYPERLINK("http://slimages.macys.com/is/image/MCY/12122283 ")</f>
        <v xml:space="preserve">http://slimages.macys.com/is/image/MCY/12122283 </v>
      </c>
    </row>
    <row r="129" spans="1:13" ht="60" x14ac:dyDescent="0.25">
      <c r="A129" s="7" t="s">
        <v>11958</v>
      </c>
      <c r="B129" s="2" t="s">
        <v>8818</v>
      </c>
      <c r="C129" s="4">
        <v>1</v>
      </c>
      <c r="D129" s="5">
        <v>8.2100000000000009</v>
      </c>
      <c r="E129" s="5">
        <v>19.989999999999998</v>
      </c>
      <c r="F129" s="4" t="s">
        <v>8819</v>
      </c>
      <c r="G129" s="2" t="s">
        <v>86</v>
      </c>
      <c r="H129" s="7" t="s">
        <v>1151</v>
      </c>
      <c r="I129" s="2" t="s">
        <v>1689</v>
      </c>
      <c r="J129" s="2" t="s">
        <v>354</v>
      </c>
      <c r="K129" s="2" t="s">
        <v>304</v>
      </c>
      <c r="L129" s="2" t="s">
        <v>390</v>
      </c>
      <c r="M129" s="8" t="str">
        <f>HYPERLINK("http://slimages.macys.com/is/image/MCY/12101713 ")</f>
        <v xml:space="preserve">http://slimages.macys.com/is/image/MCY/12101713 </v>
      </c>
    </row>
    <row r="130" spans="1:13" ht="60" x14ac:dyDescent="0.25">
      <c r="A130" s="7" t="s">
        <v>11959</v>
      </c>
      <c r="B130" s="2" t="s">
        <v>878</v>
      </c>
      <c r="C130" s="4">
        <v>1</v>
      </c>
      <c r="D130" s="5">
        <v>8.1</v>
      </c>
      <c r="E130" s="5">
        <v>22.5</v>
      </c>
      <c r="F130" s="4" t="s">
        <v>11960</v>
      </c>
      <c r="G130" s="2" t="s">
        <v>41</v>
      </c>
      <c r="H130" s="7" t="s">
        <v>248</v>
      </c>
      <c r="I130" s="2" t="s">
        <v>880</v>
      </c>
      <c r="J130" s="2" t="s">
        <v>881</v>
      </c>
      <c r="K130" s="2" t="s">
        <v>304</v>
      </c>
      <c r="L130" s="2" t="s">
        <v>206</v>
      </c>
      <c r="M130" s="8" t="str">
        <f>HYPERLINK("http://slimages.macys.com/is/image/MCY/12239555 ")</f>
        <v xml:space="preserve">http://slimages.macys.com/is/image/MCY/12239555 </v>
      </c>
    </row>
    <row r="131" spans="1:13" ht="72" x14ac:dyDescent="0.25">
      <c r="A131" s="7" t="s">
        <v>11478</v>
      </c>
      <c r="B131" s="2" t="s">
        <v>4032</v>
      </c>
      <c r="C131" s="4">
        <v>1</v>
      </c>
      <c r="D131" s="5">
        <v>8.1</v>
      </c>
      <c r="E131" s="5">
        <v>16.2</v>
      </c>
      <c r="F131" s="4" t="s">
        <v>11479</v>
      </c>
      <c r="G131" s="2"/>
      <c r="H131" s="7" t="s">
        <v>209</v>
      </c>
      <c r="I131" s="2" t="s">
        <v>487</v>
      </c>
      <c r="J131" s="2" t="s">
        <v>488</v>
      </c>
      <c r="K131" s="2" t="s">
        <v>304</v>
      </c>
      <c r="L131" s="2" t="s">
        <v>11480</v>
      </c>
      <c r="M131" s="8" t="str">
        <f>HYPERLINK("http://slimages.macys.com/is/image/MCY/11867649 ")</f>
        <v xml:space="preserve">http://slimages.macys.com/is/image/MCY/11867649 </v>
      </c>
    </row>
    <row r="132" spans="1:13" ht="60" x14ac:dyDescent="0.25">
      <c r="A132" s="7" t="s">
        <v>11961</v>
      </c>
      <c r="B132" s="2" t="s">
        <v>11962</v>
      </c>
      <c r="C132" s="4">
        <v>1</v>
      </c>
      <c r="D132" s="5">
        <v>8.01</v>
      </c>
      <c r="E132" s="5">
        <v>17.989999999999998</v>
      </c>
      <c r="F132" s="4" t="s">
        <v>11963</v>
      </c>
      <c r="G132" s="2" t="s">
        <v>2107</v>
      </c>
      <c r="H132" s="7" t="s">
        <v>159</v>
      </c>
      <c r="I132" s="2" t="s">
        <v>73</v>
      </c>
      <c r="J132" s="2" t="s">
        <v>160</v>
      </c>
      <c r="K132" s="2" t="s">
        <v>304</v>
      </c>
      <c r="L132" s="2" t="s">
        <v>38</v>
      </c>
      <c r="M132" s="8" t="str">
        <f>HYPERLINK("http://slimages.macys.com/is/image/MCY/11948764 ")</f>
        <v xml:space="preserve">http://slimages.macys.com/is/image/MCY/11948764 </v>
      </c>
    </row>
    <row r="133" spans="1:13" ht="60" x14ac:dyDescent="0.25">
      <c r="A133" s="7" t="s">
        <v>11964</v>
      </c>
      <c r="B133" s="2" t="s">
        <v>4899</v>
      </c>
      <c r="C133" s="4">
        <v>1</v>
      </c>
      <c r="D133" s="5">
        <v>8</v>
      </c>
      <c r="E133" s="5">
        <v>20</v>
      </c>
      <c r="F133" s="4">
        <v>1331677</v>
      </c>
      <c r="G133" s="2"/>
      <c r="H133" s="7" t="s">
        <v>284</v>
      </c>
      <c r="I133" s="2" t="s">
        <v>73</v>
      </c>
      <c r="J133" s="2" t="s">
        <v>280</v>
      </c>
      <c r="K133" s="2" t="s">
        <v>304</v>
      </c>
      <c r="L133" s="2" t="s">
        <v>125</v>
      </c>
      <c r="M133" s="8" t="str">
        <f>HYPERLINK("http://slimages.macys.com/is/image/MCY/10126834 ")</f>
        <v xml:space="preserve">http://slimages.macys.com/is/image/MCY/10126834 </v>
      </c>
    </row>
    <row r="134" spans="1:13" ht="60" x14ac:dyDescent="0.25">
      <c r="A134" s="7" t="s">
        <v>11965</v>
      </c>
      <c r="B134" s="2" t="s">
        <v>11966</v>
      </c>
      <c r="C134" s="4">
        <v>1</v>
      </c>
      <c r="D134" s="5">
        <v>8</v>
      </c>
      <c r="E134" s="5">
        <v>17.989999999999998</v>
      </c>
      <c r="F134" s="4" t="s">
        <v>11967</v>
      </c>
      <c r="G134" s="2" t="s">
        <v>165</v>
      </c>
      <c r="H134" s="7" t="s">
        <v>159</v>
      </c>
      <c r="I134" s="2" t="s">
        <v>80</v>
      </c>
      <c r="J134" s="2" t="s">
        <v>2967</v>
      </c>
      <c r="K134" s="2" t="s">
        <v>304</v>
      </c>
      <c r="L134" s="2" t="s">
        <v>119</v>
      </c>
      <c r="M134" s="8" t="str">
        <f>HYPERLINK("http://slimages.macys.com/is/image/MCY/13356758 ")</f>
        <v xml:space="preserve">http://slimages.macys.com/is/image/MCY/13356758 </v>
      </c>
    </row>
    <row r="135" spans="1:13" ht="60" x14ac:dyDescent="0.25">
      <c r="A135" s="7" t="s">
        <v>11968</v>
      </c>
      <c r="B135" s="2" t="s">
        <v>10993</v>
      </c>
      <c r="C135" s="4">
        <v>1</v>
      </c>
      <c r="D135" s="5">
        <v>7.8</v>
      </c>
      <c r="E135" s="5">
        <v>19.5</v>
      </c>
      <c r="F135" s="4" t="s">
        <v>10994</v>
      </c>
      <c r="G135" s="2" t="s">
        <v>41</v>
      </c>
      <c r="H135" s="7"/>
      <c r="I135" s="2" t="s">
        <v>57</v>
      </c>
      <c r="J135" s="2" t="s">
        <v>58</v>
      </c>
      <c r="K135" s="2" t="s">
        <v>304</v>
      </c>
      <c r="L135" s="2" t="s">
        <v>206</v>
      </c>
      <c r="M135" s="8" t="str">
        <f>HYPERLINK("http://slimages.macys.com/is/image/MCY/12239600 ")</f>
        <v xml:space="preserve">http://slimages.macys.com/is/image/MCY/12239600 </v>
      </c>
    </row>
    <row r="136" spans="1:13" ht="120" x14ac:dyDescent="0.25">
      <c r="A136" s="7" t="s">
        <v>11969</v>
      </c>
      <c r="B136" s="2" t="s">
        <v>11970</v>
      </c>
      <c r="C136" s="4">
        <v>1</v>
      </c>
      <c r="D136" s="5">
        <v>7.68</v>
      </c>
      <c r="E136" s="5">
        <v>32</v>
      </c>
      <c r="F136" s="4">
        <v>316084</v>
      </c>
      <c r="G136" s="2" t="s">
        <v>303</v>
      </c>
      <c r="H136" s="7" t="s">
        <v>4804</v>
      </c>
      <c r="I136" s="2" t="s">
        <v>50</v>
      </c>
      <c r="J136" s="2" t="s">
        <v>11971</v>
      </c>
      <c r="K136" s="2" t="s">
        <v>304</v>
      </c>
      <c r="L136" s="2" t="s">
        <v>11972</v>
      </c>
      <c r="M136" s="8" t="str">
        <f>HYPERLINK("http://slimages.macys.com/is/image/MCY/13840434 ")</f>
        <v xml:space="preserve">http://slimages.macys.com/is/image/MCY/13840434 </v>
      </c>
    </row>
    <row r="137" spans="1:13" ht="60" x14ac:dyDescent="0.25">
      <c r="A137" s="7" t="s">
        <v>11973</v>
      </c>
      <c r="B137" s="2" t="s">
        <v>996</v>
      </c>
      <c r="C137" s="4">
        <v>1</v>
      </c>
      <c r="D137" s="5">
        <v>7.63</v>
      </c>
      <c r="E137" s="5">
        <v>16.989999999999998</v>
      </c>
      <c r="F137" s="4" t="s">
        <v>9489</v>
      </c>
      <c r="G137" s="2" t="s">
        <v>62</v>
      </c>
      <c r="H137" s="7" t="s">
        <v>196</v>
      </c>
      <c r="I137" s="2" t="s">
        <v>515</v>
      </c>
      <c r="J137" s="2" t="s">
        <v>827</v>
      </c>
      <c r="K137" s="2" t="s">
        <v>304</v>
      </c>
      <c r="L137" s="2" t="s">
        <v>358</v>
      </c>
      <c r="M137" s="8" t="str">
        <f>HYPERLINK("http://slimages.macys.com/is/image/MCY/12687335 ")</f>
        <v xml:space="preserve">http://slimages.macys.com/is/image/MCY/12687335 </v>
      </c>
    </row>
    <row r="138" spans="1:13" ht="60" x14ac:dyDescent="0.25">
      <c r="A138" s="7" t="s">
        <v>5383</v>
      </c>
      <c r="B138" s="2" t="s">
        <v>1724</v>
      </c>
      <c r="C138" s="4">
        <v>1</v>
      </c>
      <c r="D138" s="5">
        <v>7.6</v>
      </c>
      <c r="E138" s="5">
        <v>17.28</v>
      </c>
      <c r="F138" s="4">
        <v>18385510</v>
      </c>
      <c r="G138" s="2" t="s">
        <v>28</v>
      </c>
      <c r="H138" s="7" t="s">
        <v>442</v>
      </c>
      <c r="I138" s="2" t="s">
        <v>153</v>
      </c>
      <c r="J138" s="2" t="s">
        <v>154</v>
      </c>
      <c r="K138" s="2" t="s">
        <v>304</v>
      </c>
      <c r="L138" s="2" t="s">
        <v>38</v>
      </c>
      <c r="M138" s="8" t="str">
        <f>HYPERLINK("http://slimages.macys.com/is/image/MCY/14608274 ")</f>
        <v xml:space="preserve">http://slimages.macys.com/is/image/MCY/14608274 </v>
      </c>
    </row>
    <row r="139" spans="1:13" ht="60" x14ac:dyDescent="0.25">
      <c r="A139" s="7" t="s">
        <v>11974</v>
      </c>
      <c r="B139" s="2" t="s">
        <v>3986</v>
      </c>
      <c r="C139" s="4">
        <v>1</v>
      </c>
      <c r="D139" s="5">
        <v>7.6</v>
      </c>
      <c r="E139" s="5">
        <v>17.28</v>
      </c>
      <c r="F139" s="4">
        <v>18389710</v>
      </c>
      <c r="G139" s="2" t="s">
        <v>48</v>
      </c>
      <c r="H139" s="7" t="s">
        <v>438</v>
      </c>
      <c r="I139" s="2" t="s">
        <v>153</v>
      </c>
      <c r="J139" s="2" t="s">
        <v>154</v>
      </c>
      <c r="K139" s="2" t="s">
        <v>304</v>
      </c>
      <c r="L139" s="2" t="s">
        <v>38</v>
      </c>
      <c r="M139" s="8" t="str">
        <f>HYPERLINK("http://slimages.macys.com/is/image/MCY/14608342 ")</f>
        <v xml:space="preserve">http://slimages.macys.com/is/image/MCY/14608342 </v>
      </c>
    </row>
    <row r="140" spans="1:13" ht="60" x14ac:dyDescent="0.25">
      <c r="A140" s="7" t="s">
        <v>11975</v>
      </c>
      <c r="B140" s="2" t="s">
        <v>1724</v>
      </c>
      <c r="C140" s="4">
        <v>1</v>
      </c>
      <c r="D140" s="5">
        <v>7.6</v>
      </c>
      <c r="E140" s="5">
        <v>17.28</v>
      </c>
      <c r="F140" s="4">
        <v>18385510</v>
      </c>
      <c r="G140" s="2" t="s">
        <v>28</v>
      </c>
      <c r="H140" s="7" t="s">
        <v>438</v>
      </c>
      <c r="I140" s="2" t="s">
        <v>153</v>
      </c>
      <c r="J140" s="2" t="s">
        <v>154</v>
      </c>
      <c r="K140" s="2" t="s">
        <v>304</v>
      </c>
      <c r="L140" s="2" t="s">
        <v>38</v>
      </c>
      <c r="M140" s="8" t="str">
        <f>HYPERLINK("http://slimages.macys.com/is/image/MCY/14608274 ")</f>
        <v xml:space="preserve">http://slimages.macys.com/is/image/MCY/14608274 </v>
      </c>
    </row>
    <row r="141" spans="1:13" ht="96" x14ac:dyDescent="0.25">
      <c r="A141" s="7" t="s">
        <v>3307</v>
      </c>
      <c r="B141" s="2" t="s">
        <v>436</v>
      </c>
      <c r="C141" s="4">
        <v>1</v>
      </c>
      <c r="D141" s="5">
        <v>7.6</v>
      </c>
      <c r="E141" s="5">
        <v>17.28</v>
      </c>
      <c r="F141" s="4">
        <v>18372810</v>
      </c>
      <c r="G141" s="2" t="s">
        <v>437</v>
      </c>
      <c r="H141" s="7" t="s">
        <v>42</v>
      </c>
      <c r="I141" s="2" t="s">
        <v>153</v>
      </c>
      <c r="J141" s="2" t="s">
        <v>154</v>
      </c>
      <c r="K141" s="2" t="s">
        <v>304</v>
      </c>
      <c r="L141" s="2" t="s">
        <v>439</v>
      </c>
      <c r="M141" s="8" t="str">
        <f>HYPERLINK("http://slimages.macys.com/is/image/MCY/14608281 ")</f>
        <v xml:space="preserve">http://slimages.macys.com/is/image/MCY/14608281 </v>
      </c>
    </row>
    <row r="142" spans="1:13" ht="72" x14ac:dyDescent="0.25">
      <c r="A142" s="7" t="s">
        <v>3987</v>
      </c>
      <c r="B142" s="2" t="s">
        <v>3988</v>
      </c>
      <c r="C142" s="4">
        <v>1</v>
      </c>
      <c r="D142" s="5">
        <v>7.6</v>
      </c>
      <c r="E142" s="5">
        <v>19</v>
      </c>
      <c r="F142" s="4" t="s">
        <v>3989</v>
      </c>
      <c r="G142" s="2" t="s">
        <v>62</v>
      </c>
      <c r="H142" s="7" t="s">
        <v>3990</v>
      </c>
      <c r="I142" s="2" t="s">
        <v>523</v>
      </c>
      <c r="J142" s="2" t="s">
        <v>3991</v>
      </c>
      <c r="K142" s="2" t="s">
        <v>304</v>
      </c>
      <c r="L142" s="2" t="s">
        <v>3992</v>
      </c>
      <c r="M142" s="8" t="str">
        <f>HYPERLINK("http://slimages.macys.com/is/image/MCY/10945832 ")</f>
        <v xml:space="preserve">http://slimages.macys.com/is/image/MCY/10945832 </v>
      </c>
    </row>
    <row r="143" spans="1:13" ht="120" x14ac:dyDescent="0.25">
      <c r="A143" s="7" t="s">
        <v>6253</v>
      </c>
      <c r="B143" s="2" t="s">
        <v>6254</v>
      </c>
      <c r="C143" s="4">
        <v>1</v>
      </c>
      <c r="D143" s="5">
        <v>7.6</v>
      </c>
      <c r="E143" s="5">
        <v>17.28</v>
      </c>
      <c r="F143" s="4">
        <v>18374010</v>
      </c>
      <c r="G143" s="2"/>
      <c r="H143" s="7" t="s">
        <v>675</v>
      </c>
      <c r="I143" s="2" t="s">
        <v>153</v>
      </c>
      <c r="J143" s="2" t="s">
        <v>154</v>
      </c>
      <c r="K143" s="2" t="s">
        <v>304</v>
      </c>
      <c r="L143" s="2" t="s">
        <v>6255</v>
      </c>
      <c r="M143" s="8" t="str">
        <f>HYPERLINK("http://slimages.macys.com/is/image/MCY/14608284 ")</f>
        <v xml:space="preserve">http://slimages.macys.com/is/image/MCY/14608284 </v>
      </c>
    </row>
    <row r="144" spans="1:13" ht="120" x14ac:dyDescent="0.25">
      <c r="A144" s="7" t="s">
        <v>11010</v>
      </c>
      <c r="B144" s="2" t="s">
        <v>6254</v>
      </c>
      <c r="C144" s="4">
        <v>1</v>
      </c>
      <c r="D144" s="5">
        <v>7.6</v>
      </c>
      <c r="E144" s="5">
        <v>17.28</v>
      </c>
      <c r="F144" s="4">
        <v>18374010</v>
      </c>
      <c r="G144" s="2"/>
      <c r="H144" s="7" t="s">
        <v>233</v>
      </c>
      <c r="I144" s="2" t="s">
        <v>153</v>
      </c>
      <c r="J144" s="2" t="s">
        <v>154</v>
      </c>
      <c r="K144" s="2" t="s">
        <v>304</v>
      </c>
      <c r="L144" s="2" t="s">
        <v>6255</v>
      </c>
      <c r="M144" s="8" t="str">
        <f>HYPERLINK("http://slimages.macys.com/is/image/MCY/14608284 ")</f>
        <v xml:space="preserve">http://slimages.macys.com/is/image/MCY/14608284 </v>
      </c>
    </row>
    <row r="145" spans="1:13" ht="96" x14ac:dyDescent="0.25">
      <c r="A145" s="7" t="s">
        <v>3984</v>
      </c>
      <c r="B145" s="2" t="s">
        <v>436</v>
      </c>
      <c r="C145" s="4">
        <v>1</v>
      </c>
      <c r="D145" s="5">
        <v>7.6</v>
      </c>
      <c r="E145" s="5">
        <v>17.28</v>
      </c>
      <c r="F145" s="4">
        <v>18372810</v>
      </c>
      <c r="G145" s="2" t="s">
        <v>437</v>
      </c>
      <c r="H145" s="7" t="s">
        <v>91</v>
      </c>
      <c r="I145" s="2" t="s">
        <v>153</v>
      </c>
      <c r="J145" s="2" t="s">
        <v>154</v>
      </c>
      <c r="K145" s="2" t="s">
        <v>304</v>
      </c>
      <c r="L145" s="2" t="s">
        <v>439</v>
      </c>
      <c r="M145" s="8" t="str">
        <f>HYPERLINK("http://slimages.macys.com/is/image/MCY/14608281 ")</f>
        <v xml:space="preserve">http://slimages.macys.com/is/image/MCY/14608281 </v>
      </c>
    </row>
    <row r="146" spans="1:13" ht="60" x14ac:dyDescent="0.25">
      <c r="A146" s="7" t="s">
        <v>8859</v>
      </c>
      <c r="B146" s="2" t="s">
        <v>8860</v>
      </c>
      <c r="C146" s="4">
        <v>1</v>
      </c>
      <c r="D146" s="5">
        <v>7.6</v>
      </c>
      <c r="E146" s="5">
        <v>16.989999999999998</v>
      </c>
      <c r="F146" s="4" t="s">
        <v>8861</v>
      </c>
      <c r="G146" s="2" t="s">
        <v>62</v>
      </c>
      <c r="H146" s="7" t="s">
        <v>159</v>
      </c>
      <c r="I146" s="2" t="s">
        <v>515</v>
      </c>
      <c r="J146" s="2" t="s">
        <v>827</v>
      </c>
      <c r="K146" s="2" t="s">
        <v>304</v>
      </c>
      <c r="L146" s="2" t="s">
        <v>358</v>
      </c>
      <c r="M146" s="8" t="str">
        <f>HYPERLINK("http://slimages.macys.com/is/image/MCY/10410501 ")</f>
        <v xml:space="preserve">http://slimages.macys.com/is/image/MCY/10410501 </v>
      </c>
    </row>
    <row r="147" spans="1:13" ht="60" x14ac:dyDescent="0.25">
      <c r="A147" s="7" t="s">
        <v>11976</v>
      </c>
      <c r="B147" s="2" t="s">
        <v>5923</v>
      </c>
      <c r="C147" s="4">
        <v>1</v>
      </c>
      <c r="D147" s="5">
        <v>7.59</v>
      </c>
      <c r="E147" s="5">
        <v>17.989999999999998</v>
      </c>
      <c r="F147" s="4" t="s">
        <v>5924</v>
      </c>
      <c r="G147" s="2" t="s">
        <v>595</v>
      </c>
      <c r="H147" s="7" t="s">
        <v>311</v>
      </c>
      <c r="I147" s="2" t="s">
        <v>515</v>
      </c>
      <c r="J147" s="2" t="s">
        <v>875</v>
      </c>
      <c r="K147" s="2" t="s">
        <v>304</v>
      </c>
      <c r="L147" s="2" t="s">
        <v>4196</v>
      </c>
      <c r="M147" s="8" t="str">
        <f>HYPERLINK("http://slimages.macys.com/is/image/MCY/11603707 ")</f>
        <v xml:space="preserve">http://slimages.macys.com/is/image/MCY/11603707 </v>
      </c>
    </row>
    <row r="148" spans="1:13" ht="60" x14ac:dyDescent="0.25">
      <c r="A148" s="7" t="s">
        <v>11977</v>
      </c>
      <c r="B148" s="2" t="s">
        <v>4002</v>
      </c>
      <c r="C148" s="4">
        <v>1</v>
      </c>
      <c r="D148" s="5">
        <v>7.55</v>
      </c>
      <c r="E148" s="5">
        <v>12.99</v>
      </c>
      <c r="F148" s="4" t="s">
        <v>4003</v>
      </c>
      <c r="G148" s="2" t="s">
        <v>36</v>
      </c>
      <c r="H148" s="7" t="s">
        <v>233</v>
      </c>
      <c r="I148" s="2" t="s">
        <v>153</v>
      </c>
      <c r="J148" s="2" t="s">
        <v>154</v>
      </c>
      <c r="K148" s="2" t="s">
        <v>304</v>
      </c>
      <c r="L148" s="2" t="s">
        <v>206</v>
      </c>
      <c r="M148" s="8" t="str">
        <f>HYPERLINK("http://slimages.macys.com/is/image/MCY/9644702 ")</f>
        <v xml:space="preserve">http://slimages.macys.com/is/image/MCY/9644702 </v>
      </c>
    </row>
    <row r="149" spans="1:13" ht="60" x14ac:dyDescent="0.25">
      <c r="A149" s="7" t="s">
        <v>11978</v>
      </c>
      <c r="B149" s="2" t="s">
        <v>3318</v>
      </c>
      <c r="C149" s="4">
        <v>1</v>
      </c>
      <c r="D149" s="5">
        <v>7.45</v>
      </c>
      <c r="E149" s="5">
        <v>16.989999999999998</v>
      </c>
      <c r="F149" s="4" t="s">
        <v>3319</v>
      </c>
      <c r="G149" s="2" t="s">
        <v>297</v>
      </c>
      <c r="H149" s="7" t="s">
        <v>284</v>
      </c>
      <c r="I149" s="2" t="s">
        <v>218</v>
      </c>
      <c r="J149" s="2" t="s">
        <v>1740</v>
      </c>
      <c r="K149" s="2" t="s">
        <v>304</v>
      </c>
      <c r="L149" s="2" t="s">
        <v>125</v>
      </c>
      <c r="M149" s="8" t="str">
        <f>HYPERLINK("http://slimages.macys.com/is/image/MCY/11483765 ")</f>
        <v xml:space="preserve">http://slimages.macys.com/is/image/MCY/11483765 </v>
      </c>
    </row>
    <row r="150" spans="1:13" ht="84" x14ac:dyDescent="0.25">
      <c r="A150" s="7" t="s">
        <v>11979</v>
      </c>
      <c r="B150" s="2" t="s">
        <v>4022</v>
      </c>
      <c r="C150" s="4">
        <v>1</v>
      </c>
      <c r="D150" s="5">
        <v>7.28</v>
      </c>
      <c r="E150" s="5">
        <v>16.989999999999998</v>
      </c>
      <c r="F150" s="4" t="s">
        <v>4023</v>
      </c>
      <c r="G150" s="2" t="s">
        <v>129</v>
      </c>
      <c r="H150" s="7" t="s">
        <v>166</v>
      </c>
      <c r="I150" s="2" t="s">
        <v>292</v>
      </c>
      <c r="J150" s="2" t="s">
        <v>354</v>
      </c>
      <c r="K150" s="2" t="s">
        <v>304</v>
      </c>
      <c r="L150" s="2" t="s">
        <v>11980</v>
      </c>
      <c r="M150" s="8" t="str">
        <f>HYPERLINK("http://slimages.macys.com/is/image/MCY/11526610 ")</f>
        <v xml:space="preserve">http://slimages.macys.com/is/image/MCY/11526610 </v>
      </c>
    </row>
    <row r="151" spans="1:13" ht="60" x14ac:dyDescent="0.25">
      <c r="A151" s="7" t="s">
        <v>11981</v>
      </c>
      <c r="B151" s="2" t="s">
        <v>11982</v>
      </c>
      <c r="C151" s="4">
        <v>1</v>
      </c>
      <c r="D151" s="5">
        <v>7.14</v>
      </c>
      <c r="E151" s="5">
        <v>16.989999999999998</v>
      </c>
      <c r="F151" s="4" t="s">
        <v>11983</v>
      </c>
      <c r="G151" s="2" t="s">
        <v>1265</v>
      </c>
      <c r="H151" s="7" t="s">
        <v>196</v>
      </c>
      <c r="I151" s="2" t="s">
        <v>515</v>
      </c>
      <c r="J151" s="2" t="s">
        <v>827</v>
      </c>
      <c r="K151" s="2" t="s">
        <v>304</v>
      </c>
      <c r="L151" s="2" t="s">
        <v>358</v>
      </c>
      <c r="M151" s="8" t="str">
        <f>HYPERLINK("http://slimages.macys.com/is/image/MCY/10410481 ")</f>
        <v xml:space="preserve">http://slimages.macys.com/is/image/MCY/10410481 </v>
      </c>
    </row>
    <row r="152" spans="1:13" ht="60" x14ac:dyDescent="0.25">
      <c r="A152" s="7" t="s">
        <v>11984</v>
      </c>
      <c r="B152" s="2" t="s">
        <v>11985</v>
      </c>
      <c r="C152" s="4">
        <v>1</v>
      </c>
      <c r="D152" s="5">
        <v>7.05</v>
      </c>
      <c r="E152" s="5">
        <v>14.1</v>
      </c>
      <c r="F152" s="4" t="s">
        <v>11986</v>
      </c>
      <c r="G152" s="2"/>
      <c r="H152" s="7" t="s">
        <v>68</v>
      </c>
      <c r="I152" s="2" t="s">
        <v>487</v>
      </c>
      <c r="J152" s="2" t="s">
        <v>488</v>
      </c>
      <c r="K152" s="2" t="s">
        <v>304</v>
      </c>
      <c r="L152" s="2" t="s">
        <v>119</v>
      </c>
      <c r="M152" s="8" t="str">
        <f>HYPERLINK("http://slimages.macys.com/is/image/MCY/11867740 ")</f>
        <v xml:space="preserve">http://slimages.macys.com/is/image/MCY/11867740 </v>
      </c>
    </row>
    <row r="153" spans="1:13" ht="60" x14ac:dyDescent="0.25">
      <c r="A153" s="7" t="s">
        <v>11534</v>
      </c>
      <c r="B153" s="2" t="s">
        <v>10501</v>
      </c>
      <c r="C153" s="4">
        <v>1</v>
      </c>
      <c r="D153" s="5">
        <v>7.05</v>
      </c>
      <c r="E153" s="5">
        <v>11.99</v>
      </c>
      <c r="F153" s="4" t="s">
        <v>10502</v>
      </c>
      <c r="G153" s="2" t="s">
        <v>36</v>
      </c>
      <c r="H153" s="7" t="s">
        <v>196</v>
      </c>
      <c r="I153" s="2" t="s">
        <v>73</v>
      </c>
      <c r="J153" s="2" t="s">
        <v>1917</v>
      </c>
      <c r="K153" s="2" t="s">
        <v>304</v>
      </c>
      <c r="L153" s="2" t="s">
        <v>125</v>
      </c>
      <c r="M153" s="8" t="str">
        <f>HYPERLINK("http://slimages.macys.com/is/image/MCY/12688490 ")</f>
        <v xml:space="preserve">http://slimages.macys.com/is/image/MCY/12688490 </v>
      </c>
    </row>
    <row r="154" spans="1:13" ht="96" x14ac:dyDescent="0.25">
      <c r="A154" s="7" t="s">
        <v>11987</v>
      </c>
      <c r="B154" s="2" t="s">
        <v>11027</v>
      </c>
      <c r="C154" s="4">
        <v>1</v>
      </c>
      <c r="D154" s="5">
        <v>7.05</v>
      </c>
      <c r="E154" s="5">
        <v>15.99</v>
      </c>
      <c r="F154" s="4" t="s">
        <v>11028</v>
      </c>
      <c r="G154" s="2" t="s">
        <v>297</v>
      </c>
      <c r="H154" s="7" t="s">
        <v>91</v>
      </c>
      <c r="I154" s="2" t="s">
        <v>153</v>
      </c>
      <c r="J154" s="2" t="s">
        <v>154</v>
      </c>
      <c r="K154" s="2" t="s">
        <v>304</v>
      </c>
      <c r="L154" s="2" t="s">
        <v>6237</v>
      </c>
      <c r="M154" s="8" t="str">
        <f>HYPERLINK("http://slimages.macys.com/is/image/MCY/11671954 ")</f>
        <v xml:space="preserve">http://slimages.macys.com/is/image/MCY/11671954 </v>
      </c>
    </row>
    <row r="155" spans="1:13" ht="60" x14ac:dyDescent="0.25">
      <c r="A155" s="7" t="s">
        <v>11988</v>
      </c>
      <c r="B155" s="2" t="s">
        <v>11989</v>
      </c>
      <c r="C155" s="4">
        <v>1</v>
      </c>
      <c r="D155" s="5">
        <v>7.05</v>
      </c>
      <c r="E155" s="5">
        <v>15.99</v>
      </c>
      <c r="F155" s="4" t="s">
        <v>11990</v>
      </c>
      <c r="G155" s="2"/>
      <c r="H155" s="7" t="s">
        <v>675</v>
      </c>
      <c r="I155" s="2" t="s">
        <v>153</v>
      </c>
      <c r="J155" s="2" t="s">
        <v>154</v>
      </c>
      <c r="K155" s="2" t="s">
        <v>304</v>
      </c>
      <c r="L155" s="2" t="s">
        <v>206</v>
      </c>
      <c r="M155" s="8" t="str">
        <f>HYPERLINK("http://slimages.macys.com/is/image/MCY/11671929 ")</f>
        <v xml:space="preserve">http://slimages.macys.com/is/image/MCY/11671929 </v>
      </c>
    </row>
    <row r="156" spans="1:13" ht="96" x14ac:dyDescent="0.25">
      <c r="A156" s="7" t="s">
        <v>11991</v>
      </c>
      <c r="B156" s="2" t="s">
        <v>8887</v>
      </c>
      <c r="C156" s="4">
        <v>1</v>
      </c>
      <c r="D156" s="5">
        <v>7.05</v>
      </c>
      <c r="E156" s="5">
        <v>15.99</v>
      </c>
      <c r="F156" s="4" t="s">
        <v>8888</v>
      </c>
      <c r="G156" s="2"/>
      <c r="H156" s="7" t="s">
        <v>675</v>
      </c>
      <c r="I156" s="2" t="s">
        <v>153</v>
      </c>
      <c r="J156" s="2" t="s">
        <v>154</v>
      </c>
      <c r="K156" s="2" t="s">
        <v>304</v>
      </c>
      <c r="L156" s="2" t="s">
        <v>439</v>
      </c>
      <c r="M156" s="8" t="str">
        <f>HYPERLINK("http://slimages.macys.com/is/image/MCY/11867709 ")</f>
        <v xml:space="preserve">http://slimages.macys.com/is/image/MCY/11867709 </v>
      </c>
    </row>
    <row r="157" spans="1:13" ht="120" x14ac:dyDescent="0.25">
      <c r="A157" s="7" t="s">
        <v>11992</v>
      </c>
      <c r="B157" s="2" t="s">
        <v>10919</v>
      </c>
      <c r="C157" s="4">
        <v>1</v>
      </c>
      <c r="D157" s="5">
        <v>7.05</v>
      </c>
      <c r="E157" s="5">
        <v>15.99</v>
      </c>
      <c r="F157" s="4" t="s">
        <v>11993</v>
      </c>
      <c r="G157" s="2" t="s">
        <v>28</v>
      </c>
      <c r="H157" s="7" t="s">
        <v>91</v>
      </c>
      <c r="I157" s="2" t="s">
        <v>153</v>
      </c>
      <c r="J157" s="2" t="s">
        <v>154</v>
      </c>
      <c r="K157" s="2" t="s">
        <v>304</v>
      </c>
      <c r="L157" s="2" t="s">
        <v>6255</v>
      </c>
      <c r="M157" s="8" t="str">
        <f>HYPERLINK("http://slimages.macys.com/is/image/MCY/11671923 ")</f>
        <v xml:space="preserve">http://slimages.macys.com/is/image/MCY/11671923 </v>
      </c>
    </row>
    <row r="158" spans="1:13" ht="108" x14ac:dyDescent="0.25">
      <c r="A158" s="7" t="s">
        <v>11994</v>
      </c>
      <c r="B158" s="2" t="s">
        <v>11995</v>
      </c>
      <c r="C158" s="4">
        <v>1</v>
      </c>
      <c r="D158" s="5">
        <v>7.05</v>
      </c>
      <c r="E158" s="5">
        <v>15.99</v>
      </c>
      <c r="F158" s="4" t="s">
        <v>11996</v>
      </c>
      <c r="G158" s="2" t="s">
        <v>48</v>
      </c>
      <c r="H158" s="7" t="s">
        <v>675</v>
      </c>
      <c r="I158" s="2" t="s">
        <v>153</v>
      </c>
      <c r="J158" s="2" t="s">
        <v>154</v>
      </c>
      <c r="K158" s="2" t="s">
        <v>304</v>
      </c>
      <c r="L158" s="2" t="s">
        <v>6825</v>
      </c>
      <c r="M158" s="8" t="str">
        <f>HYPERLINK("http://slimages.macys.com/is/image/MCY/11867613 ")</f>
        <v xml:space="preserve">http://slimages.macys.com/is/image/MCY/11867613 </v>
      </c>
    </row>
    <row r="159" spans="1:13" ht="60" x14ac:dyDescent="0.25">
      <c r="A159" s="7" t="s">
        <v>10503</v>
      </c>
      <c r="B159" s="2" t="s">
        <v>10501</v>
      </c>
      <c r="C159" s="4">
        <v>1</v>
      </c>
      <c r="D159" s="5">
        <v>7.05</v>
      </c>
      <c r="E159" s="5">
        <v>11.99</v>
      </c>
      <c r="F159" s="4" t="s">
        <v>10502</v>
      </c>
      <c r="G159" s="2" t="s">
        <v>36</v>
      </c>
      <c r="H159" s="7" t="s">
        <v>228</v>
      </c>
      <c r="I159" s="2" t="s">
        <v>73</v>
      </c>
      <c r="J159" s="2" t="s">
        <v>1917</v>
      </c>
      <c r="K159" s="2" t="s">
        <v>304</v>
      </c>
      <c r="L159" s="2" t="s">
        <v>125</v>
      </c>
      <c r="M159" s="8" t="str">
        <f>HYPERLINK("http://slimages.macys.com/is/image/MCY/12688490 ")</f>
        <v xml:space="preserve">http://slimages.macys.com/is/image/MCY/12688490 </v>
      </c>
    </row>
    <row r="160" spans="1:13" ht="144" x14ac:dyDescent="0.25">
      <c r="A160" s="7" t="s">
        <v>9520</v>
      </c>
      <c r="B160" s="2" t="s">
        <v>9521</v>
      </c>
      <c r="C160" s="4">
        <v>1</v>
      </c>
      <c r="D160" s="5">
        <v>7</v>
      </c>
      <c r="E160" s="5">
        <v>19.989999999999998</v>
      </c>
      <c r="F160" s="4" t="s">
        <v>9522</v>
      </c>
      <c r="G160" s="2" t="s">
        <v>41</v>
      </c>
      <c r="H160" s="7" t="s">
        <v>196</v>
      </c>
      <c r="I160" s="2" t="s">
        <v>342</v>
      </c>
      <c r="J160" s="2" t="s">
        <v>1589</v>
      </c>
      <c r="K160" s="2" t="s">
        <v>304</v>
      </c>
      <c r="L160" s="2" t="s">
        <v>9523</v>
      </c>
      <c r="M160" s="8" t="str">
        <f>HYPERLINK("http://slimages.macys.com/is/image/MCY/13294162 ")</f>
        <v xml:space="preserve">http://slimages.macys.com/is/image/MCY/13294162 </v>
      </c>
    </row>
    <row r="161" spans="1:13" ht="60" x14ac:dyDescent="0.25">
      <c r="A161" s="7" t="s">
        <v>11997</v>
      </c>
      <c r="B161" s="2" t="s">
        <v>11998</v>
      </c>
      <c r="C161" s="4">
        <v>1</v>
      </c>
      <c r="D161" s="5">
        <v>7</v>
      </c>
      <c r="E161" s="5">
        <v>14.99</v>
      </c>
      <c r="F161" s="4" t="s">
        <v>11999</v>
      </c>
      <c r="G161" s="2" t="s">
        <v>28</v>
      </c>
      <c r="H161" s="7"/>
      <c r="I161" s="2" t="s">
        <v>523</v>
      </c>
      <c r="J161" s="2" t="s">
        <v>5463</v>
      </c>
      <c r="K161" s="2" t="s">
        <v>304</v>
      </c>
      <c r="L161" s="2" t="s">
        <v>358</v>
      </c>
      <c r="M161" s="8" t="str">
        <f>HYPERLINK("http://slimages.macys.com/is/image/MCY/9336509 ")</f>
        <v xml:space="preserve">http://slimages.macys.com/is/image/MCY/9336509 </v>
      </c>
    </row>
    <row r="162" spans="1:13" ht="60" x14ac:dyDescent="0.25">
      <c r="A162" s="7" t="s">
        <v>971</v>
      </c>
      <c r="B162" s="2" t="s">
        <v>968</v>
      </c>
      <c r="C162" s="4">
        <v>1</v>
      </c>
      <c r="D162" s="5">
        <v>7</v>
      </c>
      <c r="E162" s="5">
        <v>14.99</v>
      </c>
      <c r="F162" s="4">
        <v>7135</v>
      </c>
      <c r="G162" s="2" t="s">
        <v>657</v>
      </c>
      <c r="H162" s="7" t="s">
        <v>284</v>
      </c>
      <c r="I162" s="2" t="s">
        <v>523</v>
      </c>
      <c r="J162" s="2" t="s">
        <v>969</v>
      </c>
      <c r="K162" s="2" t="s">
        <v>304</v>
      </c>
      <c r="L162" s="2" t="s">
        <v>970</v>
      </c>
      <c r="M162" s="8" t="str">
        <f>HYPERLINK("http://slimages.macys.com/is/image/MCY/13040252 ")</f>
        <v xml:space="preserve">http://slimages.macys.com/is/image/MCY/13040252 </v>
      </c>
    </row>
    <row r="163" spans="1:13" ht="72" x14ac:dyDescent="0.25">
      <c r="A163" s="7" t="s">
        <v>12000</v>
      </c>
      <c r="B163" s="2" t="s">
        <v>4914</v>
      </c>
      <c r="C163" s="4">
        <v>1</v>
      </c>
      <c r="D163" s="5">
        <v>6.95</v>
      </c>
      <c r="E163" s="5">
        <v>16.989999999999998</v>
      </c>
      <c r="F163" s="4" t="s">
        <v>12001</v>
      </c>
      <c r="G163" s="2" t="s">
        <v>86</v>
      </c>
      <c r="H163" s="7" t="s">
        <v>1151</v>
      </c>
      <c r="I163" s="2" t="s">
        <v>1689</v>
      </c>
      <c r="J163" s="2" t="s">
        <v>354</v>
      </c>
      <c r="K163" s="2" t="s">
        <v>304</v>
      </c>
      <c r="L163" s="2" t="s">
        <v>3142</v>
      </c>
      <c r="M163" s="8" t="str">
        <f>HYPERLINK("http://slimages.macys.com/is/image/MCY/12938486 ")</f>
        <v xml:space="preserve">http://slimages.macys.com/is/image/MCY/12938486 </v>
      </c>
    </row>
    <row r="164" spans="1:13" ht="60" x14ac:dyDescent="0.25">
      <c r="A164" s="7" t="s">
        <v>10059</v>
      </c>
      <c r="B164" s="2" t="s">
        <v>10060</v>
      </c>
      <c r="C164" s="4">
        <v>1</v>
      </c>
      <c r="D164" s="5">
        <v>6.95</v>
      </c>
      <c r="E164" s="5">
        <v>16.989999999999998</v>
      </c>
      <c r="F164" s="4" t="s">
        <v>10061</v>
      </c>
      <c r="G164" s="2" t="s">
        <v>62</v>
      </c>
      <c r="H164" s="7" t="s">
        <v>228</v>
      </c>
      <c r="I164" s="2" t="s">
        <v>218</v>
      </c>
      <c r="J164" s="2" t="s">
        <v>1740</v>
      </c>
      <c r="K164" s="2" t="s">
        <v>304</v>
      </c>
      <c r="L164" s="2" t="s">
        <v>125</v>
      </c>
      <c r="M164" s="8" t="str">
        <f>HYPERLINK("http://slimages.macys.com/is/image/MCY/12235574 ")</f>
        <v xml:space="preserve">http://slimages.macys.com/is/image/MCY/12235574 </v>
      </c>
    </row>
    <row r="165" spans="1:13" ht="60" x14ac:dyDescent="0.25">
      <c r="A165" s="7" t="s">
        <v>8268</v>
      </c>
      <c r="B165" s="2" t="s">
        <v>1750</v>
      </c>
      <c r="C165" s="4">
        <v>1</v>
      </c>
      <c r="D165" s="5">
        <v>6.93</v>
      </c>
      <c r="E165" s="5">
        <v>16.989999999999998</v>
      </c>
      <c r="F165" s="4" t="s">
        <v>1751</v>
      </c>
      <c r="G165" s="2" t="s">
        <v>297</v>
      </c>
      <c r="H165" s="7" t="s">
        <v>196</v>
      </c>
      <c r="I165" s="2" t="s">
        <v>515</v>
      </c>
      <c r="J165" s="2" t="s">
        <v>827</v>
      </c>
      <c r="K165" s="2" t="s">
        <v>304</v>
      </c>
      <c r="L165" s="2" t="s">
        <v>125</v>
      </c>
      <c r="M165" s="8" t="str">
        <f>HYPERLINK("http://slimages.macys.com/is/image/MCY/13119364 ")</f>
        <v xml:space="preserve">http://slimages.macys.com/is/image/MCY/13119364 </v>
      </c>
    </row>
    <row r="166" spans="1:13" ht="60" x14ac:dyDescent="0.25">
      <c r="A166" s="7" t="s">
        <v>8904</v>
      </c>
      <c r="B166" s="2" t="s">
        <v>2582</v>
      </c>
      <c r="C166" s="4">
        <v>1</v>
      </c>
      <c r="D166" s="5">
        <v>6.93</v>
      </c>
      <c r="E166" s="5">
        <v>19.5</v>
      </c>
      <c r="F166" s="4" t="s">
        <v>2583</v>
      </c>
      <c r="G166" s="2" t="s">
        <v>86</v>
      </c>
      <c r="H166" s="7"/>
      <c r="I166" s="2" t="s">
        <v>57</v>
      </c>
      <c r="J166" s="2" t="s">
        <v>58</v>
      </c>
      <c r="K166" s="2" t="s">
        <v>304</v>
      </c>
      <c r="L166" s="2" t="s">
        <v>87</v>
      </c>
      <c r="M166" s="8" t="str">
        <f>HYPERLINK("http://slimages.macys.com/is/image/MCY/8619272 ")</f>
        <v xml:space="preserve">http://slimages.macys.com/is/image/MCY/8619272 </v>
      </c>
    </row>
    <row r="167" spans="1:13" ht="60" x14ac:dyDescent="0.25">
      <c r="A167" s="7" t="s">
        <v>8909</v>
      </c>
      <c r="B167" s="2" t="s">
        <v>5403</v>
      </c>
      <c r="C167" s="4">
        <v>1</v>
      </c>
      <c r="D167" s="5">
        <v>6.88</v>
      </c>
      <c r="E167" s="5">
        <v>16.989999999999998</v>
      </c>
      <c r="F167" s="4" t="s">
        <v>5404</v>
      </c>
      <c r="G167" s="2" t="s">
        <v>62</v>
      </c>
      <c r="H167" s="7" t="s">
        <v>159</v>
      </c>
      <c r="I167" s="2" t="s">
        <v>515</v>
      </c>
      <c r="J167" s="2" t="s">
        <v>827</v>
      </c>
      <c r="K167" s="2" t="s">
        <v>304</v>
      </c>
      <c r="L167" s="2" t="s">
        <v>5405</v>
      </c>
      <c r="M167" s="8" t="str">
        <f>HYPERLINK("http://slimages.macys.com/is/image/MCY/12507660 ")</f>
        <v xml:space="preserve">http://slimages.macys.com/is/image/MCY/12507660 </v>
      </c>
    </row>
    <row r="168" spans="1:13" ht="60" x14ac:dyDescent="0.25">
      <c r="A168" s="7" t="s">
        <v>5929</v>
      </c>
      <c r="B168" s="2" t="s">
        <v>1772</v>
      </c>
      <c r="C168" s="4">
        <v>1</v>
      </c>
      <c r="D168" s="5">
        <v>6.85</v>
      </c>
      <c r="E168" s="5">
        <v>18</v>
      </c>
      <c r="F168" s="4" t="s">
        <v>1773</v>
      </c>
      <c r="G168" s="2" t="s">
        <v>79</v>
      </c>
      <c r="H168" s="7" t="s">
        <v>56</v>
      </c>
      <c r="I168" s="2" t="s">
        <v>468</v>
      </c>
      <c r="J168" s="2" t="s">
        <v>469</v>
      </c>
      <c r="K168" s="2" t="s">
        <v>304</v>
      </c>
      <c r="L168" s="2" t="s">
        <v>38</v>
      </c>
      <c r="M168" s="8" t="str">
        <f>HYPERLINK("http://slimages.macys.com/is/image/MCY/11959705 ")</f>
        <v xml:space="preserve">http://slimages.macys.com/is/image/MCY/11959705 </v>
      </c>
    </row>
    <row r="169" spans="1:13" ht="60" x14ac:dyDescent="0.25">
      <c r="A169" s="7" t="s">
        <v>12002</v>
      </c>
      <c r="B169" s="2" t="s">
        <v>1772</v>
      </c>
      <c r="C169" s="4">
        <v>1</v>
      </c>
      <c r="D169" s="5">
        <v>6.85</v>
      </c>
      <c r="E169" s="5">
        <v>18</v>
      </c>
      <c r="F169" s="4" t="s">
        <v>1773</v>
      </c>
      <c r="G169" s="2" t="s">
        <v>79</v>
      </c>
      <c r="H169" s="7" t="s">
        <v>172</v>
      </c>
      <c r="I169" s="2" t="s">
        <v>468</v>
      </c>
      <c r="J169" s="2" t="s">
        <v>469</v>
      </c>
      <c r="K169" s="2" t="s">
        <v>304</v>
      </c>
      <c r="L169" s="2" t="s">
        <v>38</v>
      </c>
      <c r="M169" s="8" t="str">
        <f>HYPERLINK("http://slimages.macys.com/is/image/MCY/11959705 ")</f>
        <v xml:space="preserve">http://slimages.macys.com/is/image/MCY/11959705 </v>
      </c>
    </row>
    <row r="170" spans="1:13" ht="60" x14ac:dyDescent="0.25">
      <c r="A170" s="7" t="s">
        <v>1771</v>
      </c>
      <c r="B170" s="2" t="s">
        <v>1772</v>
      </c>
      <c r="C170" s="4">
        <v>1</v>
      </c>
      <c r="D170" s="5">
        <v>6.85</v>
      </c>
      <c r="E170" s="5">
        <v>18</v>
      </c>
      <c r="F170" s="4" t="s">
        <v>1773</v>
      </c>
      <c r="G170" s="2" t="s">
        <v>79</v>
      </c>
      <c r="H170" s="7" t="s">
        <v>1411</v>
      </c>
      <c r="I170" s="2" t="s">
        <v>468</v>
      </c>
      <c r="J170" s="2" t="s">
        <v>469</v>
      </c>
      <c r="K170" s="2" t="s">
        <v>304</v>
      </c>
      <c r="L170" s="2" t="s">
        <v>38</v>
      </c>
      <c r="M170" s="8" t="str">
        <f>HYPERLINK("http://slimages.macys.com/is/image/MCY/11959705 ")</f>
        <v xml:space="preserve">http://slimages.macys.com/is/image/MCY/11959705 </v>
      </c>
    </row>
    <row r="171" spans="1:13" ht="60" x14ac:dyDescent="0.25">
      <c r="A171" s="7" t="s">
        <v>1770</v>
      </c>
      <c r="B171" s="2" t="s">
        <v>1768</v>
      </c>
      <c r="C171" s="4">
        <v>1</v>
      </c>
      <c r="D171" s="5">
        <v>6.85</v>
      </c>
      <c r="E171" s="5">
        <v>18</v>
      </c>
      <c r="F171" s="4" t="s">
        <v>1769</v>
      </c>
      <c r="G171" s="2" t="s">
        <v>48</v>
      </c>
      <c r="H171" s="7" t="s">
        <v>228</v>
      </c>
      <c r="I171" s="2" t="s">
        <v>468</v>
      </c>
      <c r="J171" s="2" t="s">
        <v>469</v>
      </c>
      <c r="K171" s="2" t="s">
        <v>304</v>
      </c>
      <c r="L171" s="2" t="s">
        <v>100</v>
      </c>
      <c r="M171" s="8" t="str">
        <f>HYPERLINK("http://slimages.macys.com/is/image/MCY/12809150 ")</f>
        <v xml:space="preserve">http://slimages.macys.com/is/image/MCY/12809150 </v>
      </c>
    </row>
    <row r="172" spans="1:13" ht="60" x14ac:dyDescent="0.25">
      <c r="A172" s="7" t="s">
        <v>1759</v>
      </c>
      <c r="B172" s="2" t="s">
        <v>993</v>
      </c>
      <c r="C172" s="4">
        <v>1</v>
      </c>
      <c r="D172" s="5">
        <v>6.85</v>
      </c>
      <c r="E172" s="5">
        <v>18</v>
      </c>
      <c r="F172" s="4" t="s">
        <v>994</v>
      </c>
      <c r="G172" s="2" t="s">
        <v>657</v>
      </c>
      <c r="H172" s="7" t="s">
        <v>284</v>
      </c>
      <c r="I172" s="2" t="s">
        <v>468</v>
      </c>
      <c r="J172" s="2" t="s">
        <v>469</v>
      </c>
      <c r="K172" s="2" t="s">
        <v>304</v>
      </c>
      <c r="L172" s="2" t="s">
        <v>537</v>
      </c>
      <c r="M172" s="8" t="str">
        <f>HYPERLINK("http://slimages.macys.com/is/image/MCY/13468835 ")</f>
        <v xml:space="preserve">http://slimages.macys.com/is/image/MCY/13468835 </v>
      </c>
    </row>
    <row r="173" spans="1:13" ht="60" x14ac:dyDescent="0.25">
      <c r="A173" s="7" t="s">
        <v>992</v>
      </c>
      <c r="B173" s="2" t="s">
        <v>993</v>
      </c>
      <c r="C173" s="4">
        <v>1</v>
      </c>
      <c r="D173" s="5">
        <v>6.85</v>
      </c>
      <c r="E173" s="5">
        <v>18</v>
      </c>
      <c r="F173" s="4" t="s">
        <v>994</v>
      </c>
      <c r="G173" s="2" t="s">
        <v>657</v>
      </c>
      <c r="H173" s="7" t="s">
        <v>159</v>
      </c>
      <c r="I173" s="2" t="s">
        <v>468</v>
      </c>
      <c r="J173" s="2" t="s">
        <v>469</v>
      </c>
      <c r="K173" s="2" t="s">
        <v>304</v>
      </c>
      <c r="L173" s="2" t="s">
        <v>537</v>
      </c>
      <c r="M173" s="8" t="str">
        <f>HYPERLINK("http://slimages.macys.com/is/image/MCY/13468835 ")</f>
        <v xml:space="preserve">http://slimages.macys.com/is/image/MCY/13468835 </v>
      </c>
    </row>
    <row r="174" spans="1:13" ht="60" x14ac:dyDescent="0.25">
      <c r="A174" s="7" t="s">
        <v>12003</v>
      </c>
      <c r="B174" s="2" t="s">
        <v>1772</v>
      </c>
      <c r="C174" s="4">
        <v>1</v>
      </c>
      <c r="D174" s="5">
        <v>6.85</v>
      </c>
      <c r="E174" s="5">
        <v>18</v>
      </c>
      <c r="F174" s="4" t="s">
        <v>1773</v>
      </c>
      <c r="G174" s="2" t="s">
        <v>79</v>
      </c>
      <c r="H174" s="7" t="s">
        <v>97</v>
      </c>
      <c r="I174" s="2" t="s">
        <v>468</v>
      </c>
      <c r="J174" s="2" t="s">
        <v>469</v>
      </c>
      <c r="K174" s="2" t="s">
        <v>304</v>
      </c>
      <c r="L174" s="2" t="s">
        <v>38</v>
      </c>
      <c r="M174" s="8" t="str">
        <f>HYPERLINK("http://slimages.macys.com/is/image/MCY/11959705 ")</f>
        <v xml:space="preserve">http://slimages.macys.com/is/image/MCY/11959705 </v>
      </c>
    </row>
    <row r="175" spans="1:13" ht="60" x14ac:dyDescent="0.25">
      <c r="A175" s="7" t="s">
        <v>9536</v>
      </c>
      <c r="B175" s="2" t="s">
        <v>9537</v>
      </c>
      <c r="C175" s="4">
        <v>1</v>
      </c>
      <c r="D175" s="5">
        <v>6.85</v>
      </c>
      <c r="E175" s="5">
        <v>18</v>
      </c>
      <c r="F175" s="4" t="s">
        <v>9538</v>
      </c>
      <c r="G175" s="2" t="s">
        <v>134</v>
      </c>
      <c r="H175" s="7" t="s">
        <v>179</v>
      </c>
      <c r="I175" s="2" t="s">
        <v>468</v>
      </c>
      <c r="J175" s="2" t="s">
        <v>469</v>
      </c>
      <c r="K175" s="2" t="s">
        <v>304</v>
      </c>
      <c r="L175" s="2" t="s">
        <v>38</v>
      </c>
      <c r="M175" s="8" t="str">
        <f>HYPERLINK("http://slimages.macys.com/is/image/MCY/12036953 ")</f>
        <v xml:space="preserve">http://slimages.macys.com/is/image/MCY/12036953 </v>
      </c>
    </row>
    <row r="176" spans="1:13" ht="60" x14ac:dyDescent="0.25">
      <c r="A176" s="7" t="s">
        <v>12004</v>
      </c>
      <c r="B176" s="2" t="s">
        <v>1772</v>
      </c>
      <c r="C176" s="4">
        <v>1</v>
      </c>
      <c r="D176" s="5">
        <v>6.85</v>
      </c>
      <c r="E176" s="5">
        <v>18</v>
      </c>
      <c r="F176" s="4" t="s">
        <v>1773</v>
      </c>
      <c r="G176" s="2" t="s">
        <v>79</v>
      </c>
      <c r="H176" s="7" t="s">
        <v>179</v>
      </c>
      <c r="I176" s="2" t="s">
        <v>468</v>
      </c>
      <c r="J176" s="2" t="s">
        <v>469</v>
      </c>
      <c r="K176" s="2" t="s">
        <v>304</v>
      </c>
      <c r="L176" s="2" t="s">
        <v>38</v>
      </c>
      <c r="M176" s="8" t="str">
        <f>HYPERLINK("http://slimages.macys.com/is/image/MCY/11959705 ")</f>
        <v xml:space="preserve">http://slimages.macys.com/is/image/MCY/11959705 </v>
      </c>
    </row>
    <row r="177" spans="1:13" ht="60" x14ac:dyDescent="0.25">
      <c r="A177" s="7" t="s">
        <v>5406</v>
      </c>
      <c r="B177" s="2" t="s">
        <v>466</v>
      </c>
      <c r="C177" s="4">
        <v>1</v>
      </c>
      <c r="D177" s="5">
        <v>6.85</v>
      </c>
      <c r="E177" s="5">
        <v>18</v>
      </c>
      <c r="F177" s="4" t="s">
        <v>467</v>
      </c>
      <c r="G177" s="2" t="s">
        <v>62</v>
      </c>
      <c r="H177" s="7" t="s">
        <v>1411</v>
      </c>
      <c r="I177" s="2" t="s">
        <v>468</v>
      </c>
      <c r="J177" s="2" t="s">
        <v>469</v>
      </c>
      <c r="K177" s="2" t="s">
        <v>304</v>
      </c>
      <c r="L177" s="2" t="s">
        <v>206</v>
      </c>
      <c r="M177" s="8" t="str">
        <f>HYPERLINK("http://slimages.macys.com/is/image/MCY/11640093 ")</f>
        <v xml:space="preserve">http://slimages.macys.com/is/image/MCY/11640093 </v>
      </c>
    </row>
    <row r="178" spans="1:13" ht="60" x14ac:dyDescent="0.25">
      <c r="A178" s="7" t="s">
        <v>1758</v>
      </c>
      <c r="B178" s="2" t="s">
        <v>466</v>
      </c>
      <c r="C178" s="4">
        <v>1</v>
      </c>
      <c r="D178" s="5">
        <v>6.85</v>
      </c>
      <c r="E178" s="5">
        <v>18</v>
      </c>
      <c r="F178" s="4" t="s">
        <v>467</v>
      </c>
      <c r="G178" s="2" t="s">
        <v>62</v>
      </c>
      <c r="H178" s="7" t="s">
        <v>97</v>
      </c>
      <c r="I178" s="2" t="s">
        <v>468</v>
      </c>
      <c r="J178" s="2" t="s">
        <v>469</v>
      </c>
      <c r="K178" s="2" t="s">
        <v>304</v>
      </c>
      <c r="L178" s="2" t="s">
        <v>206</v>
      </c>
      <c r="M178" s="8" t="str">
        <f>HYPERLINK("http://slimages.macys.com/is/image/MCY/11640093 ")</f>
        <v xml:space="preserve">http://slimages.macys.com/is/image/MCY/11640093 </v>
      </c>
    </row>
    <row r="179" spans="1:13" ht="60" x14ac:dyDescent="0.25">
      <c r="A179" s="7" t="s">
        <v>8912</v>
      </c>
      <c r="B179" s="2" t="s">
        <v>466</v>
      </c>
      <c r="C179" s="4">
        <v>1</v>
      </c>
      <c r="D179" s="5">
        <v>6.85</v>
      </c>
      <c r="E179" s="5">
        <v>18</v>
      </c>
      <c r="F179" s="4" t="s">
        <v>467</v>
      </c>
      <c r="G179" s="2" t="s">
        <v>62</v>
      </c>
      <c r="H179" s="7" t="s">
        <v>177</v>
      </c>
      <c r="I179" s="2" t="s">
        <v>468</v>
      </c>
      <c r="J179" s="2" t="s">
        <v>469</v>
      </c>
      <c r="K179" s="2" t="s">
        <v>304</v>
      </c>
      <c r="L179" s="2" t="s">
        <v>206</v>
      </c>
      <c r="M179" s="8" t="str">
        <f>HYPERLINK("http://slimages.macys.com/is/image/MCY/11640093 ")</f>
        <v xml:space="preserve">http://slimages.macys.com/is/image/MCY/11640093 </v>
      </c>
    </row>
    <row r="180" spans="1:13" ht="60" x14ac:dyDescent="0.25">
      <c r="A180" s="7" t="s">
        <v>2584</v>
      </c>
      <c r="B180" s="2" t="s">
        <v>466</v>
      </c>
      <c r="C180" s="4">
        <v>1</v>
      </c>
      <c r="D180" s="5">
        <v>6.85</v>
      </c>
      <c r="E180" s="5">
        <v>18</v>
      </c>
      <c r="F180" s="4" t="s">
        <v>467</v>
      </c>
      <c r="G180" s="2" t="s">
        <v>62</v>
      </c>
      <c r="H180" s="7" t="s">
        <v>179</v>
      </c>
      <c r="I180" s="2" t="s">
        <v>468</v>
      </c>
      <c r="J180" s="2" t="s">
        <v>469</v>
      </c>
      <c r="K180" s="2" t="s">
        <v>304</v>
      </c>
      <c r="L180" s="2" t="s">
        <v>206</v>
      </c>
      <c r="M180" s="8" t="str">
        <f>HYPERLINK("http://slimages.macys.com/is/image/MCY/11640093 ")</f>
        <v xml:space="preserve">http://slimages.macys.com/is/image/MCY/11640093 </v>
      </c>
    </row>
    <row r="181" spans="1:13" ht="60" x14ac:dyDescent="0.25">
      <c r="A181" s="7" t="s">
        <v>11542</v>
      </c>
      <c r="B181" s="2" t="s">
        <v>466</v>
      </c>
      <c r="C181" s="4">
        <v>1</v>
      </c>
      <c r="D181" s="5">
        <v>6.85</v>
      </c>
      <c r="E181" s="5">
        <v>18</v>
      </c>
      <c r="F181" s="4" t="s">
        <v>467</v>
      </c>
      <c r="G181" s="2" t="s">
        <v>62</v>
      </c>
      <c r="H181" s="7" t="s">
        <v>2740</v>
      </c>
      <c r="I181" s="2" t="s">
        <v>468</v>
      </c>
      <c r="J181" s="2" t="s">
        <v>469</v>
      </c>
      <c r="K181" s="2" t="s">
        <v>304</v>
      </c>
      <c r="L181" s="2" t="s">
        <v>206</v>
      </c>
      <c r="M181" s="8" t="str">
        <f>HYPERLINK("http://slimages.macys.com/is/image/MCY/11640093 ")</f>
        <v xml:space="preserve">http://slimages.macys.com/is/image/MCY/11640093 </v>
      </c>
    </row>
    <row r="182" spans="1:13" ht="60" x14ac:dyDescent="0.25">
      <c r="A182" s="7" t="s">
        <v>5413</v>
      </c>
      <c r="B182" s="2" t="s">
        <v>993</v>
      </c>
      <c r="C182" s="4">
        <v>1</v>
      </c>
      <c r="D182" s="5">
        <v>6.85</v>
      </c>
      <c r="E182" s="5">
        <v>18</v>
      </c>
      <c r="F182" s="4" t="s">
        <v>994</v>
      </c>
      <c r="G182" s="2" t="s">
        <v>657</v>
      </c>
      <c r="H182" s="7" t="s">
        <v>217</v>
      </c>
      <c r="I182" s="2" t="s">
        <v>468</v>
      </c>
      <c r="J182" s="2" t="s">
        <v>469</v>
      </c>
      <c r="K182" s="2" t="s">
        <v>304</v>
      </c>
      <c r="L182" s="2" t="s">
        <v>537</v>
      </c>
      <c r="M182" s="8" t="str">
        <f>HYPERLINK("http://slimages.macys.com/is/image/MCY/13468835 ")</f>
        <v xml:space="preserve">http://slimages.macys.com/is/image/MCY/13468835 </v>
      </c>
    </row>
    <row r="183" spans="1:13" ht="60" x14ac:dyDescent="0.25">
      <c r="A183" s="7" t="s">
        <v>1775</v>
      </c>
      <c r="B183" s="2" t="s">
        <v>1776</v>
      </c>
      <c r="C183" s="4">
        <v>1</v>
      </c>
      <c r="D183" s="5">
        <v>6.84</v>
      </c>
      <c r="E183" s="5">
        <v>19.989999999999998</v>
      </c>
      <c r="F183" s="4" t="s">
        <v>1777</v>
      </c>
      <c r="G183" s="2" t="s">
        <v>388</v>
      </c>
      <c r="H183" s="7" t="s">
        <v>514</v>
      </c>
      <c r="I183" s="2" t="s">
        <v>1689</v>
      </c>
      <c r="J183" s="2" t="s">
        <v>354</v>
      </c>
      <c r="K183" s="2" t="s">
        <v>304</v>
      </c>
      <c r="L183" s="2" t="s">
        <v>390</v>
      </c>
      <c r="M183" s="8" t="str">
        <f>HYPERLINK("http://slimages.macys.com/is/image/MCY/12890114 ")</f>
        <v xml:space="preserve">http://slimages.macys.com/is/image/MCY/12890114 </v>
      </c>
    </row>
    <row r="184" spans="1:13" ht="60" x14ac:dyDescent="0.25">
      <c r="A184" s="7" t="s">
        <v>1779</v>
      </c>
      <c r="B184" s="2" t="s">
        <v>1776</v>
      </c>
      <c r="C184" s="4">
        <v>1</v>
      </c>
      <c r="D184" s="5">
        <v>6.84</v>
      </c>
      <c r="E184" s="5">
        <v>19.989999999999998</v>
      </c>
      <c r="F184" s="4" t="s">
        <v>1777</v>
      </c>
      <c r="G184" s="2" t="s">
        <v>388</v>
      </c>
      <c r="H184" s="7" t="s">
        <v>311</v>
      </c>
      <c r="I184" s="2" t="s">
        <v>1689</v>
      </c>
      <c r="J184" s="2" t="s">
        <v>354</v>
      </c>
      <c r="K184" s="2" t="s">
        <v>304</v>
      </c>
      <c r="L184" s="2" t="s">
        <v>390</v>
      </c>
      <c r="M184" s="8" t="str">
        <f>HYPERLINK("http://slimages.macys.com/is/image/MCY/12890114 ")</f>
        <v xml:space="preserve">http://slimages.macys.com/is/image/MCY/12890114 </v>
      </c>
    </row>
    <row r="185" spans="1:13" ht="60" x14ac:dyDescent="0.25">
      <c r="A185" s="7" t="s">
        <v>7549</v>
      </c>
      <c r="B185" s="2" t="s">
        <v>2589</v>
      </c>
      <c r="C185" s="4">
        <v>1</v>
      </c>
      <c r="D185" s="5">
        <v>6.81</v>
      </c>
      <c r="E185" s="5">
        <v>16.989999999999998</v>
      </c>
      <c r="F185" s="4" t="s">
        <v>2590</v>
      </c>
      <c r="G185" s="2" t="s">
        <v>48</v>
      </c>
      <c r="H185" s="7" t="s">
        <v>159</v>
      </c>
      <c r="I185" s="2" t="s">
        <v>515</v>
      </c>
      <c r="J185" s="2" t="s">
        <v>827</v>
      </c>
      <c r="K185" s="2" t="s">
        <v>304</v>
      </c>
      <c r="L185" s="2" t="s">
        <v>358</v>
      </c>
      <c r="M185" s="8" t="str">
        <f>HYPERLINK("http://slimages.macys.com/is/image/MCY/12507563 ")</f>
        <v xml:space="preserve">http://slimages.macys.com/is/image/MCY/12507563 </v>
      </c>
    </row>
    <row r="186" spans="1:13" ht="60" x14ac:dyDescent="0.25">
      <c r="A186" s="7" t="s">
        <v>8916</v>
      </c>
      <c r="B186" s="2" t="s">
        <v>2589</v>
      </c>
      <c r="C186" s="4">
        <v>1</v>
      </c>
      <c r="D186" s="5">
        <v>6.81</v>
      </c>
      <c r="E186" s="5">
        <v>16.989999999999998</v>
      </c>
      <c r="F186" s="4" t="s">
        <v>2590</v>
      </c>
      <c r="G186" s="2" t="s">
        <v>36</v>
      </c>
      <c r="H186" s="7" t="s">
        <v>196</v>
      </c>
      <c r="I186" s="2" t="s">
        <v>515</v>
      </c>
      <c r="J186" s="2" t="s">
        <v>827</v>
      </c>
      <c r="K186" s="2" t="s">
        <v>304</v>
      </c>
      <c r="L186" s="2" t="s">
        <v>358</v>
      </c>
      <c r="M186" s="8" t="str">
        <f>HYPERLINK("http://slimages.macys.com/is/image/MCY/12507563 ")</f>
        <v xml:space="preserve">http://slimages.macys.com/is/image/MCY/12507563 </v>
      </c>
    </row>
    <row r="187" spans="1:13" ht="132" x14ac:dyDescent="0.25">
      <c r="A187" s="7" t="s">
        <v>12005</v>
      </c>
      <c r="B187" s="2" t="s">
        <v>1782</v>
      </c>
      <c r="C187" s="4">
        <v>1</v>
      </c>
      <c r="D187" s="5">
        <v>6.8</v>
      </c>
      <c r="E187" s="5">
        <v>14.99</v>
      </c>
      <c r="F187" s="4" t="s">
        <v>1783</v>
      </c>
      <c r="G187" s="2" t="s">
        <v>62</v>
      </c>
      <c r="H187" s="7" t="s">
        <v>159</v>
      </c>
      <c r="I187" s="2" t="s">
        <v>515</v>
      </c>
      <c r="J187" s="2" t="s">
        <v>827</v>
      </c>
      <c r="K187" s="2" t="s">
        <v>304</v>
      </c>
      <c r="L187" s="2" t="s">
        <v>1784</v>
      </c>
      <c r="M187" s="8" t="str">
        <f>HYPERLINK("http://slimages.macys.com/is/image/MCY/13119046 ")</f>
        <v xml:space="preserve">http://slimages.macys.com/is/image/MCY/13119046 </v>
      </c>
    </row>
    <row r="188" spans="1:13" ht="60" x14ac:dyDescent="0.25">
      <c r="A188" s="7" t="s">
        <v>9544</v>
      </c>
      <c r="B188" s="2" t="s">
        <v>996</v>
      </c>
      <c r="C188" s="4">
        <v>1</v>
      </c>
      <c r="D188" s="5">
        <v>6.78</v>
      </c>
      <c r="E188" s="5">
        <v>14.99</v>
      </c>
      <c r="F188" s="4" t="s">
        <v>997</v>
      </c>
      <c r="G188" s="2" t="s">
        <v>48</v>
      </c>
      <c r="H188" s="7" t="s">
        <v>123</v>
      </c>
      <c r="I188" s="2" t="s">
        <v>515</v>
      </c>
      <c r="J188" s="2" t="s">
        <v>516</v>
      </c>
      <c r="K188" s="2" t="s">
        <v>304</v>
      </c>
      <c r="L188" s="2" t="s">
        <v>358</v>
      </c>
      <c r="M188" s="8" t="str">
        <f>HYPERLINK("http://slimages.macys.com/is/image/MCY/12953242 ")</f>
        <v xml:space="preserve">http://slimages.macys.com/is/image/MCY/12953242 </v>
      </c>
    </row>
    <row r="189" spans="1:13" ht="60" x14ac:dyDescent="0.25">
      <c r="A189" s="7" t="s">
        <v>12006</v>
      </c>
      <c r="B189" s="2" t="s">
        <v>11558</v>
      </c>
      <c r="C189" s="4">
        <v>1</v>
      </c>
      <c r="D189" s="5">
        <v>6.75</v>
      </c>
      <c r="E189" s="5">
        <v>21.99</v>
      </c>
      <c r="F189" s="4" t="s">
        <v>11559</v>
      </c>
      <c r="G189" s="2" t="s">
        <v>310</v>
      </c>
      <c r="H189" s="7" t="s">
        <v>144</v>
      </c>
      <c r="I189" s="2" t="s">
        <v>342</v>
      </c>
      <c r="J189" s="2" t="s">
        <v>362</v>
      </c>
      <c r="K189" s="2" t="s">
        <v>304</v>
      </c>
      <c r="L189" s="2" t="s">
        <v>3935</v>
      </c>
      <c r="M189" s="8" t="str">
        <f>HYPERLINK("http://slimages.macys.com/is/image/MCY/12227577 ")</f>
        <v xml:space="preserve">http://slimages.macys.com/is/image/MCY/12227577 </v>
      </c>
    </row>
    <row r="190" spans="1:13" ht="120" x14ac:dyDescent="0.25">
      <c r="A190" s="7" t="s">
        <v>12007</v>
      </c>
      <c r="B190" s="2" t="s">
        <v>12008</v>
      </c>
      <c r="C190" s="4">
        <v>1</v>
      </c>
      <c r="D190" s="5">
        <v>6.75</v>
      </c>
      <c r="E190" s="5">
        <v>18</v>
      </c>
      <c r="F190" s="4">
        <v>7122</v>
      </c>
      <c r="G190" s="2" t="s">
        <v>41</v>
      </c>
      <c r="H190" s="7" t="s">
        <v>228</v>
      </c>
      <c r="I190" s="2" t="s">
        <v>43</v>
      </c>
      <c r="J190" s="2" t="s">
        <v>44</v>
      </c>
      <c r="K190" s="2" t="s">
        <v>304</v>
      </c>
      <c r="L190" s="2" t="s">
        <v>12009</v>
      </c>
      <c r="M190" s="8" t="str">
        <f>HYPERLINK("http://slimages.macys.com/is/image/MCY/694346 ")</f>
        <v xml:space="preserve">http://slimages.macys.com/is/image/MCY/694346 </v>
      </c>
    </row>
    <row r="191" spans="1:13" ht="96" x14ac:dyDescent="0.25">
      <c r="A191" s="7" t="s">
        <v>2595</v>
      </c>
      <c r="B191" s="2" t="s">
        <v>2596</v>
      </c>
      <c r="C191" s="4">
        <v>1</v>
      </c>
      <c r="D191" s="5">
        <v>6.75</v>
      </c>
      <c r="E191" s="5">
        <v>16.989999999999998</v>
      </c>
      <c r="F191" s="4" t="s">
        <v>2597</v>
      </c>
      <c r="G191" s="2" t="s">
        <v>41</v>
      </c>
      <c r="H191" s="7"/>
      <c r="I191" s="2" t="s">
        <v>321</v>
      </c>
      <c r="J191" s="2" t="s">
        <v>477</v>
      </c>
      <c r="K191" s="2" t="s">
        <v>304</v>
      </c>
      <c r="L191" s="2" t="s">
        <v>1516</v>
      </c>
      <c r="M191" s="8" t="str">
        <f>HYPERLINK("http://slimages.macys.com/is/image/MCY/13860422 ")</f>
        <v xml:space="preserve">http://slimages.macys.com/is/image/MCY/13860422 </v>
      </c>
    </row>
    <row r="192" spans="1:13" ht="96" x14ac:dyDescent="0.25">
      <c r="A192" s="7" t="s">
        <v>5436</v>
      </c>
      <c r="B192" s="2" t="s">
        <v>5437</v>
      </c>
      <c r="C192" s="4">
        <v>1</v>
      </c>
      <c r="D192" s="5">
        <v>6.72</v>
      </c>
      <c r="E192" s="5">
        <v>24</v>
      </c>
      <c r="F192" s="4">
        <v>344624</v>
      </c>
      <c r="G192" s="2" t="s">
        <v>134</v>
      </c>
      <c r="H192" s="7" t="s">
        <v>49</v>
      </c>
      <c r="I192" s="2" t="s">
        <v>50</v>
      </c>
      <c r="J192" s="2" t="s">
        <v>787</v>
      </c>
      <c r="K192" s="2" t="s">
        <v>304</v>
      </c>
      <c r="L192" s="2" t="s">
        <v>851</v>
      </c>
      <c r="M192" s="8" t="str">
        <f>HYPERLINK("http://slimages.macys.com/is/image/MCY/11993622 ")</f>
        <v xml:space="preserve">http://slimages.macys.com/is/image/MCY/11993622 </v>
      </c>
    </row>
    <row r="193" spans="1:13" ht="60" x14ac:dyDescent="0.25">
      <c r="A193" s="7" t="s">
        <v>12010</v>
      </c>
      <c r="B193" s="2" t="s">
        <v>9485</v>
      </c>
      <c r="C193" s="4">
        <v>1</v>
      </c>
      <c r="D193" s="5">
        <v>6.7</v>
      </c>
      <c r="E193" s="5">
        <v>16.989999999999998</v>
      </c>
      <c r="F193" s="4" t="s">
        <v>12011</v>
      </c>
      <c r="G193" s="2" t="s">
        <v>595</v>
      </c>
      <c r="H193" s="7" t="s">
        <v>228</v>
      </c>
      <c r="I193" s="2" t="s">
        <v>515</v>
      </c>
      <c r="J193" s="2" t="s">
        <v>827</v>
      </c>
      <c r="K193" s="2" t="s">
        <v>304</v>
      </c>
      <c r="L193" s="2" t="s">
        <v>358</v>
      </c>
      <c r="M193" s="8" t="str">
        <f>HYPERLINK("http://slimages.macys.com/is/image/MCY/12052333 ")</f>
        <v xml:space="preserve">http://slimages.macys.com/is/image/MCY/12052333 </v>
      </c>
    </row>
    <row r="194" spans="1:13" ht="60" x14ac:dyDescent="0.25">
      <c r="A194" s="7" t="s">
        <v>12012</v>
      </c>
      <c r="B194" s="2" t="s">
        <v>10519</v>
      </c>
      <c r="C194" s="4">
        <v>1</v>
      </c>
      <c r="D194" s="5">
        <v>6.62</v>
      </c>
      <c r="E194" s="5">
        <v>16.989999999999998</v>
      </c>
      <c r="F194" s="4" t="s">
        <v>10520</v>
      </c>
      <c r="G194" s="2" t="s">
        <v>103</v>
      </c>
      <c r="H194" s="7" t="s">
        <v>196</v>
      </c>
      <c r="I194" s="2" t="s">
        <v>389</v>
      </c>
      <c r="J194" s="2" t="s">
        <v>354</v>
      </c>
      <c r="K194" s="2" t="s">
        <v>304</v>
      </c>
      <c r="L194" s="2" t="s">
        <v>38</v>
      </c>
      <c r="M194" s="8" t="str">
        <f>HYPERLINK("http://slimages.macys.com/is/image/MCY/12655106 ")</f>
        <v xml:space="preserve">http://slimages.macys.com/is/image/MCY/12655106 </v>
      </c>
    </row>
    <row r="195" spans="1:13" ht="60" x14ac:dyDescent="0.25">
      <c r="A195" s="7" t="s">
        <v>12013</v>
      </c>
      <c r="B195" s="2" t="s">
        <v>12014</v>
      </c>
      <c r="C195" s="4">
        <v>1</v>
      </c>
      <c r="D195" s="5">
        <v>6.57</v>
      </c>
      <c r="E195" s="5">
        <v>16.989999999999998</v>
      </c>
      <c r="F195" s="4" t="s">
        <v>12015</v>
      </c>
      <c r="G195" s="2" t="s">
        <v>171</v>
      </c>
      <c r="H195" s="7" t="s">
        <v>228</v>
      </c>
      <c r="I195" s="2" t="s">
        <v>389</v>
      </c>
      <c r="J195" s="2" t="s">
        <v>354</v>
      </c>
      <c r="K195" s="2" t="s">
        <v>304</v>
      </c>
      <c r="L195" s="2" t="s">
        <v>358</v>
      </c>
      <c r="M195" s="8" t="str">
        <f>HYPERLINK("http://slimages.macys.com/is/image/MCY/11777055 ")</f>
        <v xml:space="preserve">http://slimages.macys.com/is/image/MCY/11777055 </v>
      </c>
    </row>
    <row r="196" spans="1:13" ht="72" x14ac:dyDescent="0.25">
      <c r="A196" s="7" t="s">
        <v>12016</v>
      </c>
      <c r="B196" s="2" t="s">
        <v>12017</v>
      </c>
      <c r="C196" s="4">
        <v>1</v>
      </c>
      <c r="D196" s="5">
        <v>6.4</v>
      </c>
      <c r="E196" s="5">
        <v>14.55</v>
      </c>
      <c r="F196" s="4">
        <v>17959710</v>
      </c>
      <c r="G196" s="2"/>
      <c r="H196" s="7" t="s">
        <v>675</v>
      </c>
      <c r="I196" s="2" t="s">
        <v>153</v>
      </c>
      <c r="J196" s="2" t="s">
        <v>154</v>
      </c>
      <c r="K196" s="2" t="s">
        <v>304</v>
      </c>
      <c r="L196" s="2" t="s">
        <v>3368</v>
      </c>
      <c r="M196" s="8" t="str">
        <f>HYPERLINK("http://slimages.macys.com/is/image/MCY/13341437 ")</f>
        <v xml:space="preserve">http://slimages.macys.com/is/image/MCY/13341437 </v>
      </c>
    </row>
    <row r="197" spans="1:13" ht="60" x14ac:dyDescent="0.25">
      <c r="A197" s="7" t="s">
        <v>12018</v>
      </c>
      <c r="B197" s="2" t="s">
        <v>2604</v>
      </c>
      <c r="C197" s="4">
        <v>1</v>
      </c>
      <c r="D197" s="5">
        <v>6.35</v>
      </c>
      <c r="E197" s="5">
        <v>12.7</v>
      </c>
      <c r="F197" s="4" t="s">
        <v>12019</v>
      </c>
      <c r="G197" s="2" t="s">
        <v>28</v>
      </c>
      <c r="H197" s="7" t="s">
        <v>144</v>
      </c>
      <c r="I197" s="2" t="s">
        <v>487</v>
      </c>
      <c r="J197" s="2" t="s">
        <v>488</v>
      </c>
      <c r="K197" s="2" t="s">
        <v>304</v>
      </c>
      <c r="L197" s="2" t="s">
        <v>38</v>
      </c>
      <c r="M197" s="8" t="str">
        <f>HYPERLINK("http://slimages.macys.com/is/image/MCY/11867646 ")</f>
        <v xml:space="preserve">http://slimages.macys.com/is/image/MCY/11867646 </v>
      </c>
    </row>
    <row r="198" spans="1:13" ht="132" x14ac:dyDescent="0.25">
      <c r="A198" s="7" t="s">
        <v>12020</v>
      </c>
      <c r="B198" s="2" t="s">
        <v>1782</v>
      </c>
      <c r="C198" s="4">
        <v>1</v>
      </c>
      <c r="D198" s="5">
        <v>6.33</v>
      </c>
      <c r="E198" s="5">
        <v>12.99</v>
      </c>
      <c r="F198" s="4" t="s">
        <v>9568</v>
      </c>
      <c r="G198" s="2" t="s">
        <v>62</v>
      </c>
      <c r="H198" s="7" t="s">
        <v>578</v>
      </c>
      <c r="I198" s="2" t="s">
        <v>515</v>
      </c>
      <c r="J198" s="2" t="s">
        <v>516</v>
      </c>
      <c r="K198" s="2" t="s">
        <v>304</v>
      </c>
      <c r="L198" s="2" t="s">
        <v>1784</v>
      </c>
      <c r="M198" s="8" t="str">
        <f>HYPERLINK("http://slimages.macys.com/is/image/MCY/12387468 ")</f>
        <v xml:space="preserve">http://slimages.macys.com/is/image/MCY/12387468 </v>
      </c>
    </row>
    <row r="199" spans="1:13" ht="60" x14ac:dyDescent="0.25">
      <c r="A199" s="7" t="s">
        <v>12021</v>
      </c>
      <c r="B199" s="2" t="s">
        <v>12022</v>
      </c>
      <c r="C199" s="4">
        <v>1</v>
      </c>
      <c r="D199" s="5">
        <v>6.3</v>
      </c>
      <c r="E199" s="5">
        <v>12.6</v>
      </c>
      <c r="F199" s="4" t="s">
        <v>12023</v>
      </c>
      <c r="G199" s="2" t="s">
        <v>41</v>
      </c>
      <c r="H199" s="7" t="s">
        <v>144</v>
      </c>
      <c r="I199" s="2" t="s">
        <v>487</v>
      </c>
      <c r="J199" s="2" t="s">
        <v>488</v>
      </c>
      <c r="K199" s="2" t="s">
        <v>304</v>
      </c>
      <c r="L199" s="2" t="s">
        <v>206</v>
      </c>
      <c r="M199" s="8" t="str">
        <f>HYPERLINK("http://slimages.macys.com/is/image/MCY/12236264 ")</f>
        <v xml:space="preserve">http://slimages.macys.com/is/image/MCY/12236264 </v>
      </c>
    </row>
    <row r="200" spans="1:13" ht="60" x14ac:dyDescent="0.25">
      <c r="A200" s="7" t="s">
        <v>12024</v>
      </c>
      <c r="B200" s="2" t="s">
        <v>5462</v>
      </c>
      <c r="C200" s="4">
        <v>1</v>
      </c>
      <c r="D200" s="5">
        <v>6.25</v>
      </c>
      <c r="E200" s="5">
        <v>12.99</v>
      </c>
      <c r="F200" s="4">
        <v>5137</v>
      </c>
      <c r="G200" s="2" t="s">
        <v>28</v>
      </c>
      <c r="H200" s="7"/>
      <c r="I200" s="2" t="s">
        <v>523</v>
      </c>
      <c r="J200" s="2" t="s">
        <v>5463</v>
      </c>
      <c r="K200" s="2" t="s">
        <v>304</v>
      </c>
      <c r="L200" s="2" t="s">
        <v>100</v>
      </c>
      <c r="M200" s="8" t="str">
        <f>HYPERLINK("http://slimages.macys.com/is/image/MCY/13040167 ")</f>
        <v xml:space="preserve">http://slimages.macys.com/is/image/MCY/13040167 </v>
      </c>
    </row>
    <row r="201" spans="1:13" ht="60" x14ac:dyDescent="0.25">
      <c r="A201" s="7" t="s">
        <v>12025</v>
      </c>
      <c r="B201" s="2" t="s">
        <v>5462</v>
      </c>
      <c r="C201" s="4">
        <v>1</v>
      </c>
      <c r="D201" s="5">
        <v>6.25</v>
      </c>
      <c r="E201" s="5">
        <v>12.99</v>
      </c>
      <c r="F201" s="4">
        <v>5137</v>
      </c>
      <c r="G201" s="2" t="s">
        <v>28</v>
      </c>
      <c r="H201" s="7"/>
      <c r="I201" s="2" t="s">
        <v>523</v>
      </c>
      <c r="J201" s="2" t="s">
        <v>5463</v>
      </c>
      <c r="K201" s="2" t="s">
        <v>304</v>
      </c>
      <c r="L201" s="2" t="s">
        <v>100</v>
      </c>
      <c r="M201" s="8" t="str">
        <f>HYPERLINK("http://slimages.macys.com/is/image/MCY/13040167 ")</f>
        <v xml:space="preserve">http://slimages.macys.com/is/image/MCY/13040167 </v>
      </c>
    </row>
    <row r="202" spans="1:13" ht="60" x14ac:dyDescent="0.25">
      <c r="A202" s="7" t="s">
        <v>12026</v>
      </c>
      <c r="B202" s="2" t="s">
        <v>1832</v>
      </c>
      <c r="C202" s="4">
        <v>1</v>
      </c>
      <c r="D202" s="5">
        <v>6.25</v>
      </c>
      <c r="E202" s="5">
        <v>17.989999999999998</v>
      </c>
      <c r="F202" s="4" t="s">
        <v>1833</v>
      </c>
      <c r="G202" s="2" t="s">
        <v>41</v>
      </c>
      <c r="H202" s="7" t="s">
        <v>196</v>
      </c>
      <c r="I202" s="2" t="s">
        <v>342</v>
      </c>
      <c r="J202" s="2" t="s">
        <v>1834</v>
      </c>
      <c r="K202" s="2" t="s">
        <v>304</v>
      </c>
      <c r="L202" s="2" t="s">
        <v>335</v>
      </c>
      <c r="M202" s="8" t="str">
        <f>HYPERLINK("http://slimages.macys.com/is/image/MCY/12236876 ")</f>
        <v xml:space="preserve">http://slimages.macys.com/is/image/MCY/12236876 </v>
      </c>
    </row>
    <row r="203" spans="1:13" ht="60" x14ac:dyDescent="0.25">
      <c r="A203" s="7" t="s">
        <v>11068</v>
      </c>
      <c r="B203" s="2" t="s">
        <v>8312</v>
      </c>
      <c r="C203" s="4">
        <v>1</v>
      </c>
      <c r="D203" s="5">
        <v>6.13</v>
      </c>
      <c r="E203" s="5">
        <v>16.989999999999998</v>
      </c>
      <c r="F203" s="4" t="s">
        <v>8954</v>
      </c>
      <c r="G203" s="2" t="s">
        <v>653</v>
      </c>
      <c r="H203" s="7" t="s">
        <v>228</v>
      </c>
      <c r="I203" s="2" t="s">
        <v>515</v>
      </c>
      <c r="J203" s="2" t="s">
        <v>827</v>
      </c>
      <c r="K203" s="2" t="s">
        <v>304</v>
      </c>
      <c r="L203" s="2" t="s">
        <v>358</v>
      </c>
      <c r="M203" s="8" t="str">
        <f>HYPERLINK("http://slimages.macys.com/is/image/MCY/11860803 ")</f>
        <v xml:space="preserve">http://slimages.macys.com/is/image/MCY/11860803 </v>
      </c>
    </row>
    <row r="204" spans="1:13" ht="96" x14ac:dyDescent="0.25">
      <c r="A204" s="7" t="s">
        <v>12027</v>
      </c>
      <c r="B204" s="2" t="s">
        <v>1852</v>
      </c>
      <c r="C204" s="4">
        <v>1</v>
      </c>
      <c r="D204" s="5">
        <v>6.11</v>
      </c>
      <c r="E204" s="5">
        <v>16.989999999999998</v>
      </c>
      <c r="F204" s="4" t="s">
        <v>1853</v>
      </c>
      <c r="G204" s="2" t="s">
        <v>171</v>
      </c>
      <c r="H204" s="7" t="s">
        <v>196</v>
      </c>
      <c r="I204" s="2" t="s">
        <v>515</v>
      </c>
      <c r="J204" s="2" t="s">
        <v>827</v>
      </c>
      <c r="K204" s="2"/>
      <c r="L204" s="2" t="s">
        <v>1755</v>
      </c>
      <c r="M204" s="8" t="str">
        <f>HYPERLINK("http://slimages.macys.com/is/image/MCY/11483905 ")</f>
        <v xml:space="preserve">http://slimages.macys.com/is/image/MCY/11483905 </v>
      </c>
    </row>
    <row r="205" spans="1:13" ht="96" x14ac:dyDescent="0.25">
      <c r="A205" s="7" t="s">
        <v>12028</v>
      </c>
      <c r="B205" s="2" t="s">
        <v>12029</v>
      </c>
      <c r="C205" s="4">
        <v>1</v>
      </c>
      <c r="D205" s="5">
        <v>6.02</v>
      </c>
      <c r="E205" s="5">
        <v>14.99</v>
      </c>
      <c r="F205" s="4" t="s">
        <v>12030</v>
      </c>
      <c r="G205" s="2" t="s">
        <v>62</v>
      </c>
      <c r="H205" s="7" t="s">
        <v>228</v>
      </c>
      <c r="I205" s="2" t="s">
        <v>515</v>
      </c>
      <c r="J205" s="2" t="s">
        <v>827</v>
      </c>
      <c r="K205" s="2" t="s">
        <v>304</v>
      </c>
      <c r="L205" s="2" t="s">
        <v>12031</v>
      </c>
      <c r="M205" s="8" t="str">
        <f>HYPERLINK("http://slimages.macys.com/is/image/MCY/10410517 ")</f>
        <v xml:space="preserve">http://slimages.macys.com/is/image/MCY/10410517 </v>
      </c>
    </row>
    <row r="206" spans="1:13" ht="60" x14ac:dyDescent="0.25">
      <c r="A206" s="7" t="s">
        <v>10532</v>
      </c>
      <c r="B206" s="2" t="s">
        <v>10526</v>
      </c>
      <c r="C206" s="4">
        <v>4</v>
      </c>
      <c r="D206" s="5">
        <v>6</v>
      </c>
      <c r="E206" s="5">
        <v>15.99</v>
      </c>
      <c r="F206" s="4" t="s">
        <v>10527</v>
      </c>
      <c r="G206" s="2" t="s">
        <v>28</v>
      </c>
      <c r="H206" s="7"/>
      <c r="I206" s="2" t="s">
        <v>321</v>
      </c>
      <c r="J206" s="2" t="s">
        <v>492</v>
      </c>
      <c r="K206" s="2" t="s">
        <v>304</v>
      </c>
      <c r="L206" s="2" t="s">
        <v>493</v>
      </c>
      <c r="M206" s="8" t="str">
        <f>HYPERLINK("http://slimages.macys.com/is/image/MCY/12236518 ")</f>
        <v xml:space="preserve">http://slimages.macys.com/is/image/MCY/12236518 </v>
      </c>
    </row>
    <row r="207" spans="1:13" ht="156" x14ac:dyDescent="0.25">
      <c r="A207" s="7" t="s">
        <v>5952</v>
      </c>
      <c r="B207" s="2" t="s">
        <v>5945</v>
      </c>
      <c r="C207" s="4">
        <v>4</v>
      </c>
      <c r="D207" s="5">
        <v>6</v>
      </c>
      <c r="E207" s="5">
        <v>14</v>
      </c>
      <c r="F207" s="4" t="s">
        <v>5946</v>
      </c>
      <c r="G207" s="2" t="s">
        <v>62</v>
      </c>
      <c r="H207" s="7" t="s">
        <v>159</v>
      </c>
      <c r="I207" s="2" t="s">
        <v>468</v>
      </c>
      <c r="J207" s="2" t="s">
        <v>5947</v>
      </c>
      <c r="K207" s="2" t="s">
        <v>304</v>
      </c>
      <c r="L207" s="2" t="s">
        <v>5948</v>
      </c>
      <c r="M207" s="8" t="str">
        <f>HYPERLINK("http://slimages.macys.com/is/image/MCY/13936126 ")</f>
        <v xml:space="preserve">http://slimages.macys.com/is/image/MCY/13936126 </v>
      </c>
    </row>
    <row r="208" spans="1:13" ht="156" x14ac:dyDescent="0.25">
      <c r="A208" s="7" t="s">
        <v>5949</v>
      </c>
      <c r="B208" s="2" t="s">
        <v>5950</v>
      </c>
      <c r="C208" s="4">
        <v>3</v>
      </c>
      <c r="D208" s="5">
        <v>6</v>
      </c>
      <c r="E208" s="5">
        <v>14</v>
      </c>
      <c r="F208" s="4" t="s">
        <v>5946</v>
      </c>
      <c r="G208" s="2" t="s">
        <v>785</v>
      </c>
      <c r="H208" s="7" t="s">
        <v>284</v>
      </c>
      <c r="I208" s="2" t="s">
        <v>468</v>
      </c>
      <c r="J208" s="2" t="s">
        <v>5947</v>
      </c>
      <c r="K208" s="2" t="s">
        <v>304</v>
      </c>
      <c r="L208" s="2" t="s">
        <v>5948</v>
      </c>
      <c r="M208" s="8" t="str">
        <f>HYPERLINK("http://slimages.macys.com/is/image/MCY/13936125 ")</f>
        <v xml:space="preserve">http://slimages.macys.com/is/image/MCY/13936125 </v>
      </c>
    </row>
    <row r="209" spans="1:13" ht="60" x14ac:dyDescent="0.25">
      <c r="A209" s="7" t="s">
        <v>10525</v>
      </c>
      <c r="B209" s="2" t="s">
        <v>10526</v>
      </c>
      <c r="C209" s="4">
        <v>1</v>
      </c>
      <c r="D209" s="5">
        <v>6</v>
      </c>
      <c r="E209" s="5">
        <v>15.99</v>
      </c>
      <c r="F209" s="4" t="s">
        <v>10527</v>
      </c>
      <c r="G209" s="2" t="s">
        <v>28</v>
      </c>
      <c r="H209" s="7"/>
      <c r="I209" s="2" t="s">
        <v>321</v>
      </c>
      <c r="J209" s="2" t="s">
        <v>492</v>
      </c>
      <c r="K209" s="2" t="s">
        <v>304</v>
      </c>
      <c r="L209" s="2" t="s">
        <v>493</v>
      </c>
      <c r="M209" s="8" t="str">
        <f>HYPERLINK("http://slimages.macys.com/is/image/MCY/12236518 ")</f>
        <v xml:space="preserve">http://slimages.macys.com/is/image/MCY/12236518 </v>
      </c>
    </row>
    <row r="210" spans="1:13" ht="156" x14ac:dyDescent="0.25">
      <c r="A210" s="7" t="s">
        <v>5944</v>
      </c>
      <c r="B210" s="2" t="s">
        <v>5945</v>
      </c>
      <c r="C210" s="4">
        <v>2</v>
      </c>
      <c r="D210" s="5">
        <v>6</v>
      </c>
      <c r="E210" s="5">
        <v>14</v>
      </c>
      <c r="F210" s="4" t="s">
        <v>5946</v>
      </c>
      <c r="G210" s="2" t="s">
        <v>62</v>
      </c>
      <c r="H210" s="7" t="s">
        <v>284</v>
      </c>
      <c r="I210" s="2" t="s">
        <v>468</v>
      </c>
      <c r="J210" s="2" t="s">
        <v>5947</v>
      </c>
      <c r="K210" s="2" t="s">
        <v>304</v>
      </c>
      <c r="L210" s="2" t="s">
        <v>5948</v>
      </c>
      <c r="M210" s="8" t="str">
        <f>HYPERLINK("http://slimages.macys.com/is/image/MCY/13936126 ")</f>
        <v xml:space="preserve">http://slimages.macys.com/is/image/MCY/13936126 </v>
      </c>
    </row>
    <row r="211" spans="1:13" ht="60" x14ac:dyDescent="0.25">
      <c r="A211" s="7" t="s">
        <v>12032</v>
      </c>
      <c r="B211" s="2" t="s">
        <v>4969</v>
      </c>
      <c r="C211" s="4">
        <v>1</v>
      </c>
      <c r="D211" s="5">
        <v>6</v>
      </c>
      <c r="E211" s="5">
        <v>10.99</v>
      </c>
      <c r="F211" s="4" t="s">
        <v>4970</v>
      </c>
      <c r="G211" s="2" t="s">
        <v>28</v>
      </c>
      <c r="H211" s="7" t="s">
        <v>68</v>
      </c>
      <c r="I211" s="2" t="s">
        <v>80</v>
      </c>
      <c r="J211" s="2" t="s">
        <v>1857</v>
      </c>
      <c r="K211" s="2" t="s">
        <v>304</v>
      </c>
      <c r="L211" s="2" t="s">
        <v>119</v>
      </c>
      <c r="M211" s="8" t="str">
        <f>HYPERLINK("http://slimages.macys.com/is/image/MCY/11207821 ")</f>
        <v xml:space="preserve">http://slimages.macys.com/is/image/MCY/11207821 </v>
      </c>
    </row>
    <row r="212" spans="1:13" ht="156" x14ac:dyDescent="0.25">
      <c r="A212" s="7" t="s">
        <v>5951</v>
      </c>
      <c r="B212" s="2" t="s">
        <v>5950</v>
      </c>
      <c r="C212" s="4">
        <v>3</v>
      </c>
      <c r="D212" s="5">
        <v>6</v>
      </c>
      <c r="E212" s="5">
        <v>14</v>
      </c>
      <c r="F212" s="4" t="s">
        <v>5946</v>
      </c>
      <c r="G212" s="2" t="s">
        <v>785</v>
      </c>
      <c r="H212" s="7" t="s">
        <v>159</v>
      </c>
      <c r="I212" s="2" t="s">
        <v>468</v>
      </c>
      <c r="J212" s="2" t="s">
        <v>5947</v>
      </c>
      <c r="K212" s="2" t="s">
        <v>304</v>
      </c>
      <c r="L212" s="2" t="s">
        <v>5948</v>
      </c>
      <c r="M212" s="8" t="str">
        <f>HYPERLINK("http://slimages.macys.com/is/image/MCY/13936125 ")</f>
        <v xml:space="preserve">http://slimages.macys.com/is/image/MCY/13936125 </v>
      </c>
    </row>
    <row r="213" spans="1:13" ht="60" x14ac:dyDescent="0.25">
      <c r="A213" s="7" t="s">
        <v>12033</v>
      </c>
      <c r="B213" s="2" t="s">
        <v>495</v>
      </c>
      <c r="C213" s="4">
        <v>1</v>
      </c>
      <c r="D213" s="5">
        <v>6</v>
      </c>
      <c r="E213" s="5">
        <v>11.98</v>
      </c>
      <c r="F213" s="4" t="s">
        <v>496</v>
      </c>
      <c r="G213" s="2" t="s">
        <v>297</v>
      </c>
      <c r="H213" s="7" t="s">
        <v>438</v>
      </c>
      <c r="I213" s="2" t="s">
        <v>43</v>
      </c>
      <c r="J213" s="2" t="s">
        <v>497</v>
      </c>
      <c r="K213" s="2" t="s">
        <v>304</v>
      </c>
      <c r="L213" s="2" t="s">
        <v>87</v>
      </c>
      <c r="M213" s="8" t="str">
        <f>HYPERLINK("http://slimages.macys.com/is/image/MCY/2908881 ")</f>
        <v xml:space="preserve">http://slimages.macys.com/is/image/MCY/2908881 </v>
      </c>
    </row>
    <row r="214" spans="1:13" ht="60" x14ac:dyDescent="0.25">
      <c r="A214" s="7" t="s">
        <v>12034</v>
      </c>
      <c r="B214" s="2" t="s">
        <v>4137</v>
      </c>
      <c r="C214" s="4">
        <v>1</v>
      </c>
      <c r="D214" s="5">
        <v>5.99</v>
      </c>
      <c r="E214" s="5">
        <v>14.99</v>
      </c>
      <c r="F214" s="4" t="s">
        <v>12035</v>
      </c>
      <c r="G214" s="2" t="s">
        <v>86</v>
      </c>
      <c r="H214" s="7" t="s">
        <v>228</v>
      </c>
      <c r="I214" s="2" t="s">
        <v>218</v>
      </c>
      <c r="J214" s="2" t="s">
        <v>219</v>
      </c>
      <c r="K214" s="2" t="s">
        <v>304</v>
      </c>
      <c r="L214" s="2" t="s">
        <v>358</v>
      </c>
      <c r="M214" s="8" t="str">
        <f>HYPERLINK("http://slimages.macys.com/is/image/MCY/11605869 ")</f>
        <v xml:space="preserve">http://slimages.macys.com/is/image/MCY/11605869 </v>
      </c>
    </row>
    <row r="215" spans="1:13" ht="60" x14ac:dyDescent="0.25">
      <c r="A215" s="7" t="s">
        <v>10133</v>
      </c>
      <c r="B215" s="2" t="s">
        <v>8981</v>
      </c>
      <c r="C215" s="4">
        <v>1</v>
      </c>
      <c r="D215" s="5">
        <v>5.91</v>
      </c>
      <c r="E215" s="5">
        <v>14.99</v>
      </c>
      <c r="F215" s="4" t="s">
        <v>8982</v>
      </c>
      <c r="G215" s="2" t="s">
        <v>62</v>
      </c>
      <c r="H215" s="7" t="s">
        <v>196</v>
      </c>
      <c r="I215" s="2" t="s">
        <v>515</v>
      </c>
      <c r="J215" s="2" t="s">
        <v>827</v>
      </c>
      <c r="K215" s="2" t="s">
        <v>304</v>
      </c>
      <c r="L215" s="2" t="s">
        <v>358</v>
      </c>
      <c r="M215" s="8" t="str">
        <f>HYPERLINK("http://slimages.macys.com/is/image/MCY/10410507 ")</f>
        <v xml:space="preserve">http://slimages.macys.com/is/image/MCY/10410507 </v>
      </c>
    </row>
    <row r="216" spans="1:13" ht="60" x14ac:dyDescent="0.25">
      <c r="A216" s="7" t="s">
        <v>1048</v>
      </c>
      <c r="B216" s="2" t="s">
        <v>1039</v>
      </c>
      <c r="C216" s="4">
        <v>3</v>
      </c>
      <c r="D216" s="5">
        <v>5.87</v>
      </c>
      <c r="E216" s="5">
        <v>16</v>
      </c>
      <c r="F216" s="4" t="s">
        <v>1040</v>
      </c>
      <c r="G216" s="2" t="s">
        <v>1041</v>
      </c>
      <c r="H216" s="7" t="s">
        <v>789</v>
      </c>
      <c r="I216" s="2" t="s">
        <v>523</v>
      </c>
      <c r="J216" s="2" t="s">
        <v>1042</v>
      </c>
      <c r="K216" s="2" t="s">
        <v>304</v>
      </c>
      <c r="L216" s="2" t="s">
        <v>1043</v>
      </c>
      <c r="M216" s="8" t="str">
        <f>HYPERLINK("http://slimages.macys.com/is/image/MCY/11647558 ")</f>
        <v xml:space="preserve">http://slimages.macys.com/is/image/MCY/11647558 </v>
      </c>
    </row>
    <row r="217" spans="1:13" ht="60" x14ac:dyDescent="0.25">
      <c r="A217" s="7" t="s">
        <v>1038</v>
      </c>
      <c r="B217" s="2" t="s">
        <v>1039</v>
      </c>
      <c r="C217" s="4">
        <v>5</v>
      </c>
      <c r="D217" s="5">
        <v>5.87</v>
      </c>
      <c r="E217" s="5">
        <v>16</v>
      </c>
      <c r="F217" s="4" t="s">
        <v>1040</v>
      </c>
      <c r="G217" s="2" t="s">
        <v>1041</v>
      </c>
      <c r="H217" s="7" t="s">
        <v>72</v>
      </c>
      <c r="I217" s="2" t="s">
        <v>523</v>
      </c>
      <c r="J217" s="2" t="s">
        <v>1042</v>
      </c>
      <c r="K217" s="2" t="s">
        <v>304</v>
      </c>
      <c r="L217" s="2" t="s">
        <v>1043</v>
      </c>
      <c r="M217" s="8" t="str">
        <f>HYPERLINK("http://slimages.macys.com/is/image/MCY/11647558 ")</f>
        <v xml:space="preserve">http://slimages.macys.com/is/image/MCY/11647558 </v>
      </c>
    </row>
    <row r="218" spans="1:13" ht="60" x14ac:dyDescent="0.25">
      <c r="A218" s="7" t="s">
        <v>12036</v>
      </c>
      <c r="B218" s="2" t="s">
        <v>12037</v>
      </c>
      <c r="C218" s="4">
        <v>1</v>
      </c>
      <c r="D218" s="5">
        <v>5.85</v>
      </c>
      <c r="E218" s="5">
        <v>16.989999999999998</v>
      </c>
      <c r="F218" s="4" t="s">
        <v>12038</v>
      </c>
      <c r="G218" s="2" t="s">
        <v>79</v>
      </c>
      <c r="H218" s="7" t="s">
        <v>284</v>
      </c>
      <c r="I218" s="2" t="s">
        <v>468</v>
      </c>
      <c r="J218" s="2" t="s">
        <v>469</v>
      </c>
      <c r="K218" s="2" t="s">
        <v>304</v>
      </c>
      <c r="L218" s="2" t="s">
        <v>206</v>
      </c>
      <c r="M218" s="8" t="str">
        <f>HYPERLINK("http://slimages.macys.com/is/image/MCY/11959633 ")</f>
        <v xml:space="preserve">http://slimages.macys.com/is/image/MCY/11959633 </v>
      </c>
    </row>
    <row r="219" spans="1:13" ht="60" x14ac:dyDescent="0.25">
      <c r="A219" s="7" t="s">
        <v>12039</v>
      </c>
      <c r="B219" s="2" t="s">
        <v>12040</v>
      </c>
      <c r="C219" s="4">
        <v>1</v>
      </c>
      <c r="D219" s="5">
        <v>5.85</v>
      </c>
      <c r="E219" s="5">
        <v>12.99</v>
      </c>
      <c r="F219" s="4">
        <v>16514210</v>
      </c>
      <c r="G219" s="2" t="s">
        <v>36</v>
      </c>
      <c r="H219" s="7" t="s">
        <v>91</v>
      </c>
      <c r="I219" s="2" t="s">
        <v>153</v>
      </c>
      <c r="J219" s="2" t="s">
        <v>154</v>
      </c>
      <c r="K219" s="2" t="s">
        <v>304</v>
      </c>
      <c r="L219" s="2" t="s">
        <v>206</v>
      </c>
      <c r="M219" s="8" t="str">
        <f>HYPERLINK("http://slimages.macys.com/is/image/MCY/11671824 ")</f>
        <v xml:space="preserve">http://slimages.macys.com/is/image/MCY/11671824 </v>
      </c>
    </row>
    <row r="220" spans="1:13" ht="60" x14ac:dyDescent="0.25">
      <c r="A220" s="7" t="s">
        <v>12041</v>
      </c>
      <c r="B220" s="2" t="s">
        <v>1869</v>
      </c>
      <c r="C220" s="4">
        <v>2</v>
      </c>
      <c r="D220" s="5">
        <v>5.85</v>
      </c>
      <c r="E220" s="5">
        <v>15.99</v>
      </c>
      <c r="F220" s="4" t="s">
        <v>4128</v>
      </c>
      <c r="G220" s="2" t="s">
        <v>657</v>
      </c>
      <c r="H220" s="7" t="s">
        <v>8995</v>
      </c>
      <c r="I220" s="2" t="s">
        <v>342</v>
      </c>
      <c r="J220" s="2" t="s">
        <v>1872</v>
      </c>
      <c r="K220" s="2" t="s">
        <v>304</v>
      </c>
      <c r="L220" s="2" t="s">
        <v>390</v>
      </c>
      <c r="M220" s="8" t="str">
        <f>HYPERLINK("http://slimages.macys.com/is/image/MCY/11636027 ")</f>
        <v xml:space="preserve">http://slimages.macys.com/is/image/MCY/11636027 </v>
      </c>
    </row>
    <row r="221" spans="1:13" ht="60" x14ac:dyDescent="0.25">
      <c r="A221" s="7" t="s">
        <v>5471</v>
      </c>
      <c r="B221" s="2" t="s">
        <v>5472</v>
      </c>
      <c r="C221" s="4">
        <v>1</v>
      </c>
      <c r="D221" s="5">
        <v>5.85</v>
      </c>
      <c r="E221" s="5">
        <v>6.99</v>
      </c>
      <c r="F221" s="4" t="s">
        <v>5473</v>
      </c>
      <c r="G221" s="2" t="s">
        <v>129</v>
      </c>
      <c r="H221" s="7" t="s">
        <v>284</v>
      </c>
      <c r="I221" s="2" t="s">
        <v>80</v>
      </c>
      <c r="J221" s="2" t="s">
        <v>1917</v>
      </c>
      <c r="K221" s="2" t="s">
        <v>304</v>
      </c>
      <c r="L221" s="2" t="s">
        <v>119</v>
      </c>
      <c r="M221" s="8" t="str">
        <f>HYPERLINK("http://slimages.macys.com/is/image/MCY/12802467 ")</f>
        <v xml:space="preserve">http://slimages.macys.com/is/image/MCY/12802467 </v>
      </c>
    </row>
    <row r="222" spans="1:13" ht="60" x14ac:dyDescent="0.25">
      <c r="A222" s="7" t="s">
        <v>12042</v>
      </c>
      <c r="B222" s="2" t="s">
        <v>12043</v>
      </c>
      <c r="C222" s="4">
        <v>1</v>
      </c>
      <c r="D222" s="5">
        <v>5.85</v>
      </c>
      <c r="E222" s="5">
        <v>12.99</v>
      </c>
      <c r="F222" s="4">
        <v>16513210</v>
      </c>
      <c r="G222" s="2" t="s">
        <v>48</v>
      </c>
      <c r="H222" s="7" t="s">
        <v>442</v>
      </c>
      <c r="I222" s="2" t="s">
        <v>153</v>
      </c>
      <c r="J222" s="2" t="s">
        <v>154</v>
      </c>
      <c r="K222" s="2" t="s">
        <v>304</v>
      </c>
      <c r="L222" s="2" t="s">
        <v>38</v>
      </c>
      <c r="M222" s="8" t="str">
        <f>HYPERLINK("http://slimages.macys.com/is/image/MCY/11636525 ")</f>
        <v xml:space="preserve">http://slimages.macys.com/is/image/MCY/11636525 </v>
      </c>
    </row>
    <row r="223" spans="1:13" ht="60" x14ac:dyDescent="0.25">
      <c r="A223" s="7" t="s">
        <v>12044</v>
      </c>
      <c r="B223" s="2" t="s">
        <v>1869</v>
      </c>
      <c r="C223" s="4">
        <v>1</v>
      </c>
      <c r="D223" s="5">
        <v>5.85</v>
      </c>
      <c r="E223" s="5">
        <v>15.99</v>
      </c>
      <c r="F223" s="4" t="s">
        <v>1870</v>
      </c>
      <c r="G223" s="2" t="s">
        <v>262</v>
      </c>
      <c r="H223" s="7" t="s">
        <v>774</v>
      </c>
      <c r="I223" s="2" t="s">
        <v>342</v>
      </c>
      <c r="J223" s="2" t="s">
        <v>1872</v>
      </c>
      <c r="K223" s="2" t="s">
        <v>304</v>
      </c>
      <c r="L223" s="2" t="s">
        <v>390</v>
      </c>
      <c r="M223" s="8" t="str">
        <f>HYPERLINK("http://slimages.macys.com/is/image/MCY/11636026 ")</f>
        <v xml:space="preserve">http://slimages.macys.com/is/image/MCY/11636026 </v>
      </c>
    </row>
    <row r="224" spans="1:13" ht="60" x14ac:dyDescent="0.25">
      <c r="A224" s="7" t="s">
        <v>5477</v>
      </c>
      <c r="B224" s="2" t="s">
        <v>1869</v>
      </c>
      <c r="C224" s="4">
        <v>2</v>
      </c>
      <c r="D224" s="5">
        <v>5.85</v>
      </c>
      <c r="E224" s="5">
        <v>15.99</v>
      </c>
      <c r="F224" s="4" t="s">
        <v>1870</v>
      </c>
      <c r="G224" s="2" t="s">
        <v>262</v>
      </c>
      <c r="H224" s="7" t="s">
        <v>5478</v>
      </c>
      <c r="I224" s="2" t="s">
        <v>342</v>
      </c>
      <c r="J224" s="2" t="s">
        <v>1872</v>
      </c>
      <c r="K224" s="2" t="s">
        <v>304</v>
      </c>
      <c r="L224" s="2" t="s">
        <v>390</v>
      </c>
      <c r="M224" s="8" t="str">
        <f>HYPERLINK("http://slimages.macys.com/is/image/MCY/11636026 ")</f>
        <v xml:space="preserve">http://slimages.macys.com/is/image/MCY/11636026 </v>
      </c>
    </row>
    <row r="225" spans="1:13" ht="60" x14ac:dyDescent="0.25">
      <c r="A225" s="7" t="s">
        <v>12045</v>
      </c>
      <c r="B225" s="2" t="s">
        <v>5481</v>
      </c>
      <c r="C225" s="4">
        <v>1</v>
      </c>
      <c r="D225" s="5">
        <v>5.83</v>
      </c>
      <c r="E225" s="5">
        <v>17.989999999999998</v>
      </c>
      <c r="F225" s="4" t="s">
        <v>5482</v>
      </c>
      <c r="G225" s="2" t="s">
        <v>262</v>
      </c>
      <c r="H225" s="7" t="s">
        <v>91</v>
      </c>
      <c r="I225" s="2" t="s">
        <v>483</v>
      </c>
      <c r="J225" s="2" t="s">
        <v>536</v>
      </c>
      <c r="K225" s="2" t="s">
        <v>304</v>
      </c>
      <c r="L225" s="2" t="s">
        <v>119</v>
      </c>
      <c r="M225" s="8" t="str">
        <f>HYPERLINK("http://slimages.macys.com/is/image/MCY/11792326 ")</f>
        <v xml:space="preserve">http://slimages.macys.com/is/image/MCY/11792326 </v>
      </c>
    </row>
    <row r="226" spans="1:13" ht="60" x14ac:dyDescent="0.25">
      <c r="A226" s="7" t="s">
        <v>12046</v>
      </c>
      <c r="B226" s="2" t="s">
        <v>12047</v>
      </c>
      <c r="C226" s="4">
        <v>1</v>
      </c>
      <c r="D226" s="5">
        <v>5.83</v>
      </c>
      <c r="E226" s="5">
        <v>17.989999999999998</v>
      </c>
      <c r="F226" s="4" t="s">
        <v>12048</v>
      </c>
      <c r="G226" s="2" t="s">
        <v>171</v>
      </c>
      <c r="H226" s="7" t="s">
        <v>442</v>
      </c>
      <c r="I226" s="2" t="s">
        <v>483</v>
      </c>
      <c r="J226" s="2" t="s">
        <v>536</v>
      </c>
      <c r="K226" s="2" t="s">
        <v>304</v>
      </c>
      <c r="L226" s="2" t="s">
        <v>119</v>
      </c>
      <c r="M226" s="8" t="str">
        <f>HYPERLINK("http://slimages.macys.com/is/image/MCY/11699209 ")</f>
        <v xml:space="preserve">http://slimages.macys.com/is/image/MCY/11699209 </v>
      </c>
    </row>
    <row r="227" spans="1:13" ht="60" x14ac:dyDescent="0.25">
      <c r="A227" s="7" t="s">
        <v>12049</v>
      </c>
      <c r="B227" s="2" t="s">
        <v>1877</v>
      </c>
      <c r="C227" s="4">
        <v>1</v>
      </c>
      <c r="D227" s="5">
        <v>5.8</v>
      </c>
      <c r="E227" s="5">
        <v>13.19</v>
      </c>
      <c r="F227" s="4">
        <v>18634410</v>
      </c>
      <c r="G227" s="2"/>
      <c r="H227" s="7" t="s">
        <v>675</v>
      </c>
      <c r="I227" s="2" t="s">
        <v>153</v>
      </c>
      <c r="J227" s="2" t="s">
        <v>154</v>
      </c>
      <c r="K227" s="2" t="s">
        <v>304</v>
      </c>
      <c r="L227" s="2" t="s">
        <v>38</v>
      </c>
      <c r="M227" s="8" t="str">
        <f>HYPERLINK("http://slimages.macys.com/is/image/MCY/13941924 ")</f>
        <v xml:space="preserve">http://slimages.macys.com/is/image/MCY/13941924 </v>
      </c>
    </row>
    <row r="228" spans="1:13" ht="60" x14ac:dyDescent="0.25">
      <c r="A228" s="7" t="s">
        <v>5960</v>
      </c>
      <c r="B228" s="2" t="s">
        <v>5961</v>
      </c>
      <c r="C228" s="4">
        <v>1</v>
      </c>
      <c r="D228" s="5">
        <v>5.8</v>
      </c>
      <c r="E228" s="5">
        <v>13.19</v>
      </c>
      <c r="F228" s="4">
        <v>17893810</v>
      </c>
      <c r="G228" s="2" t="s">
        <v>28</v>
      </c>
      <c r="H228" s="7" t="s">
        <v>233</v>
      </c>
      <c r="I228" s="2" t="s">
        <v>153</v>
      </c>
      <c r="J228" s="2" t="s">
        <v>154</v>
      </c>
      <c r="K228" s="2" t="s">
        <v>304</v>
      </c>
      <c r="L228" s="2" t="s">
        <v>38</v>
      </c>
      <c r="M228" s="8" t="str">
        <f>HYPERLINK("http://slimages.macys.com/is/image/MCY/13852866 ")</f>
        <v xml:space="preserve">http://slimages.macys.com/is/image/MCY/13852866 </v>
      </c>
    </row>
    <row r="229" spans="1:13" ht="60" x14ac:dyDescent="0.25">
      <c r="A229" s="7" t="s">
        <v>12050</v>
      </c>
      <c r="B229" s="2" t="s">
        <v>5961</v>
      </c>
      <c r="C229" s="4">
        <v>1</v>
      </c>
      <c r="D229" s="5">
        <v>5.8</v>
      </c>
      <c r="E229" s="5">
        <v>13.19</v>
      </c>
      <c r="F229" s="4">
        <v>17893810</v>
      </c>
      <c r="G229" s="2" t="s">
        <v>28</v>
      </c>
      <c r="H229" s="7" t="s">
        <v>42</v>
      </c>
      <c r="I229" s="2" t="s">
        <v>153</v>
      </c>
      <c r="J229" s="2" t="s">
        <v>154</v>
      </c>
      <c r="K229" s="2" t="s">
        <v>304</v>
      </c>
      <c r="L229" s="2" t="s">
        <v>38</v>
      </c>
      <c r="M229" s="8" t="str">
        <f>HYPERLINK("http://slimages.macys.com/is/image/MCY/13852866 ")</f>
        <v xml:space="preserve">http://slimages.macys.com/is/image/MCY/13852866 </v>
      </c>
    </row>
    <row r="230" spans="1:13" ht="60" x14ac:dyDescent="0.25">
      <c r="A230" s="7" t="s">
        <v>12051</v>
      </c>
      <c r="B230" s="2" t="s">
        <v>5961</v>
      </c>
      <c r="C230" s="4">
        <v>2</v>
      </c>
      <c r="D230" s="5">
        <v>5.8</v>
      </c>
      <c r="E230" s="5">
        <v>13.19</v>
      </c>
      <c r="F230" s="4">
        <v>17893810</v>
      </c>
      <c r="G230" s="2" t="s">
        <v>28</v>
      </c>
      <c r="H230" s="7" t="s">
        <v>442</v>
      </c>
      <c r="I230" s="2" t="s">
        <v>153</v>
      </c>
      <c r="J230" s="2" t="s">
        <v>154</v>
      </c>
      <c r="K230" s="2" t="s">
        <v>304</v>
      </c>
      <c r="L230" s="2" t="s">
        <v>38</v>
      </c>
      <c r="M230" s="8" t="str">
        <f>HYPERLINK("http://slimages.macys.com/is/image/MCY/13852866 ")</f>
        <v xml:space="preserve">http://slimages.macys.com/is/image/MCY/13852866 </v>
      </c>
    </row>
    <row r="231" spans="1:13" ht="60" x14ac:dyDescent="0.25">
      <c r="A231" s="7" t="s">
        <v>3388</v>
      </c>
      <c r="B231" s="2" t="s">
        <v>3389</v>
      </c>
      <c r="C231" s="4">
        <v>1</v>
      </c>
      <c r="D231" s="5">
        <v>5.8</v>
      </c>
      <c r="E231" s="5">
        <v>13.19</v>
      </c>
      <c r="F231" s="4">
        <v>17892410</v>
      </c>
      <c r="G231" s="2" t="s">
        <v>48</v>
      </c>
      <c r="H231" s="7" t="s">
        <v>42</v>
      </c>
      <c r="I231" s="2" t="s">
        <v>153</v>
      </c>
      <c r="J231" s="2" t="s">
        <v>154</v>
      </c>
      <c r="K231" s="2" t="s">
        <v>304</v>
      </c>
      <c r="L231" s="2" t="s">
        <v>38</v>
      </c>
      <c r="M231" s="8" t="str">
        <f>HYPERLINK("http://slimages.macys.com/is/image/MCY/13341369 ")</f>
        <v xml:space="preserve">http://slimages.macys.com/is/image/MCY/13341369 </v>
      </c>
    </row>
    <row r="232" spans="1:13" ht="60" x14ac:dyDescent="0.25">
      <c r="A232" s="7" t="s">
        <v>9002</v>
      </c>
      <c r="B232" s="2" t="s">
        <v>3389</v>
      </c>
      <c r="C232" s="4">
        <v>1</v>
      </c>
      <c r="D232" s="5">
        <v>5.8</v>
      </c>
      <c r="E232" s="5">
        <v>13.19</v>
      </c>
      <c r="F232" s="4">
        <v>17892410</v>
      </c>
      <c r="G232" s="2" t="s">
        <v>48</v>
      </c>
      <c r="H232" s="7" t="s">
        <v>91</v>
      </c>
      <c r="I232" s="2" t="s">
        <v>153</v>
      </c>
      <c r="J232" s="2" t="s">
        <v>154</v>
      </c>
      <c r="K232" s="2" t="s">
        <v>304</v>
      </c>
      <c r="L232" s="2" t="s">
        <v>38</v>
      </c>
      <c r="M232" s="8" t="str">
        <f>HYPERLINK("http://slimages.macys.com/is/image/MCY/13341369 ")</f>
        <v xml:space="preserve">http://slimages.macys.com/is/image/MCY/13341369 </v>
      </c>
    </row>
    <row r="233" spans="1:13" ht="60" x14ac:dyDescent="0.25">
      <c r="A233" s="7" t="s">
        <v>12052</v>
      </c>
      <c r="B233" s="2" t="s">
        <v>3389</v>
      </c>
      <c r="C233" s="4">
        <v>1</v>
      </c>
      <c r="D233" s="5">
        <v>5.8</v>
      </c>
      <c r="E233" s="5">
        <v>13.19</v>
      </c>
      <c r="F233" s="4">
        <v>17892410</v>
      </c>
      <c r="G233" s="2" t="s">
        <v>48</v>
      </c>
      <c r="H233" s="7" t="s">
        <v>482</v>
      </c>
      <c r="I233" s="2" t="s">
        <v>153</v>
      </c>
      <c r="J233" s="2" t="s">
        <v>154</v>
      </c>
      <c r="K233" s="2" t="s">
        <v>304</v>
      </c>
      <c r="L233" s="2" t="s">
        <v>38</v>
      </c>
      <c r="M233" s="8" t="str">
        <f>HYPERLINK("http://slimages.macys.com/is/image/MCY/13341369 ")</f>
        <v xml:space="preserve">http://slimages.macys.com/is/image/MCY/13341369 </v>
      </c>
    </row>
    <row r="234" spans="1:13" ht="60" x14ac:dyDescent="0.25">
      <c r="A234" s="7" t="s">
        <v>5483</v>
      </c>
      <c r="B234" s="2" t="s">
        <v>3389</v>
      </c>
      <c r="C234" s="4">
        <v>1</v>
      </c>
      <c r="D234" s="5">
        <v>5.8</v>
      </c>
      <c r="E234" s="5">
        <v>13.19</v>
      </c>
      <c r="F234" s="4">
        <v>17892410</v>
      </c>
      <c r="G234" s="2" t="s">
        <v>48</v>
      </c>
      <c r="H234" s="7" t="s">
        <v>675</v>
      </c>
      <c r="I234" s="2" t="s">
        <v>153</v>
      </c>
      <c r="J234" s="2" t="s">
        <v>154</v>
      </c>
      <c r="K234" s="2" t="s">
        <v>304</v>
      </c>
      <c r="L234" s="2" t="s">
        <v>38</v>
      </c>
      <c r="M234" s="8" t="str">
        <f>HYPERLINK("http://slimages.macys.com/is/image/MCY/13341369 ")</f>
        <v xml:space="preserve">http://slimages.macys.com/is/image/MCY/13341369 </v>
      </c>
    </row>
    <row r="235" spans="1:13" ht="60" x14ac:dyDescent="0.25">
      <c r="A235" s="7" t="s">
        <v>12053</v>
      </c>
      <c r="B235" s="2" t="s">
        <v>3393</v>
      </c>
      <c r="C235" s="4">
        <v>1</v>
      </c>
      <c r="D235" s="5">
        <v>5.8</v>
      </c>
      <c r="E235" s="5">
        <v>13.19</v>
      </c>
      <c r="F235" s="4">
        <v>17892010</v>
      </c>
      <c r="G235" s="2"/>
      <c r="H235" s="7" t="s">
        <v>675</v>
      </c>
      <c r="I235" s="2" t="s">
        <v>153</v>
      </c>
      <c r="J235" s="2" t="s">
        <v>154</v>
      </c>
      <c r="K235" s="2" t="s">
        <v>304</v>
      </c>
      <c r="L235" s="2" t="s">
        <v>38</v>
      </c>
      <c r="M235" s="8" t="str">
        <f>HYPERLINK("http://slimages.macys.com/is/image/MCY/13341121 ")</f>
        <v xml:space="preserve">http://slimages.macys.com/is/image/MCY/13341121 </v>
      </c>
    </row>
    <row r="236" spans="1:13" ht="60" x14ac:dyDescent="0.25">
      <c r="A236" s="7" t="s">
        <v>3392</v>
      </c>
      <c r="B236" s="2" t="s">
        <v>3393</v>
      </c>
      <c r="C236" s="4">
        <v>1</v>
      </c>
      <c r="D236" s="5">
        <v>5.8</v>
      </c>
      <c r="E236" s="5">
        <v>13.19</v>
      </c>
      <c r="F236" s="4">
        <v>17892010</v>
      </c>
      <c r="G236" s="2"/>
      <c r="H236" s="7" t="s">
        <v>233</v>
      </c>
      <c r="I236" s="2" t="s">
        <v>153</v>
      </c>
      <c r="J236" s="2" t="s">
        <v>154</v>
      </c>
      <c r="K236" s="2" t="s">
        <v>304</v>
      </c>
      <c r="L236" s="2" t="s">
        <v>38</v>
      </c>
      <c r="M236" s="8" t="str">
        <f>HYPERLINK("http://slimages.macys.com/is/image/MCY/13341121 ")</f>
        <v xml:space="preserve">http://slimages.macys.com/is/image/MCY/13341121 </v>
      </c>
    </row>
    <row r="237" spans="1:13" ht="60" x14ac:dyDescent="0.25">
      <c r="A237" s="7" t="s">
        <v>12054</v>
      </c>
      <c r="B237" s="2" t="s">
        <v>3389</v>
      </c>
      <c r="C237" s="4">
        <v>1</v>
      </c>
      <c r="D237" s="5">
        <v>5.8</v>
      </c>
      <c r="E237" s="5">
        <v>13.19</v>
      </c>
      <c r="F237" s="4">
        <v>17892410</v>
      </c>
      <c r="G237" s="2" t="s">
        <v>48</v>
      </c>
      <c r="H237" s="7" t="s">
        <v>233</v>
      </c>
      <c r="I237" s="2" t="s">
        <v>153</v>
      </c>
      <c r="J237" s="2" t="s">
        <v>154</v>
      </c>
      <c r="K237" s="2" t="s">
        <v>304</v>
      </c>
      <c r="L237" s="2" t="s">
        <v>38</v>
      </c>
      <c r="M237" s="8" t="str">
        <f>HYPERLINK("http://slimages.macys.com/is/image/MCY/13341369 ")</f>
        <v xml:space="preserve">http://slimages.macys.com/is/image/MCY/13341369 </v>
      </c>
    </row>
    <row r="238" spans="1:13" ht="60" x14ac:dyDescent="0.25">
      <c r="A238" s="7" t="s">
        <v>12055</v>
      </c>
      <c r="B238" s="2" t="s">
        <v>1880</v>
      </c>
      <c r="C238" s="4">
        <v>1</v>
      </c>
      <c r="D238" s="5">
        <v>5.8</v>
      </c>
      <c r="E238" s="5">
        <v>13.19</v>
      </c>
      <c r="F238" s="4">
        <v>17894010</v>
      </c>
      <c r="G238" s="2"/>
      <c r="H238" s="7" t="s">
        <v>438</v>
      </c>
      <c r="I238" s="2" t="s">
        <v>153</v>
      </c>
      <c r="J238" s="2" t="s">
        <v>154</v>
      </c>
      <c r="K238" s="2" t="s">
        <v>304</v>
      </c>
      <c r="L238" s="2" t="s">
        <v>38</v>
      </c>
      <c r="M238" s="8" t="str">
        <f>HYPERLINK("http://slimages.macys.com/is/image/MCY/13729099 ")</f>
        <v xml:space="preserve">http://slimages.macys.com/is/image/MCY/13729099 </v>
      </c>
    </row>
    <row r="239" spans="1:13" ht="60" x14ac:dyDescent="0.25">
      <c r="A239" s="7" t="s">
        <v>9003</v>
      </c>
      <c r="B239" s="2" t="s">
        <v>5961</v>
      </c>
      <c r="C239" s="4">
        <v>1</v>
      </c>
      <c r="D239" s="5">
        <v>5.8</v>
      </c>
      <c r="E239" s="5">
        <v>13.19</v>
      </c>
      <c r="F239" s="4">
        <v>17893810</v>
      </c>
      <c r="G239" s="2" t="s">
        <v>28</v>
      </c>
      <c r="H239" s="7" t="s">
        <v>675</v>
      </c>
      <c r="I239" s="2" t="s">
        <v>153</v>
      </c>
      <c r="J239" s="2" t="s">
        <v>154</v>
      </c>
      <c r="K239" s="2" t="s">
        <v>304</v>
      </c>
      <c r="L239" s="2" t="s">
        <v>38</v>
      </c>
      <c r="M239" s="8" t="str">
        <f>HYPERLINK("http://slimages.macys.com/is/image/MCY/13852866 ")</f>
        <v xml:space="preserve">http://slimages.macys.com/is/image/MCY/13852866 </v>
      </c>
    </row>
    <row r="240" spans="1:13" ht="60" x14ac:dyDescent="0.25">
      <c r="A240" s="7" t="s">
        <v>12056</v>
      </c>
      <c r="B240" s="2" t="s">
        <v>5961</v>
      </c>
      <c r="C240" s="4">
        <v>1</v>
      </c>
      <c r="D240" s="5">
        <v>5.8</v>
      </c>
      <c r="E240" s="5">
        <v>13.19</v>
      </c>
      <c r="F240" s="4">
        <v>17893810</v>
      </c>
      <c r="G240" s="2" t="s">
        <v>28</v>
      </c>
      <c r="H240" s="7" t="s">
        <v>482</v>
      </c>
      <c r="I240" s="2" t="s">
        <v>153</v>
      </c>
      <c r="J240" s="2" t="s">
        <v>154</v>
      </c>
      <c r="K240" s="2" t="s">
        <v>304</v>
      </c>
      <c r="L240" s="2" t="s">
        <v>38</v>
      </c>
      <c r="M240" s="8" t="str">
        <f>HYPERLINK("http://slimages.macys.com/is/image/MCY/13852866 ")</f>
        <v xml:space="preserve">http://slimages.macys.com/is/image/MCY/13852866 </v>
      </c>
    </row>
    <row r="241" spans="1:13" ht="60" x14ac:dyDescent="0.25">
      <c r="A241" s="7" t="s">
        <v>12057</v>
      </c>
      <c r="B241" s="2" t="s">
        <v>5961</v>
      </c>
      <c r="C241" s="4">
        <v>2</v>
      </c>
      <c r="D241" s="5">
        <v>5.8</v>
      </c>
      <c r="E241" s="5">
        <v>13.19</v>
      </c>
      <c r="F241" s="4">
        <v>17893810</v>
      </c>
      <c r="G241" s="2" t="s">
        <v>28</v>
      </c>
      <c r="H241" s="7" t="s">
        <v>91</v>
      </c>
      <c r="I241" s="2" t="s">
        <v>153</v>
      </c>
      <c r="J241" s="2" t="s">
        <v>154</v>
      </c>
      <c r="K241" s="2" t="s">
        <v>304</v>
      </c>
      <c r="L241" s="2" t="s">
        <v>38</v>
      </c>
      <c r="M241" s="8" t="str">
        <f>HYPERLINK("http://slimages.macys.com/is/image/MCY/13852866 ")</f>
        <v xml:space="preserve">http://slimages.macys.com/is/image/MCY/13852866 </v>
      </c>
    </row>
    <row r="242" spans="1:13" ht="60" x14ac:dyDescent="0.25">
      <c r="A242" s="7" t="s">
        <v>12058</v>
      </c>
      <c r="B242" s="2" t="s">
        <v>9603</v>
      </c>
      <c r="C242" s="4">
        <v>1</v>
      </c>
      <c r="D242" s="5">
        <v>5.78</v>
      </c>
      <c r="E242" s="5">
        <v>14.99</v>
      </c>
      <c r="F242" s="4" t="s">
        <v>9604</v>
      </c>
      <c r="G242" s="2" t="s">
        <v>1265</v>
      </c>
      <c r="H242" s="7" t="s">
        <v>159</v>
      </c>
      <c r="I242" s="2" t="s">
        <v>515</v>
      </c>
      <c r="J242" s="2" t="s">
        <v>827</v>
      </c>
      <c r="K242" s="2" t="s">
        <v>304</v>
      </c>
      <c r="L242" s="2" t="s">
        <v>358</v>
      </c>
      <c r="M242" s="8" t="str">
        <f>HYPERLINK("http://slimages.macys.com/is/image/MCY/10410484 ")</f>
        <v xml:space="preserve">http://slimages.macys.com/is/image/MCY/10410484 </v>
      </c>
    </row>
    <row r="243" spans="1:13" ht="60" x14ac:dyDescent="0.25">
      <c r="A243" s="7" t="s">
        <v>12059</v>
      </c>
      <c r="B243" s="2" t="s">
        <v>4137</v>
      </c>
      <c r="C243" s="4">
        <v>1</v>
      </c>
      <c r="D243" s="5">
        <v>5.77</v>
      </c>
      <c r="E243" s="5">
        <v>12.99</v>
      </c>
      <c r="F243" s="4" t="s">
        <v>4138</v>
      </c>
      <c r="G243" s="2" t="s">
        <v>86</v>
      </c>
      <c r="H243" s="7" t="s">
        <v>123</v>
      </c>
      <c r="I243" s="2" t="s">
        <v>218</v>
      </c>
      <c r="J243" s="2" t="s">
        <v>835</v>
      </c>
      <c r="K243" s="2" t="s">
        <v>304</v>
      </c>
      <c r="L243" s="2" t="s">
        <v>358</v>
      </c>
      <c r="M243" s="8" t="str">
        <f>HYPERLINK("http://slimages.macys.com/is/image/MCY/11603698 ")</f>
        <v xml:space="preserve">http://slimages.macys.com/is/image/MCY/11603698 </v>
      </c>
    </row>
    <row r="244" spans="1:13" ht="60" x14ac:dyDescent="0.25">
      <c r="A244" s="7" t="s">
        <v>12060</v>
      </c>
      <c r="B244" s="2" t="s">
        <v>1885</v>
      </c>
      <c r="C244" s="4">
        <v>1</v>
      </c>
      <c r="D244" s="5">
        <v>5.75</v>
      </c>
      <c r="E244" s="5">
        <v>12.99</v>
      </c>
      <c r="F244" s="4" t="s">
        <v>1886</v>
      </c>
      <c r="G244" s="2" t="s">
        <v>437</v>
      </c>
      <c r="H244" s="7" t="s">
        <v>91</v>
      </c>
      <c r="I244" s="2" t="s">
        <v>483</v>
      </c>
      <c r="J244" s="2" t="s">
        <v>536</v>
      </c>
      <c r="K244" s="2" t="s">
        <v>304</v>
      </c>
      <c r="L244" s="2" t="s">
        <v>596</v>
      </c>
      <c r="M244" s="8" t="str">
        <f>HYPERLINK("http://slimages.macys.com/is/image/MCY/12644485 ")</f>
        <v xml:space="preserve">http://slimages.macys.com/is/image/MCY/12644485 </v>
      </c>
    </row>
    <row r="245" spans="1:13" ht="60" x14ac:dyDescent="0.25">
      <c r="A245" s="7" t="s">
        <v>12061</v>
      </c>
      <c r="B245" s="2" t="s">
        <v>9011</v>
      </c>
      <c r="C245" s="4">
        <v>2</v>
      </c>
      <c r="D245" s="5">
        <v>5.75</v>
      </c>
      <c r="E245" s="5">
        <v>14.99</v>
      </c>
      <c r="F245" s="4" t="s">
        <v>12062</v>
      </c>
      <c r="G245" s="2" t="s">
        <v>28</v>
      </c>
      <c r="H245" s="7"/>
      <c r="I245" s="2" t="s">
        <v>30</v>
      </c>
      <c r="J245" s="2" t="s">
        <v>1890</v>
      </c>
      <c r="K245" s="2" t="s">
        <v>304</v>
      </c>
      <c r="L245" s="2" t="s">
        <v>416</v>
      </c>
      <c r="M245" s="8" t="str">
        <f>HYPERLINK("http://slimages.macys.com/is/image/MCY/12224297 ")</f>
        <v xml:space="preserve">http://slimages.macys.com/is/image/MCY/12224297 </v>
      </c>
    </row>
    <row r="246" spans="1:13" ht="60" x14ac:dyDescent="0.25">
      <c r="A246" s="7" t="s">
        <v>12063</v>
      </c>
      <c r="B246" s="2" t="s">
        <v>12064</v>
      </c>
      <c r="C246" s="4">
        <v>1</v>
      </c>
      <c r="D246" s="5">
        <v>5.64</v>
      </c>
      <c r="E246" s="5">
        <v>12.99</v>
      </c>
      <c r="F246" s="4" t="s">
        <v>12065</v>
      </c>
      <c r="G246" s="2" t="s">
        <v>262</v>
      </c>
      <c r="H246" s="7" t="s">
        <v>442</v>
      </c>
      <c r="I246" s="2" t="s">
        <v>483</v>
      </c>
      <c r="J246" s="2" t="s">
        <v>4176</v>
      </c>
      <c r="K246" s="2" t="s">
        <v>304</v>
      </c>
      <c r="L246" s="2" t="s">
        <v>596</v>
      </c>
      <c r="M246" s="8" t="str">
        <f>HYPERLINK("http://slimages.macys.com/is/image/MCY/12644555 ")</f>
        <v xml:space="preserve">http://slimages.macys.com/is/image/MCY/12644555 </v>
      </c>
    </row>
    <row r="247" spans="1:13" ht="60" x14ac:dyDescent="0.25">
      <c r="A247" s="7" t="s">
        <v>12066</v>
      </c>
      <c r="B247" s="2" t="s">
        <v>12067</v>
      </c>
      <c r="C247" s="4">
        <v>1</v>
      </c>
      <c r="D247" s="5">
        <v>5.6</v>
      </c>
      <c r="E247" s="5">
        <v>16</v>
      </c>
      <c r="F247" s="4" t="s">
        <v>6950</v>
      </c>
      <c r="G247" s="2" t="s">
        <v>62</v>
      </c>
      <c r="H247" s="7" t="s">
        <v>228</v>
      </c>
      <c r="I247" s="2" t="s">
        <v>700</v>
      </c>
      <c r="J247" s="2" t="s">
        <v>2123</v>
      </c>
      <c r="K247" s="2" t="s">
        <v>304</v>
      </c>
      <c r="L247" s="2" t="s">
        <v>87</v>
      </c>
      <c r="M247" s="8" t="str">
        <f>HYPERLINK("http://slimages.macys.com/is/image/MCY/2495450 ")</f>
        <v xml:space="preserve">http://slimages.macys.com/is/image/MCY/2495450 </v>
      </c>
    </row>
    <row r="248" spans="1:13" ht="60" x14ac:dyDescent="0.25">
      <c r="A248" s="7" t="s">
        <v>12068</v>
      </c>
      <c r="B248" s="2" t="s">
        <v>12069</v>
      </c>
      <c r="C248" s="4">
        <v>1</v>
      </c>
      <c r="D248" s="5">
        <v>5.58</v>
      </c>
      <c r="E248" s="5">
        <v>13.99</v>
      </c>
      <c r="F248" s="4" t="s">
        <v>12070</v>
      </c>
      <c r="G248" s="2" t="s">
        <v>657</v>
      </c>
      <c r="H248" s="7" t="s">
        <v>159</v>
      </c>
      <c r="I248" s="2" t="s">
        <v>292</v>
      </c>
      <c r="J248" s="2" t="s">
        <v>293</v>
      </c>
      <c r="K248" s="2" t="s">
        <v>304</v>
      </c>
      <c r="L248" s="2" t="s">
        <v>119</v>
      </c>
      <c r="M248" s="8" t="str">
        <f>HYPERLINK("http://slimages.macys.com/is/image/MCY/10746866 ")</f>
        <v xml:space="preserve">http://slimages.macys.com/is/image/MCY/10746866 </v>
      </c>
    </row>
    <row r="249" spans="1:13" ht="96" x14ac:dyDescent="0.25">
      <c r="A249" s="7" t="s">
        <v>1908</v>
      </c>
      <c r="B249" s="2" t="s">
        <v>1909</v>
      </c>
      <c r="C249" s="4">
        <v>1</v>
      </c>
      <c r="D249" s="5">
        <v>5.57</v>
      </c>
      <c r="E249" s="5">
        <v>16.989999999999998</v>
      </c>
      <c r="F249" s="4" t="s">
        <v>1910</v>
      </c>
      <c r="G249" s="2" t="s">
        <v>171</v>
      </c>
      <c r="H249" s="7" t="s">
        <v>284</v>
      </c>
      <c r="I249" s="2" t="s">
        <v>515</v>
      </c>
      <c r="J249" s="2" t="s">
        <v>827</v>
      </c>
      <c r="K249" s="2" t="s">
        <v>304</v>
      </c>
      <c r="L249" s="2" t="s">
        <v>1911</v>
      </c>
      <c r="M249" s="8" t="str">
        <f>HYPERLINK("http://slimages.macys.com/is/image/MCY/11606037 ")</f>
        <v xml:space="preserve">http://slimages.macys.com/is/image/MCY/11606037 </v>
      </c>
    </row>
    <row r="250" spans="1:13" ht="60" x14ac:dyDescent="0.25">
      <c r="A250" s="7" t="s">
        <v>12071</v>
      </c>
      <c r="B250" s="2" t="s">
        <v>12072</v>
      </c>
      <c r="C250" s="4">
        <v>1</v>
      </c>
      <c r="D250" s="5">
        <v>5.55</v>
      </c>
      <c r="E250" s="5">
        <v>13.99</v>
      </c>
      <c r="F250" s="4" t="s">
        <v>12073</v>
      </c>
      <c r="G250" s="2" t="s">
        <v>28</v>
      </c>
      <c r="H250" s="7" t="s">
        <v>159</v>
      </c>
      <c r="I250" s="2" t="s">
        <v>389</v>
      </c>
      <c r="J250" s="2" t="s">
        <v>354</v>
      </c>
      <c r="K250" s="2" t="s">
        <v>304</v>
      </c>
      <c r="L250" s="2" t="s">
        <v>358</v>
      </c>
      <c r="M250" s="8" t="str">
        <f>HYPERLINK("http://slimages.macys.com/is/image/MCY/9730570 ")</f>
        <v xml:space="preserve">http://slimages.macys.com/is/image/MCY/9730570 </v>
      </c>
    </row>
    <row r="251" spans="1:13" ht="60" x14ac:dyDescent="0.25">
      <c r="A251" s="7" t="s">
        <v>9024</v>
      </c>
      <c r="B251" s="2" t="s">
        <v>1915</v>
      </c>
      <c r="C251" s="4">
        <v>1</v>
      </c>
      <c r="D251" s="5">
        <v>5.5</v>
      </c>
      <c r="E251" s="5">
        <v>10.99</v>
      </c>
      <c r="F251" s="4" t="s">
        <v>1916</v>
      </c>
      <c r="G251" s="2" t="s">
        <v>36</v>
      </c>
      <c r="H251" s="7" t="s">
        <v>159</v>
      </c>
      <c r="I251" s="2" t="s">
        <v>73</v>
      </c>
      <c r="J251" s="2" t="s">
        <v>1917</v>
      </c>
      <c r="K251" s="2" t="s">
        <v>304</v>
      </c>
      <c r="L251" s="2" t="s">
        <v>125</v>
      </c>
      <c r="M251" s="8" t="str">
        <f>HYPERLINK("http://slimages.macys.com/is/image/MCY/12235600 ")</f>
        <v xml:space="preserve">http://slimages.macys.com/is/image/MCY/12235600 </v>
      </c>
    </row>
    <row r="252" spans="1:13" ht="60" x14ac:dyDescent="0.25">
      <c r="A252" s="7" t="s">
        <v>1918</v>
      </c>
      <c r="B252" s="2" t="s">
        <v>1915</v>
      </c>
      <c r="C252" s="4">
        <v>1</v>
      </c>
      <c r="D252" s="5">
        <v>5.5</v>
      </c>
      <c r="E252" s="5">
        <v>10.99</v>
      </c>
      <c r="F252" s="4" t="s">
        <v>1916</v>
      </c>
      <c r="G252" s="2" t="s">
        <v>41</v>
      </c>
      <c r="H252" s="7" t="s">
        <v>159</v>
      </c>
      <c r="I252" s="2" t="s">
        <v>73</v>
      </c>
      <c r="J252" s="2" t="s">
        <v>1917</v>
      </c>
      <c r="K252" s="2" t="s">
        <v>304</v>
      </c>
      <c r="L252" s="2" t="s">
        <v>125</v>
      </c>
      <c r="M252" s="8" t="str">
        <f>HYPERLINK("http://slimages.macys.com/is/image/MCY/12235600 ")</f>
        <v xml:space="preserve">http://slimages.macys.com/is/image/MCY/12235600 </v>
      </c>
    </row>
    <row r="253" spans="1:13" ht="96" x14ac:dyDescent="0.25">
      <c r="A253" s="7" t="s">
        <v>1956</v>
      </c>
      <c r="B253" s="2" t="s">
        <v>1946</v>
      </c>
      <c r="C253" s="4">
        <v>1</v>
      </c>
      <c r="D253" s="5">
        <v>5.25</v>
      </c>
      <c r="E253" s="5">
        <v>14.99</v>
      </c>
      <c r="F253" s="4" t="s">
        <v>1947</v>
      </c>
      <c r="G253" s="2"/>
      <c r="H253" s="7" t="s">
        <v>68</v>
      </c>
      <c r="I253" s="2" t="s">
        <v>92</v>
      </c>
      <c r="J253" s="2" t="s">
        <v>1076</v>
      </c>
      <c r="K253" s="2" t="s">
        <v>304</v>
      </c>
      <c r="L253" s="2" t="s">
        <v>1948</v>
      </c>
      <c r="M253" s="8" t="str">
        <f>HYPERLINK("http://slimages.macys.com/is/image/MCY/15654526 ")</f>
        <v xml:space="preserve">http://slimages.macys.com/is/image/MCY/15654526 </v>
      </c>
    </row>
    <row r="254" spans="1:13" ht="96" x14ac:dyDescent="0.25">
      <c r="A254" s="7" t="s">
        <v>1945</v>
      </c>
      <c r="B254" s="2" t="s">
        <v>1946</v>
      </c>
      <c r="C254" s="4">
        <v>1</v>
      </c>
      <c r="D254" s="5">
        <v>5.25</v>
      </c>
      <c r="E254" s="5">
        <v>14.99</v>
      </c>
      <c r="F254" s="4" t="s">
        <v>1947</v>
      </c>
      <c r="G254" s="2"/>
      <c r="H254" s="7" t="s">
        <v>144</v>
      </c>
      <c r="I254" s="2" t="s">
        <v>92</v>
      </c>
      <c r="J254" s="2" t="s">
        <v>1076</v>
      </c>
      <c r="K254" s="2" t="s">
        <v>304</v>
      </c>
      <c r="L254" s="2" t="s">
        <v>1948</v>
      </c>
      <c r="M254" s="8" t="str">
        <f>HYPERLINK("http://slimages.macys.com/is/image/MCY/15654526 ")</f>
        <v xml:space="preserve">http://slimages.macys.com/is/image/MCY/15654526 </v>
      </c>
    </row>
    <row r="255" spans="1:13" ht="60" x14ac:dyDescent="0.25">
      <c r="A255" s="7" t="s">
        <v>12074</v>
      </c>
      <c r="B255" s="2" t="s">
        <v>12075</v>
      </c>
      <c r="C255" s="4">
        <v>1</v>
      </c>
      <c r="D255" s="5">
        <v>5.25</v>
      </c>
      <c r="E255" s="5">
        <v>12.07</v>
      </c>
      <c r="F255" s="4">
        <v>16421712</v>
      </c>
      <c r="G255" s="2"/>
      <c r="H255" s="7" t="s">
        <v>91</v>
      </c>
      <c r="I255" s="2" t="s">
        <v>153</v>
      </c>
      <c r="J255" s="2" t="s">
        <v>3580</v>
      </c>
      <c r="K255" s="2" t="s">
        <v>304</v>
      </c>
      <c r="L255" s="2" t="s">
        <v>125</v>
      </c>
      <c r="M255" s="8" t="str">
        <f>HYPERLINK("http://slimages.macys.com/is/image/MCY/11387548 ")</f>
        <v xml:space="preserve">http://slimages.macys.com/is/image/MCY/11387548 </v>
      </c>
    </row>
    <row r="256" spans="1:13" ht="60" x14ac:dyDescent="0.25">
      <c r="A256" s="7" t="s">
        <v>12076</v>
      </c>
      <c r="B256" s="2" t="s">
        <v>12077</v>
      </c>
      <c r="C256" s="4">
        <v>1</v>
      </c>
      <c r="D256" s="5">
        <v>5.25</v>
      </c>
      <c r="E256" s="5">
        <v>12.07</v>
      </c>
      <c r="F256" s="4">
        <v>16962410</v>
      </c>
      <c r="G256" s="2"/>
      <c r="H256" s="7" t="s">
        <v>91</v>
      </c>
      <c r="I256" s="2" t="s">
        <v>153</v>
      </c>
      <c r="J256" s="2" t="s">
        <v>3580</v>
      </c>
      <c r="K256" s="2" t="s">
        <v>304</v>
      </c>
      <c r="L256" s="2" t="s">
        <v>206</v>
      </c>
      <c r="M256" s="8" t="str">
        <f>HYPERLINK("http://slimages.macys.com/is/image/MCY/11387535 ")</f>
        <v xml:space="preserve">http://slimages.macys.com/is/image/MCY/11387535 </v>
      </c>
    </row>
    <row r="257" spans="1:13" ht="60" x14ac:dyDescent="0.25">
      <c r="A257" s="7" t="s">
        <v>12078</v>
      </c>
      <c r="B257" s="2" t="s">
        <v>12079</v>
      </c>
      <c r="C257" s="4">
        <v>1</v>
      </c>
      <c r="D257" s="5">
        <v>5.25</v>
      </c>
      <c r="E257" s="5">
        <v>12.07</v>
      </c>
      <c r="F257" s="4">
        <v>15953013</v>
      </c>
      <c r="G257" s="2"/>
      <c r="H257" s="7" t="s">
        <v>91</v>
      </c>
      <c r="I257" s="2" t="s">
        <v>153</v>
      </c>
      <c r="J257" s="2" t="s">
        <v>3580</v>
      </c>
      <c r="K257" s="2" t="s">
        <v>304</v>
      </c>
      <c r="L257" s="2" t="s">
        <v>125</v>
      </c>
      <c r="M257" s="8" t="str">
        <f>HYPERLINK("http://slimages.macys.com/is/image/MCY/11387647 ")</f>
        <v xml:space="preserve">http://slimages.macys.com/is/image/MCY/11387647 </v>
      </c>
    </row>
    <row r="258" spans="1:13" ht="60" x14ac:dyDescent="0.25">
      <c r="A258" s="7" t="s">
        <v>12080</v>
      </c>
      <c r="B258" s="2" t="s">
        <v>12081</v>
      </c>
      <c r="C258" s="4">
        <v>1</v>
      </c>
      <c r="D258" s="5">
        <v>5.25</v>
      </c>
      <c r="E258" s="5">
        <v>12.07</v>
      </c>
      <c r="F258" s="4">
        <v>15953010</v>
      </c>
      <c r="G258" s="2"/>
      <c r="H258" s="7" t="s">
        <v>91</v>
      </c>
      <c r="I258" s="2" t="s">
        <v>153</v>
      </c>
      <c r="J258" s="2" t="s">
        <v>3580</v>
      </c>
      <c r="K258" s="2" t="s">
        <v>304</v>
      </c>
      <c r="L258" s="2" t="s">
        <v>125</v>
      </c>
      <c r="M258" s="8" t="str">
        <f>HYPERLINK("http://slimages.macys.com/is/image/MCY/11387650 ")</f>
        <v xml:space="preserve">http://slimages.macys.com/is/image/MCY/11387650 </v>
      </c>
    </row>
    <row r="259" spans="1:13" ht="96" x14ac:dyDescent="0.25">
      <c r="A259" s="7" t="s">
        <v>1952</v>
      </c>
      <c r="B259" s="2" t="s">
        <v>1950</v>
      </c>
      <c r="C259" s="4">
        <v>2</v>
      </c>
      <c r="D259" s="5">
        <v>5.25</v>
      </c>
      <c r="E259" s="5">
        <v>14.99</v>
      </c>
      <c r="F259" s="4" t="s">
        <v>1951</v>
      </c>
      <c r="G259" s="2" t="s">
        <v>129</v>
      </c>
      <c r="H259" s="7" t="s">
        <v>91</v>
      </c>
      <c r="I259" s="2" t="s">
        <v>92</v>
      </c>
      <c r="J259" s="2" t="s">
        <v>1076</v>
      </c>
      <c r="K259" s="2" t="s">
        <v>304</v>
      </c>
      <c r="L259" s="2" t="s">
        <v>1948</v>
      </c>
      <c r="M259" s="8" t="str">
        <f>HYPERLINK("http://slimages.macys.com/is/image/MCY/15654553 ")</f>
        <v xml:space="preserve">http://slimages.macys.com/is/image/MCY/15654553 </v>
      </c>
    </row>
    <row r="260" spans="1:13" ht="60" x14ac:dyDescent="0.25">
      <c r="A260" s="7" t="s">
        <v>12082</v>
      </c>
      <c r="B260" s="2" t="s">
        <v>11637</v>
      </c>
      <c r="C260" s="4">
        <v>1</v>
      </c>
      <c r="D260" s="5">
        <v>5.2</v>
      </c>
      <c r="E260" s="5">
        <v>10.4</v>
      </c>
      <c r="F260" s="4" t="s">
        <v>11638</v>
      </c>
      <c r="G260" s="2"/>
      <c r="H260" s="7" t="s">
        <v>209</v>
      </c>
      <c r="I260" s="2" t="s">
        <v>487</v>
      </c>
      <c r="J260" s="2" t="s">
        <v>488</v>
      </c>
      <c r="K260" s="2" t="s">
        <v>304</v>
      </c>
      <c r="L260" s="2" t="s">
        <v>206</v>
      </c>
      <c r="M260" s="8" t="str">
        <f>HYPERLINK("http://slimages.macys.com/is/image/MCY/12051900 ")</f>
        <v xml:space="preserve">http://slimages.macys.com/is/image/MCY/12051900 </v>
      </c>
    </row>
    <row r="261" spans="1:13" ht="60" x14ac:dyDescent="0.25">
      <c r="A261" s="7" t="s">
        <v>12083</v>
      </c>
      <c r="B261" s="2" t="s">
        <v>12084</v>
      </c>
      <c r="C261" s="4">
        <v>1</v>
      </c>
      <c r="D261" s="5">
        <v>5.19</v>
      </c>
      <c r="E261" s="5">
        <v>14.99</v>
      </c>
      <c r="F261" s="4" t="s">
        <v>12085</v>
      </c>
      <c r="G261" s="2" t="s">
        <v>388</v>
      </c>
      <c r="H261" s="7" t="s">
        <v>514</v>
      </c>
      <c r="I261" s="2" t="s">
        <v>1689</v>
      </c>
      <c r="J261" s="2" t="s">
        <v>354</v>
      </c>
      <c r="K261" s="2" t="s">
        <v>304</v>
      </c>
      <c r="L261" s="2" t="s">
        <v>119</v>
      </c>
      <c r="M261" s="8" t="str">
        <f>HYPERLINK("http://slimages.macys.com/is/image/MCY/13824198 ")</f>
        <v xml:space="preserve">http://slimages.macys.com/is/image/MCY/13824198 </v>
      </c>
    </row>
    <row r="262" spans="1:13" ht="60" x14ac:dyDescent="0.25">
      <c r="A262" s="7" t="s">
        <v>12086</v>
      </c>
      <c r="B262" s="2" t="s">
        <v>12087</v>
      </c>
      <c r="C262" s="4">
        <v>1</v>
      </c>
      <c r="D262" s="5">
        <v>5</v>
      </c>
      <c r="E262" s="5">
        <v>11.63</v>
      </c>
      <c r="F262" s="4">
        <v>16601611</v>
      </c>
      <c r="G262" s="2" t="s">
        <v>36</v>
      </c>
      <c r="H262" s="7" t="s">
        <v>675</v>
      </c>
      <c r="I262" s="2" t="s">
        <v>153</v>
      </c>
      <c r="J262" s="2" t="s">
        <v>154</v>
      </c>
      <c r="K262" s="2" t="s">
        <v>304</v>
      </c>
      <c r="L262" s="2" t="s">
        <v>119</v>
      </c>
      <c r="M262" s="8" t="str">
        <f>HYPERLINK("http://slimages.macys.com/is/image/MCY/11867309 ")</f>
        <v xml:space="preserve">http://slimages.macys.com/is/image/MCY/11867309 </v>
      </c>
    </row>
    <row r="263" spans="1:13" ht="60" x14ac:dyDescent="0.25">
      <c r="A263" s="7" t="s">
        <v>12088</v>
      </c>
      <c r="B263" s="2" t="s">
        <v>10158</v>
      </c>
      <c r="C263" s="4">
        <v>1</v>
      </c>
      <c r="D263" s="5">
        <v>5</v>
      </c>
      <c r="E263" s="5">
        <v>11.99</v>
      </c>
      <c r="F263" s="4" t="s">
        <v>12089</v>
      </c>
      <c r="G263" s="2" t="s">
        <v>253</v>
      </c>
      <c r="H263" s="7" t="s">
        <v>144</v>
      </c>
      <c r="I263" s="2" t="s">
        <v>173</v>
      </c>
      <c r="J263" s="2" t="s">
        <v>1967</v>
      </c>
      <c r="K263" s="2" t="s">
        <v>304</v>
      </c>
      <c r="L263" s="2" t="s">
        <v>206</v>
      </c>
      <c r="M263" s="8" t="str">
        <f>HYPERLINK("http://slimages.macys.com/is/image/MCY/10479965 ")</f>
        <v xml:space="preserve">http://slimages.macys.com/is/image/MCY/10479965 </v>
      </c>
    </row>
    <row r="264" spans="1:13" ht="60" x14ac:dyDescent="0.25">
      <c r="A264" s="7" t="s">
        <v>12090</v>
      </c>
      <c r="B264" s="2" t="s">
        <v>6956</v>
      </c>
      <c r="C264" s="4">
        <v>1</v>
      </c>
      <c r="D264" s="5">
        <v>5</v>
      </c>
      <c r="E264" s="5">
        <v>9.99</v>
      </c>
      <c r="F264" s="4" t="s">
        <v>6987</v>
      </c>
      <c r="G264" s="2" t="s">
        <v>1265</v>
      </c>
      <c r="H264" s="7" t="s">
        <v>317</v>
      </c>
      <c r="I264" s="2" t="s">
        <v>73</v>
      </c>
      <c r="J264" s="2" t="s">
        <v>1963</v>
      </c>
      <c r="K264" s="2" t="s">
        <v>304</v>
      </c>
      <c r="L264" s="2" t="s">
        <v>5967</v>
      </c>
      <c r="M264" s="8" t="str">
        <f>HYPERLINK("http://slimages.macys.com/is/image/MCY/12802344 ")</f>
        <v xml:space="preserve">http://slimages.macys.com/is/image/MCY/12802344 </v>
      </c>
    </row>
    <row r="265" spans="1:13" ht="60" x14ac:dyDescent="0.25">
      <c r="A265" s="7" t="s">
        <v>12091</v>
      </c>
      <c r="B265" s="2" t="s">
        <v>12092</v>
      </c>
      <c r="C265" s="4">
        <v>1</v>
      </c>
      <c r="D265" s="5">
        <v>5</v>
      </c>
      <c r="E265" s="5">
        <v>9.99</v>
      </c>
      <c r="F265" s="4" t="s">
        <v>12093</v>
      </c>
      <c r="G265" s="2" t="s">
        <v>2107</v>
      </c>
      <c r="H265" s="7" t="s">
        <v>68</v>
      </c>
      <c r="I265" s="2" t="s">
        <v>73</v>
      </c>
      <c r="J265" s="2" t="s">
        <v>1963</v>
      </c>
      <c r="K265" s="2" t="s">
        <v>304</v>
      </c>
      <c r="L265" s="2" t="s">
        <v>119</v>
      </c>
      <c r="M265" s="8" t="str">
        <f>HYPERLINK("http://slimages.macys.com/is/image/MCY/11209907 ")</f>
        <v xml:space="preserve">http://slimages.macys.com/is/image/MCY/11209907 </v>
      </c>
    </row>
    <row r="266" spans="1:13" ht="60" x14ac:dyDescent="0.25">
      <c r="A266" s="7" t="s">
        <v>12094</v>
      </c>
      <c r="B266" s="2" t="s">
        <v>1915</v>
      </c>
      <c r="C266" s="4">
        <v>1</v>
      </c>
      <c r="D266" s="5">
        <v>5</v>
      </c>
      <c r="E266" s="5">
        <v>9.99</v>
      </c>
      <c r="F266" s="4" t="s">
        <v>1962</v>
      </c>
      <c r="G266" s="2" t="s">
        <v>36</v>
      </c>
      <c r="H266" s="7" t="s">
        <v>63</v>
      </c>
      <c r="I266" s="2" t="s">
        <v>73</v>
      </c>
      <c r="J266" s="2" t="s">
        <v>1963</v>
      </c>
      <c r="K266" s="2" t="s">
        <v>304</v>
      </c>
      <c r="L266" s="2" t="s">
        <v>125</v>
      </c>
      <c r="M266" s="8" t="str">
        <f>HYPERLINK("http://slimages.macys.com/is/image/MCY/12235600 ")</f>
        <v xml:space="preserve">http://slimages.macys.com/is/image/MCY/12235600 </v>
      </c>
    </row>
    <row r="267" spans="1:13" ht="60" x14ac:dyDescent="0.25">
      <c r="A267" s="7" t="s">
        <v>12095</v>
      </c>
      <c r="B267" s="2" t="s">
        <v>1915</v>
      </c>
      <c r="C267" s="4">
        <v>1</v>
      </c>
      <c r="D267" s="5">
        <v>5</v>
      </c>
      <c r="E267" s="5">
        <v>9.99</v>
      </c>
      <c r="F267" s="4" t="s">
        <v>1962</v>
      </c>
      <c r="G267" s="2" t="s">
        <v>36</v>
      </c>
      <c r="H267" s="7" t="s">
        <v>68</v>
      </c>
      <c r="I267" s="2" t="s">
        <v>73</v>
      </c>
      <c r="J267" s="2" t="s">
        <v>1963</v>
      </c>
      <c r="K267" s="2" t="s">
        <v>304</v>
      </c>
      <c r="L267" s="2" t="s">
        <v>125</v>
      </c>
      <c r="M267" s="8" t="str">
        <f>HYPERLINK("http://slimages.macys.com/is/image/MCY/12235600 ")</f>
        <v xml:space="preserve">http://slimages.macys.com/is/image/MCY/12235600 </v>
      </c>
    </row>
    <row r="268" spans="1:13" ht="60" x14ac:dyDescent="0.25">
      <c r="A268" s="7" t="s">
        <v>12096</v>
      </c>
      <c r="B268" s="2" t="s">
        <v>1969</v>
      </c>
      <c r="C268" s="4">
        <v>1</v>
      </c>
      <c r="D268" s="5">
        <v>4.9800000000000004</v>
      </c>
      <c r="E268" s="5">
        <v>12.99</v>
      </c>
      <c r="F268" s="4" t="s">
        <v>1970</v>
      </c>
      <c r="G268" s="2" t="s">
        <v>262</v>
      </c>
      <c r="H268" s="7" t="s">
        <v>159</v>
      </c>
      <c r="I268" s="2" t="s">
        <v>515</v>
      </c>
      <c r="J268" s="2" t="s">
        <v>1971</v>
      </c>
      <c r="K268" s="2" t="s">
        <v>304</v>
      </c>
      <c r="L268" s="2" t="s">
        <v>119</v>
      </c>
      <c r="M268" s="8" t="str">
        <f>HYPERLINK("http://slimages.macys.com/is/image/MCY/13586213 ")</f>
        <v xml:space="preserve">http://slimages.macys.com/is/image/MCY/13586213 </v>
      </c>
    </row>
    <row r="269" spans="1:13" ht="60" x14ac:dyDescent="0.25">
      <c r="A269" s="7" t="s">
        <v>10553</v>
      </c>
      <c r="B269" s="2" t="s">
        <v>10554</v>
      </c>
      <c r="C269" s="4">
        <v>1</v>
      </c>
      <c r="D269" s="5">
        <v>4.93</v>
      </c>
      <c r="E269" s="5">
        <v>12.99</v>
      </c>
      <c r="F269" s="4" t="s">
        <v>10555</v>
      </c>
      <c r="G269" s="2" t="s">
        <v>86</v>
      </c>
      <c r="H269" s="7" t="s">
        <v>196</v>
      </c>
      <c r="I269" s="2" t="s">
        <v>389</v>
      </c>
      <c r="J269" s="2" t="s">
        <v>354</v>
      </c>
      <c r="K269" s="2" t="s">
        <v>304</v>
      </c>
      <c r="L269" s="2" t="s">
        <v>358</v>
      </c>
      <c r="M269" s="8" t="str">
        <f>HYPERLINK("http://slimages.macys.com/is/image/MCY/12101601 ")</f>
        <v xml:space="preserve">http://slimages.macys.com/is/image/MCY/12101601 </v>
      </c>
    </row>
    <row r="270" spans="1:13" ht="60" x14ac:dyDescent="0.25">
      <c r="A270" s="7" t="s">
        <v>5509</v>
      </c>
      <c r="B270" s="2" t="s">
        <v>5510</v>
      </c>
      <c r="C270" s="4">
        <v>1</v>
      </c>
      <c r="D270" s="5">
        <v>4.92</v>
      </c>
      <c r="E270" s="5">
        <v>11.99</v>
      </c>
      <c r="F270" s="4" t="s">
        <v>5511</v>
      </c>
      <c r="G270" s="2" t="s">
        <v>353</v>
      </c>
      <c r="H270" s="7" t="s">
        <v>284</v>
      </c>
      <c r="I270" s="2" t="s">
        <v>292</v>
      </c>
      <c r="J270" s="2" t="s">
        <v>293</v>
      </c>
      <c r="K270" s="2" t="s">
        <v>304</v>
      </c>
      <c r="L270" s="2" t="s">
        <v>119</v>
      </c>
      <c r="M270" s="8" t="str">
        <f>HYPERLINK("http://slimages.macys.com/is/image/MCY/13080815 ")</f>
        <v xml:space="preserve">http://slimages.macys.com/is/image/MCY/13080815 </v>
      </c>
    </row>
    <row r="271" spans="1:13" ht="108" x14ac:dyDescent="0.25">
      <c r="A271" s="7" t="s">
        <v>12097</v>
      </c>
      <c r="B271" s="2" t="s">
        <v>8332</v>
      </c>
      <c r="C271" s="4">
        <v>1</v>
      </c>
      <c r="D271" s="5">
        <v>4.8499999999999996</v>
      </c>
      <c r="E271" s="5">
        <v>14.99</v>
      </c>
      <c r="F271" s="4" t="s">
        <v>8333</v>
      </c>
      <c r="G271" s="2" t="s">
        <v>353</v>
      </c>
      <c r="H271" s="7" t="s">
        <v>123</v>
      </c>
      <c r="I271" s="2" t="s">
        <v>321</v>
      </c>
      <c r="J271" s="2" t="s">
        <v>3444</v>
      </c>
      <c r="K271" s="2" t="s">
        <v>304</v>
      </c>
      <c r="L271" s="2" t="s">
        <v>161</v>
      </c>
      <c r="M271" s="8" t="str">
        <f>HYPERLINK("http://slimages.macys.com/is/image/MCY/11228339 ")</f>
        <v xml:space="preserve">http://slimages.macys.com/is/image/MCY/11228339 </v>
      </c>
    </row>
    <row r="272" spans="1:13" ht="60" x14ac:dyDescent="0.25">
      <c r="A272" s="7" t="s">
        <v>12098</v>
      </c>
      <c r="B272" s="2" t="s">
        <v>12099</v>
      </c>
      <c r="C272" s="4">
        <v>1</v>
      </c>
      <c r="D272" s="5">
        <v>4.83</v>
      </c>
      <c r="E272" s="5">
        <v>10.99</v>
      </c>
      <c r="F272" s="4" t="s">
        <v>12100</v>
      </c>
      <c r="G272" s="2" t="s">
        <v>303</v>
      </c>
      <c r="H272" s="7" t="s">
        <v>514</v>
      </c>
      <c r="I272" s="2" t="s">
        <v>1689</v>
      </c>
      <c r="J272" s="2" t="s">
        <v>354</v>
      </c>
      <c r="K272" s="2" t="s">
        <v>304</v>
      </c>
      <c r="L272" s="2" t="s">
        <v>119</v>
      </c>
      <c r="M272" s="8" t="str">
        <f>HYPERLINK("http://slimages.macys.com/is/image/MCY/11501174 ")</f>
        <v xml:space="preserve">http://slimages.macys.com/is/image/MCY/11501174 </v>
      </c>
    </row>
    <row r="273" spans="1:13" ht="60" x14ac:dyDescent="0.25">
      <c r="A273" s="7" t="s">
        <v>11157</v>
      </c>
      <c r="B273" s="2" t="s">
        <v>10566</v>
      </c>
      <c r="C273" s="4">
        <v>1</v>
      </c>
      <c r="D273" s="5">
        <v>4.8099999999999996</v>
      </c>
      <c r="E273" s="5">
        <v>11.99</v>
      </c>
      <c r="F273" s="4" t="s">
        <v>10567</v>
      </c>
      <c r="G273" s="2" t="s">
        <v>28</v>
      </c>
      <c r="H273" s="7" t="s">
        <v>217</v>
      </c>
      <c r="I273" s="2" t="s">
        <v>292</v>
      </c>
      <c r="J273" s="2" t="s">
        <v>293</v>
      </c>
      <c r="K273" s="2" t="s">
        <v>304</v>
      </c>
      <c r="L273" s="2" t="s">
        <v>119</v>
      </c>
      <c r="M273" s="8" t="str">
        <f>HYPERLINK("http://slimages.macys.com/is/image/MCY/12685836 ")</f>
        <v xml:space="preserve">http://slimages.macys.com/is/image/MCY/12685836 </v>
      </c>
    </row>
    <row r="274" spans="1:13" ht="60" x14ac:dyDescent="0.25">
      <c r="A274" s="7" t="s">
        <v>12101</v>
      </c>
      <c r="B274" s="2" t="s">
        <v>12102</v>
      </c>
      <c r="C274" s="4">
        <v>1</v>
      </c>
      <c r="D274" s="5">
        <v>4.8</v>
      </c>
      <c r="E274" s="5">
        <v>10.99</v>
      </c>
      <c r="F274" s="4">
        <v>16879310</v>
      </c>
      <c r="G274" s="2"/>
      <c r="H274" s="7" t="s">
        <v>675</v>
      </c>
      <c r="I274" s="2" t="s">
        <v>153</v>
      </c>
      <c r="J274" s="2" t="s">
        <v>154</v>
      </c>
      <c r="K274" s="2" t="s">
        <v>304</v>
      </c>
      <c r="L274" s="2" t="s">
        <v>38</v>
      </c>
      <c r="M274" s="8" t="str">
        <f>HYPERLINK("http://slimages.macys.com/is/image/MCY/11720599 ")</f>
        <v xml:space="preserve">http://slimages.macys.com/is/image/MCY/11720599 </v>
      </c>
    </row>
    <row r="275" spans="1:13" ht="60" x14ac:dyDescent="0.25">
      <c r="A275" s="7" t="s">
        <v>12103</v>
      </c>
      <c r="B275" s="2" t="s">
        <v>12104</v>
      </c>
      <c r="C275" s="4">
        <v>1</v>
      </c>
      <c r="D275" s="5">
        <v>4.8</v>
      </c>
      <c r="E275" s="5">
        <v>10.99</v>
      </c>
      <c r="F275" s="4">
        <v>17418711</v>
      </c>
      <c r="G275" s="2" t="s">
        <v>129</v>
      </c>
      <c r="H275" s="7" t="s">
        <v>442</v>
      </c>
      <c r="I275" s="2" t="s">
        <v>153</v>
      </c>
      <c r="J275" s="2" t="s">
        <v>154</v>
      </c>
      <c r="K275" s="2" t="s">
        <v>304</v>
      </c>
      <c r="L275" s="2" t="s">
        <v>206</v>
      </c>
      <c r="M275" s="8" t="str">
        <f>HYPERLINK("http://slimages.macys.com/is/image/MCY/12740559 ")</f>
        <v xml:space="preserve">http://slimages.macys.com/is/image/MCY/12740559 </v>
      </c>
    </row>
    <row r="276" spans="1:13" ht="60" x14ac:dyDescent="0.25">
      <c r="A276" s="7" t="s">
        <v>12105</v>
      </c>
      <c r="B276" s="2" t="s">
        <v>12106</v>
      </c>
      <c r="C276" s="4">
        <v>1</v>
      </c>
      <c r="D276" s="5">
        <v>4.8</v>
      </c>
      <c r="E276" s="5">
        <v>10.99</v>
      </c>
      <c r="F276" s="4">
        <v>16880110</v>
      </c>
      <c r="G276" s="2"/>
      <c r="H276" s="7" t="s">
        <v>675</v>
      </c>
      <c r="I276" s="2" t="s">
        <v>153</v>
      </c>
      <c r="J276" s="2" t="s">
        <v>154</v>
      </c>
      <c r="K276" s="2" t="s">
        <v>304</v>
      </c>
      <c r="L276" s="2" t="s">
        <v>38</v>
      </c>
      <c r="M276" s="8" t="str">
        <f>HYPERLINK("http://slimages.macys.com/is/image/MCY/11720596 ")</f>
        <v xml:space="preserve">http://slimages.macys.com/is/image/MCY/11720596 </v>
      </c>
    </row>
    <row r="277" spans="1:13" ht="60" x14ac:dyDescent="0.25">
      <c r="A277" s="7" t="s">
        <v>12107</v>
      </c>
      <c r="B277" s="2" t="s">
        <v>6993</v>
      </c>
      <c r="C277" s="4">
        <v>1</v>
      </c>
      <c r="D277" s="5">
        <v>4.8</v>
      </c>
      <c r="E277" s="5">
        <v>9.99</v>
      </c>
      <c r="F277" s="4">
        <v>16638110</v>
      </c>
      <c r="G277" s="2"/>
      <c r="H277" s="7" t="s">
        <v>675</v>
      </c>
      <c r="I277" s="2" t="s">
        <v>153</v>
      </c>
      <c r="J277" s="2" t="s">
        <v>154</v>
      </c>
      <c r="K277" s="2" t="s">
        <v>304</v>
      </c>
      <c r="L277" s="2" t="s">
        <v>206</v>
      </c>
      <c r="M277" s="8" t="str">
        <f>HYPERLINK("http://slimages.macys.com/is/image/MCY/10705162 ")</f>
        <v xml:space="preserve">http://slimages.macys.com/is/image/MCY/10705162 </v>
      </c>
    </row>
    <row r="278" spans="1:13" ht="60" x14ac:dyDescent="0.25">
      <c r="A278" s="7" t="s">
        <v>12108</v>
      </c>
      <c r="B278" s="2" t="s">
        <v>1986</v>
      </c>
      <c r="C278" s="4">
        <v>1</v>
      </c>
      <c r="D278" s="5">
        <v>4.8</v>
      </c>
      <c r="E278" s="5">
        <v>9.99</v>
      </c>
      <c r="F278" s="4">
        <v>16626310</v>
      </c>
      <c r="G278" s="2"/>
      <c r="H278" s="7" t="s">
        <v>482</v>
      </c>
      <c r="I278" s="2" t="s">
        <v>153</v>
      </c>
      <c r="J278" s="2" t="s">
        <v>154</v>
      </c>
      <c r="K278" s="2" t="s">
        <v>304</v>
      </c>
      <c r="L278" s="2" t="s">
        <v>206</v>
      </c>
      <c r="M278" s="8" t="str">
        <f>HYPERLINK("http://slimages.macys.com/is/image/MCY/10705165 ")</f>
        <v xml:space="preserve">http://slimages.macys.com/is/image/MCY/10705165 </v>
      </c>
    </row>
    <row r="279" spans="1:13" ht="60" x14ac:dyDescent="0.25">
      <c r="A279" s="7" t="s">
        <v>12109</v>
      </c>
      <c r="B279" s="2" t="s">
        <v>6993</v>
      </c>
      <c r="C279" s="4">
        <v>1</v>
      </c>
      <c r="D279" s="5">
        <v>4.8</v>
      </c>
      <c r="E279" s="5">
        <v>9.99</v>
      </c>
      <c r="F279" s="4">
        <v>16638110</v>
      </c>
      <c r="G279" s="2"/>
      <c r="H279" s="7" t="s">
        <v>438</v>
      </c>
      <c r="I279" s="2" t="s">
        <v>153</v>
      </c>
      <c r="J279" s="2" t="s">
        <v>154</v>
      </c>
      <c r="K279" s="2" t="s">
        <v>304</v>
      </c>
      <c r="L279" s="2" t="s">
        <v>206</v>
      </c>
      <c r="M279" s="8" t="str">
        <f>HYPERLINK("http://slimages.macys.com/is/image/MCY/10705162 ")</f>
        <v xml:space="preserve">http://slimages.macys.com/is/image/MCY/10705162 </v>
      </c>
    </row>
    <row r="280" spans="1:13" ht="60" x14ac:dyDescent="0.25">
      <c r="A280" s="7" t="s">
        <v>6997</v>
      </c>
      <c r="B280" s="2" t="s">
        <v>6998</v>
      </c>
      <c r="C280" s="4">
        <v>1</v>
      </c>
      <c r="D280" s="5">
        <v>4.8</v>
      </c>
      <c r="E280" s="5">
        <v>9.99</v>
      </c>
      <c r="F280" s="4">
        <v>15951812</v>
      </c>
      <c r="G280" s="2"/>
      <c r="H280" s="7" t="s">
        <v>482</v>
      </c>
      <c r="I280" s="2" t="s">
        <v>153</v>
      </c>
      <c r="J280" s="2" t="s">
        <v>154</v>
      </c>
      <c r="K280" s="2" t="s">
        <v>304</v>
      </c>
      <c r="L280" s="2" t="s">
        <v>206</v>
      </c>
      <c r="M280" s="8" t="str">
        <f>HYPERLINK("http://slimages.macys.com/is/image/MCY/10756223 ")</f>
        <v xml:space="preserve">http://slimages.macys.com/is/image/MCY/10756223 </v>
      </c>
    </row>
    <row r="281" spans="1:13" ht="60" x14ac:dyDescent="0.25">
      <c r="A281" s="7" t="s">
        <v>12110</v>
      </c>
      <c r="B281" s="2" t="s">
        <v>12111</v>
      </c>
      <c r="C281" s="4">
        <v>1</v>
      </c>
      <c r="D281" s="5">
        <v>4.8</v>
      </c>
      <c r="E281" s="5">
        <v>10.99</v>
      </c>
      <c r="F281" s="4">
        <v>16574113</v>
      </c>
      <c r="G281" s="2"/>
      <c r="H281" s="7" t="s">
        <v>442</v>
      </c>
      <c r="I281" s="2" t="s">
        <v>153</v>
      </c>
      <c r="J281" s="2" t="s">
        <v>154</v>
      </c>
      <c r="K281" s="2" t="s">
        <v>304</v>
      </c>
      <c r="L281" s="2" t="s">
        <v>206</v>
      </c>
      <c r="M281" s="8" t="str">
        <f>HYPERLINK("http://slimages.macys.com/is/image/MCY/11671856 ")</f>
        <v xml:space="preserve">http://slimages.macys.com/is/image/MCY/11671856 </v>
      </c>
    </row>
    <row r="282" spans="1:13" ht="60" x14ac:dyDescent="0.25">
      <c r="A282" s="7" t="s">
        <v>12112</v>
      </c>
      <c r="B282" s="2" t="s">
        <v>12113</v>
      </c>
      <c r="C282" s="4">
        <v>1</v>
      </c>
      <c r="D282" s="5">
        <v>4.8</v>
      </c>
      <c r="E282" s="5">
        <v>10.99</v>
      </c>
      <c r="F282" s="4">
        <v>16575510</v>
      </c>
      <c r="G282" s="2"/>
      <c r="H282" s="7" t="s">
        <v>233</v>
      </c>
      <c r="I282" s="2" t="s">
        <v>153</v>
      </c>
      <c r="J282" s="2" t="s">
        <v>154</v>
      </c>
      <c r="K282" s="2" t="s">
        <v>304</v>
      </c>
      <c r="L282" s="2" t="s">
        <v>206</v>
      </c>
      <c r="M282" s="8" t="str">
        <f>HYPERLINK("http://slimages.macys.com/is/image/MCY/11671863 ")</f>
        <v xml:space="preserve">http://slimages.macys.com/is/image/MCY/11671863 </v>
      </c>
    </row>
    <row r="283" spans="1:13" ht="60" x14ac:dyDescent="0.25">
      <c r="A283" s="7" t="s">
        <v>12114</v>
      </c>
      <c r="B283" s="2" t="s">
        <v>4194</v>
      </c>
      <c r="C283" s="4">
        <v>1</v>
      </c>
      <c r="D283" s="5">
        <v>4.76</v>
      </c>
      <c r="E283" s="5">
        <v>12.99</v>
      </c>
      <c r="F283" s="4" t="s">
        <v>4195</v>
      </c>
      <c r="G283" s="2" t="s">
        <v>171</v>
      </c>
      <c r="H283" s="7" t="s">
        <v>1151</v>
      </c>
      <c r="I283" s="2" t="s">
        <v>515</v>
      </c>
      <c r="J283" s="2" t="s">
        <v>875</v>
      </c>
      <c r="K283" s="2" t="s">
        <v>304</v>
      </c>
      <c r="L283" s="2" t="s">
        <v>4196</v>
      </c>
      <c r="M283" s="8" t="str">
        <f>HYPERLINK("http://slimages.macys.com/is/image/MCY/11606116 ")</f>
        <v xml:space="preserve">http://slimages.macys.com/is/image/MCY/11606116 </v>
      </c>
    </row>
    <row r="284" spans="1:13" ht="60" x14ac:dyDescent="0.25">
      <c r="A284" s="7" t="s">
        <v>12115</v>
      </c>
      <c r="B284" s="2" t="s">
        <v>12116</v>
      </c>
      <c r="C284" s="4">
        <v>1</v>
      </c>
      <c r="D284" s="5">
        <v>4.75</v>
      </c>
      <c r="E284" s="5">
        <v>9.99</v>
      </c>
      <c r="F284" s="4" t="s">
        <v>12117</v>
      </c>
      <c r="G284" s="2" t="s">
        <v>171</v>
      </c>
      <c r="H284" s="7" t="s">
        <v>217</v>
      </c>
      <c r="I284" s="2" t="s">
        <v>468</v>
      </c>
      <c r="J284" s="2" t="s">
        <v>469</v>
      </c>
      <c r="K284" s="2" t="s">
        <v>304</v>
      </c>
      <c r="L284" s="2" t="s">
        <v>119</v>
      </c>
      <c r="M284" s="8" t="str">
        <f>HYPERLINK("http://slimages.macys.com/is/image/MCY/12894892 ")</f>
        <v xml:space="preserve">http://slimages.macys.com/is/image/MCY/12894892 </v>
      </c>
    </row>
    <row r="285" spans="1:13" ht="60" x14ac:dyDescent="0.25">
      <c r="A285" s="7" t="s">
        <v>12118</v>
      </c>
      <c r="B285" s="2" t="s">
        <v>12119</v>
      </c>
      <c r="C285" s="4">
        <v>1</v>
      </c>
      <c r="D285" s="5">
        <v>4.71</v>
      </c>
      <c r="E285" s="5">
        <v>12.99</v>
      </c>
      <c r="F285" s="4" t="s">
        <v>12120</v>
      </c>
      <c r="G285" s="2" t="s">
        <v>171</v>
      </c>
      <c r="H285" s="7" t="s">
        <v>196</v>
      </c>
      <c r="I285" s="2" t="s">
        <v>515</v>
      </c>
      <c r="J285" s="2" t="s">
        <v>1971</v>
      </c>
      <c r="K285" s="2" t="s">
        <v>304</v>
      </c>
      <c r="L285" s="2" t="s">
        <v>119</v>
      </c>
      <c r="M285" s="8" t="str">
        <f>HYPERLINK("http://slimages.macys.com/is/image/MCY/11860864 ")</f>
        <v xml:space="preserve">http://slimages.macys.com/is/image/MCY/11860864 </v>
      </c>
    </row>
    <row r="286" spans="1:13" ht="60" x14ac:dyDescent="0.25">
      <c r="A286" s="7" t="s">
        <v>12121</v>
      </c>
      <c r="B286" s="2" t="s">
        <v>4336</v>
      </c>
      <c r="C286" s="4">
        <v>1</v>
      </c>
      <c r="D286" s="5">
        <v>4.7</v>
      </c>
      <c r="E286" s="5">
        <v>10.99</v>
      </c>
      <c r="F286" s="4" t="s">
        <v>9093</v>
      </c>
      <c r="G286" s="2" t="s">
        <v>793</v>
      </c>
      <c r="H286" s="7" t="s">
        <v>159</v>
      </c>
      <c r="I286" s="2" t="s">
        <v>389</v>
      </c>
      <c r="J286" s="2" t="s">
        <v>354</v>
      </c>
      <c r="K286" s="2" t="s">
        <v>304</v>
      </c>
      <c r="L286" s="2" t="s">
        <v>596</v>
      </c>
      <c r="M286" s="8" t="str">
        <f>HYPERLINK("http://slimages.macys.com/is/image/MCY/11777149 ")</f>
        <v xml:space="preserve">http://slimages.macys.com/is/image/MCY/11777149 </v>
      </c>
    </row>
    <row r="287" spans="1:13" ht="108" x14ac:dyDescent="0.25">
      <c r="A287" s="7" t="s">
        <v>1999</v>
      </c>
      <c r="B287" s="2" t="s">
        <v>1996</v>
      </c>
      <c r="C287" s="4">
        <v>1</v>
      </c>
      <c r="D287" s="5">
        <v>4.67</v>
      </c>
      <c r="E287" s="5">
        <v>12</v>
      </c>
      <c r="F287" s="4" t="s">
        <v>1997</v>
      </c>
      <c r="G287" s="2" t="s">
        <v>437</v>
      </c>
      <c r="H287" s="7" t="s">
        <v>482</v>
      </c>
      <c r="I287" s="2" t="s">
        <v>483</v>
      </c>
      <c r="J287" s="2" t="s">
        <v>536</v>
      </c>
      <c r="K287" s="2" t="s">
        <v>304</v>
      </c>
      <c r="L287" s="2" t="s">
        <v>1998</v>
      </c>
      <c r="M287" s="8" t="str">
        <f>HYPERLINK("http://slimages.macys.com/is/image/MCY/12466268 ")</f>
        <v xml:space="preserve">http://slimages.macys.com/is/image/MCY/12466268 </v>
      </c>
    </row>
    <row r="288" spans="1:13" ht="108" x14ac:dyDescent="0.25">
      <c r="A288" s="7" t="s">
        <v>2000</v>
      </c>
      <c r="B288" s="2" t="s">
        <v>1996</v>
      </c>
      <c r="C288" s="4">
        <v>1</v>
      </c>
      <c r="D288" s="5">
        <v>4.67</v>
      </c>
      <c r="E288" s="5">
        <v>12</v>
      </c>
      <c r="F288" s="4" t="s">
        <v>1997</v>
      </c>
      <c r="G288" s="2" t="s">
        <v>437</v>
      </c>
      <c r="H288" s="7"/>
      <c r="I288" s="2" t="s">
        <v>483</v>
      </c>
      <c r="J288" s="2" t="s">
        <v>536</v>
      </c>
      <c r="K288" s="2" t="s">
        <v>304</v>
      </c>
      <c r="L288" s="2" t="s">
        <v>1998</v>
      </c>
      <c r="M288" s="8" t="str">
        <f>HYPERLINK("http://slimages.macys.com/is/image/MCY/12466268 ")</f>
        <v xml:space="preserve">http://slimages.macys.com/is/image/MCY/12466268 </v>
      </c>
    </row>
    <row r="289" spans="1:13" ht="60" x14ac:dyDescent="0.25">
      <c r="A289" s="7" t="s">
        <v>12122</v>
      </c>
      <c r="B289" s="2" t="s">
        <v>2006</v>
      </c>
      <c r="C289" s="4">
        <v>1</v>
      </c>
      <c r="D289" s="5">
        <v>4.5999999999999996</v>
      </c>
      <c r="E289" s="5">
        <v>10.99</v>
      </c>
      <c r="F289" s="4" t="s">
        <v>2007</v>
      </c>
      <c r="G289" s="2" t="s">
        <v>86</v>
      </c>
      <c r="H289" s="7" t="s">
        <v>123</v>
      </c>
      <c r="I289" s="2" t="s">
        <v>218</v>
      </c>
      <c r="J289" s="2" t="s">
        <v>2008</v>
      </c>
      <c r="K289" s="2" t="s">
        <v>304</v>
      </c>
      <c r="L289" s="2" t="s">
        <v>358</v>
      </c>
      <c r="M289" s="8" t="str">
        <f>HYPERLINK("http://slimages.macys.com/is/image/MCY/12235586 ")</f>
        <v xml:space="preserve">http://slimages.macys.com/is/image/MCY/12235586 </v>
      </c>
    </row>
    <row r="290" spans="1:13" ht="60" x14ac:dyDescent="0.25">
      <c r="A290" s="7" t="s">
        <v>12123</v>
      </c>
      <c r="B290" s="2" t="s">
        <v>12124</v>
      </c>
      <c r="C290" s="4">
        <v>1</v>
      </c>
      <c r="D290" s="5">
        <v>4.5999999999999996</v>
      </c>
      <c r="E290" s="5">
        <v>10.99</v>
      </c>
      <c r="F290" s="4" t="s">
        <v>12125</v>
      </c>
      <c r="G290" s="2" t="s">
        <v>793</v>
      </c>
      <c r="H290" s="7" t="s">
        <v>196</v>
      </c>
      <c r="I290" s="2" t="s">
        <v>389</v>
      </c>
      <c r="J290" s="2" t="s">
        <v>354</v>
      </c>
      <c r="K290" s="2" t="s">
        <v>304</v>
      </c>
      <c r="L290" s="2" t="s">
        <v>119</v>
      </c>
      <c r="M290" s="8" t="str">
        <f>HYPERLINK("http://slimages.macys.com/is/image/MCY/11374697 ")</f>
        <v xml:space="preserve">http://slimages.macys.com/is/image/MCY/11374697 </v>
      </c>
    </row>
    <row r="291" spans="1:13" ht="60" x14ac:dyDescent="0.25">
      <c r="A291" s="7" t="s">
        <v>12126</v>
      </c>
      <c r="B291" s="2" t="s">
        <v>12127</v>
      </c>
      <c r="C291" s="4">
        <v>1</v>
      </c>
      <c r="D291" s="5">
        <v>4.5</v>
      </c>
      <c r="E291" s="5">
        <v>7.99</v>
      </c>
      <c r="F291" s="4" t="s">
        <v>12128</v>
      </c>
      <c r="G291" s="2" t="s">
        <v>48</v>
      </c>
      <c r="H291" s="7" t="s">
        <v>123</v>
      </c>
      <c r="I291" s="2" t="s">
        <v>73</v>
      </c>
      <c r="J291" s="2" t="s">
        <v>1963</v>
      </c>
      <c r="K291" s="2" t="s">
        <v>304</v>
      </c>
      <c r="L291" s="2" t="s">
        <v>119</v>
      </c>
      <c r="M291" s="8" t="str">
        <f>HYPERLINK("http://slimages.macys.com/is/image/MCY/11209942 ")</f>
        <v xml:space="preserve">http://slimages.macys.com/is/image/MCY/11209942 </v>
      </c>
    </row>
    <row r="292" spans="1:13" ht="60" x14ac:dyDescent="0.25">
      <c r="A292" s="7" t="s">
        <v>2026</v>
      </c>
      <c r="B292" s="2" t="s">
        <v>2023</v>
      </c>
      <c r="C292" s="4">
        <v>3</v>
      </c>
      <c r="D292" s="5">
        <v>4.46</v>
      </c>
      <c r="E292" s="5">
        <v>12</v>
      </c>
      <c r="F292" s="4" t="s">
        <v>2024</v>
      </c>
      <c r="G292" s="2" t="s">
        <v>437</v>
      </c>
      <c r="H292" s="7" t="s">
        <v>604</v>
      </c>
      <c r="I292" s="2" t="s">
        <v>483</v>
      </c>
      <c r="J292" s="2" t="s">
        <v>536</v>
      </c>
      <c r="K292" s="2" t="s">
        <v>304</v>
      </c>
      <c r="L292" s="2" t="s">
        <v>1207</v>
      </c>
      <c r="M292" s="8" t="str">
        <f>HYPERLINK("http://slimages.macys.com/is/image/MCY/12466266 ")</f>
        <v xml:space="preserve">http://slimages.macys.com/is/image/MCY/12466266 </v>
      </c>
    </row>
    <row r="293" spans="1:13" ht="60" x14ac:dyDescent="0.25">
      <c r="A293" s="7" t="s">
        <v>12129</v>
      </c>
      <c r="B293" s="2" t="s">
        <v>1122</v>
      </c>
      <c r="C293" s="4">
        <v>1</v>
      </c>
      <c r="D293" s="5">
        <v>4.4000000000000004</v>
      </c>
      <c r="E293" s="5">
        <v>10.99</v>
      </c>
      <c r="F293" s="4" t="s">
        <v>1123</v>
      </c>
      <c r="G293" s="2" t="s">
        <v>41</v>
      </c>
      <c r="H293" s="7" t="s">
        <v>228</v>
      </c>
      <c r="I293" s="2" t="s">
        <v>523</v>
      </c>
      <c r="J293" s="2" t="s">
        <v>921</v>
      </c>
      <c r="K293" s="2" t="s">
        <v>304</v>
      </c>
      <c r="L293" s="2" t="s">
        <v>323</v>
      </c>
      <c r="M293" s="8" t="str">
        <f>HYPERLINK("http://slimages.macys.com/is/image/MCY/10324773 ")</f>
        <v xml:space="preserve">http://slimages.macys.com/is/image/MCY/10324773 </v>
      </c>
    </row>
    <row r="294" spans="1:13" ht="60" x14ac:dyDescent="0.25">
      <c r="A294" s="7" t="s">
        <v>12130</v>
      </c>
      <c r="B294" s="2" t="s">
        <v>12131</v>
      </c>
      <c r="C294" s="4">
        <v>1</v>
      </c>
      <c r="D294" s="5">
        <v>4.4000000000000004</v>
      </c>
      <c r="E294" s="5">
        <v>10.99</v>
      </c>
      <c r="F294" s="4" t="s">
        <v>12132</v>
      </c>
      <c r="G294" s="2" t="s">
        <v>86</v>
      </c>
      <c r="H294" s="7" t="s">
        <v>1151</v>
      </c>
      <c r="I294" s="2" t="s">
        <v>1689</v>
      </c>
      <c r="J294" s="2" t="s">
        <v>354</v>
      </c>
      <c r="K294" s="2" t="s">
        <v>304</v>
      </c>
      <c r="L294" s="2" t="s">
        <v>119</v>
      </c>
      <c r="M294" s="8" t="str">
        <f>HYPERLINK("http://slimages.macys.com/is/image/MCY/11499143 ")</f>
        <v xml:space="preserve">http://slimages.macys.com/is/image/MCY/11499143 </v>
      </c>
    </row>
    <row r="295" spans="1:13" ht="60" x14ac:dyDescent="0.25">
      <c r="A295" s="7" t="s">
        <v>12133</v>
      </c>
      <c r="B295" s="2" t="s">
        <v>12131</v>
      </c>
      <c r="C295" s="4">
        <v>1</v>
      </c>
      <c r="D295" s="5">
        <v>4.4000000000000004</v>
      </c>
      <c r="E295" s="5">
        <v>10.99</v>
      </c>
      <c r="F295" s="4" t="s">
        <v>12132</v>
      </c>
      <c r="G295" s="2" t="s">
        <v>86</v>
      </c>
      <c r="H295" s="7" t="s">
        <v>578</v>
      </c>
      <c r="I295" s="2" t="s">
        <v>1689</v>
      </c>
      <c r="J295" s="2" t="s">
        <v>354</v>
      </c>
      <c r="K295" s="2" t="s">
        <v>304</v>
      </c>
      <c r="L295" s="2" t="s">
        <v>119</v>
      </c>
      <c r="M295" s="8" t="str">
        <f>HYPERLINK("http://slimages.macys.com/is/image/MCY/11499143 ")</f>
        <v xml:space="preserve">http://slimages.macys.com/is/image/MCY/11499143 </v>
      </c>
    </row>
    <row r="296" spans="1:13" ht="60" x14ac:dyDescent="0.25">
      <c r="A296" s="7" t="s">
        <v>12134</v>
      </c>
      <c r="B296" s="2" t="s">
        <v>4234</v>
      </c>
      <c r="C296" s="4">
        <v>1</v>
      </c>
      <c r="D296" s="5">
        <v>4.4000000000000004</v>
      </c>
      <c r="E296" s="5">
        <v>8.99</v>
      </c>
      <c r="F296" s="4">
        <v>16475215</v>
      </c>
      <c r="G296" s="2"/>
      <c r="H296" s="7" t="s">
        <v>442</v>
      </c>
      <c r="I296" s="2" t="s">
        <v>153</v>
      </c>
      <c r="J296" s="2" t="s">
        <v>154</v>
      </c>
      <c r="K296" s="2" t="s">
        <v>304</v>
      </c>
      <c r="L296" s="2" t="s">
        <v>206</v>
      </c>
      <c r="M296" s="8" t="str">
        <f>HYPERLINK("http://slimages.macys.com/is/image/MCY/12051816 ")</f>
        <v xml:space="preserve">http://slimages.macys.com/is/image/MCY/12051816 </v>
      </c>
    </row>
    <row r="297" spans="1:13" ht="60" x14ac:dyDescent="0.25">
      <c r="A297" s="7" t="s">
        <v>12135</v>
      </c>
      <c r="B297" s="2" t="s">
        <v>1122</v>
      </c>
      <c r="C297" s="4">
        <v>1</v>
      </c>
      <c r="D297" s="5">
        <v>4.4000000000000004</v>
      </c>
      <c r="E297" s="5">
        <v>10.99</v>
      </c>
      <c r="F297" s="4" t="s">
        <v>1123</v>
      </c>
      <c r="G297" s="2" t="s">
        <v>41</v>
      </c>
      <c r="H297" s="7" t="s">
        <v>159</v>
      </c>
      <c r="I297" s="2" t="s">
        <v>523</v>
      </c>
      <c r="J297" s="2" t="s">
        <v>921</v>
      </c>
      <c r="K297" s="2" t="s">
        <v>304</v>
      </c>
      <c r="L297" s="2" t="s">
        <v>323</v>
      </c>
      <c r="M297" s="8" t="str">
        <f>HYPERLINK("http://slimages.macys.com/is/image/MCY/10324773 ")</f>
        <v xml:space="preserve">http://slimages.macys.com/is/image/MCY/10324773 </v>
      </c>
    </row>
    <row r="298" spans="1:13" ht="60" x14ac:dyDescent="0.25">
      <c r="A298" s="7" t="s">
        <v>12136</v>
      </c>
      <c r="B298" s="2" t="s">
        <v>12137</v>
      </c>
      <c r="C298" s="4">
        <v>1</v>
      </c>
      <c r="D298" s="5">
        <v>4.4000000000000004</v>
      </c>
      <c r="E298" s="5">
        <v>8.99</v>
      </c>
      <c r="F298" s="4">
        <v>16850810</v>
      </c>
      <c r="G298" s="2"/>
      <c r="H298" s="7" t="s">
        <v>675</v>
      </c>
      <c r="I298" s="2" t="s">
        <v>153</v>
      </c>
      <c r="J298" s="2" t="s">
        <v>154</v>
      </c>
      <c r="K298" s="2" t="s">
        <v>304</v>
      </c>
      <c r="L298" s="2" t="s">
        <v>119</v>
      </c>
      <c r="M298" s="8" t="str">
        <f>HYPERLINK("http://slimages.macys.com/is/image/MCY/11867432 ")</f>
        <v xml:space="preserve">http://slimages.macys.com/is/image/MCY/11867432 </v>
      </c>
    </row>
    <row r="299" spans="1:13" ht="60" x14ac:dyDescent="0.25">
      <c r="A299" s="7" t="s">
        <v>7013</v>
      </c>
      <c r="B299" s="2" t="s">
        <v>2049</v>
      </c>
      <c r="C299" s="4">
        <v>1</v>
      </c>
      <c r="D299" s="5">
        <v>4.32</v>
      </c>
      <c r="E299" s="5">
        <v>10.99</v>
      </c>
      <c r="F299" s="4">
        <v>10005384800</v>
      </c>
      <c r="G299" s="2" t="s">
        <v>1360</v>
      </c>
      <c r="H299" s="7" t="s">
        <v>149</v>
      </c>
      <c r="I299" s="2" t="s">
        <v>483</v>
      </c>
      <c r="J299" s="2" t="s">
        <v>536</v>
      </c>
      <c r="K299" s="2" t="s">
        <v>304</v>
      </c>
      <c r="L299" s="2" t="s">
        <v>119</v>
      </c>
      <c r="M299" s="8" t="str">
        <f>HYPERLINK("http://slimages.macys.com/is/image/MCY/12465277 ")</f>
        <v xml:space="preserve">http://slimages.macys.com/is/image/MCY/12465277 </v>
      </c>
    </row>
    <row r="300" spans="1:13" ht="60" x14ac:dyDescent="0.25">
      <c r="A300" s="7" t="s">
        <v>2066</v>
      </c>
      <c r="B300" s="2" t="s">
        <v>1991</v>
      </c>
      <c r="C300" s="4">
        <v>1</v>
      </c>
      <c r="D300" s="5">
        <v>4.25</v>
      </c>
      <c r="E300" s="5">
        <v>5.99</v>
      </c>
      <c r="F300" s="4" t="s">
        <v>2061</v>
      </c>
      <c r="G300" s="2" t="s">
        <v>653</v>
      </c>
      <c r="H300" s="7" t="s">
        <v>311</v>
      </c>
      <c r="I300" s="2" t="s">
        <v>73</v>
      </c>
      <c r="J300" s="2" t="s">
        <v>1963</v>
      </c>
      <c r="K300" s="2" t="s">
        <v>304</v>
      </c>
      <c r="L300" s="2" t="s">
        <v>125</v>
      </c>
      <c r="M300" s="8" t="str">
        <f>HYPERLINK("http://slimages.macys.com/is/image/MCY/13726811 ")</f>
        <v xml:space="preserve">http://slimages.macys.com/is/image/MCY/13726811 </v>
      </c>
    </row>
    <row r="301" spans="1:13" ht="60" x14ac:dyDescent="0.25">
      <c r="A301" s="7" t="s">
        <v>12138</v>
      </c>
      <c r="B301" s="2" t="s">
        <v>12139</v>
      </c>
      <c r="C301" s="4">
        <v>1</v>
      </c>
      <c r="D301" s="5">
        <v>4.25</v>
      </c>
      <c r="E301" s="5">
        <v>9.99</v>
      </c>
      <c r="F301" s="4" t="s">
        <v>12140</v>
      </c>
      <c r="G301" s="2" t="s">
        <v>262</v>
      </c>
      <c r="H301" s="7" t="s">
        <v>675</v>
      </c>
      <c r="I301" s="2" t="s">
        <v>135</v>
      </c>
      <c r="J301" s="2" t="s">
        <v>778</v>
      </c>
      <c r="K301" s="2" t="s">
        <v>304</v>
      </c>
      <c r="L301" s="2" t="s">
        <v>119</v>
      </c>
      <c r="M301" s="8" t="str">
        <f>HYPERLINK("http://slimages.macys.com/is/image/MCY/12339794 ")</f>
        <v xml:space="preserve">http://slimages.macys.com/is/image/MCY/12339794 </v>
      </c>
    </row>
    <row r="302" spans="1:13" ht="60" x14ac:dyDescent="0.25">
      <c r="A302" s="7" t="s">
        <v>12141</v>
      </c>
      <c r="B302" s="2" t="s">
        <v>2071</v>
      </c>
      <c r="C302" s="4">
        <v>1</v>
      </c>
      <c r="D302" s="5">
        <v>4.25</v>
      </c>
      <c r="E302" s="5">
        <v>7.99</v>
      </c>
      <c r="F302" s="4" t="s">
        <v>2072</v>
      </c>
      <c r="G302" s="2" t="s">
        <v>36</v>
      </c>
      <c r="H302" s="7" t="s">
        <v>68</v>
      </c>
      <c r="I302" s="2" t="s">
        <v>73</v>
      </c>
      <c r="J302" s="2" t="s">
        <v>1963</v>
      </c>
      <c r="K302" s="2" t="s">
        <v>304</v>
      </c>
      <c r="L302" s="2" t="s">
        <v>119</v>
      </c>
      <c r="M302" s="8" t="str">
        <f>HYPERLINK("http://slimages.macys.com/is/image/MCY/12684273 ")</f>
        <v xml:space="preserve">http://slimages.macys.com/is/image/MCY/12684273 </v>
      </c>
    </row>
    <row r="303" spans="1:13" ht="60" x14ac:dyDescent="0.25">
      <c r="A303" s="7" t="s">
        <v>12142</v>
      </c>
      <c r="B303" s="2" t="s">
        <v>1991</v>
      </c>
      <c r="C303" s="4">
        <v>1</v>
      </c>
      <c r="D303" s="5">
        <v>4.25</v>
      </c>
      <c r="E303" s="5">
        <v>5.99</v>
      </c>
      <c r="F303" s="4" t="s">
        <v>2061</v>
      </c>
      <c r="G303" s="2" t="s">
        <v>653</v>
      </c>
      <c r="H303" s="7" t="s">
        <v>68</v>
      </c>
      <c r="I303" s="2" t="s">
        <v>73</v>
      </c>
      <c r="J303" s="2" t="s">
        <v>1963</v>
      </c>
      <c r="K303" s="2" t="s">
        <v>304</v>
      </c>
      <c r="L303" s="2" t="s">
        <v>125</v>
      </c>
      <c r="M303" s="8" t="str">
        <f>HYPERLINK("http://slimages.macys.com/is/image/MCY/13726811 ")</f>
        <v xml:space="preserve">http://slimages.macys.com/is/image/MCY/13726811 </v>
      </c>
    </row>
    <row r="304" spans="1:13" ht="60" x14ac:dyDescent="0.25">
      <c r="A304" s="7" t="s">
        <v>12143</v>
      </c>
      <c r="B304" s="2" t="s">
        <v>12144</v>
      </c>
      <c r="C304" s="4">
        <v>1</v>
      </c>
      <c r="D304" s="5">
        <v>4.16</v>
      </c>
      <c r="E304" s="5">
        <v>10.99</v>
      </c>
      <c r="F304" s="4" t="s">
        <v>12145</v>
      </c>
      <c r="G304" s="2" t="s">
        <v>86</v>
      </c>
      <c r="H304" s="7" t="s">
        <v>1151</v>
      </c>
      <c r="I304" s="2" t="s">
        <v>1689</v>
      </c>
      <c r="J304" s="2" t="s">
        <v>354</v>
      </c>
      <c r="K304" s="2" t="s">
        <v>304</v>
      </c>
      <c r="L304" s="2" t="s">
        <v>358</v>
      </c>
      <c r="M304" s="8" t="str">
        <f>HYPERLINK("http://slimages.macys.com/is/image/MCY/11499208 ")</f>
        <v xml:space="preserve">http://slimages.macys.com/is/image/MCY/11499208 </v>
      </c>
    </row>
    <row r="305" spans="1:13" ht="60" x14ac:dyDescent="0.25">
      <c r="A305" s="7" t="s">
        <v>4240</v>
      </c>
      <c r="B305" s="2" t="s">
        <v>4241</v>
      </c>
      <c r="C305" s="4">
        <v>1</v>
      </c>
      <c r="D305" s="5">
        <v>4.16</v>
      </c>
      <c r="E305" s="5">
        <v>9.99</v>
      </c>
      <c r="F305" s="4" t="s">
        <v>4242</v>
      </c>
      <c r="G305" s="2" t="s">
        <v>48</v>
      </c>
      <c r="H305" s="7" t="s">
        <v>578</v>
      </c>
      <c r="I305" s="2" t="s">
        <v>515</v>
      </c>
      <c r="J305" s="2" t="s">
        <v>875</v>
      </c>
      <c r="K305" s="2" t="s">
        <v>304</v>
      </c>
      <c r="L305" s="2" t="s">
        <v>119</v>
      </c>
      <c r="M305" s="8" t="str">
        <f>HYPERLINK("http://slimages.macys.com/is/image/MCY/11603720 ")</f>
        <v xml:space="preserve">http://slimages.macys.com/is/image/MCY/11603720 </v>
      </c>
    </row>
    <row r="306" spans="1:13" ht="60" x14ac:dyDescent="0.25">
      <c r="A306" s="7" t="s">
        <v>2079</v>
      </c>
      <c r="B306" s="2" t="s">
        <v>2075</v>
      </c>
      <c r="C306" s="4">
        <v>1</v>
      </c>
      <c r="D306" s="5">
        <v>4.1500000000000004</v>
      </c>
      <c r="E306" s="5">
        <v>10.99</v>
      </c>
      <c r="F306" s="4" t="s">
        <v>2076</v>
      </c>
      <c r="G306" s="2"/>
      <c r="H306" s="7"/>
      <c r="I306" s="2" t="s">
        <v>312</v>
      </c>
      <c r="J306" s="2" t="s">
        <v>2077</v>
      </c>
      <c r="K306" s="2" t="s">
        <v>304</v>
      </c>
      <c r="L306" s="2" t="s">
        <v>2078</v>
      </c>
      <c r="M306" s="8" t="str">
        <f>HYPERLINK("http://slimages.macys.com/is/image/MCY/12045142 ")</f>
        <v xml:space="preserve">http://slimages.macys.com/is/image/MCY/12045142 </v>
      </c>
    </row>
    <row r="307" spans="1:13" ht="60" x14ac:dyDescent="0.25">
      <c r="A307" s="7" t="s">
        <v>2080</v>
      </c>
      <c r="B307" s="2" t="s">
        <v>2075</v>
      </c>
      <c r="C307" s="4">
        <v>1</v>
      </c>
      <c r="D307" s="5">
        <v>4.1500000000000004</v>
      </c>
      <c r="E307" s="5">
        <v>10.99</v>
      </c>
      <c r="F307" s="4" t="s">
        <v>2076</v>
      </c>
      <c r="G307" s="2"/>
      <c r="H307" s="7"/>
      <c r="I307" s="2" t="s">
        <v>312</v>
      </c>
      <c r="J307" s="2" t="s">
        <v>2077</v>
      </c>
      <c r="K307" s="2" t="s">
        <v>304</v>
      </c>
      <c r="L307" s="2" t="s">
        <v>2078</v>
      </c>
      <c r="M307" s="8" t="str">
        <f>HYPERLINK("http://slimages.macys.com/is/image/MCY/12045142 ")</f>
        <v xml:space="preserve">http://slimages.macys.com/is/image/MCY/12045142 </v>
      </c>
    </row>
    <row r="308" spans="1:13" ht="60" x14ac:dyDescent="0.25">
      <c r="A308" s="7" t="s">
        <v>12146</v>
      </c>
      <c r="B308" s="2" t="s">
        <v>9676</v>
      </c>
      <c r="C308" s="4">
        <v>1</v>
      </c>
      <c r="D308" s="5">
        <v>4.1100000000000003</v>
      </c>
      <c r="E308" s="5">
        <v>10.99</v>
      </c>
      <c r="F308" s="4" t="s">
        <v>9677</v>
      </c>
      <c r="G308" s="2" t="s">
        <v>41</v>
      </c>
      <c r="H308" s="7" t="s">
        <v>196</v>
      </c>
      <c r="I308" s="2" t="s">
        <v>389</v>
      </c>
      <c r="J308" s="2" t="s">
        <v>354</v>
      </c>
      <c r="K308" s="2" t="s">
        <v>304</v>
      </c>
      <c r="L308" s="2" t="s">
        <v>119</v>
      </c>
      <c r="M308" s="8" t="str">
        <f>HYPERLINK("http://slimages.macys.com/is/image/MCY/13296509 ")</f>
        <v xml:space="preserve">http://slimages.macys.com/is/image/MCY/13296509 </v>
      </c>
    </row>
    <row r="309" spans="1:13" ht="60" x14ac:dyDescent="0.25">
      <c r="A309" s="7" t="s">
        <v>5567</v>
      </c>
      <c r="B309" s="2" t="s">
        <v>5568</v>
      </c>
      <c r="C309" s="4">
        <v>1</v>
      </c>
      <c r="D309" s="5">
        <v>4.1100000000000003</v>
      </c>
      <c r="E309" s="5">
        <v>10.99</v>
      </c>
      <c r="F309" s="4" t="s">
        <v>5569</v>
      </c>
      <c r="G309" s="2" t="s">
        <v>86</v>
      </c>
      <c r="H309" s="7" t="s">
        <v>196</v>
      </c>
      <c r="I309" s="2" t="s">
        <v>389</v>
      </c>
      <c r="J309" s="2" t="s">
        <v>354</v>
      </c>
      <c r="K309" s="2" t="s">
        <v>304</v>
      </c>
      <c r="L309" s="2" t="s">
        <v>119</v>
      </c>
      <c r="M309" s="8" t="str">
        <f>HYPERLINK("http://slimages.macys.com/is/image/MCY/12938557 ")</f>
        <v xml:space="preserve">http://slimages.macys.com/is/image/MCY/12938557 </v>
      </c>
    </row>
    <row r="310" spans="1:13" ht="60" x14ac:dyDescent="0.25">
      <c r="A310" s="7" t="s">
        <v>12147</v>
      </c>
      <c r="B310" s="2" t="s">
        <v>9679</v>
      </c>
      <c r="C310" s="4">
        <v>1</v>
      </c>
      <c r="D310" s="5">
        <v>4.1100000000000003</v>
      </c>
      <c r="E310" s="5">
        <v>10.99</v>
      </c>
      <c r="F310" s="4" t="s">
        <v>9680</v>
      </c>
      <c r="G310" s="2" t="s">
        <v>793</v>
      </c>
      <c r="H310" s="7" t="s">
        <v>228</v>
      </c>
      <c r="I310" s="2" t="s">
        <v>389</v>
      </c>
      <c r="J310" s="2" t="s">
        <v>354</v>
      </c>
      <c r="K310" s="2" t="s">
        <v>304</v>
      </c>
      <c r="L310" s="2" t="s">
        <v>119</v>
      </c>
      <c r="M310" s="8" t="str">
        <f>HYPERLINK("http://slimages.macys.com/is/image/MCY/12121585 ")</f>
        <v xml:space="preserve">http://slimages.macys.com/is/image/MCY/12121585 </v>
      </c>
    </row>
    <row r="311" spans="1:13" ht="84" x14ac:dyDescent="0.25">
      <c r="A311" s="7" t="s">
        <v>12148</v>
      </c>
      <c r="B311" s="2" t="s">
        <v>6375</v>
      </c>
      <c r="C311" s="4">
        <v>1</v>
      </c>
      <c r="D311" s="5">
        <v>4.05</v>
      </c>
      <c r="E311" s="5">
        <v>9.99</v>
      </c>
      <c r="F311" s="4" t="s">
        <v>6376</v>
      </c>
      <c r="G311" s="2" t="s">
        <v>657</v>
      </c>
      <c r="H311" s="7" t="s">
        <v>514</v>
      </c>
      <c r="I311" s="2" t="s">
        <v>515</v>
      </c>
      <c r="J311" s="2" t="s">
        <v>875</v>
      </c>
      <c r="K311" s="2" t="s">
        <v>304</v>
      </c>
      <c r="L311" s="2" t="s">
        <v>6377</v>
      </c>
      <c r="M311" s="8" t="str">
        <f>HYPERLINK("http://slimages.macys.com/is/image/MCY/12953223 ")</f>
        <v xml:space="preserve">http://slimages.macys.com/is/image/MCY/12953223 </v>
      </c>
    </row>
    <row r="312" spans="1:13" ht="60" x14ac:dyDescent="0.25">
      <c r="A312" s="7" t="s">
        <v>6005</v>
      </c>
      <c r="B312" s="2" t="s">
        <v>6006</v>
      </c>
      <c r="C312" s="4">
        <v>3</v>
      </c>
      <c r="D312" s="5">
        <v>4.05</v>
      </c>
      <c r="E312" s="5">
        <v>12.99</v>
      </c>
      <c r="F312" s="4" t="s">
        <v>6007</v>
      </c>
      <c r="G312" s="2" t="s">
        <v>437</v>
      </c>
      <c r="H312" s="7" t="s">
        <v>531</v>
      </c>
      <c r="I312" s="2" t="s">
        <v>483</v>
      </c>
      <c r="J312" s="2" t="s">
        <v>536</v>
      </c>
      <c r="K312" s="2" t="s">
        <v>304</v>
      </c>
      <c r="L312" s="2" t="s">
        <v>2711</v>
      </c>
      <c r="M312" s="8" t="str">
        <f>HYPERLINK("http://slimages.macys.com/is/image/MCY/12230704 ")</f>
        <v xml:space="preserve">http://slimages.macys.com/is/image/MCY/12230704 </v>
      </c>
    </row>
    <row r="313" spans="1:13" ht="60" x14ac:dyDescent="0.25">
      <c r="A313" s="7" t="s">
        <v>12149</v>
      </c>
      <c r="B313" s="2" t="s">
        <v>6433</v>
      </c>
      <c r="C313" s="4">
        <v>1</v>
      </c>
      <c r="D313" s="5">
        <v>4.04</v>
      </c>
      <c r="E313" s="5">
        <v>6.99</v>
      </c>
      <c r="F313" s="4" t="s">
        <v>12150</v>
      </c>
      <c r="G313" s="2" t="s">
        <v>303</v>
      </c>
      <c r="H313" s="7" t="s">
        <v>228</v>
      </c>
      <c r="I313" s="2" t="s">
        <v>73</v>
      </c>
      <c r="J313" s="2" t="s">
        <v>1917</v>
      </c>
      <c r="K313" s="2" t="s">
        <v>304</v>
      </c>
      <c r="L313" s="2" t="s">
        <v>119</v>
      </c>
      <c r="M313" s="8" t="str">
        <f>HYPERLINK("http://slimages.macys.com/is/image/MCY/12688439 ")</f>
        <v xml:space="preserve">http://slimages.macys.com/is/image/MCY/12688439 </v>
      </c>
    </row>
    <row r="314" spans="1:13" ht="60" x14ac:dyDescent="0.25">
      <c r="A314" s="7" t="s">
        <v>12151</v>
      </c>
      <c r="B314" s="2" t="s">
        <v>6419</v>
      </c>
      <c r="C314" s="4">
        <v>1</v>
      </c>
      <c r="D314" s="5">
        <v>4.04</v>
      </c>
      <c r="E314" s="5">
        <v>6.99</v>
      </c>
      <c r="F314" s="4" t="s">
        <v>10240</v>
      </c>
      <c r="G314" s="2" t="s">
        <v>1747</v>
      </c>
      <c r="H314" s="7" t="s">
        <v>228</v>
      </c>
      <c r="I314" s="2" t="s">
        <v>73</v>
      </c>
      <c r="J314" s="2" t="s">
        <v>1917</v>
      </c>
      <c r="K314" s="2" t="s">
        <v>304</v>
      </c>
      <c r="L314" s="2" t="s">
        <v>119</v>
      </c>
      <c r="M314" s="8" t="str">
        <f>HYPERLINK("http://slimages.macys.com/is/image/MCY/12952999 ")</f>
        <v xml:space="preserve">http://slimages.macys.com/is/image/MCY/12952999 </v>
      </c>
    </row>
    <row r="315" spans="1:13" ht="60" x14ac:dyDescent="0.25">
      <c r="A315" s="7" t="s">
        <v>12152</v>
      </c>
      <c r="B315" s="2" t="s">
        <v>12153</v>
      </c>
      <c r="C315" s="4">
        <v>1</v>
      </c>
      <c r="D315" s="5">
        <v>4.03</v>
      </c>
      <c r="E315" s="5">
        <v>10.99</v>
      </c>
      <c r="F315" s="4" t="s">
        <v>12154</v>
      </c>
      <c r="G315" s="2" t="s">
        <v>1147</v>
      </c>
      <c r="H315" s="7" t="s">
        <v>91</v>
      </c>
      <c r="I315" s="2" t="s">
        <v>483</v>
      </c>
      <c r="J315" s="2" t="s">
        <v>536</v>
      </c>
      <c r="K315" s="2" t="s">
        <v>304</v>
      </c>
      <c r="L315" s="2" t="s">
        <v>38</v>
      </c>
      <c r="M315" s="8" t="str">
        <f>HYPERLINK("http://slimages.macys.com/is/image/MCY/11857609 ")</f>
        <v xml:space="preserve">http://slimages.macys.com/is/image/MCY/11857609 </v>
      </c>
    </row>
    <row r="316" spans="1:13" ht="60" x14ac:dyDescent="0.25">
      <c r="A316" s="7" t="s">
        <v>12155</v>
      </c>
      <c r="B316" s="2" t="s">
        <v>7778</v>
      </c>
      <c r="C316" s="4">
        <v>1</v>
      </c>
      <c r="D316" s="5">
        <v>4</v>
      </c>
      <c r="E316" s="5">
        <v>10.99</v>
      </c>
      <c r="F316" s="4" t="s">
        <v>7779</v>
      </c>
      <c r="G316" s="2" t="s">
        <v>28</v>
      </c>
      <c r="H316" s="7" t="s">
        <v>159</v>
      </c>
      <c r="I316" s="2" t="s">
        <v>389</v>
      </c>
      <c r="J316" s="2" t="s">
        <v>354</v>
      </c>
      <c r="K316" s="2" t="s">
        <v>304</v>
      </c>
      <c r="L316" s="2" t="s">
        <v>390</v>
      </c>
      <c r="M316" s="8" t="str">
        <f>HYPERLINK("http://slimages.macys.com/is/image/MCY/12121748 ")</f>
        <v xml:space="preserve">http://slimages.macys.com/is/image/MCY/12121748 </v>
      </c>
    </row>
    <row r="317" spans="1:13" ht="60" x14ac:dyDescent="0.25">
      <c r="A317" s="7" t="s">
        <v>12156</v>
      </c>
      <c r="B317" s="2" t="s">
        <v>2095</v>
      </c>
      <c r="C317" s="4">
        <v>2</v>
      </c>
      <c r="D317" s="5">
        <v>4</v>
      </c>
      <c r="E317" s="5">
        <v>10.99</v>
      </c>
      <c r="F317" s="4" t="s">
        <v>2096</v>
      </c>
      <c r="G317" s="2" t="s">
        <v>28</v>
      </c>
      <c r="H317" s="7" t="s">
        <v>228</v>
      </c>
      <c r="I317" s="2" t="s">
        <v>389</v>
      </c>
      <c r="J317" s="2" t="s">
        <v>354</v>
      </c>
      <c r="K317" s="2" t="s">
        <v>304</v>
      </c>
      <c r="L317" s="2" t="s">
        <v>2097</v>
      </c>
      <c r="M317" s="8" t="str">
        <f>HYPERLINK("http://slimages.macys.com/is/image/MCY/12121841 ")</f>
        <v xml:space="preserve">http://slimages.macys.com/is/image/MCY/12121841 </v>
      </c>
    </row>
    <row r="318" spans="1:13" ht="60" x14ac:dyDescent="0.25">
      <c r="A318" s="7" t="s">
        <v>12157</v>
      </c>
      <c r="B318" s="2" t="s">
        <v>2095</v>
      </c>
      <c r="C318" s="4">
        <v>2</v>
      </c>
      <c r="D318" s="5">
        <v>4</v>
      </c>
      <c r="E318" s="5">
        <v>10.99</v>
      </c>
      <c r="F318" s="4" t="s">
        <v>2096</v>
      </c>
      <c r="G318" s="2" t="s">
        <v>28</v>
      </c>
      <c r="H318" s="7" t="s">
        <v>284</v>
      </c>
      <c r="I318" s="2" t="s">
        <v>389</v>
      </c>
      <c r="J318" s="2" t="s">
        <v>354</v>
      </c>
      <c r="K318" s="2" t="s">
        <v>304</v>
      </c>
      <c r="L318" s="2" t="s">
        <v>2097</v>
      </c>
      <c r="M318" s="8" t="str">
        <f>HYPERLINK("http://slimages.macys.com/is/image/MCY/12121841 ")</f>
        <v xml:space="preserve">http://slimages.macys.com/is/image/MCY/12121841 </v>
      </c>
    </row>
    <row r="319" spans="1:13" ht="60" x14ac:dyDescent="0.25">
      <c r="A319" s="7" t="s">
        <v>7777</v>
      </c>
      <c r="B319" s="2" t="s">
        <v>7778</v>
      </c>
      <c r="C319" s="4">
        <v>1</v>
      </c>
      <c r="D319" s="5">
        <v>4</v>
      </c>
      <c r="E319" s="5">
        <v>10.99</v>
      </c>
      <c r="F319" s="4" t="s">
        <v>7779</v>
      </c>
      <c r="G319" s="2" t="s">
        <v>28</v>
      </c>
      <c r="H319" s="7" t="s">
        <v>196</v>
      </c>
      <c r="I319" s="2" t="s">
        <v>389</v>
      </c>
      <c r="J319" s="2" t="s">
        <v>354</v>
      </c>
      <c r="K319" s="2" t="s">
        <v>304</v>
      </c>
      <c r="L319" s="2" t="s">
        <v>390</v>
      </c>
      <c r="M319" s="8" t="str">
        <f>HYPERLINK("http://slimages.macys.com/is/image/MCY/12121748 ")</f>
        <v xml:space="preserve">http://slimages.macys.com/is/image/MCY/12121748 </v>
      </c>
    </row>
    <row r="320" spans="1:13" ht="60" x14ac:dyDescent="0.25">
      <c r="A320" s="7" t="s">
        <v>11679</v>
      </c>
      <c r="B320" s="2" t="s">
        <v>7778</v>
      </c>
      <c r="C320" s="4">
        <v>1</v>
      </c>
      <c r="D320" s="5">
        <v>4</v>
      </c>
      <c r="E320" s="5">
        <v>10.99</v>
      </c>
      <c r="F320" s="4" t="s">
        <v>7779</v>
      </c>
      <c r="G320" s="2" t="s">
        <v>28</v>
      </c>
      <c r="H320" s="7" t="s">
        <v>228</v>
      </c>
      <c r="I320" s="2" t="s">
        <v>389</v>
      </c>
      <c r="J320" s="2" t="s">
        <v>354</v>
      </c>
      <c r="K320" s="2" t="s">
        <v>304</v>
      </c>
      <c r="L320" s="2" t="s">
        <v>390</v>
      </c>
      <c r="M320" s="8" t="str">
        <f>HYPERLINK("http://slimages.macys.com/is/image/MCY/12121748 ")</f>
        <v xml:space="preserve">http://slimages.macys.com/is/image/MCY/12121748 </v>
      </c>
    </row>
    <row r="321" spans="1:13" ht="60" x14ac:dyDescent="0.25">
      <c r="A321" s="7" t="s">
        <v>12158</v>
      </c>
      <c r="B321" s="2" t="s">
        <v>12159</v>
      </c>
      <c r="C321" s="4">
        <v>1</v>
      </c>
      <c r="D321" s="5">
        <v>3.75</v>
      </c>
      <c r="E321" s="5">
        <v>8.99</v>
      </c>
      <c r="F321" s="4" t="s">
        <v>12160</v>
      </c>
      <c r="G321" s="2" t="s">
        <v>165</v>
      </c>
      <c r="H321" s="7" t="s">
        <v>123</v>
      </c>
      <c r="I321" s="2" t="s">
        <v>380</v>
      </c>
      <c r="J321" s="2" t="s">
        <v>544</v>
      </c>
      <c r="K321" s="2" t="s">
        <v>304</v>
      </c>
      <c r="L321" s="2" t="s">
        <v>119</v>
      </c>
      <c r="M321" s="8" t="str">
        <f>HYPERLINK("http://slimages.macys.com/is/image/MCY/8365976 ")</f>
        <v xml:space="preserve">http://slimages.macys.com/is/image/MCY/8365976 </v>
      </c>
    </row>
    <row r="322" spans="1:13" ht="192" x14ac:dyDescent="0.25">
      <c r="A322" s="7" t="s">
        <v>12161</v>
      </c>
      <c r="B322" s="2" t="s">
        <v>12162</v>
      </c>
      <c r="C322" s="4">
        <v>1</v>
      </c>
      <c r="D322" s="5">
        <v>3.72</v>
      </c>
      <c r="E322" s="5">
        <v>15.99</v>
      </c>
      <c r="F322" s="4" t="s">
        <v>12163</v>
      </c>
      <c r="G322" s="2" t="s">
        <v>41</v>
      </c>
      <c r="H322" s="7" t="s">
        <v>531</v>
      </c>
      <c r="I322" s="2" t="s">
        <v>483</v>
      </c>
      <c r="J322" s="2" t="s">
        <v>5540</v>
      </c>
      <c r="K322" s="2" t="s">
        <v>304</v>
      </c>
      <c r="L322" s="2" t="s">
        <v>12164</v>
      </c>
      <c r="M322" s="8" t="str">
        <f>HYPERLINK("http://slimages.macys.com/is/image/MCY/11547254 ")</f>
        <v xml:space="preserve">http://slimages.macys.com/is/image/MCY/11547254 </v>
      </c>
    </row>
    <row r="323" spans="1:13" ht="60" x14ac:dyDescent="0.25">
      <c r="A323" s="7" t="s">
        <v>11199</v>
      </c>
      <c r="B323" s="2" t="s">
        <v>2105</v>
      </c>
      <c r="C323" s="4">
        <v>1</v>
      </c>
      <c r="D323" s="5">
        <v>3.71</v>
      </c>
      <c r="E323" s="5">
        <v>9.99</v>
      </c>
      <c r="F323" s="4" t="s">
        <v>2106</v>
      </c>
      <c r="G323" s="2" t="s">
        <v>2107</v>
      </c>
      <c r="H323" s="7" t="s">
        <v>149</v>
      </c>
      <c r="I323" s="2" t="s">
        <v>483</v>
      </c>
      <c r="J323" s="2" t="s">
        <v>536</v>
      </c>
      <c r="K323" s="2" t="s">
        <v>304</v>
      </c>
      <c r="L323" s="2" t="s">
        <v>2108</v>
      </c>
      <c r="M323" s="8" t="str">
        <f>HYPERLINK("http://slimages.macys.com/is/image/MCY/11547262 ")</f>
        <v xml:space="preserve">http://slimages.macys.com/is/image/MCY/11547262 </v>
      </c>
    </row>
    <row r="324" spans="1:13" ht="60" x14ac:dyDescent="0.25">
      <c r="A324" s="7" t="s">
        <v>12165</v>
      </c>
      <c r="B324" s="2" t="s">
        <v>12166</v>
      </c>
      <c r="C324" s="4">
        <v>1</v>
      </c>
      <c r="D324" s="5">
        <v>3.66</v>
      </c>
      <c r="E324" s="5">
        <v>7.99</v>
      </c>
      <c r="F324" s="4" t="s">
        <v>12167</v>
      </c>
      <c r="G324" s="2" t="s">
        <v>62</v>
      </c>
      <c r="H324" s="7" t="s">
        <v>379</v>
      </c>
      <c r="I324" s="2" t="s">
        <v>292</v>
      </c>
      <c r="J324" s="2" t="s">
        <v>354</v>
      </c>
      <c r="K324" s="2" t="s">
        <v>304</v>
      </c>
      <c r="L324" s="2" t="s">
        <v>119</v>
      </c>
      <c r="M324" s="8" t="str">
        <f>HYPERLINK("http://slimages.macys.com/is/image/MCY/11527652 ")</f>
        <v xml:space="preserve">http://slimages.macys.com/is/image/MCY/11527652 </v>
      </c>
    </row>
    <row r="325" spans="1:13" ht="60" x14ac:dyDescent="0.25">
      <c r="A325" s="7" t="s">
        <v>12168</v>
      </c>
      <c r="B325" s="2" t="s">
        <v>9165</v>
      </c>
      <c r="C325" s="4">
        <v>1</v>
      </c>
      <c r="D325" s="5">
        <v>3.61</v>
      </c>
      <c r="E325" s="5">
        <v>10.99</v>
      </c>
      <c r="F325" s="4" t="s">
        <v>9166</v>
      </c>
      <c r="G325" s="2" t="s">
        <v>262</v>
      </c>
      <c r="H325" s="7" t="s">
        <v>442</v>
      </c>
      <c r="I325" s="2" t="s">
        <v>483</v>
      </c>
      <c r="J325" s="2" t="s">
        <v>536</v>
      </c>
      <c r="K325" s="2" t="s">
        <v>304</v>
      </c>
      <c r="L325" s="2" t="s">
        <v>206</v>
      </c>
      <c r="M325" s="8" t="str">
        <f>HYPERLINK("http://slimages.macys.com/is/image/MCY/11953971 ")</f>
        <v xml:space="preserve">http://slimages.macys.com/is/image/MCY/11953971 </v>
      </c>
    </row>
    <row r="326" spans="1:13" ht="60" x14ac:dyDescent="0.25">
      <c r="A326" s="7" t="s">
        <v>12169</v>
      </c>
      <c r="B326" s="2" t="s">
        <v>3487</v>
      </c>
      <c r="C326" s="4">
        <v>1</v>
      </c>
      <c r="D326" s="5">
        <v>3.5</v>
      </c>
      <c r="E326" s="5">
        <v>7.99</v>
      </c>
      <c r="F326" s="4">
        <v>18182710</v>
      </c>
      <c r="G326" s="2" t="s">
        <v>28</v>
      </c>
      <c r="H326" s="7" t="s">
        <v>42</v>
      </c>
      <c r="I326" s="2" t="s">
        <v>153</v>
      </c>
      <c r="J326" s="2" t="s">
        <v>154</v>
      </c>
      <c r="K326" s="2" t="s">
        <v>304</v>
      </c>
      <c r="L326" s="2" t="s">
        <v>38</v>
      </c>
      <c r="M326" s="8" t="str">
        <f>HYPERLINK("http://slimages.macys.com/is/image/MCY/13727498 ")</f>
        <v xml:space="preserve">http://slimages.macys.com/is/image/MCY/13727498 </v>
      </c>
    </row>
    <row r="327" spans="1:13" ht="60" x14ac:dyDescent="0.25">
      <c r="A327" s="7" t="s">
        <v>4310</v>
      </c>
      <c r="B327" s="2" t="s">
        <v>4293</v>
      </c>
      <c r="C327" s="4">
        <v>1</v>
      </c>
      <c r="D327" s="5">
        <v>3.49</v>
      </c>
      <c r="E327" s="5">
        <v>7.99</v>
      </c>
      <c r="F327" s="4" t="s">
        <v>4294</v>
      </c>
      <c r="G327" s="2" t="s">
        <v>129</v>
      </c>
      <c r="H327" s="7" t="s">
        <v>1151</v>
      </c>
      <c r="I327" s="2" t="s">
        <v>292</v>
      </c>
      <c r="J327" s="2" t="s">
        <v>354</v>
      </c>
      <c r="K327" s="2" t="s">
        <v>304</v>
      </c>
      <c r="L327" s="2" t="s">
        <v>119</v>
      </c>
      <c r="M327" s="8" t="str">
        <f>HYPERLINK("http://slimages.macys.com/is/image/MCY/13077248 ")</f>
        <v xml:space="preserve">http://slimages.macys.com/is/image/MCY/13077248 </v>
      </c>
    </row>
    <row r="328" spans="1:13" ht="60" x14ac:dyDescent="0.25">
      <c r="A328" s="7" t="s">
        <v>5616</v>
      </c>
      <c r="B328" s="2" t="s">
        <v>5062</v>
      </c>
      <c r="C328" s="4">
        <v>1</v>
      </c>
      <c r="D328" s="5">
        <v>3.48</v>
      </c>
      <c r="E328" s="5">
        <v>5.99</v>
      </c>
      <c r="F328" s="4" t="s">
        <v>5063</v>
      </c>
      <c r="G328" s="2" t="s">
        <v>28</v>
      </c>
      <c r="H328" s="7" t="s">
        <v>311</v>
      </c>
      <c r="I328" s="2" t="s">
        <v>80</v>
      </c>
      <c r="J328" s="2" t="s">
        <v>1857</v>
      </c>
      <c r="K328" s="2" t="s">
        <v>304</v>
      </c>
      <c r="L328" s="2" t="s">
        <v>125</v>
      </c>
      <c r="M328" s="8" t="str">
        <f>HYPERLINK("http://slimages.macys.com/is/image/MCY/2581838 ")</f>
        <v xml:space="preserve">http://slimages.macys.com/is/image/MCY/2581838 </v>
      </c>
    </row>
    <row r="329" spans="1:13" ht="60" x14ac:dyDescent="0.25">
      <c r="A329" s="7" t="s">
        <v>12170</v>
      </c>
      <c r="B329" s="2" t="s">
        <v>5062</v>
      </c>
      <c r="C329" s="4">
        <v>1</v>
      </c>
      <c r="D329" s="5">
        <v>3.48</v>
      </c>
      <c r="E329" s="5">
        <v>5.99</v>
      </c>
      <c r="F329" s="4" t="s">
        <v>5063</v>
      </c>
      <c r="G329" s="2" t="s">
        <v>28</v>
      </c>
      <c r="H329" s="7" t="s">
        <v>123</v>
      </c>
      <c r="I329" s="2" t="s">
        <v>80</v>
      </c>
      <c r="J329" s="2" t="s">
        <v>1857</v>
      </c>
      <c r="K329" s="2" t="s">
        <v>304</v>
      </c>
      <c r="L329" s="2" t="s">
        <v>125</v>
      </c>
      <c r="M329" s="8" t="str">
        <f>HYPERLINK("http://slimages.macys.com/is/image/MCY/2581838 ")</f>
        <v xml:space="preserve">http://slimages.macys.com/is/image/MCY/2581838 </v>
      </c>
    </row>
    <row r="330" spans="1:13" ht="60" x14ac:dyDescent="0.25">
      <c r="A330" s="7" t="s">
        <v>8384</v>
      </c>
      <c r="B330" s="2" t="s">
        <v>6444</v>
      </c>
      <c r="C330" s="4">
        <v>1</v>
      </c>
      <c r="D330" s="5">
        <v>3.45</v>
      </c>
      <c r="E330" s="5">
        <v>7.99</v>
      </c>
      <c r="F330" s="4">
        <v>100017100</v>
      </c>
      <c r="G330" s="2" t="s">
        <v>657</v>
      </c>
      <c r="H330" s="7" t="s">
        <v>1151</v>
      </c>
      <c r="I330" s="2" t="s">
        <v>292</v>
      </c>
      <c r="J330" s="2" t="s">
        <v>354</v>
      </c>
      <c r="K330" s="2" t="s">
        <v>304</v>
      </c>
      <c r="L330" s="2" t="s">
        <v>119</v>
      </c>
      <c r="M330" s="8" t="str">
        <f>HYPERLINK("http://slimages.macys.com/is/image/MCY/9542293 ")</f>
        <v xml:space="preserve">http://slimages.macys.com/is/image/MCY/9542293 </v>
      </c>
    </row>
    <row r="331" spans="1:13" ht="60" x14ac:dyDescent="0.25">
      <c r="A331" s="7" t="s">
        <v>12171</v>
      </c>
      <c r="B331" s="2" t="s">
        <v>7823</v>
      </c>
      <c r="C331" s="4">
        <v>1</v>
      </c>
      <c r="D331" s="5">
        <v>3.36</v>
      </c>
      <c r="E331" s="5">
        <v>7.99</v>
      </c>
      <c r="F331" s="4" t="s">
        <v>7824</v>
      </c>
      <c r="G331" s="2" t="s">
        <v>86</v>
      </c>
      <c r="H331" s="7" t="s">
        <v>578</v>
      </c>
      <c r="I331" s="2" t="s">
        <v>1689</v>
      </c>
      <c r="J331" s="2" t="s">
        <v>354</v>
      </c>
      <c r="K331" s="2" t="s">
        <v>304</v>
      </c>
      <c r="L331" s="2" t="s">
        <v>596</v>
      </c>
      <c r="M331" s="8" t="str">
        <f>HYPERLINK("http://slimages.macys.com/is/image/MCY/11499707 ")</f>
        <v xml:space="preserve">http://slimages.macys.com/is/image/MCY/11499707 </v>
      </c>
    </row>
    <row r="332" spans="1:13" ht="60" x14ac:dyDescent="0.25">
      <c r="A332" s="7" t="s">
        <v>5638</v>
      </c>
      <c r="B332" s="2" t="s">
        <v>4357</v>
      </c>
      <c r="C332" s="4">
        <v>1</v>
      </c>
      <c r="D332" s="5">
        <v>3.29</v>
      </c>
      <c r="E332" s="5">
        <v>7.99</v>
      </c>
      <c r="F332" s="4" t="s">
        <v>4358</v>
      </c>
      <c r="G332" s="2" t="s">
        <v>86</v>
      </c>
      <c r="H332" s="7" t="s">
        <v>578</v>
      </c>
      <c r="I332" s="2" t="s">
        <v>1689</v>
      </c>
      <c r="J332" s="2" t="s">
        <v>354</v>
      </c>
      <c r="K332" s="2" t="s">
        <v>304</v>
      </c>
      <c r="L332" s="2" t="s">
        <v>119</v>
      </c>
      <c r="M332" s="8" t="str">
        <f>HYPERLINK("http://slimages.macys.com/is/image/MCY/11499070 ")</f>
        <v xml:space="preserve">http://slimages.macys.com/is/image/MCY/11499070 </v>
      </c>
    </row>
    <row r="333" spans="1:13" ht="60" x14ac:dyDescent="0.25">
      <c r="A333" s="7" t="s">
        <v>12172</v>
      </c>
      <c r="B333" s="2" t="s">
        <v>12173</v>
      </c>
      <c r="C333" s="4">
        <v>1</v>
      </c>
      <c r="D333" s="5">
        <v>3.29</v>
      </c>
      <c r="E333" s="5">
        <v>7.99</v>
      </c>
      <c r="F333" s="4" t="s">
        <v>12174</v>
      </c>
      <c r="G333" s="2" t="s">
        <v>388</v>
      </c>
      <c r="H333" s="7" t="s">
        <v>578</v>
      </c>
      <c r="I333" s="2" t="s">
        <v>1689</v>
      </c>
      <c r="J333" s="2" t="s">
        <v>354</v>
      </c>
      <c r="K333" s="2" t="s">
        <v>304</v>
      </c>
      <c r="L333" s="2" t="s">
        <v>119</v>
      </c>
      <c r="M333" s="8" t="str">
        <f>HYPERLINK("http://slimages.macys.com/is/image/MCY/12938527 ")</f>
        <v xml:space="preserve">http://slimages.macys.com/is/image/MCY/12938527 </v>
      </c>
    </row>
    <row r="334" spans="1:13" ht="60" x14ac:dyDescent="0.25">
      <c r="A334" s="7" t="s">
        <v>12175</v>
      </c>
      <c r="B334" s="2" t="s">
        <v>7046</v>
      </c>
      <c r="C334" s="4">
        <v>1</v>
      </c>
      <c r="D334" s="5">
        <v>3.29</v>
      </c>
      <c r="E334" s="5">
        <v>7.99</v>
      </c>
      <c r="F334" s="4" t="s">
        <v>7047</v>
      </c>
      <c r="G334" s="2" t="s">
        <v>103</v>
      </c>
      <c r="H334" s="7" t="s">
        <v>578</v>
      </c>
      <c r="I334" s="2" t="s">
        <v>1689</v>
      </c>
      <c r="J334" s="2" t="s">
        <v>354</v>
      </c>
      <c r="K334" s="2" t="s">
        <v>304</v>
      </c>
      <c r="L334" s="2" t="s">
        <v>119</v>
      </c>
      <c r="M334" s="8" t="str">
        <f>HYPERLINK("http://slimages.macys.com/is/image/MCY/11524069 ")</f>
        <v xml:space="preserve">http://slimages.macys.com/is/image/MCY/11524069 </v>
      </c>
    </row>
    <row r="335" spans="1:13" ht="60" x14ac:dyDescent="0.25">
      <c r="A335" s="7" t="s">
        <v>12176</v>
      </c>
      <c r="B335" s="2" t="s">
        <v>5074</v>
      </c>
      <c r="C335" s="4">
        <v>1</v>
      </c>
      <c r="D335" s="5">
        <v>3.29</v>
      </c>
      <c r="E335" s="5">
        <v>7.99</v>
      </c>
      <c r="F335" s="4" t="s">
        <v>5075</v>
      </c>
      <c r="G335" s="2" t="s">
        <v>41</v>
      </c>
      <c r="H335" s="7" t="s">
        <v>123</v>
      </c>
      <c r="I335" s="2" t="s">
        <v>1689</v>
      </c>
      <c r="J335" s="2" t="s">
        <v>354</v>
      </c>
      <c r="K335" s="2" t="s">
        <v>304</v>
      </c>
      <c r="L335" s="2" t="s">
        <v>119</v>
      </c>
      <c r="M335" s="8" t="str">
        <f>HYPERLINK("http://slimages.macys.com/is/image/MCY/12101660 ")</f>
        <v xml:space="preserve">http://slimages.macys.com/is/image/MCY/12101660 </v>
      </c>
    </row>
    <row r="336" spans="1:13" ht="60" x14ac:dyDescent="0.25">
      <c r="A336" s="7" t="s">
        <v>12177</v>
      </c>
      <c r="B336" s="2" t="s">
        <v>7868</v>
      </c>
      <c r="C336" s="4">
        <v>1</v>
      </c>
      <c r="D336" s="5">
        <v>3.29</v>
      </c>
      <c r="E336" s="5">
        <v>7.99</v>
      </c>
      <c r="F336" s="4" t="s">
        <v>7869</v>
      </c>
      <c r="G336" s="2" t="s">
        <v>86</v>
      </c>
      <c r="H336" s="7" t="s">
        <v>123</v>
      </c>
      <c r="I336" s="2" t="s">
        <v>1689</v>
      </c>
      <c r="J336" s="2" t="s">
        <v>354</v>
      </c>
      <c r="K336" s="2" t="s">
        <v>304</v>
      </c>
      <c r="L336" s="2" t="s">
        <v>119</v>
      </c>
      <c r="M336" s="8" t="str">
        <f>HYPERLINK("http://slimages.macys.com/is/image/MCY/11498872 ")</f>
        <v xml:space="preserve">http://slimages.macys.com/is/image/MCY/11498872 </v>
      </c>
    </row>
    <row r="337" spans="1:13" ht="60" x14ac:dyDescent="0.25">
      <c r="A337" s="7" t="s">
        <v>7043</v>
      </c>
      <c r="B337" s="2" t="s">
        <v>4354</v>
      </c>
      <c r="C337" s="4">
        <v>1</v>
      </c>
      <c r="D337" s="5">
        <v>3.29</v>
      </c>
      <c r="E337" s="5">
        <v>7.99</v>
      </c>
      <c r="F337" s="4" t="s">
        <v>4355</v>
      </c>
      <c r="G337" s="2" t="s">
        <v>793</v>
      </c>
      <c r="H337" s="7" t="s">
        <v>63</v>
      </c>
      <c r="I337" s="2" t="s">
        <v>1689</v>
      </c>
      <c r="J337" s="2" t="s">
        <v>354</v>
      </c>
      <c r="K337" s="2" t="s">
        <v>304</v>
      </c>
      <c r="L337" s="2" t="s">
        <v>119</v>
      </c>
      <c r="M337" s="8" t="str">
        <f>HYPERLINK("http://slimages.macys.com/is/image/MCY/12101657 ")</f>
        <v xml:space="preserve">http://slimages.macys.com/is/image/MCY/12101657 </v>
      </c>
    </row>
    <row r="338" spans="1:13" ht="60" x14ac:dyDescent="0.25">
      <c r="A338" s="7" t="s">
        <v>12178</v>
      </c>
      <c r="B338" s="2" t="s">
        <v>12179</v>
      </c>
      <c r="C338" s="4">
        <v>1</v>
      </c>
      <c r="D338" s="5">
        <v>3.29</v>
      </c>
      <c r="E338" s="5">
        <v>7.99</v>
      </c>
      <c r="F338" s="4" t="s">
        <v>12180</v>
      </c>
      <c r="G338" s="2" t="s">
        <v>86</v>
      </c>
      <c r="H338" s="7" t="s">
        <v>311</v>
      </c>
      <c r="I338" s="2" t="s">
        <v>1689</v>
      </c>
      <c r="J338" s="2" t="s">
        <v>354</v>
      </c>
      <c r="K338" s="2" t="s">
        <v>304</v>
      </c>
      <c r="L338" s="2" t="s">
        <v>119</v>
      </c>
      <c r="M338" s="8" t="str">
        <f>HYPERLINK("http://slimages.macys.com/is/image/MCY/11500152 ")</f>
        <v xml:space="preserve">http://slimages.macys.com/is/image/MCY/11500152 </v>
      </c>
    </row>
    <row r="339" spans="1:13" ht="60" x14ac:dyDescent="0.25">
      <c r="A339" s="7" t="s">
        <v>12181</v>
      </c>
      <c r="B339" s="2" t="s">
        <v>5646</v>
      </c>
      <c r="C339" s="4">
        <v>1</v>
      </c>
      <c r="D339" s="5">
        <v>3.29</v>
      </c>
      <c r="E339" s="5">
        <v>7.99</v>
      </c>
      <c r="F339" s="4" t="s">
        <v>5647</v>
      </c>
      <c r="G339" s="2" t="s">
        <v>103</v>
      </c>
      <c r="H339" s="7" t="s">
        <v>123</v>
      </c>
      <c r="I339" s="2" t="s">
        <v>1689</v>
      </c>
      <c r="J339" s="2" t="s">
        <v>354</v>
      </c>
      <c r="K339" s="2" t="s">
        <v>304</v>
      </c>
      <c r="L339" s="2" t="s">
        <v>119</v>
      </c>
      <c r="M339" s="8" t="str">
        <f>HYPERLINK("http://slimages.macys.com/is/image/MCY/11499072 ")</f>
        <v xml:space="preserve">http://slimages.macys.com/is/image/MCY/11499072 </v>
      </c>
    </row>
    <row r="340" spans="1:13" ht="60" x14ac:dyDescent="0.25">
      <c r="A340" s="7" t="s">
        <v>12182</v>
      </c>
      <c r="B340" s="2" t="s">
        <v>4357</v>
      </c>
      <c r="C340" s="4">
        <v>1</v>
      </c>
      <c r="D340" s="5">
        <v>3.29</v>
      </c>
      <c r="E340" s="5">
        <v>7.99</v>
      </c>
      <c r="F340" s="4" t="s">
        <v>4358</v>
      </c>
      <c r="G340" s="2" t="s">
        <v>86</v>
      </c>
      <c r="H340" s="7" t="s">
        <v>123</v>
      </c>
      <c r="I340" s="2" t="s">
        <v>1689</v>
      </c>
      <c r="J340" s="2" t="s">
        <v>354</v>
      </c>
      <c r="K340" s="2" t="s">
        <v>304</v>
      </c>
      <c r="L340" s="2" t="s">
        <v>119</v>
      </c>
      <c r="M340" s="8" t="str">
        <f>HYPERLINK("http://slimages.macys.com/is/image/MCY/11499070 ")</f>
        <v xml:space="preserve">http://slimages.macys.com/is/image/MCY/11499070 </v>
      </c>
    </row>
    <row r="341" spans="1:13" ht="60" x14ac:dyDescent="0.25">
      <c r="A341" s="7" t="s">
        <v>7872</v>
      </c>
      <c r="B341" s="2" t="s">
        <v>5649</v>
      </c>
      <c r="C341" s="4">
        <v>1</v>
      </c>
      <c r="D341" s="5">
        <v>3.29</v>
      </c>
      <c r="E341" s="5">
        <v>7.99</v>
      </c>
      <c r="F341" s="4" t="s">
        <v>5650</v>
      </c>
      <c r="G341" s="2" t="s">
        <v>582</v>
      </c>
      <c r="H341" s="7" t="s">
        <v>1151</v>
      </c>
      <c r="I341" s="2" t="s">
        <v>1689</v>
      </c>
      <c r="J341" s="2" t="s">
        <v>354</v>
      </c>
      <c r="K341" s="2" t="s">
        <v>304</v>
      </c>
      <c r="L341" s="2" t="s">
        <v>119</v>
      </c>
      <c r="M341" s="8" t="str">
        <f>HYPERLINK("http://slimages.macys.com/is/image/MCY/12101663 ")</f>
        <v xml:space="preserve">http://slimages.macys.com/is/image/MCY/12101663 </v>
      </c>
    </row>
    <row r="342" spans="1:13" ht="60" x14ac:dyDescent="0.25">
      <c r="A342" s="7" t="s">
        <v>12183</v>
      </c>
      <c r="B342" s="2" t="s">
        <v>4364</v>
      </c>
      <c r="C342" s="4">
        <v>1</v>
      </c>
      <c r="D342" s="5">
        <v>3.29</v>
      </c>
      <c r="E342" s="5">
        <v>7.99</v>
      </c>
      <c r="F342" s="4" t="s">
        <v>4365</v>
      </c>
      <c r="G342" s="2" t="s">
        <v>86</v>
      </c>
      <c r="H342" s="7" t="s">
        <v>578</v>
      </c>
      <c r="I342" s="2" t="s">
        <v>1689</v>
      </c>
      <c r="J342" s="2" t="s">
        <v>354</v>
      </c>
      <c r="K342" s="2" t="s">
        <v>304</v>
      </c>
      <c r="L342" s="2" t="s">
        <v>119</v>
      </c>
      <c r="M342" s="8" t="str">
        <f>HYPERLINK("http://slimages.macys.com/is/image/MCY/12494534 ")</f>
        <v xml:space="preserve">http://slimages.macys.com/is/image/MCY/12494534 </v>
      </c>
    </row>
    <row r="343" spans="1:13" ht="60" x14ac:dyDescent="0.25">
      <c r="A343" s="7" t="s">
        <v>12184</v>
      </c>
      <c r="B343" s="2" t="s">
        <v>5068</v>
      </c>
      <c r="C343" s="4">
        <v>1</v>
      </c>
      <c r="D343" s="5">
        <v>3.29</v>
      </c>
      <c r="E343" s="5">
        <v>7.99</v>
      </c>
      <c r="F343" s="4" t="s">
        <v>5069</v>
      </c>
      <c r="G343" s="2" t="s">
        <v>103</v>
      </c>
      <c r="H343" s="7" t="s">
        <v>514</v>
      </c>
      <c r="I343" s="2" t="s">
        <v>1689</v>
      </c>
      <c r="J343" s="2" t="s">
        <v>354</v>
      </c>
      <c r="K343" s="2" t="s">
        <v>304</v>
      </c>
      <c r="L343" s="2" t="s">
        <v>119</v>
      </c>
      <c r="M343" s="8" t="str">
        <f>HYPERLINK("http://slimages.macys.com/is/image/MCY/11500700 ")</f>
        <v xml:space="preserve">http://slimages.macys.com/is/image/MCY/11500700 </v>
      </c>
    </row>
    <row r="344" spans="1:13" ht="60" x14ac:dyDescent="0.25">
      <c r="A344" s="7" t="s">
        <v>12185</v>
      </c>
      <c r="B344" s="2" t="s">
        <v>7868</v>
      </c>
      <c r="C344" s="4">
        <v>1</v>
      </c>
      <c r="D344" s="5">
        <v>3.29</v>
      </c>
      <c r="E344" s="5">
        <v>7.99</v>
      </c>
      <c r="F344" s="4" t="s">
        <v>7869</v>
      </c>
      <c r="G344" s="2" t="s">
        <v>86</v>
      </c>
      <c r="H344" s="7" t="s">
        <v>1151</v>
      </c>
      <c r="I344" s="2" t="s">
        <v>1689</v>
      </c>
      <c r="J344" s="2" t="s">
        <v>354</v>
      </c>
      <c r="K344" s="2" t="s">
        <v>304</v>
      </c>
      <c r="L344" s="2" t="s">
        <v>119</v>
      </c>
      <c r="M344" s="8" t="str">
        <f>HYPERLINK("http://slimages.macys.com/is/image/MCY/11498872 ")</f>
        <v xml:space="preserve">http://slimages.macys.com/is/image/MCY/11498872 </v>
      </c>
    </row>
    <row r="345" spans="1:13" ht="60" x14ac:dyDescent="0.25">
      <c r="A345" s="7" t="s">
        <v>7094</v>
      </c>
      <c r="B345" s="2" t="s">
        <v>7095</v>
      </c>
      <c r="C345" s="4">
        <v>1</v>
      </c>
      <c r="D345" s="5">
        <v>3.21</v>
      </c>
      <c r="E345" s="5">
        <v>7.99</v>
      </c>
      <c r="F345" s="4" t="s">
        <v>7096</v>
      </c>
      <c r="G345" s="2" t="s">
        <v>41</v>
      </c>
      <c r="H345" s="7" t="s">
        <v>514</v>
      </c>
      <c r="I345" s="2" t="s">
        <v>483</v>
      </c>
      <c r="J345" s="2" t="s">
        <v>536</v>
      </c>
      <c r="K345" s="2" t="s">
        <v>304</v>
      </c>
      <c r="L345" s="2" t="s">
        <v>38</v>
      </c>
      <c r="M345" s="8" t="str">
        <f>HYPERLINK("http://slimages.macys.com/is/image/MCY/13987340 ")</f>
        <v xml:space="preserve">http://slimages.macys.com/is/image/MCY/13987340 </v>
      </c>
    </row>
    <row r="346" spans="1:13" ht="60" x14ac:dyDescent="0.25">
      <c r="A346" s="7" t="s">
        <v>12186</v>
      </c>
      <c r="B346" s="2" t="s">
        <v>12187</v>
      </c>
      <c r="C346" s="4">
        <v>1</v>
      </c>
      <c r="D346" s="5">
        <v>3.2</v>
      </c>
      <c r="E346" s="5">
        <v>6.99</v>
      </c>
      <c r="F346" s="4" t="s">
        <v>12188</v>
      </c>
      <c r="G346" s="2" t="s">
        <v>41</v>
      </c>
      <c r="H346" s="7" t="s">
        <v>442</v>
      </c>
      <c r="I346" s="2" t="s">
        <v>483</v>
      </c>
      <c r="J346" s="2" t="s">
        <v>536</v>
      </c>
      <c r="K346" s="2" t="s">
        <v>304</v>
      </c>
      <c r="L346" s="2" t="s">
        <v>119</v>
      </c>
      <c r="M346" s="8" t="str">
        <f>HYPERLINK("http://slimages.macys.com/is/image/MCY/11710560 ")</f>
        <v xml:space="preserve">http://slimages.macys.com/is/image/MCY/11710560 </v>
      </c>
    </row>
    <row r="347" spans="1:13" ht="60" x14ac:dyDescent="0.25">
      <c r="A347" s="7" t="s">
        <v>584</v>
      </c>
      <c r="B347" s="2" t="s">
        <v>585</v>
      </c>
      <c r="C347" s="4">
        <v>3</v>
      </c>
      <c r="D347" s="5">
        <v>3.14</v>
      </c>
      <c r="E347" s="5">
        <v>7.99</v>
      </c>
      <c r="F347" s="4">
        <v>10004192500</v>
      </c>
      <c r="G347" s="2" t="s">
        <v>171</v>
      </c>
      <c r="H347" s="7" t="s">
        <v>586</v>
      </c>
      <c r="I347" s="2" t="s">
        <v>483</v>
      </c>
      <c r="J347" s="2" t="s">
        <v>536</v>
      </c>
      <c r="K347" s="2" t="s">
        <v>304</v>
      </c>
      <c r="L347" s="2" t="s">
        <v>75</v>
      </c>
      <c r="M347" s="8" t="str">
        <f>HYPERLINK("http://slimages.macys.com/is/image/MCY/11519409 ")</f>
        <v xml:space="preserve">http://slimages.macys.com/is/image/MCY/11519409 </v>
      </c>
    </row>
    <row r="348" spans="1:13" ht="60" x14ac:dyDescent="0.25">
      <c r="A348" s="7" t="s">
        <v>8411</v>
      </c>
      <c r="B348" s="2" t="s">
        <v>585</v>
      </c>
      <c r="C348" s="4">
        <v>3</v>
      </c>
      <c r="D348" s="5">
        <v>3.14</v>
      </c>
      <c r="E348" s="5">
        <v>7.99</v>
      </c>
      <c r="F348" s="4">
        <v>10004192500</v>
      </c>
      <c r="G348" s="2" t="s">
        <v>171</v>
      </c>
      <c r="H348" s="7" t="s">
        <v>604</v>
      </c>
      <c r="I348" s="2" t="s">
        <v>483</v>
      </c>
      <c r="J348" s="2" t="s">
        <v>536</v>
      </c>
      <c r="K348" s="2" t="s">
        <v>304</v>
      </c>
      <c r="L348" s="2" t="s">
        <v>75</v>
      </c>
      <c r="M348" s="8" t="str">
        <f>HYPERLINK("http://slimages.macys.com/is/image/MCY/11519409 ")</f>
        <v xml:space="preserve">http://slimages.macys.com/is/image/MCY/11519409 </v>
      </c>
    </row>
    <row r="349" spans="1:13" ht="60" x14ac:dyDescent="0.25">
      <c r="A349" s="7" t="s">
        <v>12189</v>
      </c>
      <c r="B349" s="2" t="s">
        <v>12190</v>
      </c>
      <c r="C349" s="4">
        <v>1</v>
      </c>
      <c r="D349" s="5">
        <v>3.04</v>
      </c>
      <c r="E349" s="5">
        <v>7.99</v>
      </c>
      <c r="F349" s="4" t="s">
        <v>12191</v>
      </c>
      <c r="G349" s="2" t="s">
        <v>41</v>
      </c>
      <c r="H349" s="7" t="s">
        <v>1151</v>
      </c>
      <c r="I349" s="2" t="s">
        <v>483</v>
      </c>
      <c r="J349" s="2" t="s">
        <v>536</v>
      </c>
      <c r="K349" s="2" t="s">
        <v>304</v>
      </c>
      <c r="L349" s="2" t="s">
        <v>100</v>
      </c>
      <c r="M349" s="8" t="str">
        <f>HYPERLINK("http://slimages.macys.com/is/image/MCY/11855828 ")</f>
        <v xml:space="preserve">http://slimages.macys.com/is/image/MCY/11855828 </v>
      </c>
    </row>
    <row r="350" spans="1:13" ht="60" x14ac:dyDescent="0.25">
      <c r="A350" s="7" t="s">
        <v>2182</v>
      </c>
      <c r="B350" s="2" t="s">
        <v>2183</v>
      </c>
      <c r="C350" s="4">
        <v>1</v>
      </c>
      <c r="D350" s="5">
        <v>2.97</v>
      </c>
      <c r="E350" s="5">
        <v>7.99</v>
      </c>
      <c r="F350" s="4" t="s">
        <v>2184</v>
      </c>
      <c r="G350" s="2" t="s">
        <v>595</v>
      </c>
      <c r="H350" s="7" t="s">
        <v>149</v>
      </c>
      <c r="I350" s="2" t="s">
        <v>483</v>
      </c>
      <c r="J350" s="2" t="s">
        <v>536</v>
      </c>
      <c r="K350" s="2" t="s">
        <v>304</v>
      </c>
      <c r="L350" s="2" t="s">
        <v>119</v>
      </c>
      <c r="M350" s="8" t="str">
        <f>HYPERLINK("http://slimages.macys.com/is/image/MCY/12465363 ")</f>
        <v xml:space="preserve">http://slimages.macys.com/is/image/MCY/12465363 </v>
      </c>
    </row>
    <row r="351" spans="1:13" ht="60" x14ac:dyDescent="0.25">
      <c r="A351" s="7" t="s">
        <v>5662</v>
      </c>
      <c r="B351" s="2" t="s">
        <v>5663</v>
      </c>
      <c r="C351" s="4">
        <v>1</v>
      </c>
      <c r="D351" s="5">
        <v>2.96</v>
      </c>
      <c r="E351" s="5">
        <v>6.99</v>
      </c>
      <c r="F351" s="4" t="s">
        <v>5664</v>
      </c>
      <c r="G351" s="2" t="s">
        <v>28</v>
      </c>
      <c r="H351" s="7" t="s">
        <v>91</v>
      </c>
      <c r="I351" s="2" t="s">
        <v>483</v>
      </c>
      <c r="J351" s="2" t="s">
        <v>536</v>
      </c>
      <c r="K351" s="2" t="s">
        <v>304</v>
      </c>
      <c r="L351" s="2" t="s">
        <v>119</v>
      </c>
      <c r="M351" s="8" t="str">
        <f>HYPERLINK("http://slimages.macys.com/is/image/MCY/11436913 ")</f>
        <v xml:space="preserve">http://slimages.macys.com/is/image/MCY/11436913 </v>
      </c>
    </row>
    <row r="352" spans="1:13" ht="60" x14ac:dyDescent="0.25">
      <c r="A352" s="7" t="s">
        <v>12192</v>
      </c>
      <c r="B352" s="2" t="s">
        <v>5669</v>
      </c>
      <c r="C352" s="4">
        <v>1</v>
      </c>
      <c r="D352" s="5">
        <v>2.91</v>
      </c>
      <c r="E352" s="5">
        <v>6.99</v>
      </c>
      <c r="F352" s="4" t="s">
        <v>5670</v>
      </c>
      <c r="G352" s="2" t="s">
        <v>48</v>
      </c>
      <c r="H352" s="7" t="s">
        <v>590</v>
      </c>
      <c r="I352" s="2" t="s">
        <v>483</v>
      </c>
      <c r="J352" s="2" t="s">
        <v>536</v>
      </c>
      <c r="K352" s="2" t="s">
        <v>304</v>
      </c>
      <c r="L352" s="2" t="s">
        <v>119</v>
      </c>
      <c r="M352" s="8" t="str">
        <f>HYPERLINK("http://slimages.macys.com/is/image/MCY/11436908 ")</f>
        <v xml:space="preserve">http://slimages.macys.com/is/image/MCY/11436908 </v>
      </c>
    </row>
    <row r="353" spans="1:13" ht="60" x14ac:dyDescent="0.25">
      <c r="A353" s="7" t="s">
        <v>12193</v>
      </c>
      <c r="B353" s="2" t="s">
        <v>7123</v>
      </c>
      <c r="C353" s="4">
        <v>2</v>
      </c>
      <c r="D353" s="5">
        <v>2.91</v>
      </c>
      <c r="E353" s="5">
        <v>6.99</v>
      </c>
      <c r="F353" s="4">
        <v>10004349800</v>
      </c>
      <c r="G353" s="2" t="s">
        <v>134</v>
      </c>
      <c r="H353" s="7" t="s">
        <v>482</v>
      </c>
      <c r="I353" s="2" t="s">
        <v>483</v>
      </c>
      <c r="J353" s="2" t="s">
        <v>536</v>
      </c>
      <c r="K353" s="2" t="s">
        <v>304</v>
      </c>
      <c r="L353" s="2" t="s">
        <v>119</v>
      </c>
      <c r="M353" s="8" t="str">
        <f>HYPERLINK("http://slimages.macys.com/is/image/MCY/11437071 ")</f>
        <v xml:space="preserve">http://slimages.macys.com/is/image/MCY/11437071 </v>
      </c>
    </row>
    <row r="354" spans="1:13" ht="60" x14ac:dyDescent="0.25">
      <c r="A354" s="7" t="s">
        <v>12194</v>
      </c>
      <c r="B354" s="2" t="s">
        <v>12195</v>
      </c>
      <c r="C354" s="4">
        <v>1</v>
      </c>
      <c r="D354" s="5">
        <v>2.89</v>
      </c>
      <c r="E354" s="5">
        <v>6.99</v>
      </c>
      <c r="F354" s="4" t="s">
        <v>12196</v>
      </c>
      <c r="G354" s="2" t="s">
        <v>28</v>
      </c>
      <c r="H354" s="7" t="s">
        <v>91</v>
      </c>
      <c r="I354" s="2" t="s">
        <v>483</v>
      </c>
      <c r="J354" s="2" t="s">
        <v>536</v>
      </c>
      <c r="K354" s="2" t="s">
        <v>304</v>
      </c>
      <c r="L354" s="2" t="s">
        <v>119</v>
      </c>
      <c r="M354" s="8" t="str">
        <f>HYPERLINK("http://slimages.macys.com/is/image/MCY/10532926 ")</f>
        <v xml:space="preserve">http://slimages.macys.com/is/image/MCY/10532926 </v>
      </c>
    </row>
    <row r="355" spans="1:13" ht="60" x14ac:dyDescent="0.25">
      <c r="A355" s="7" t="s">
        <v>8416</v>
      </c>
      <c r="B355" s="2" t="s">
        <v>2706</v>
      </c>
      <c r="C355" s="4">
        <v>1</v>
      </c>
      <c r="D355" s="5">
        <v>2.88</v>
      </c>
      <c r="E355" s="5">
        <v>6.99</v>
      </c>
      <c r="F355" s="4" t="s">
        <v>2707</v>
      </c>
      <c r="G355" s="2" t="s">
        <v>62</v>
      </c>
      <c r="H355" s="7" t="s">
        <v>590</v>
      </c>
      <c r="I355" s="2" t="s">
        <v>483</v>
      </c>
      <c r="J355" s="2" t="s">
        <v>536</v>
      </c>
      <c r="K355" s="2" t="s">
        <v>304</v>
      </c>
      <c r="L355" s="2" t="s">
        <v>119</v>
      </c>
      <c r="M355" s="8" t="str">
        <f>HYPERLINK("http://slimages.macys.com/is/image/MCY/8882367 ")</f>
        <v xml:space="preserve">http://slimages.macys.com/is/image/MCY/8882367 </v>
      </c>
    </row>
    <row r="356" spans="1:13" ht="120" x14ac:dyDescent="0.25">
      <c r="A356" s="7" t="s">
        <v>2199</v>
      </c>
      <c r="B356" s="2" t="s">
        <v>598</v>
      </c>
      <c r="C356" s="4">
        <v>2</v>
      </c>
      <c r="D356" s="5">
        <v>2.84</v>
      </c>
      <c r="E356" s="5">
        <v>7.99</v>
      </c>
      <c r="F356" s="4" t="s">
        <v>599</v>
      </c>
      <c r="G356" s="2" t="s">
        <v>62</v>
      </c>
      <c r="H356" s="7" t="s">
        <v>590</v>
      </c>
      <c r="I356" s="2" t="s">
        <v>483</v>
      </c>
      <c r="J356" s="2" t="s">
        <v>536</v>
      </c>
      <c r="K356" s="2" t="s">
        <v>304</v>
      </c>
      <c r="L356" s="2" t="s">
        <v>600</v>
      </c>
      <c r="M356" s="8" t="str">
        <f>HYPERLINK("http://slimages.macys.com/is/image/MCY/14384837 ")</f>
        <v xml:space="preserve">http://slimages.macys.com/is/image/MCY/14384837 </v>
      </c>
    </row>
    <row r="357" spans="1:13" ht="120" x14ac:dyDescent="0.25">
      <c r="A357" s="7" t="s">
        <v>2200</v>
      </c>
      <c r="B357" s="2" t="s">
        <v>598</v>
      </c>
      <c r="C357" s="4">
        <v>2</v>
      </c>
      <c r="D357" s="5">
        <v>2.84</v>
      </c>
      <c r="E357" s="5">
        <v>7.99</v>
      </c>
      <c r="F357" s="4" t="s">
        <v>599</v>
      </c>
      <c r="G357" s="2" t="s">
        <v>62</v>
      </c>
      <c r="H357" s="7" t="s">
        <v>149</v>
      </c>
      <c r="I357" s="2" t="s">
        <v>483</v>
      </c>
      <c r="J357" s="2" t="s">
        <v>536</v>
      </c>
      <c r="K357" s="2" t="s">
        <v>304</v>
      </c>
      <c r="L357" s="2" t="s">
        <v>600</v>
      </c>
      <c r="M357" s="8" t="str">
        <f>HYPERLINK("http://slimages.macys.com/is/image/MCY/14384837 ")</f>
        <v xml:space="preserve">http://slimages.macys.com/is/image/MCY/14384837 </v>
      </c>
    </row>
    <row r="358" spans="1:13" ht="120" x14ac:dyDescent="0.25">
      <c r="A358" s="7" t="s">
        <v>597</v>
      </c>
      <c r="B358" s="2" t="s">
        <v>598</v>
      </c>
      <c r="C358" s="4">
        <v>2</v>
      </c>
      <c r="D358" s="5">
        <v>2.84</v>
      </c>
      <c r="E358" s="5">
        <v>7.99</v>
      </c>
      <c r="F358" s="4" t="s">
        <v>599</v>
      </c>
      <c r="G358" s="2" t="s">
        <v>62</v>
      </c>
      <c r="H358" s="7"/>
      <c r="I358" s="2" t="s">
        <v>483</v>
      </c>
      <c r="J358" s="2" t="s">
        <v>536</v>
      </c>
      <c r="K358" s="2" t="s">
        <v>304</v>
      </c>
      <c r="L358" s="2" t="s">
        <v>600</v>
      </c>
      <c r="M358" s="8" t="str">
        <f>HYPERLINK("http://slimages.macys.com/is/image/MCY/14384837 ")</f>
        <v xml:space="preserve">http://slimages.macys.com/is/image/MCY/14384837 </v>
      </c>
    </row>
    <row r="359" spans="1:13" ht="60" x14ac:dyDescent="0.25">
      <c r="A359" s="7" t="s">
        <v>5674</v>
      </c>
      <c r="B359" s="2" t="s">
        <v>5675</v>
      </c>
      <c r="C359" s="4">
        <v>1</v>
      </c>
      <c r="D359" s="5">
        <v>2.84</v>
      </c>
      <c r="E359" s="5">
        <v>7.99</v>
      </c>
      <c r="F359" s="4" t="s">
        <v>5676</v>
      </c>
      <c r="G359" s="2" t="s">
        <v>41</v>
      </c>
      <c r="H359" s="7" t="s">
        <v>590</v>
      </c>
      <c r="I359" s="2" t="s">
        <v>483</v>
      </c>
      <c r="J359" s="2" t="s">
        <v>536</v>
      </c>
      <c r="K359" s="2" t="s">
        <v>304</v>
      </c>
      <c r="L359" s="2" t="s">
        <v>87</v>
      </c>
      <c r="M359" s="8" t="str">
        <f>HYPERLINK("http://slimages.macys.com/is/image/MCY/14384843 ")</f>
        <v xml:space="preserve">http://slimages.macys.com/is/image/MCY/14384843 </v>
      </c>
    </row>
    <row r="360" spans="1:13" ht="60" x14ac:dyDescent="0.25">
      <c r="A360" s="7" t="s">
        <v>12197</v>
      </c>
      <c r="B360" s="2" t="s">
        <v>2713</v>
      </c>
      <c r="C360" s="4">
        <v>1</v>
      </c>
      <c r="D360" s="5">
        <v>2.79</v>
      </c>
      <c r="E360" s="5">
        <v>7.99</v>
      </c>
      <c r="F360" s="4">
        <v>10004191500</v>
      </c>
      <c r="G360" s="2" t="s">
        <v>1360</v>
      </c>
      <c r="H360" s="7" t="s">
        <v>590</v>
      </c>
      <c r="I360" s="2" t="s">
        <v>483</v>
      </c>
      <c r="J360" s="2" t="s">
        <v>536</v>
      </c>
      <c r="K360" s="2" t="s">
        <v>304</v>
      </c>
      <c r="L360" s="2" t="s">
        <v>119</v>
      </c>
      <c r="M360" s="8" t="str">
        <f>HYPERLINK("http://slimages.macys.com/is/image/MCY/11519696 ")</f>
        <v xml:space="preserve">http://slimages.macys.com/is/image/MCY/11519696 </v>
      </c>
    </row>
    <row r="361" spans="1:13" ht="60" x14ac:dyDescent="0.25">
      <c r="A361" s="7" t="s">
        <v>12198</v>
      </c>
      <c r="B361" s="2" t="s">
        <v>2713</v>
      </c>
      <c r="C361" s="4">
        <v>1</v>
      </c>
      <c r="D361" s="5">
        <v>2.79</v>
      </c>
      <c r="E361" s="5">
        <v>7.99</v>
      </c>
      <c r="F361" s="4">
        <v>10004191500</v>
      </c>
      <c r="G361" s="2" t="s">
        <v>2107</v>
      </c>
      <c r="H361" s="7" t="s">
        <v>590</v>
      </c>
      <c r="I361" s="2" t="s">
        <v>483</v>
      </c>
      <c r="J361" s="2" t="s">
        <v>536</v>
      </c>
      <c r="K361" s="2" t="s">
        <v>304</v>
      </c>
      <c r="L361" s="2" t="s">
        <v>119</v>
      </c>
      <c r="M361" s="8" t="str">
        <f>HYPERLINK("http://slimages.macys.com/is/image/MCY/11519969 ")</f>
        <v xml:space="preserve">http://slimages.macys.com/is/image/MCY/11519969 </v>
      </c>
    </row>
    <row r="362" spans="1:13" ht="60" x14ac:dyDescent="0.25">
      <c r="A362" s="7" t="s">
        <v>12199</v>
      </c>
      <c r="B362" s="2" t="s">
        <v>2713</v>
      </c>
      <c r="C362" s="4">
        <v>2</v>
      </c>
      <c r="D362" s="5">
        <v>2.79</v>
      </c>
      <c r="E362" s="5">
        <v>7.99</v>
      </c>
      <c r="F362" s="4">
        <v>10004191500</v>
      </c>
      <c r="G362" s="2" t="s">
        <v>262</v>
      </c>
      <c r="H362" s="7" t="s">
        <v>149</v>
      </c>
      <c r="I362" s="2" t="s">
        <v>483</v>
      </c>
      <c r="J362" s="2" t="s">
        <v>536</v>
      </c>
      <c r="K362" s="2" t="s">
        <v>304</v>
      </c>
      <c r="L362" s="2" t="s">
        <v>119</v>
      </c>
      <c r="M362" s="8" t="str">
        <f>HYPERLINK("http://slimages.macys.com/is/image/MCY/11519969 ")</f>
        <v xml:space="preserve">http://slimages.macys.com/is/image/MCY/11519969 </v>
      </c>
    </row>
    <row r="363" spans="1:13" ht="60" x14ac:dyDescent="0.25">
      <c r="A363" s="7" t="s">
        <v>10288</v>
      </c>
      <c r="B363" s="2" t="s">
        <v>2713</v>
      </c>
      <c r="C363" s="4">
        <v>1</v>
      </c>
      <c r="D363" s="5">
        <v>2.79</v>
      </c>
      <c r="E363" s="5">
        <v>7.99</v>
      </c>
      <c r="F363" s="4">
        <v>10004191500</v>
      </c>
      <c r="G363" s="2" t="s">
        <v>2107</v>
      </c>
      <c r="H363" s="7" t="s">
        <v>149</v>
      </c>
      <c r="I363" s="2" t="s">
        <v>483</v>
      </c>
      <c r="J363" s="2" t="s">
        <v>536</v>
      </c>
      <c r="K363" s="2" t="s">
        <v>304</v>
      </c>
      <c r="L363" s="2" t="s">
        <v>119</v>
      </c>
      <c r="M363" s="8" t="str">
        <f>HYPERLINK("http://slimages.macys.com/is/image/MCY/11519969 ")</f>
        <v xml:space="preserve">http://slimages.macys.com/is/image/MCY/11519969 </v>
      </c>
    </row>
    <row r="364" spans="1:13" ht="60" x14ac:dyDescent="0.25">
      <c r="A364" s="7" t="s">
        <v>12200</v>
      </c>
      <c r="B364" s="2" t="s">
        <v>2713</v>
      </c>
      <c r="C364" s="4">
        <v>1</v>
      </c>
      <c r="D364" s="5">
        <v>2.79</v>
      </c>
      <c r="E364" s="5">
        <v>7.99</v>
      </c>
      <c r="F364" s="4">
        <v>10004191500</v>
      </c>
      <c r="G364" s="2" t="s">
        <v>262</v>
      </c>
      <c r="H364" s="7" t="s">
        <v>482</v>
      </c>
      <c r="I364" s="2" t="s">
        <v>483</v>
      </c>
      <c r="J364" s="2" t="s">
        <v>536</v>
      </c>
      <c r="K364" s="2" t="s">
        <v>304</v>
      </c>
      <c r="L364" s="2" t="s">
        <v>119</v>
      </c>
      <c r="M364" s="8" t="str">
        <f>HYPERLINK("http://slimages.macys.com/is/image/MCY/11519969 ")</f>
        <v xml:space="preserve">http://slimages.macys.com/is/image/MCY/11519969 </v>
      </c>
    </row>
    <row r="365" spans="1:13" ht="60" x14ac:dyDescent="0.25">
      <c r="A365" s="7" t="s">
        <v>2211</v>
      </c>
      <c r="B365" s="2" t="s">
        <v>2209</v>
      </c>
      <c r="C365" s="4">
        <v>4</v>
      </c>
      <c r="D365" s="5">
        <v>2.77</v>
      </c>
      <c r="E365" s="5">
        <v>7.99</v>
      </c>
      <c r="F365" s="4">
        <v>10004191600</v>
      </c>
      <c r="G365" s="2" t="s">
        <v>1360</v>
      </c>
      <c r="H365" s="7" t="s">
        <v>604</v>
      </c>
      <c r="I365" s="2" t="s">
        <v>483</v>
      </c>
      <c r="J365" s="2" t="s">
        <v>536</v>
      </c>
      <c r="K365" s="2" t="s">
        <v>304</v>
      </c>
      <c r="L365" s="2" t="s">
        <v>119</v>
      </c>
      <c r="M365" s="8" t="str">
        <f>HYPERLINK("http://slimages.macys.com/is/image/MCY/11547113 ")</f>
        <v xml:space="preserve">http://slimages.macys.com/is/image/MCY/11547113 </v>
      </c>
    </row>
    <row r="366" spans="1:13" ht="60" x14ac:dyDescent="0.25">
      <c r="A366" s="7" t="s">
        <v>2212</v>
      </c>
      <c r="B366" s="2" t="s">
        <v>2209</v>
      </c>
      <c r="C366" s="4">
        <v>4</v>
      </c>
      <c r="D366" s="5">
        <v>2.77</v>
      </c>
      <c r="E366" s="5">
        <v>7.99</v>
      </c>
      <c r="F366" s="4">
        <v>10004191600</v>
      </c>
      <c r="G366" s="2" t="s">
        <v>1360</v>
      </c>
      <c r="H366" s="7"/>
      <c r="I366" s="2" t="s">
        <v>483</v>
      </c>
      <c r="J366" s="2" t="s">
        <v>536</v>
      </c>
      <c r="K366" s="2" t="s">
        <v>304</v>
      </c>
      <c r="L366" s="2" t="s">
        <v>119</v>
      </c>
      <c r="M366" s="8" t="str">
        <f>HYPERLINK("http://slimages.macys.com/is/image/MCY/11547113 ")</f>
        <v xml:space="preserve">http://slimages.macys.com/is/image/MCY/11547113 </v>
      </c>
    </row>
    <row r="367" spans="1:13" ht="60" x14ac:dyDescent="0.25">
      <c r="A367" s="7" t="s">
        <v>601</v>
      </c>
      <c r="B367" s="2" t="s">
        <v>602</v>
      </c>
      <c r="C367" s="4">
        <v>3</v>
      </c>
      <c r="D367" s="5">
        <v>2.77</v>
      </c>
      <c r="E367" s="5">
        <v>7.99</v>
      </c>
      <c r="F367" s="4" t="s">
        <v>603</v>
      </c>
      <c r="G367" s="2" t="s">
        <v>297</v>
      </c>
      <c r="H367" s="7" t="s">
        <v>604</v>
      </c>
      <c r="I367" s="2" t="s">
        <v>483</v>
      </c>
      <c r="J367" s="2" t="s">
        <v>536</v>
      </c>
      <c r="K367" s="2" t="s">
        <v>304</v>
      </c>
      <c r="L367" s="2" t="s">
        <v>119</v>
      </c>
      <c r="M367" s="8" t="str">
        <f>HYPERLINK("http://slimages.macys.com/is/image/MCY/11520409 ")</f>
        <v xml:space="preserve">http://slimages.macys.com/is/image/MCY/11520409 </v>
      </c>
    </row>
    <row r="368" spans="1:13" ht="60" x14ac:dyDescent="0.25">
      <c r="A368" s="7" t="s">
        <v>2210</v>
      </c>
      <c r="B368" s="2" t="s">
        <v>602</v>
      </c>
      <c r="C368" s="4">
        <v>1</v>
      </c>
      <c r="D368" s="5">
        <v>2.77</v>
      </c>
      <c r="E368" s="5">
        <v>7.99</v>
      </c>
      <c r="F368" s="4" t="s">
        <v>603</v>
      </c>
      <c r="G368" s="2" t="s">
        <v>297</v>
      </c>
      <c r="H368" s="7" t="s">
        <v>586</v>
      </c>
      <c r="I368" s="2" t="s">
        <v>483</v>
      </c>
      <c r="J368" s="2" t="s">
        <v>536</v>
      </c>
      <c r="K368" s="2" t="s">
        <v>304</v>
      </c>
      <c r="L368" s="2" t="s">
        <v>119</v>
      </c>
      <c r="M368" s="8" t="str">
        <f>HYPERLINK("http://slimages.macys.com/is/image/MCY/11520409 ")</f>
        <v xml:space="preserve">http://slimages.macys.com/is/image/MCY/11520409 </v>
      </c>
    </row>
    <row r="369" spans="1:13" ht="60" x14ac:dyDescent="0.25">
      <c r="A369" s="7" t="s">
        <v>5679</v>
      </c>
      <c r="B369" s="2" t="s">
        <v>1217</v>
      </c>
      <c r="C369" s="4">
        <v>4</v>
      </c>
      <c r="D369" s="5">
        <v>2.77</v>
      </c>
      <c r="E369" s="5">
        <v>7.99</v>
      </c>
      <c r="F369" s="4">
        <v>10005049100</v>
      </c>
      <c r="G369" s="2" t="s">
        <v>527</v>
      </c>
      <c r="H369" s="7"/>
      <c r="I369" s="2" t="s">
        <v>483</v>
      </c>
      <c r="J369" s="2" t="s">
        <v>536</v>
      </c>
      <c r="K369" s="2" t="s">
        <v>304</v>
      </c>
      <c r="L369" s="2" t="s">
        <v>119</v>
      </c>
      <c r="M369" s="8" t="str">
        <f>HYPERLINK("http://slimages.macys.com/is/image/MCY/11520375 ")</f>
        <v xml:space="preserve">http://slimages.macys.com/is/image/MCY/11520375 </v>
      </c>
    </row>
    <row r="370" spans="1:13" ht="60" x14ac:dyDescent="0.25">
      <c r="A370" s="7" t="s">
        <v>1216</v>
      </c>
      <c r="B370" s="2" t="s">
        <v>1217</v>
      </c>
      <c r="C370" s="4">
        <v>1</v>
      </c>
      <c r="D370" s="5">
        <v>2.77</v>
      </c>
      <c r="E370" s="5">
        <v>7.99</v>
      </c>
      <c r="F370" s="4">
        <v>10005049100</v>
      </c>
      <c r="G370" s="2" t="s">
        <v>527</v>
      </c>
      <c r="H370" s="7" t="s">
        <v>604</v>
      </c>
      <c r="I370" s="2" t="s">
        <v>483</v>
      </c>
      <c r="J370" s="2" t="s">
        <v>536</v>
      </c>
      <c r="K370" s="2" t="s">
        <v>304</v>
      </c>
      <c r="L370" s="2" t="s">
        <v>119</v>
      </c>
      <c r="M370" s="8" t="str">
        <f>HYPERLINK("http://slimages.macys.com/is/image/MCY/11520375 ")</f>
        <v xml:space="preserve">http://slimages.macys.com/is/image/MCY/11520375 </v>
      </c>
    </row>
    <row r="371" spans="1:13" ht="60" x14ac:dyDescent="0.25">
      <c r="A371" s="7" t="s">
        <v>8421</v>
      </c>
      <c r="B371" s="2" t="s">
        <v>1217</v>
      </c>
      <c r="C371" s="4">
        <v>2</v>
      </c>
      <c r="D371" s="5">
        <v>2.77</v>
      </c>
      <c r="E371" s="5">
        <v>7.99</v>
      </c>
      <c r="F371" s="4">
        <v>10005049100</v>
      </c>
      <c r="G371" s="2" t="s">
        <v>527</v>
      </c>
      <c r="H371" s="7" t="s">
        <v>586</v>
      </c>
      <c r="I371" s="2" t="s">
        <v>483</v>
      </c>
      <c r="J371" s="2" t="s">
        <v>536</v>
      </c>
      <c r="K371" s="2" t="s">
        <v>304</v>
      </c>
      <c r="L371" s="2" t="s">
        <v>119</v>
      </c>
      <c r="M371" s="8" t="str">
        <f>HYPERLINK("http://slimages.macys.com/is/image/MCY/11520375 ")</f>
        <v xml:space="preserve">http://slimages.macys.com/is/image/MCY/11520375 </v>
      </c>
    </row>
    <row r="372" spans="1:13" ht="60" x14ac:dyDescent="0.25">
      <c r="A372" s="7" t="s">
        <v>605</v>
      </c>
      <c r="B372" s="2" t="s">
        <v>602</v>
      </c>
      <c r="C372" s="4">
        <v>1</v>
      </c>
      <c r="D372" s="5">
        <v>2.77</v>
      </c>
      <c r="E372" s="5">
        <v>7.99</v>
      </c>
      <c r="F372" s="4" t="s">
        <v>603</v>
      </c>
      <c r="G372" s="2" t="s">
        <v>297</v>
      </c>
      <c r="H372" s="7"/>
      <c r="I372" s="2" t="s">
        <v>483</v>
      </c>
      <c r="J372" s="2" t="s">
        <v>536</v>
      </c>
      <c r="K372" s="2" t="s">
        <v>304</v>
      </c>
      <c r="L372" s="2" t="s">
        <v>119</v>
      </c>
      <c r="M372" s="8" t="str">
        <f>HYPERLINK("http://slimages.macys.com/is/image/MCY/11520409 ")</f>
        <v xml:space="preserve">http://slimages.macys.com/is/image/MCY/11520409 </v>
      </c>
    </row>
    <row r="373" spans="1:13" ht="60" x14ac:dyDescent="0.25">
      <c r="A373" s="7" t="s">
        <v>5682</v>
      </c>
      <c r="B373" s="2" t="s">
        <v>2223</v>
      </c>
      <c r="C373" s="4">
        <v>2</v>
      </c>
      <c r="D373" s="5">
        <v>2.69</v>
      </c>
      <c r="E373" s="5">
        <v>5.99</v>
      </c>
      <c r="F373" s="4" t="s">
        <v>2224</v>
      </c>
      <c r="G373" s="2" t="s">
        <v>262</v>
      </c>
      <c r="H373" s="7" t="s">
        <v>42</v>
      </c>
      <c r="I373" s="2" t="s">
        <v>483</v>
      </c>
      <c r="J373" s="2" t="s">
        <v>536</v>
      </c>
      <c r="K373" s="2" t="s">
        <v>304</v>
      </c>
      <c r="L373" s="2" t="s">
        <v>206</v>
      </c>
      <c r="M373" s="8" t="str">
        <f>HYPERLINK("http://slimages.macys.com/is/image/MCY/11436881 ")</f>
        <v xml:space="preserve">http://slimages.macys.com/is/image/MCY/11436881 </v>
      </c>
    </row>
    <row r="374" spans="1:13" ht="60" x14ac:dyDescent="0.25">
      <c r="A374" s="7" t="s">
        <v>12201</v>
      </c>
      <c r="B374" s="2" t="s">
        <v>2223</v>
      </c>
      <c r="C374" s="4">
        <v>1</v>
      </c>
      <c r="D374" s="5">
        <v>2.69</v>
      </c>
      <c r="E374" s="5">
        <v>5.99</v>
      </c>
      <c r="F374" s="4" t="s">
        <v>2224</v>
      </c>
      <c r="G374" s="2" t="s">
        <v>262</v>
      </c>
      <c r="H374" s="7" t="s">
        <v>442</v>
      </c>
      <c r="I374" s="2" t="s">
        <v>483</v>
      </c>
      <c r="J374" s="2" t="s">
        <v>536</v>
      </c>
      <c r="K374" s="2" t="s">
        <v>304</v>
      </c>
      <c r="L374" s="2" t="s">
        <v>206</v>
      </c>
      <c r="M374" s="8" t="str">
        <f>HYPERLINK("http://slimages.macys.com/is/image/MCY/11436881 ")</f>
        <v xml:space="preserve">http://slimages.macys.com/is/image/MCY/11436881 </v>
      </c>
    </row>
    <row r="375" spans="1:13" ht="60" x14ac:dyDescent="0.25">
      <c r="A375" s="7" t="s">
        <v>4468</v>
      </c>
      <c r="B375" s="2" t="s">
        <v>2223</v>
      </c>
      <c r="C375" s="4">
        <v>1</v>
      </c>
      <c r="D375" s="5">
        <v>2.69</v>
      </c>
      <c r="E375" s="5">
        <v>5.99</v>
      </c>
      <c r="F375" s="4" t="s">
        <v>2224</v>
      </c>
      <c r="G375" s="2" t="s">
        <v>262</v>
      </c>
      <c r="H375" s="7" t="s">
        <v>149</v>
      </c>
      <c r="I375" s="2" t="s">
        <v>483</v>
      </c>
      <c r="J375" s="2" t="s">
        <v>536</v>
      </c>
      <c r="K375" s="2" t="s">
        <v>304</v>
      </c>
      <c r="L375" s="2" t="s">
        <v>206</v>
      </c>
      <c r="M375" s="8" t="str">
        <f>HYPERLINK("http://slimages.macys.com/is/image/MCY/11436881 ")</f>
        <v xml:space="preserve">http://slimages.macys.com/is/image/MCY/11436881 </v>
      </c>
    </row>
    <row r="376" spans="1:13" ht="60" x14ac:dyDescent="0.25">
      <c r="A376" s="7" t="s">
        <v>12202</v>
      </c>
      <c r="B376" s="2" t="s">
        <v>2223</v>
      </c>
      <c r="C376" s="4">
        <v>4</v>
      </c>
      <c r="D376" s="5">
        <v>2.69</v>
      </c>
      <c r="E376" s="5">
        <v>5.99</v>
      </c>
      <c r="F376" s="4" t="s">
        <v>2224</v>
      </c>
      <c r="G376" s="2" t="s">
        <v>262</v>
      </c>
      <c r="H376" s="7" t="s">
        <v>91</v>
      </c>
      <c r="I376" s="2" t="s">
        <v>483</v>
      </c>
      <c r="J376" s="2" t="s">
        <v>536</v>
      </c>
      <c r="K376" s="2" t="s">
        <v>304</v>
      </c>
      <c r="L376" s="2" t="s">
        <v>206</v>
      </c>
      <c r="M376" s="8" t="str">
        <f>HYPERLINK("http://slimages.macys.com/is/image/MCY/11436881 ")</f>
        <v xml:space="preserve">http://slimages.macys.com/is/image/MCY/11436881 </v>
      </c>
    </row>
    <row r="377" spans="1:13" ht="60" x14ac:dyDescent="0.25">
      <c r="A377" s="7" t="s">
        <v>12203</v>
      </c>
      <c r="B377" s="2" t="s">
        <v>10290</v>
      </c>
      <c r="C377" s="4">
        <v>2</v>
      </c>
      <c r="D377" s="5">
        <v>2.68</v>
      </c>
      <c r="E377" s="5">
        <v>5.99</v>
      </c>
      <c r="F377" s="4" t="s">
        <v>10291</v>
      </c>
      <c r="G377" s="2" t="s">
        <v>129</v>
      </c>
      <c r="H377" s="7" t="s">
        <v>149</v>
      </c>
      <c r="I377" s="2" t="s">
        <v>483</v>
      </c>
      <c r="J377" s="2" t="s">
        <v>536</v>
      </c>
      <c r="K377" s="2" t="s">
        <v>304</v>
      </c>
      <c r="L377" s="2" t="s">
        <v>38</v>
      </c>
      <c r="M377" s="8" t="str">
        <f>HYPERLINK("http://slimages.macys.com/is/image/MCY/11856977 ")</f>
        <v xml:space="preserve">http://slimages.macys.com/is/image/MCY/11856977 </v>
      </c>
    </row>
    <row r="378" spans="1:13" ht="84" x14ac:dyDescent="0.25">
      <c r="A378" s="7" t="s">
        <v>2227</v>
      </c>
      <c r="B378" s="2" t="s">
        <v>2228</v>
      </c>
      <c r="C378" s="4">
        <v>1</v>
      </c>
      <c r="D378" s="5">
        <v>2.67</v>
      </c>
      <c r="E378" s="5">
        <v>7.99</v>
      </c>
      <c r="F378" s="4" t="s">
        <v>2229</v>
      </c>
      <c r="G378" s="2" t="s">
        <v>527</v>
      </c>
      <c r="H378" s="7" t="s">
        <v>149</v>
      </c>
      <c r="I378" s="2" t="s">
        <v>483</v>
      </c>
      <c r="J378" s="2" t="s">
        <v>536</v>
      </c>
      <c r="K378" s="2" t="s">
        <v>304</v>
      </c>
      <c r="L378" s="2" t="s">
        <v>2230</v>
      </c>
      <c r="M378" s="8" t="str">
        <f>HYPERLINK("http://slimages.macys.com/is/image/MCY/14385110 ")</f>
        <v xml:space="preserve">http://slimages.macys.com/is/image/MCY/14385110 </v>
      </c>
    </row>
    <row r="379" spans="1:13" ht="84" x14ac:dyDescent="0.25">
      <c r="A379" s="7" t="s">
        <v>2237</v>
      </c>
      <c r="B379" s="2" t="s">
        <v>2228</v>
      </c>
      <c r="C379" s="4">
        <v>2</v>
      </c>
      <c r="D379" s="5">
        <v>2.67</v>
      </c>
      <c r="E379" s="5">
        <v>7.99</v>
      </c>
      <c r="F379" s="4" t="s">
        <v>2229</v>
      </c>
      <c r="G379" s="2" t="s">
        <v>527</v>
      </c>
      <c r="H379" s="7"/>
      <c r="I379" s="2" t="s">
        <v>483</v>
      </c>
      <c r="J379" s="2" t="s">
        <v>536</v>
      </c>
      <c r="K379" s="2" t="s">
        <v>304</v>
      </c>
      <c r="L379" s="2" t="s">
        <v>2230</v>
      </c>
      <c r="M379" s="8" t="str">
        <f>HYPERLINK("http://slimages.macys.com/is/image/MCY/14385110 ")</f>
        <v xml:space="preserve">http://slimages.macys.com/is/image/MCY/14385110 </v>
      </c>
    </row>
    <row r="380" spans="1:13" ht="60" x14ac:dyDescent="0.25">
      <c r="A380" s="7" t="s">
        <v>12204</v>
      </c>
      <c r="B380" s="2" t="s">
        <v>2232</v>
      </c>
      <c r="C380" s="4">
        <v>2</v>
      </c>
      <c r="D380" s="5">
        <v>2.67</v>
      </c>
      <c r="E380" s="5">
        <v>6.99</v>
      </c>
      <c r="F380" s="4" t="s">
        <v>2233</v>
      </c>
      <c r="G380" s="2" t="s">
        <v>171</v>
      </c>
      <c r="H380" s="7" t="s">
        <v>149</v>
      </c>
      <c r="I380" s="2" t="s">
        <v>483</v>
      </c>
      <c r="J380" s="2" t="s">
        <v>536</v>
      </c>
      <c r="K380" s="2" t="s">
        <v>304</v>
      </c>
      <c r="L380" s="2" t="s">
        <v>119</v>
      </c>
      <c r="M380" s="8" t="str">
        <f>HYPERLINK("http://slimages.macys.com/is/image/MCY/11435785 ")</f>
        <v xml:space="preserve">http://slimages.macys.com/is/image/MCY/11435785 </v>
      </c>
    </row>
    <row r="381" spans="1:13" ht="60" x14ac:dyDescent="0.25">
      <c r="A381" s="7" t="s">
        <v>12205</v>
      </c>
      <c r="B381" s="2" t="s">
        <v>2232</v>
      </c>
      <c r="C381" s="4">
        <v>2</v>
      </c>
      <c r="D381" s="5">
        <v>2.67</v>
      </c>
      <c r="E381" s="5">
        <v>6.99</v>
      </c>
      <c r="F381" s="4" t="s">
        <v>2233</v>
      </c>
      <c r="G381" s="2" t="s">
        <v>171</v>
      </c>
      <c r="H381" s="7"/>
      <c r="I381" s="2" t="s">
        <v>483</v>
      </c>
      <c r="J381" s="2" t="s">
        <v>536</v>
      </c>
      <c r="K381" s="2" t="s">
        <v>304</v>
      </c>
      <c r="L381" s="2" t="s">
        <v>119</v>
      </c>
      <c r="M381" s="8" t="str">
        <f>HYPERLINK("http://slimages.macys.com/is/image/MCY/11435785 ")</f>
        <v xml:space="preserve">http://slimages.macys.com/is/image/MCY/11435785 </v>
      </c>
    </row>
    <row r="382" spans="1:13" ht="60" x14ac:dyDescent="0.25">
      <c r="A382" s="7" t="s">
        <v>2231</v>
      </c>
      <c r="B382" s="2" t="s">
        <v>2232</v>
      </c>
      <c r="C382" s="4">
        <v>1</v>
      </c>
      <c r="D382" s="5">
        <v>2.67</v>
      </c>
      <c r="E382" s="5">
        <v>6.99</v>
      </c>
      <c r="F382" s="4" t="s">
        <v>2233</v>
      </c>
      <c r="G382" s="2" t="s">
        <v>171</v>
      </c>
      <c r="H382" s="7" t="s">
        <v>482</v>
      </c>
      <c r="I382" s="2" t="s">
        <v>483</v>
      </c>
      <c r="J382" s="2" t="s">
        <v>536</v>
      </c>
      <c r="K382" s="2" t="s">
        <v>304</v>
      </c>
      <c r="L382" s="2" t="s">
        <v>119</v>
      </c>
      <c r="M382" s="8" t="str">
        <f>HYPERLINK("http://slimages.macys.com/is/image/MCY/11435785 ")</f>
        <v xml:space="preserve">http://slimages.macys.com/is/image/MCY/11435785 </v>
      </c>
    </row>
    <row r="383" spans="1:13" ht="60" x14ac:dyDescent="0.25">
      <c r="A383" s="7" t="s">
        <v>12206</v>
      </c>
      <c r="B383" s="2" t="s">
        <v>12207</v>
      </c>
      <c r="C383" s="4">
        <v>1</v>
      </c>
      <c r="D383" s="5">
        <v>2.66</v>
      </c>
      <c r="E383" s="5">
        <v>7.99</v>
      </c>
      <c r="F383" s="4">
        <v>10004190000</v>
      </c>
      <c r="G383" s="2" t="s">
        <v>1360</v>
      </c>
      <c r="H383" s="7" t="s">
        <v>590</v>
      </c>
      <c r="I383" s="2" t="s">
        <v>483</v>
      </c>
      <c r="J383" s="2" t="s">
        <v>536</v>
      </c>
      <c r="K383" s="2" t="s">
        <v>304</v>
      </c>
      <c r="L383" s="2" t="s">
        <v>75</v>
      </c>
      <c r="M383" s="8" t="str">
        <f>HYPERLINK("http://slimages.macys.com/is/image/MCY/11520012 ")</f>
        <v xml:space="preserve">http://slimages.macys.com/is/image/MCY/11520012 </v>
      </c>
    </row>
    <row r="384" spans="1:13" ht="60" x14ac:dyDescent="0.25">
      <c r="A384" s="7" t="s">
        <v>12208</v>
      </c>
      <c r="B384" s="2" t="s">
        <v>12209</v>
      </c>
      <c r="C384" s="4">
        <v>1</v>
      </c>
      <c r="D384" s="5">
        <v>2.65</v>
      </c>
      <c r="E384" s="5">
        <v>7.99</v>
      </c>
      <c r="F384" s="4" t="s">
        <v>12210</v>
      </c>
      <c r="G384" s="2" t="s">
        <v>28</v>
      </c>
      <c r="H384" s="7" t="s">
        <v>1151</v>
      </c>
      <c r="I384" s="2" t="s">
        <v>483</v>
      </c>
      <c r="J384" s="2" t="s">
        <v>536</v>
      </c>
      <c r="K384" s="2" t="s">
        <v>304</v>
      </c>
      <c r="L384" s="2" t="s">
        <v>119</v>
      </c>
      <c r="M384" s="8" t="str">
        <f>HYPERLINK("http://slimages.macys.com/is/image/MCY/11524092 ")</f>
        <v xml:space="preserve">http://slimages.macys.com/is/image/MCY/11524092 </v>
      </c>
    </row>
    <row r="385" spans="1:13" ht="108" x14ac:dyDescent="0.25">
      <c r="A385" s="7" t="s">
        <v>8434</v>
      </c>
      <c r="B385" s="2" t="s">
        <v>8431</v>
      </c>
      <c r="C385" s="4">
        <v>1</v>
      </c>
      <c r="D385" s="5">
        <v>2.64</v>
      </c>
      <c r="E385" s="5">
        <v>6.99</v>
      </c>
      <c r="F385" s="4" t="s">
        <v>8432</v>
      </c>
      <c r="G385" s="2" t="s">
        <v>171</v>
      </c>
      <c r="H385" s="7" t="s">
        <v>586</v>
      </c>
      <c r="I385" s="2" t="s">
        <v>483</v>
      </c>
      <c r="J385" s="2" t="s">
        <v>536</v>
      </c>
      <c r="K385" s="2" t="s">
        <v>304</v>
      </c>
      <c r="L385" s="2" t="s">
        <v>8433</v>
      </c>
      <c r="M385" s="8" t="str">
        <f>HYPERLINK("http://slimages.macys.com/is/image/MCY/11435760 ")</f>
        <v xml:space="preserve">http://slimages.macys.com/is/image/MCY/11435760 </v>
      </c>
    </row>
    <row r="386" spans="1:13" ht="96" x14ac:dyDescent="0.25">
      <c r="A386" s="7" t="s">
        <v>10293</v>
      </c>
      <c r="B386" s="2" t="s">
        <v>10294</v>
      </c>
      <c r="C386" s="4">
        <v>2</v>
      </c>
      <c r="D386" s="5">
        <v>2.64</v>
      </c>
      <c r="E386" s="5">
        <v>6.99</v>
      </c>
      <c r="F386" s="4" t="s">
        <v>10295</v>
      </c>
      <c r="G386" s="2" t="s">
        <v>297</v>
      </c>
      <c r="H386" s="7" t="s">
        <v>604</v>
      </c>
      <c r="I386" s="2" t="s">
        <v>483</v>
      </c>
      <c r="J386" s="2" t="s">
        <v>536</v>
      </c>
      <c r="K386" s="2" t="s">
        <v>304</v>
      </c>
      <c r="L386" s="2" t="s">
        <v>10296</v>
      </c>
      <c r="M386" s="8" t="str">
        <f>HYPERLINK("http://slimages.macys.com/is/image/MCY/11437208 ")</f>
        <v xml:space="preserve">http://slimages.macys.com/is/image/MCY/11437208 </v>
      </c>
    </row>
    <row r="387" spans="1:13" ht="108" x14ac:dyDescent="0.25">
      <c r="A387" s="7" t="s">
        <v>4491</v>
      </c>
      <c r="B387" s="2" t="s">
        <v>4492</v>
      </c>
      <c r="C387" s="4">
        <v>1</v>
      </c>
      <c r="D387" s="5">
        <v>2.64</v>
      </c>
      <c r="E387" s="5">
        <v>6.99</v>
      </c>
      <c r="F387" s="4">
        <v>10004350100</v>
      </c>
      <c r="G387" s="2" t="s">
        <v>134</v>
      </c>
      <c r="H387" s="7" t="s">
        <v>604</v>
      </c>
      <c r="I387" s="2" t="s">
        <v>483</v>
      </c>
      <c r="J387" s="2" t="s">
        <v>536</v>
      </c>
      <c r="K387" s="2" t="s">
        <v>304</v>
      </c>
      <c r="L387" s="2" t="s">
        <v>4493</v>
      </c>
      <c r="M387" s="8" t="str">
        <f>HYPERLINK("http://slimages.macys.com/is/image/MCY/11437061 ")</f>
        <v xml:space="preserve">http://slimages.macys.com/is/image/MCY/11437061 </v>
      </c>
    </row>
    <row r="388" spans="1:13" ht="96" x14ac:dyDescent="0.25">
      <c r="A388" s="7" t="s">
        <v>10297</v>
      </c>
      <c r="B388" s="2" t="s">
        <v>10294</v>
      </c>
      <c r="C388" s="4">
        <v>2</v>
      </c>
      <c r="D388" s="5">
        <v>2.64</v>
      </c>
      <c r="E388" s="5">
        <v>6.99</v>
      </c>
      <c r="F388" s="4" t="s">
        <v>10295</v>
      </c>
      <c r="G388" s="2" t="s">
        <v>297</v>
      </c>
      <c r="H388" s="7" t="s">
        <v>586</v>
      </c>
      <c r="I388" s="2" t="s">
        <v>483</v>
      </c>
      <c r="J388" s="2" t="s">
        <v>536</v>
      </c>
      <c r="K388" s="2" t="s">
        <v>304</v>
      </c>
      <c r="L388" s="2" t="s">
        <v>10296</v>
      </c>
      <c r="M388" s="8" t="str">
        <f>HYPERLINK("http://slimages.macys.com/is/image/MCY/11437208 ")</f>
        <v xml:space="preserve">http://slimages.macys.com/is/image/MCY/11437208 </v>
      </c>
    </row>
    <row r="389" spans="1:13" ht="60" x14ac:dyDescent="0.25">
      <c r="A389" s="7" t="s">
        <v>12211</v>
      </c>
      <c r="B389" s="2" t="s">
        <v>2251</v>
      </c>
      <c r="C389" s="4">
        <v>1</v>
      </c>
      <c r="D389" s="5">
        <v>2.63</v>
      </c>
      <c r="E389" s="5">
        <v>5.99</v>
      </c>
      <c r="F389" s="4" t="s">
        <v>2252</v>
      </c>
      <c r="G389" s="2" t="s">
        <v>353</v>
      </c>
      <c r="H389" s="7" t="s">
        <v>590</v>
      </c>
      <c r="I389" s="2" t="s">
        <v>483</v>
      </c>
      <c r="J389" s="2" t="s">
        <v>536</v>
      </c>
      <c r="K389" s="2" t="s">
        <v>304</v>
      </c>
      <c r="L389" s="2" t="s">
        <v>206</v>
      </c>
      <c r="M389" s="8" t="str">
        <f>HYPERLINK("http://slimages.macys.com/is/image/MCY/11382957 ")</f>
        <v xml:space="preserve">http://slimages.macys.com/is/image/MCY/11382957 </v>
      </c>
    </row>
    <row r="390" spans="1:13" ht="60" x14ac:dyDescent="0.25">
      <c r="A390" s="7" t="s">
        <v>12212</v>
      </c>
      <c r="B390" s="2" t="s">
        <v>4495</v>
      </c>
      <c r="C390" s="4">
        <v>2</v>
      </c>
      <c r="D390" s="5">
        <v>2.63</v>
      </c>
      <c r="E390" s="5">
        <v>5.99</v>
      </c>
      <c r="F390" s="4" t="s">
        <v>4496</v>
      </c>
      <c r="G390" s="2" t="s">
        <v>437</v>
      </c>
      <c r="H390" s="7" t="s">
        <v>42</v>
      </c>
      <c r="I390" s="2" t="s">
        <v>483</v>
      </c>
      <c r="J390" s="2" t="s">
        <v>536</v>
      </c>
      <c r="K390" s="2" t="s">
        <v>304</v>
      </c>
      <c r="L390" s="2" t="s">
        <v>206</v>
      </c>
      <c r="M390" s="8" t="str">
        <f>HYPERLINK("http://slimages.macys.com/is/image/MCY/11709478 ")</f>
        <v xml:space="preserve">http://slimages.macys.com/is/image/MCY/11709478 </v>
      </c>
    </row>
    <row r="391" spans="1:13" ht="60" x14ac:dyDescent="0.25">
      <c r="A391" s="7" t="s">
        <v>12213</v>
      </c>
      <c r="B391" s="2" t="s">
        <v>4495</v>
      </c>
      <c r="C391" s="4">
        <v>1</v>
      </c>
      <c r="D391" s="5">
        <v>2.63</v>
      </c>
      <c r="E391" s="5">
        <v>5.99</v>
      </c>
      <c r="F391" s="4" t="s">
        <v>4496</v>
      </c>
      <c r="G391" s="2" t="s">
        <v>437</v>
      </c>
      <c r="H391" s="7" t="s">
        <v>149</v>
      </c>
      <c r="I391" s="2" t="s">
        <v>483</v>
      </c>
      <c r="J391" s="2" t="s">
        <v>536</v>
      </c>
      <c r="K391" s="2" t="s">
        <v>304</v>
      </c>
      <c r="L391" s="2" t="s">
        <v>206</v>
      </c>
      <c r="M391" s="8" t="str">
        <f>HYPERLINK("http://slimages.macys.com/is/image/MCY/11709478 ")</f>
        <v xml:space="preserve">http://slimages.macys.com/is/image/MCY/11709478 </v>
      </c>
    </row>
    <row r="392" spans="1:13" ht="60" x14ac:dyDescent="0.25">
      <c r="A392" s="7" t="s">
        <v>12214</v>
      </c>
      <c r="B392" s="2" t="s">
        <v>4495</v>
      </c>
      <c r="C392" s="4">
        <v>2</v>
      </c>
      <c r="D392" s="5">
        <v>2.63</v>
      </c>
      <c r="E392" s="5">
        <v>5.99</v>
      </c>
      <c r="F392" s="4" t="s">
        <v>4496</v>
      </c>
      <c r="G392" s="2" t="s">
        <v>171</v>
      </c>
      <c r="H392" s="7" t="s">
        <v>42</v>
      </c>
      <c r="I392" s="2" t="s">
        <v>483</v>
      </c>
      <c r="J392" s="2" t="s">
        <v>536</v>
      </c>
      <c r="K392" s="2" t="s">
        <v>304</v>
      </c>
      <c r="L392" s="2" t="s">
        <v>206</v>
      </c>
      <c r="M392" s="8" t="str">
        <f>HYPERLINK("http://slimages.macys.com/is/image/MCY/11709478 ")</f>
        <v xml:space="preserve">http://slimages.macys.com/is/image/MCY/11709478 </v>
      </c>
    </row>
    <row r="393" spans="1:13" ht="60" x14ac:dyDescent="0.25">
      <c r="A393" s="7" t="s">
        <v>7902</v>
      </c>
      <c r="B393" s="2" t="s">
        <v>4495</v>
      </c>
      <c r="C393" s="4">
        <v>1</v>
      </c>
      <c r="D393" s="5">
        <v>2.63</v>
      </c>
      <c r="E393" s="5">
        <v>5.99</v>
      </c>
      <c r="F393" s="4" t="s">
        <v>4496</v>
      </c>
      <c r="G393" s="2" t="s">
        <v>437</v>
      </c>
      <c r="H393" s="7" t="s">
        <v>590</v>
      </c>
      <c r="I393" s="2" t="s">
        <v>483</v>
      </c>
      <c r="J393" s="2" t="s">
        <v>536</v>
      </c>
      <c r="K393" s="2" t="s">
        <v>304</v>
      </c>
      <c r="L393" s="2" t="s">
        <v>206</v>
      </c>
      <c r="M393" s="8" t="str">
        <f>HYPERLINK("http://slimages.macys.com/is/image/MCY/11709478 ")</f>
        <v xml:space="preserve">http://slimages.macys.com/is/image/MCY/11709478 </v>
      </c>
    </row>
    <row r="394" spans="1:13" ht="60" x14ac:dyDescent="0.25">
      <c r="A394" s="7" t="s">
        <v>7161</v>
      </c>
      <c r="B394" s="2" t="s">
        <v>4495</v>
      </c>
      <c r="C394" s="4">
        <v>1</v>
      </c>
      <c r="D394" s="5">
        <v>2.63</v>
      </c>
      <c r="E394" s="5">
        <v>5.99</v>
      </c>
      <c r="F394" s="4" t="s">
        <v>4496</v>
      </c>
      <c r="G394" s="2" t="s">
        <v>437</v>
      </c>
      <c r="H394" s="7" t="s">
        <v>442</v>
      </c>
      <c r="I394" s="2" t="s">
        <v>483</v>
      </c>
      <c r="J394" s="2" t="s">
        <v>536</v>
      </c>
      <c r="K394" s="2" t="s">
        <v>304</v>
      </c>
      <c r="L394" s="2" t="s">
        <v>206</v>
      </c>
      <c r="M394" s="8" t="str">
        <f>HYPERLINK("http://slimages.macys.com/is/image/MCY/11709478 ")</f>
        <v xml:space="preserve">http://slimages.macys.com/is/image/MCY/11709478 </v>
      </c>
    </row>
    <row r="395" spans="1:13" ht="60" x14ac:dyDescent="0.25">
      <c r="A395" s="7" t="s">
        <v>10303</v>
      </c>
      <c r="B395" s="2" t="s">
        <v>7906</v>
      </c>
      <c r="C395" s="4">
        <v>1</v>
      </c>
      <c r="D395" s="5">
        <v>2.62</v>
      </c>
      <c r="E395" s="5">
        <v>6.99</v>
      </c>
      <c r="F395" s="4" t="s">
        <v>7907</v>
      </c>
      <c r="G395" s="2" t="s">
        <v>41</v>
      </c>
      <c r="H395" s="7" t="s">
        <v>442</v>
      </c>
      <c r="I395" s="2" t="s">
        <v>483</v>
      </c>
      <c r="J395" s="2" t="s">
        <v>536</v>
      </c>
      <c r="K395" s="2" t="s">
        <v>304</v>
      </c>
      <c r="L395" s="2" t="s">
        <v>100</v>
      </c>
      <c r="M395" s="8" t="str">
        <f>HYPERLINK("http://slimages.macys.com/is/image/MCY/11855828 ")</f>
        <v xml:space="preserve">http://slimages.macys.com/is/image/MCY/11855828 </v>
      </c>
    </row>
    <row r="396" spans="1:13" ht="60" x14ac:dyDescent="0.25">
      <c r="A396" s="7" t="s">
        <v>12215</v>
      </c>
      <c r="B396" s="2" t="s">
        <v>7168</v>
      </c>
      <c r="C396" s="4">
        <v>1</v>
      </c>
      <c r="D396" s="5">
        <v>2.62</v>
      </c>
      <c r="E396" s="5">
        <v>6.99</v>
      </c>
      <c r="F396" s="4" t="s">
        <v>7169</v>
      </c>
      <c r="G396" s="2" t="s">
        <v>36</v>
      </c>
      <c r="H396" s="7" t="s">
        <v>590</v>
      </c>
      <c r="I396" s="2" t="s">
        <v>483</v>
      </c>
      <c r="J396" s="2" t="s">
        <v>536</v>
      </c>
      <c r="K396" s="2" t="s">
        <v>304</v>
      </c>
      <c r="L396" s="2" t="s">
        <v>100</v>
      </c>
      <c r="M396" s="8" t="str">
        <f>HYPERLINK("http://slimages.macys.com/is/image/MCY/11258891 ")</f>
        <v xml:space="preserve">http://slimages.macys.com/is/image/MCY/11258891 </v>
      </c>
    </row>
    <row r="397" spans="1:13" ht="60" x14ac:dyDescent="0.25">
      <c r="A397" s="7" t="s">
        <v>4525</v>
      </c>
      <c r="B397" s="2" t="s">
        <v>4526</v>
      </c>
      <c r="C397" s="4">
        <v>1</v>
      </c>
      <c r="D397" s="5">
        <v>2.59</v>
      </c>
      <c r="E397" s="5">
        <v>7.99</v>
      </c>
      <c r="F397" s="4" t="s">
        <v>4527</v>
      </c>
      <c r="G397" s="2" t="s">
        <v>1265</v>
      </c>
      <c r="H397" s="7" t="s">
        <v>149</v>
      </c>
      <c r="I397" s="2" t="s">
        <v>483</v>
      </c>
      <c r="J397" s="2" t="s">
        <v>536</v>
      </c>
      <c r="K397" s="2" t="s">
        <v>304</v>
      </c>
      <c r="L397" s="2" t="s">
        <v>100</v>
      </c>
      <c r="M397" s="8" t="str">
        <f>HYPERLINK("http://slimages.macys.com/is/image/MCY/12466031 ")</f>
        <v xml:space="preserve">http://slimages.macys.com/is/image/MCY/12466031 </v>
      </c>
    </row>
    <row r="398" spans="1:13" ht="60" x14ac:dyDescent="0.25">
      <c r="A398" s="7" t="s">
        <v>3517</v>
      </c>
      <c r="B398" s="2" t="s">
        <v>1260</v>
      </c>
      <c r="C398" s="4">
        <v>1</v>
      </c>
      <c r="D398" s="5">
        <v>2.56</v>
      </c>
      <c r="E398" s="5">
        <v>6.99</v>
      </c>
      <c r="F398" s="4" t="s">
        <v>1261</v>
      </c>
      <c r="G398" s="2" t="s">
        <v>437</v>
      </c>
      <c r="H398" s="7" t="s">
        <v>149</v>
      </c>
      <c r="I398" s="2" t="s">
        <v>483</v>
      </c>
      <c r="J398" s="2" t="s">
        <v>536</v>
      </c>
      <c r="K398" s="2" t="s">
        <v>304</v>
      </c>
      <c r="L398" s="2" t="s">
        <v>100</v>
      </c>
      <c r="M398" s="8" t="str">
        <f>HYPERLINK("http://slimages.macys.com/is/image/MCY/11779082 ")</f>
        <v xml:space="preserve">http://slimages.macys.com/is/image/MCY/11779082 </v>
      </c>
    </row>
    <row r="399" spans="1:13" ht="60" x14ac:dyDescent="0.25">
      <c r="A399" s="7" t="s">
        <v>12216</v>
      </c>
      <c r="B399" s="2" t="s">
        <v>12217</v>
      </c>
      <c r="C399" s="4">
        <v>1</v>
      </c>
      <c r="D399" s="5">
        <v>2.5499999999999998</v>
      </c>
      <c r="E399" s="5">
        <v>6.99</v>
      </c>
      <c r="F399" s="4" t="s">
        <v>12218</v>
      </c>
      <c r="G399" s="2" t="s">
        <v>527</v>
      </c>
      <c r="H399" s="7" t="s">
        <v>149</v>
      </c>
      <c r="I399" s="2" t="s">
        <v>483</v>
      </c>
      <c r="J399" s="2" t="s">
        <v>536</v>
      </c>
      <c r="K399" s="2" t="s">
        <v>304</v>
      </c>
      <c r="L399" s="2" t="s">
        <v>206</v>
      </c>
      <c r="M399" s="8" t="str">
        <f>HYPERLINK("http://slimages.macys.com/is/image/MCY/11437212 ")</f>
        <v xml:space="preserve">http://slimages.macys.com/is/image/MCY/11437212 </v>
      </c>
    </row>
    <row r="400" spans="1:13" ht="60" x14ac:dyDescent="0.25">
      <c r="A400" s="7" t="s">
        <v>5693</v>
      </c>
      <c r="B400" s="2" t="s">
        <v>5694</v>
      </c>
      <c r="C400" s="4">
        <v>2</v>
      </c>
      <c r="D400" s="5">
        <v>2.5499999999999998</v>
      </c>
      <c r="E400" s="5">
        <v>6.99</v>
      </c>
      <c r="F400" s="4" t="s">
        <v>5695</v>
      </c>
      <c r="G400" s="2" t="s">
        <v>2107</v>
      </c>
      <c r="H400" s="7"/>
      <c r="I400" s="2" t="s">
        <v>483</v>
      </c>
      <c r="J400" s="2" t="s">
        <v>536</v>
      </c>
      <c r="K400" s="2" t="s">
        <v>304</v>
      </c>
      <c r="L400" s="2" t="s">
        <v>206</v>
      </c>
      <c r="M400" s="8" t="str">
        <f>HYPERLINK("http://slimages.macys.com/is/image/MCY/11436886 ")</f>
        <v xml:space="preserve">http://slimages.macys.com/is/image/MCY/11436886 </v>
      </c>
    </row>
    <row r="401" spans="1:13" ht="60" x14ac:dyDescent="0.25">
      <c r="A401" s="7" t="s">
        <v>6535</v>
      </c>
      <c r="B401" s="2" t="s">
        <v>5694</v>
      </c>
      <c r="C401" s="4">
        <v>2</v>
      </c>
      <c r="D401" s="5">
        <v>2.5499999999999998</v>
      </c>
      <c r="E401" s="5">
        <v>6.99</v>
      </c>
      <c r="F401" s="4" t="s">
        <v>5695</v>
      </c>
      <c r="G401" s="2" t="s">
        <v>2107</v>
      </c>
      <c r="H401" s="7" t="s">
        <v>590</v>
      </c>
      <c r="I401" s="2" t="s">
        <v>483</v>
      </c>
      <c r="J401" s="2" t="s">
        <v>536</v>
      </c>
      <c r="K401" s="2" t="s">
        <v>304</v>
      </c>
      <c r="L401" s="2" t="s">
        <v>206</v>
      </c>
      <c r="M401" s="8" t="str">
        <f>HYPERLINK("http://slimages.macys.com/is/image/MCY/11436886 ")</f>
        <v xml:space="preserve">http://slimages.macys.com/is/image/MCY/11436886 </v>
      </c>
    </row>
    <row r="402" spans="1:13" ht="60" x14ac:dyDescent="0.25">
      <c r="A402" s="7" t="s">
        <v>6534</v>
      </c>
      <c r="B402" s="2" t="s">
        <v>5694</v>
      </c>
      <c r="C402" s="4">
        <v>1</v>
      </c>
      <c r="D402" s="5">
        <v>2.5499999999999998</v>
      </c>
      <c r="E402" s="5">
        <v>6.99</v>
      </c>
      <c r="F402" s="4" t="s">
        <v>5695</v>
      </c>
      <c r="G402" s="2" t="s">
        <v>2107</v>
      </c>
      <c r="H402" s="7" t="s">
        <v>149</v>
      </c>
      <c r="I402" s="2" t="s">
        <v>483</v>
      </c>
      <c r="J402" s="2" t="s">
        <v>536</v>
      </c>
      <c r="K402" s="2" t="s">
        <v>304</v>
      </c>
      <c r="L402" s="2" t="s">
        <v>206</v>
      </c>
      <c r="M402" s="8" t="str">
        <f>HYPERLINK("http://slimages.macys.com/is/image/MCY/11436886 ")</f>
        <v xml:space="preserve">http://slimages.macys.com/is/image/MCY/11436886 </v>
      </c>
    </row>
    <row r="403" spans="1:13" ht="60" x14ac:dyDescent="0.25">
      <c r="A403" s="7" t="s">
        <v>9211</v>
      </c>
      <c r="B403" s="2" t="s">
        <v>9212</v>
      </c>
      <c r="C403" s="4">
        <v>1</v>
      </c>
      <c r="D403" s="5">
        <v>2.5499999999999998</v>
      </c>
      <c r="E403" s="5">
        <v>6.99</v>
      </c>
      <c r="F403" s="4">
        <v>10004349300</v>
      </c>
      <c r="G403" s="2" t="s">
        <v>134</v>
      </c>
      <c r="H403" s="7" t="s">
        <v>149</v>
      </c>
      <c r="I403" s="2" t="s">
        <v>483</v>
      </c>
      <c r="J403" s="2" t="s">
        <v>536</v>
      </c>
      <c r="K403" s="2" t="s">
        <v>304</v>
      </c>
      <c r="L403" s="2" t="s">
        <v>38</v>
      </c>
      <c r="M403" s="8" t="str">
        <f>HYPERLINK("http://slimages.macys.com/is/image/MCY/11437074 ")</f>
        <v xml:space="preserve">http://slimages.macys.com/is/image/MCY/11437074 </v>
      </c>
    </row>
    <row r="404" spans="1:13" ht="60" x14ac:dyDescent="0.25">
      <c r="A404" s="7" t="s">
        <v>12219</v>
      </c>
      <c r="B404" s="2" t="s">
        <v>9212</v>
      </c>
      <c r="C404" s="4">
        <v>1</v>
      </c>
      <c r="D404" s="5">
        <v>2.5499999999999998</v>
      </c>
      <c r="E404" s="5">
        <v>6.99</v>
      </c>
      <c r="F404" s="4">
        <v>10004349300</v>
      </c>
      <c r="G404" s="2" t="s">
        <v>134</v>
      </c>
      <c r="H404" s="7" t="s">
        <v>590</v>
      </c>
      <c r="I404" s="2" t="s">
        <v>483</v>
      </c>
      <c r="J404" s="2" t="s">
        <v>536</v>
      </c>
      <c r="K404" s="2" t="s">
        <v>304</v>
      </c>
      <c r="L404" s="2" t="s">
        <v>38</v>
      </c>
      <c r="M404" s="8" t="str">
        <f>HYPERLINK("http://slimages.macys.com/is/image/MCY/11437074 ")</f>
        <v xml:space="preserve">http://slimages.macys.com/is/image/MCY/11437074 </v>
      </c>
    </row>
    <row r="405" spans="1:13" ht="60" x14ac:dyDescent="0.25">
      <c r="A405" s="7" t="s">
        <v>5700</v>
      </c>
      <c r="B405" s="2" t="s">
        <v>5694</v>
      </c>
      <c r="C405" s="4">
        <v>1</v>
      </c>
      <c r="D405" s="5">
        <v>2.5499999999999998</v>
      </c>
      <c r="E405" s="5">
        <v>6.99</v>
      </c>
      <c r="F405" s="4" t="s">
        <v>5695</v>
      </c>
      <c r="G405" s="2" t="s">
        <v>2107</v>
      </c>
      <c r="H405" s="7" t="s">
        <v>482</v>
      </c>
      <c r="I405" s="2" t="s">
        <v>483</v>
      </c>
      <c r="J405" s="2" t="s">
        <v>536</v>
      </c>
      <c r="K405" s="2" t="s">
        <v>304</v>
      </c>
      <c r="L405" s="2" t="s">
        <v>206</v>
      </c>
      <c r="M405" s="8" t="str">
        <f>HYPERLINK("http://slimages.macys.com/is/image/MCY/11436886 ")</f>
        <v xml:space="preserve">http://slimages.macys.com/is/image/MCY/11436886 </v>
      </c>
    </row>
    <row r="406" spans="1:13" ht="60" x14ac:dyDescent="0.25">
      <c r="A406" s="7" t="s">
        <v>6538</v>
      </c>
      <c r="B406" s="2" t="s">
        <v>5692</v>
      </c>
      <c r="C406" s="4">
        <v>1</v>
      </c>
      <c r="D406" s="5">
        <v>2.5499999999999998</v>
      </c>
      <c r="E406" s="5">
        <v>6.99</v>
      </c>
      <c r="F406" s="4">
        <v>10004349400</v>
      </c>
      <c r="G406" s="2" t="s">
        <v>134</v>
      </c>
      <c r="H406" s="7"/>
      <c r="I406" s="2" t="s">
        <v>483</v>
      </c>
      <c r="J406" s="2" t="s">
        <v>536</v>
      </c>
      <c r="K406" s="2" t="s">
        <v>304</v>
      </c>
      <c r="L406" s="2" t="s">
        <v>206</v>
      </c>
      <c r="M406" s="8" t="str">
        <f>HYPERLINK("http://slimages.macys.com/is/image/MCY/11434520 ")</f>
        <v xml:space="preserve">http://slimages.macys.com/is/image/MCY/11434520 </v>
      </c>
    </row>
    <row r="407" spans="1:13" ht="60" x14ac:dyDescent="0.25">
      <c r="A407" s="7" t="s">
        <v>12220</v>
      </c>
      <c r="B407" s="2" t="s">
        <v>12221</v>
      </c>
      <c r="C407" s="4">
        <v>3</v>
      </c>
      <c r="D407" s="5">
        <v>2.54</v>
      </c>
      <c r="E407" s="5">
        <v>5.99</v>
      </c>
      <c r="F407" s="4" t="s">
        <v>12222</v>
      </c>
      <c r="G407" s="2" t="s">
        <v>86</v>
      </c>
      <c r="H407" s="7" t="s">
        <v>149</v>
      </c>
      <c r="I407" s="2" t="s">
        <v>483</v>
      </c>
      <c r="J407" s="2" t="s">
        <v>536</v>
      </c>
      <c r="K407" s="2" t="s">
        <v>304</v>
      </c>
      <c r="L407" s="2" t="s">
        <v>119</v>
      </c>
      <c r="M407" s="8" t="str">
        <f>HYPERLINK("http://slimages.macys.com/is/image/MCY/12776923 ")</f>
        <v xml:space="preserve">http://slimages.macys.com/is/image/MCY/12776923 </v>
      </c>
    </row>
    <row r="408" spans="1:13" ht="60" x14ac:dyDescent="0.25">
      <c r="A408" s="7" t="s">
        <v>12223</v>
      </c>
      <c r="B408" s="2" t="s">
        <v>12221</v>
      </c>
      <c r="C408" s="4">
        <v>2</v>
      </c>
      <c r="D408" s="5">
        <v>2.54</v>
      </c>
      <c r="E408" s="5">
        <v>5.99</v>
      </c>
      <c r="F408" s="4" t="s">
        <v>12222</v>
      </c>
      <c r="G408" s="2" t="s">
        <v>86</v>
      </c>
      <c r="H408" s="7" t="s">
        <v>442</v>
      </c>
      <c r="I408" s="2" t="s">
        <v>483</v>
      </c>
      <c r="J408" s="2" t="s">
        <v>536</v>
      </c>
      <c r="K408" s="2" t="s">
        <v>304</v>
      </c>
      <c r="L408" s="2" t="s">
        <v>119</v>
      </c>
      <c r="M408" s="8" t="str">
        <f>HYPERLINK("http://slimages.macys.com/is/image/MCY/12776923 ")</f>
        <v xml:space="preserve">http://slimages.macys.com/is/image/MCY/12776923 </v>
      </c>
    </row>
    <row r="409" spans="1:13" ht="60" x14ac:dyDescent="0.25">
      <c r="A409" s="7" t="s">
        <v>12224</v>
      </c>
      <c r="B409" s="2" t="s">
        <v>12221</v>
      </c>
      <c r="C409" s="4">
        <v>2</v>
      </c>
      <c r="D409" s="5">
        <v>2.54</v>
      </c>
      <c r="E409" s="5">
        <v>5.99</v>
      </c>
      <c r="F409" s="4" t="s">
        <v>12222</v>
      </c>
      <c r="G409" s="2" t="s">
        <v>86</v>
      </c>
      <c r="H409" s="7" t="s">
        <v>91</v>
      </c>
      <c r="I409" s="2" t="s">
        <v>483</v>
      </c>
      <c r="J409" s="2" t="s">
        <v>536</v>
      </c>
      <c r="K409" s="2" t="s">
        <v>304</v>
      </c>
      <c r="L409" s="2" t="s">
        <v>119</v>
      </c>
      <c r="M409" s="8" t="str">
        <f>HYPERLINK("http://slimages.macys.com/is/image/MCY/12776923 ")</f>
        <v xml:space="preserve">http://slimages.macys.com/is/image/MCY/12776923 </v>
      </c>
    </row>
    <row r="410" spans="1:13" ht="60" x14ac:dyDescent="0.25">
      <c r="A410" s="7" t="s">
        <v>12225</v>
      </c>
      <c r="B410" s="2" t="s">
        <v>12221</v>
      </c>
      <c r="C410" s="4">
        <v>1</v>
      </c>
      <c r="D410" s="5">
        <v>2.54</v>
      </c>
      <c r="E410" s="5">
        <v>5.99</v>
      </c>
      <c r="F410" s="4" t="s">
        <v>12222</v>
      </c>
      <c r="G410" s="2" t="s">
        <v>86</v>
      </c>
      <c r="H410" s="7" t="s">
        <v>42</v>
      </c>
      <c r="I410" s="2" t="s">
        <v>483</v>
      </c>
      <c r="J410" s="2" t="s">
        <v>536</v>
      </c>
      <c r="K410" s="2" t="s">
        <v>304</v>
      </c>
      <c r="L410" s="2" t="s">
        <v>119</v>
      </c>
      <c r="M410" s="8" t="str">
        <f>HYPERLINK("http://slimages.macys.com/is/image/MCY/12776923 ")</f>
        <v xml:space="preserve">http://slimages.macys.com/is/image/MCY/12776923 </v>
      </c>
    </row>
    <row r="411" spans="1:13" ht="60" x14ac:dyDescent="0.25">
      <c r="A411" s="7" t="s">
        <v>12226</v>
      </c>
      <c r="B411" s="2" t="s">
        <v>6549</v>
      </c>
      <c r="C411" s="4">
        <v>1</v>
      </c>
      <c r="D411" s="5">
        <v>2.54</v>
      </c>
      <c r="E411" s="5">
        <v>7.99</v>
      </c>
      <c r="F411" s="4" t="s">
        <v>6550</v>
      </c>
      <c r="G411" s="2" t="s">
        <v>41</v>
      </c>
      <c r="H411" s="7" t="s">
        <v>514</v>
      </c>
      <c r="I411" s="2" t="s">
        <v>483</v>
      </c>
      <c r="J411" s="2" t="s">
        <v>536</v>
      </c>
      <c r="K411" s="2" t="s">
        <v>304</v>
      </c>
      <c r="L411" s="2" t="s">
        <v>38</v>
      </c>
      <c r="M411" s="8" t="str">
        <f>HYPERLINK("http://slimages.macys.com/is/image/MCY/13987582 ")</f>
        <v xml:space="preserve">http://slimages.macys.com/is/image/MCY/13987582 </v>
      </c>
    </row>
    <row r="412" spans="1:13" ht="60" x14ac:dyDescent="0.25">
      <c r="A412" s="7" t="s">
        <v>7938</v>
      </c>
      <c r="B412" s="2" t="s">
        <v>5715</v>
      </c>
      <c r="C412" s="4">
        <v>1</v>
      </c>
      <c r="D412" s="5">
        <v>2.5299999999999998</v>
      </c>
      <c r="E412" s="5">
        <v>5.99</v>
      </c>
      <c r="F412" s="4" t="s">
        <v>5716</v>
      </c>
      <c r="G412" s="2" t="s">
        <v>657</v>
      </c>
      <c r="H412" s="7" t="s">
        <v>590</v>
      </c>
      <c r="I412" s="2" t="s">
        <v>483</v>
      </c>
      <c r="J412" s="2" t="s">
        <v>536</v>
      </c>
      <c r="K412" s="2" t="s">
        <v>304</v>
      </c>
      <c r="L412" s="2" t="s">
        <v>119</v>
      </c>
      <c r="M412" s="8" t="str">
        <f>HYPERLINK("http://slimages.macys.com/is/image/MCY/12228382 ")</f>
        <v xml:space="preserve">http://slimages.macys.com/is/image/MCY/12228382 </v>
      </c>
    </row>
    <row r="413" spans="1:13" ht="60" x14ac:dyDescent="0.25">
      <c r="A413" s="7" t="s">
        <v>4557</v>
      </c>
      <c r="B413" s="2" t="s">
        <v>4545</v>
      </c>
      <c r="C413" s="4">
        <v>1</v>
      </c>
      <c r="D413" s="5">
        <v>2.5299999999999998</v>
      </c>
      <c r="E413" s="5">
        <v>5.99</v>
      </c>
      <c r="F413" s="4" t="s">
        <v>4546</v>
      </c>
      <c r="G413" s="2" t="s">
        <v>657</v>
      </c>
      <c r="H413" s="7" t="s">
        <v>149</v>
      </c>
      <c r="I413" s="2" t="s">
        <v>483</v>
      </c>
      <c r="J413" s="2" t="s">
        <v>536</v>
      </c>
      <c r="K413" s="2" t="s">
        <v>304</v>
      </c>
      <c r="L413" s="2" t="s">
        <v>119</v>
      </c>
      <c r="M413" s="8" t="str">
        <f>HYPERLINK("http://slimages.macys.com/is/image/MCY/11856951 ")</f>
        <v xml:space="preserve">http://slimages.macys.com/is/image/MCY/11856951 </v>
      </c>
    </row>
    <row r="414" spans="1:13" ht="60" x14ac:dyDescent="0.25">
      <c r="A414" s="7" t="s">
        <v>5714</v>
      </c>
      <c r="B414" s="2" t="s">
        <v>5715</v>
      </c>
      <c r="C414" s="4">
        <v>1</v>
      </c>
      <c r="D414" s="5">
        <v>2.5299999999999998</v>
      </c>
      <c r="E414" s="5">
        <v>5.99</v>
      </c>
      <c r="F414" s="4" t="s">
        <v>5716</v>
      </c>
      <c r="G414" s="2" t="s">
        <v>657</v>
      </c>
      <c r="H414" s="7" t="s">
        <v>149</v>
      </c>
      <c r="I414" s="2" t="s">
        <v>483</v>
      </c>
      <c r="J414" s="2" t="s">
        <v>536</v>
      </c>
      <c r="K414" s="2" t="s">
        <v>304</v>
      </c>
      <c r="L414" s="2" t="s">
        <v>119</v>
      </c>
      <c r="M414" s="8" t="str">
        <f>HYPERLINK("http://slimages.macys.com/is/image/MCY/12228382 ")</f>
        <v xml:space="preserve">http://slimages.macys.com/is/image/MCY/12228382 </v>
      </c>
    </row>
    <row r="415" spans="1:13" ht="60" x14ac:dyDescent="0.25">
      <c r="A415" s="7" t="s">
        <v>12227</v>
      </c>
      <c r="B415" s="2" t="s">
        <v>5715</v>
      </c>
      <c r="C415" s="4">
        <v>1</v>
      </c>
      <c r="D415" s="5">
        <v>2.5299999999999998</v>
      </c>
      <c r="E415" s="5">
        <v>5.99</v>
      </c>
      <c r="F415" s="4" t="s">
        <v>5716</v>
      </c>
      <c r="G415" s="2" t="s">
        <v>657</v>
      </c>
      <c r="H415" s="7" t="s">
        <v>42</v>
      </c>
      <c r="I415" s="2" t="s">
        <v>483</v>
      </c>
      <c r="J415" s="2" t="s">
        <v>536</v>
      </c>
      <c r="K415" s="2" t="s">
        <v>304</v>
      </c>
      <c r="L415" s="2" t="s">
        <v>119</v>
      </c>
      <c r="M415" s="8" t="str">
        <f>HYPERLINK("http://slimages.macys.com/is/image/MCY/12228382 ")</f>
        <v xml:space="preserve">http://slimages.macys.com/is/image/MCY/12228382 </v>
      </c>
    </row>
    <row r="416" spans="1:13" ht="60" x14ac:dyDescent="0.25">
      <c r="A416" s="7" t="s">
        <v>7956</v>
      </c>
      <c r="B416" s="2" t="s">
        <v>5715</v>
      </c>
      <c r="C416" s="4">
        <v>1</v>
      </c>
      <c r="D416" s="5">
        <v>2.5299999999999998</v>
      </c>
      <c r="E416" s="5">
        <v>5.99</v>
      </c>
      <c r="F416" s="4" t="s">
        <v>5716</v>
      </c>
      <c r="G416" s="2" t="s">
        <v>657</v>
      </c>
      <c r="H416" s="7" t="s">
        <v>442</v>
      </c>
      <c r="I416" s="2" t="s">
        <v>483</v>
      </c>
      <c r="J416" s="2" t="s">
        <v>536</v>
      </c>
      <c r="K416" s="2" t="s">
        <v>304</v>
      </c>
      <c r="L416" s="2" t="s">
        <v>119</v>
      </c>
      <c r="M416" s="8" t="str">
        <f>HYPERLINK("http://slimages.macys.com/is/image/MCY/12228382 ")</f>
        <v xml:space="preserve">http://slimages.macys.com/is/image/MCY/12228382 </v>
      </c>
    </row>
    <row r="417" spans="1:13" ht="60" x14ac:dyDescent="0.25">
      <c r="A417" s="7" t="s">
        <v>12228</v>
      </c>
      <c r="B417" s="2" t="s">
        <v>1260</v>
      </c>
      <c r="C417" s="4">
        <v>1</v>
      </c>
      <c r="D417" s="5">
        <v>2.5299999999999998</v>
      </c>
      <c r="E417" s="5">
        <v>6.99</v>
      </c>
      <c r="F417" s="4" t="s">
        <v>1261</v>
      </c>
      <c r="G417" s="2" t="s">
        <v>41</v>
      </c>
      <c r="H417" s="7" t="s">
        <v>91</v>
      </c>
      <c r="I417" s="2" t="s">
        <v>483</v>
      </c>
      <c r="J417" s="2" t="s">
        <v>536</v>
      </c>
      <c r="K417" s="2" t="s">
        <v>304</v>
      </c>
      <c r="L417" s="2" t="s">
        <v>100</v>
      </c>
      <c r="M417" s="8" t="str">
        <f>HYPERLINK("http://slimages.macys.com/is/image/MCY/11779082 ")</f>
        <v xml:space="preserve">http://slimages.macys.com/is/image/MCY/11779082 </v>
      </c>
    </row>
    <row r="418" spans="1:13" ht="60" x14ac:dyDescent="0.25">
      <c r="A418" s="7" t="s">
        <v>12229</v>
      </c>
      <c r="B418" s="2" t="s">
        <v>7954</v>
      </c>
      <c r="C418" s="4">
        <v>1</v>
      </c>
      <c r="D418" s="5">
        <v>2.5299999999999998</v>
      </c>
      <c r="E418" s="5">
        <v>5.99</v>
      </c>
      <c r="F418" s="4" t="s">
        <v>7955</v>
      </c>
      <c r="G418" s="2" t="s">
        <v>129</v>
      </c>
      <c r="H418" s="7" t="s">
        <v>149</v>
      </c>
      <c r="I418" s="2" t="s">
        <v>483</v>
      </c>
      <c r="J418" s="2" t="s">
        <v>536</v>
      </c>
      <c r="K418" s="2" t="s">
        <v>304</v>
      </c>
      <c r="L418" s="2" t="s">
        <v>100</v>
      </c>
      <c r="M418" s="8" t="str">
        <f>HYPERLINK("http://slimages.macys.com/is/image/MCY/11857563 ")</f>
        <v xml:space="preserve">http://slimages.macys.com/is/image/MCY/11857563 </v>
      </c>
    </row>
    <row r="419" spans="1:13" ht="60" x14ac:dyDescent="0.25">
      <c r="A419" s="7" t="s">
        <v>12230</v>
      </c>
      <c r="B419" s="2" t="s">
        <v>12231</v>
      </c>
      <c r="C419" s="4">
        <v>1</v>
      </c>
      <c r="D419" s="5">
        <v>2.52</v>
      </c>
      <c r="E419" s="5">
        <v>5.99</v>
      </c>
      <c r="F419" s="4" t="s">
        <v>12232</v>
      </c>
      <c r="G419" s="2" t="s">
        <v>48</v>
      </c>
      <c r="H419" s="7" t="s">
        <v>42</v>
      </c>
      <c r="I419" s="2" t="s">
        <v>483</v>
      </c>
      <c r="J419" s="2" t="s">
        <v>536</v>
      </c>
      <c r="K419" s="2" t="s">
        <v>304</v>
      </c>
      <c r="L419" s="2" t="s">
        <v>119</v>
      </c>
      <c r="M419" s="8" t="str">
        <f>HYPERLINK("http://slimages.macys.com/is/image/MCY/11436895 ")</f>
        <v xml:space="preserve">http://slimages.macys.com/is/image/MCY/11436895 </v>
      </c>
    </row>
    <row r="420" spans="1:13" ht="60" x14ac:dyDescent="0.25">
      <c r="A420" s="7" t="s">
        <v>2294</v>
      </c>
      <c r="B420" s="2" t="s">
        <v>2295</v>
      </c>
      <c r="C420" s="4">
        <v>1</v>
      </c>
      <c r="D420" s="5">
        <v>2.5099999999999998</v>
      </c>
      <c r="E420" s="5">
        <v>5.99</v>
      </c>
      <c r="F420" s="4" t="s">
        <v>2296</v>
      </c>
      <c r="G420" s="2" t="s">
        <v>28</v>
      </c>
      <c r="H420" s="7" t="s">
        <v>590</v>
      </c>
      <c r="I420" s="2" t="s">
        <v>483</v>
      </c>
      <c r="J420" s="2" t="s">
        <v>536</v>
      </c>
      <c r="K420" s="2" t="s">
        <v>304</v>
      </c>
      <c r="L420" s="2" t="s">
        <v>119</v>
      </c>
      <c r="M420" s="8" t="str">
        <f>HYPERLINK("http://slimages.macys.com/is/image/MCY/11436914 ")</f>
        <v xml:space="preserve">http://slimages.macys.com/is/image/MCY/11436914 </v>
      </c>
    </row>
    <row r="421" spans="1:13" ht="60" x14ac:dyDescent="0.25">
      <c r="A421" s="7" t="s">
        <v>6074</v>
      </c>
      <c r="B421" s="2" t="s">
        <v>2295</v>
      </c>
      <c r="C421" s="4">
        <v>1</v>
      </c>
      <c r="D421" s="5">
        <v>2.5099999999999998</v>
      </c>
      <c r="E421" s="5">
        <v>5.99</v>
      </c>
      <c r="F421" s="4" t="s">
        <v>2296</v>
      </c>
      <c r="G421" s="2" t="s">
        <v>28</v>
      </c>
      <c r="H421" s="7" t="s">
        <v>42</v>
      </c>
      <c r="I421" s="2" t="s">
        <v>483</v>
      </c>
      <c r="J421" s="2" t="s">
        <v>536</v>
      </c>
      <c r="K421" s="2" t="s">
        <v>304</v>
      </c>
      <c r="L421" s="2" t="s">
        <v>119</v>
      </c>
      <c r="M421" s="8" t="str">
        <f>HYPERLINK("http://slimages.macys.com/is/image/MCY/11436914 ")</f>
        <v xml:space="preserve">http://slimages.macys.com/is/image/MCY/11436914 </v>
      </c>
    </row>
    <row r="422" spans="1:13" ht="60" x14ac:dyDescent="0.25">
      <c r="A422" s="7" t="s">
        <v>2297</v>
      </c>
      <c r="B422" s="2" t="s">
        <v>2295</v>
      </c>
      <c r="C422" s="4">
        <v>1</v>
      </c>
      <c r="D422" s="5">
        <v>2.5099999999999998</v>
      </c>
      <c r="E422" s="5">
        <v>5.99</v>
      </c>
      <c r="F422" s="4" t="s">
        <v>2296</v>
      </c>
      <c r="G422" s="2" t="s">
        <v>28</v>
      </c>
      <c r="H422" s="7" t="s">
        <v>91</v>
      </c>
      <c r="I422" s="2" t="s">
        <v>483</v>
      </c>
      <c r="J422" s="2" t="s">
        <v>536</v>
      </c>
      <c r="K422" s="2" t="s">
        <v>304</v>
      </c>
      <c r="L422" s="2" t="s">
        <v>119</v>
      </c>
      <c r="M422" s="8" t="str">
        <f>HYPERLINK("http://slimages.macys.com/is/image/MCY/11436914 ")</f>
        <v xml:space="preserve">http://slimages.macys.com/is/image/MCY/11436914 </v>
      </c>
    </row>
    <row r="423" spans="1:13" ht="60" x14ac:dyDescent="0.25">
      <c r="A423" s="7" t="s">
        <v>12233</v>
      </c>
      <c r="B423" s="2" t="s">
        <v>2725</v>
      </c>
      <c r="C423" s="4">
        <v>1</v>
      </c>
      <c r="D423" s="5">
        <v>2.5</v>
      </c>
      <c r="E423" s="5">
        <v>5.99</v>
      </c>
      <c r="F423" s="4" t="s">
        <v>2726</v>
      </c>
      <c r="G423" s="2" t="s">
        <v>1360</v>
      </c>
      <c r="H423" s="7" t="s">
        <v>149</v>
      </c>
      <c r="I423" s="2" t="s">
        <v>483</v>
      </c>
      <c r="J423" s="2" t="s">
        <v>536</v>
      </c>
      <c r="K423" s="2" t="s">
        <v>304</v>
      </c>
      <c r="L423" s="2" t="s">
        <v>87</v>
      </c>
      <c r="M423" s="8" t="str">
        <f>HYPERLINK("http://slimages.macys.com/is/image/MCY/11524101 ")</f>
        <v xml:space="preserve">http://slimages.macys.com/is/image/MCY/11524101 </v>
      </c>
    </row>
    <row r="424" spans="1:13" ht="60" x14ac:dyDescent="0.25">
      <c r="A424" s="7" t="s">
        <v>12234</v>
      </c>
      <c r="B424" s="2" t="s">
        <v>2725</v>
      </c>
      <c r="C424" s="4">
        <v>1</v>
      </c>
      <c r="D424" s="5">
        <v>2.5</v>
      </c>
      <c r="E424" s="5">
        <v>5.99</v>
      </c>
      <c r="F424" s="4" t="s">
        <v>2726</v>
      </c>
      <c r="G424" s="2" t="s">
        <v>297</v>
      </c>
      <c r="H424" s="7" t="s">
        <v>590</v>
      </c>
      <c r="I424" s="2" t="s">
        <v>483</v>
      </c>
      <c r="J424" s="2" t="s">
        <v>536</v>
      </c>
      <c r="K424" s="2" t="s">
        <v>304</v>
      </c>
      <c r="L424" s="2" t="s">
        <v>87</v>
      </c>
      <c r="M424" s="8" t="str">
        <f>HYPERLINK("http://slimages.macys.com/is/image/MCY/11524101 ")</f>
        <v xml:space="preserve">http://slimages.macys.com/is/image/MCY/11524101 </v>
      </c>
    </row>
    <row r="425" spans="1:13" ht="60" x14ac:dyDescent="0.25">
      <c r="A425" s="7" t="s">
        <v>2310</v>
      </c>
      <c r="B425" s="2" t="s">
        <v>622</v>
      </c>
      <c r="C425" s="4">
        <v>2</v>
      </c>
      <c r="D425" s="5">
        <v>2.48</v>
      </c>
      <c r="E425" s="5">
        <v>7.99</v>
      </c>
      <c r="F425" s="4">
        <v>10005379300</v>
      </c>
      <c r="G425" s="2" t="s">
        <v>62</v>
      </c>
      <c r="H425" s="7"/>
      <c r="I425" s="2" t="s">
        <v>483</v>
      </c>
      <c r="J425" s="2" t="s">
        <v>536</v>
      </c>
      <c r="K425" s="2" t="s">
        <v>304</v>
      </c>
      <c r="L425" s="2" t="s">
        <v>623</v>
      </c>
      <c r="M425" s="8" t="str">
        <f>HYPERLINK("http://slimages.macys.com/is/image/MCY/12465415 ")</f>
        <v xml:space="preserve">http://slimages.macys.com/is/image/MCY/12465415 </v>
      </c>
    </row>
    <row r="426" spans="1:13" ht="60" x14ac:dyDescent="0.25">
      <c r="A426" s="7" t="s">
        <v>2309</v>
      </c>
      <c r="B426" s="2" t="s">
        <v>622</v>
      </c>
      <c r="C426" s="4">
        <v>1</v>
      </c>
      <c r="D426" s="5">
        <v>2.48</v>
      </c>
      <c r="E426" s="5">
        <v>7.99</v>
      </c>
      <c r="F426" s="4">
        <v>10005379300</v>
      </c>
      <c r="G426" s="2" t="s">
        <v>437</v>
      </c>
      <c r="H426" s="7" t="s">
        <v>482</v>
      </c>
      <c r="I426" s="2" t="s">
        <v>483</v>
      </c>
      <c r="J426" s="2" t="s">
        <v>536</v>
      </c>
      <c r="K426" s="2" t="s">
        <v>304</v>
      </c>
      <c r="L426" s="2" t="s">
        <v>623</v>
      </c>
      <c r="M426" s="8" t="str">
        <f>HYPERLINK("http://slimages.macys.com/is/image/MCY/12465415 ")</f>
        <v xml:space="preserve">http://slimages.macys.com/is/image/MCY/12465415 </v>
      </c>
    </row>
    <row r="427" spans="1:13" ht="60" x14ac:dyDescent="0.25">
      <c r="A427" s="7" t="s">
        <v>621</v>
      </c>
      <c r="B427" s="2" t="s">
        <v>622</v>
      </c>
      <c r="C427" s="4">
        <v>1</v>
      </c>
      <c r="D427" s="5">
        <v>2.48</v>
      </c>
      <c r="E427" s="5">
        <v>7.99</v>
      </c>
      <c r="F427" s="4">
        <v>10005379300</v>
      </c>
      <c r="G427" s="2" t="s">
        <v>437</v>
      </c>
      <c r="H427" s="7" t="s">
        <v>590</v>
      </c>
      <c r="I427" s="2" t="s">
        <v>483</v>
      </c>
      <c r="J427" s="2" t="s">
        <v>536</v>
      </c>
      <c r="K427" s="2" t="s">
        <v>304</v>
      </c>
      <c r="L427" s="2" t="s">
        <v>623</v>
      </c>
      <c r="M427" s="8" t="str">
        <f>HYPERLINK("http://slimages.macys.com/is/image/MCY/12465415 ")</f>
        <v xml:space="preserve">http://slimages.macys.com/is/image/MCY/12465415 </v>
      </c>
    </row>
    <row r="428" spans="1:13" ht="60" x14ac:dyDescent="0.25">
      <c r="A428" s="7" t="s">
        <v>2314</v>
      </c>
      <c r="B428" s="2" t="s">
        <v>622</v>
      </c>
      <c r="C428" s="4">
        <v>3</v>
      </c>
      <c r="D428" s="5">
        <v>2.48</v>
      </c>
      <c r="E428" s="5">
        <v>7.99</v>
      </c>
      <c r="F428" s="4">
        <v>10005379300</v>
      </c>
      <c r="G428" s="2" t="s">
        <v>437</v>
      </c>
      <c r="H428" s="7"/>
      <c r="I428" s="2" t="s">
        <v>483</v>
      </c>
      <c r="J428" s="2" t="s">
        <v>536</v>
      </c>
      <c r="K428" s="2" t="s">
        <v>304</v>
      </c>
      <c r="L428" s="2" t="s">
        <v>623</v>
      </c>
      <c r="M428" s="8" t="str">
        <f>HYPERLINK("http://slimages.macys.com/is/image/MCY/12465415 ")</f>
        <v xml:space="preserve">http://slimages.macys.com/is/image/MCY/12465415 </v>
      </c>
    </row>
    <row r="429" spans="1:13" ht="60" x14ac:dyDescent="0.25">
      <c r="A429" s="7" t="s">
        <v>2311</v>
      </c>
      <c r="B429" s="2" t="s">
        <v>622</v>
      </c>
      <c r="C429" s="4">
        <v>1</v>
      </c>
      <c r="D429" s="5">
        <v>2.48</v>
      </c>
      <c r="E429" s="5">
        <v>7.99</v>
      </c>
      <c r="F429" s="4">
        <v>10005379300</v>
      </c>
      <c r="G429" s="2" t="s">
        <v>62</v>
      </c>
      <c r="H429" s="7" t="s">
        <v>482</v>
      </c>
      <c r="I429" s="2" t="s">
        <v>483</v>
      </c>
      <c r="J429" s="2" t="s">
        <v>536</v>
      </c>
      <c r="K429" s="2" t="s">
        <v>304</v>
      </c>
      <c r="L429" s="2" t="s">
        <v>623</v>
      </c>
      <c r="M429" s="8" t="str">
        <f>HYPERLINK("http://slimages.macys.com/is/image/MCY/12465415 ")</f>
        <v xml:space="preserve">http://slimages.macys.com/is/image/MCY/12465415 </v>
      </c>
    </row>
    <row r="430" spans="1:13" ht="108" x14ac:dyDescent="0.25">
      <c r="A430" s="7" t="s">
        <v>2326</v>
      </c>
      <c r="B430" s="2" t="s">
        <v>2322</v>
      </c>
      <c r="C430" s="4">
        <v>2</v>
      </c>
      <c r="D430" s="5">
        <v>2.4300000000000002</v>
      </c>
      <c r="E430" s="5">
        <v>7.99</v>
      </c>
      <c r="F430" s="4" t="s">
        <v>2323</v>
      </c>
      <c r="G430" s="2" t="s">
        <v>41</v>
      </c>
      <c r="H430" s="7" t="s">
        <v>149</v>
      </c>
      <c r="I430" s="2" t="s">
        <v>483</v>
      </c>
      <c r="J430" s="2" t="s">
        <v>536</v>
      </c>
      <c r="K430" s="2" t="s">
        <v>304</v>
      </c>
      <c r="L430" s="2" t="s">
        <v>2324</v>
      </c>
      <c r="M430" s="8" t="str">
        <f>HYPERLINK("http://slimages.macys.com/is/image/MCY/14384998 ")</f>
        <v xml:space="preserve">http://slimages.macys.com/is/image/MCY/14384998 </v>
      </c>
    </row>
    <row r="431" spans="1:13" ht="60" x14ac:dyDescent="0.25">
      <c r="A431" s="7" t="s">
        <v>12235</v>
      </c>
      <c r="B431" s="2" t="s">
        <v>6590</v>
      </c>
      <c r="C431" s="4">
        <v>1</v>
      </c>
      <c r="D431" s="5">
        <v>2.4</v>
      </c>
      <c r="E431" s="5">
        <v>5.99</v>
      </c>
      <c r="F431" s="4" t="s">
        <v>6591</v>
      </c>
      <c r="G431" s="2" t="s">
        <v>41</v>
      </c>
      <c r="H431" s="7" t="s">
        <v>590</v>
      </c>
      <c r="I431" s="2" t="s">
        <v>483</v>
      </c>
      <c r="J431" s="2" t="s">
        <v>536</v>
      </c>
      <c r="K431" s="2" t="s">
        <v>304</v>
      </c>
      <c r="L431" s="2" t="s">
        <v>100</v>
      </c>
      <c r="M431" s="8" t="str">
        <f>HYPERLINK("http://slimages.macys.com/is/image/MCY/11857348 ")</f>
        <v xml:space="preserve">http://slimages.macys.com/is/image/MCY/11857348 </v>
      </c>
    </row>
    <row r="432" spans="1:13" ht="60" x14ac:dyDescent="0.25">
      <c r="A432" s="7" t="s">
        <v>8476</v>
      </c>
      <c r="B432" s="2" t="s">
        <v>7984</v>
      </c>
      <c r="C432" s="4">
        <v>1</v>
      </c>
      <c r="D432" s="5">
        <v>2.4</v>
      </c>
      <c r="E432" s="5">
        <v>5.99</v>
      </c>
      <c r="F432" s="4" t="s">
        <v>7985</v>
      </c>
      <c r="G432" s="2" t="s">
        <v>41</v>
      </c>
      <c r="H432" s="7" t="s">
        <v>149</v>
      </c>
      <c r="I432" s="2" t="s">
        <v>483</v>
      </c>
      <c r="J432" s="2" t="s">
        <v>536</v>
      </c>
      <c r="K432" s="2"/>
      <c r="L432" s="2"/>
      <c r="M432" s="8" t="str">
        <f>HYPERLINK("http://slimages.macys.com/is/image/MCY/11525783 ")</f>
        <v xml:space="preserve">http://slimages.macys.com/is/image/MCY/11525783 </v>
      </c>
    </row>
    <row r="433" spans="1:13" ht="60" x14ac:dyDescent="0.25">
      <c r="A433" s="7" t="s">
        <v>12236</v>
      </c>
      <c r="B433" s="2" t="s">
        <v>7984</v>
      </c>
      <c r="C433" s="4">
        <v>1</v>
      </c>
      <c r="D433" s="5">
        <v>2.4</v>
      </c>
      <c r="E433" s="5">
        <v>5.99</v>
      </c>
      <c r="F433" s="4" t="s">
        <v>7985</v>
      </c>
      <c r="G433" s="2" t="s">
        <v>41</v>
      </c>
      <c r="H433" s="7" t="s">
        <v>91</v>
      </c>
      <c r="I433" s="2" t="s">
        <v>483</v>
      </c>
      <c r="J433" s="2" t="s">
        <v>536</v>
      </c>
      <c r="K433" s="2"/>
      <c r="L433" s="2"/>
      <c r="M433" s="8" t="str">
        <f>HYPERLINK("http://slimages.macys.com/is/image/MCY/11525783 ")</f>
        <v xml:space="preserve">http://slimages.macys.com/is/image/MCY/11525783 </v>
      </c>
    </row>
    <row r="434" spans="1:13" ht="60" x14ac:dyDescent="0.25">
      <c r="A434" s="7" t="s">
        <v>12237</v>
      </c>
      <c r="B434" s="2" t="s">
        <v>7984</v>
      </c>
      <c r="C434" s="4">
        <v>1</v>
      </c>
      <c r="D434" s="5">
        <v>2.4</v>
      </c>
      <c r="E434" s="5">
        <v>5.99</v>
      </c>
      <c r="F434" s="4" t="s">
        <v>7985</v>
      </c>
      <c r="G434" s="2" t="s">
        <v>41</v>
      </c>
      <c r="H434" s="7" t="s">
        <v>442</v>
      </c>
      <c r="I434" s="2" t="s">
        <v>483</v>
      </c>
      <c r="J434" s="2" t="s">
        <v>536</v>
      </c>
      <c r="K434" s="2"/>
      <c r="L434" s="2"/>
      <c r="M434" s="8" t="str">
        <f>HYPERLINK("http://slimages.macys.com/is/image/MCY/11525783 ")</f>
        <v xml:space="preserve">http://slimages.macys.com/is/image/MCY/11525783 </v>
      </c>
    </row>
    <row r="435" spans="1:13" ht="60" x14ac:dyDescent="0.25">
      <c r="A435" s="7" t="s">
        <v>12238</v>
      </c>
      <c r="B435" s="2" t="s">
        <v>7984</v>
      </c>
      <c r="C435" s="4">
        <v>2</v>
      </c>
      <c r="D435" s="5">
        <v>2.4</v>
      </c>
      <c r="E435" s="5">
        <v>5.99</v>
      </c>
      <c r="F435" s="4" t="s">
        <v>7985</v>
      </c>
      <c r="G435" s="2" t="s">
        <v>41</v>
      </c>
      <c r="H435" s="7" t="s">
        <v>590</v>
      </c>
      <c r="I435" s="2" t="s">
        <v>483</v>
      </c>
      <c r="J435" s="2" t="s">
        <v>536</v>
      </c>
      <c r="K435" s="2"/>
      <c r="L435" s="2"/>
      <c r="M435" s="8" t="str">
        <f>HYPERLINK("http://slimages.macys.com/is/image/MCY/11525783 ")</f>
        <v xml:space="preserve">http://slimages.macys.com/is/image/MCY/11525783 </v>
      </c>
    </row>
    <row r="436" spans="1:13" ht="60" x14ac:dyDescent="0.25">
      <c r="A436" s="7" t="s">
        <v>7992</v>
      </c>
      <c r="B436" s="2" t="s">
        <v>7227</v>
      </c>
      <c r="C436" s="4">
        <v>1</v>
      </c>
      <c r="D436" s="5">
        <v>2.4</v>
      </c>
      <c r="E436" s="5">
        <v>5.99</v>
      </c>
      <c r="F436" s="4" t="s">
        <v>7228</v>
      </c>
      <c r="G436" s="2" t="s">
        <v>28</v>
      </c>
      <c r="H436" s="7" t="s">
        <v>149</v>
      </c>
      <c r="I436" s="2" t="s">
        <v>483</v>
      </c>
      <c r="J436" s="2" t="s">
        <v>536</v>
      </c>
      <c r="K436" s="2" t="s">
        <v>304</v>
      </c>
      <c r="L436" s="2" t="s">
        <v>38</v>
      </c>
      <c r="M436" s="8" t="str">
        <f>HYPERLINK("http://slimages.macys.com/is/image/MCY/11953879 ")</f>
        <v xml:space="preserve">http://slimages.macys.com/is/image/MCY/11953879 </v>
      </c>
    </row>
    <row r="437" spans="1:13" ht="60" x14ac:dyDescent="0.25">
      <c r="A437" s="7" t="s">
        <v>12239</v>
      </c>
      <c r="B437" s="2" t="s">
        <v>12240</v>
      </c>
      <c r="C437" s="4">
        <v>1</v>
      </c>
      <c r="D437" s="5">
        <v>2.35</v>
      </c>
      <c r="E437" s="5">
        <v>6.99</v>
      </c>
      <c r="F437" s="4" t="s">
        <v>12241</v>
      </c>
      <c r="G437" s="2" t="s">
        <v>527</v>
      </c>
      <c r="H437" s="7" t="s">
        <v>482</v>
      </c>
      <c r="I437" s="2" t="s">
        <v>483</v>
      </c>
      <c r="J437" s="2" t="s">
        <v>536</v>
      </c>
      <c r="K437" s="2" t="s">
        <v>304</v>
      </c>
      <c r="L437" s="2" t="s">
        <v>75</v>
      </c>
      <c r="M437" s="8" t="str">
        <f>HYPERLINK("http://slimages.macys.com/is/image/MCY/11435426 ")</f>
        <v xml:space="preserve">http://slimages.macys.com/is/image/MCY/11435426 </v>
      </c>
    </row>
    <row r="438" spans="1:13" ht="60" x14ac:dyDescent="0.25">
      <c r="A438" s="7" t="s">
        <v>5753</v>
      </c>
      <c r="B438" s="2" t="s">
        <v>2330</v>
      </c>
      <c r="C438" s="4">
        <v>2</v>
      </c>
      <c r="D438" s="5">
        <v>2.35</v>
      </c>
      <c r="E438" s="5">
        <v>5.99</v>
      </c>
      <c r="F438" s="4" t="s">
        <v>2331</v>
      </c>
      <c r="G438" s="2" t="s">
        <v>36</v>
      </c>
      <c r="H438" s="7" t="s">
        <v>91</v>
      </c>
      <c r="I438" s="2" t="s">
        <v>483</v>
      </c>
      <c r="J438" s="2" t="s">
        <v>536</v>
      </c>
      <c r="K438" s="2" t="s">
        <v>304</v>
      </c>
      <c r="L438" s="2" t="s">
        <v>596</v>
      </c>
      <c r="M438" s="8" t="str">
        <f>HYPERLINK("http://slimages.macys.com/is/image/MCY/12466357 ")</f>
        <v xml:space="preserve">http://slimages.macys.com/is/image/MCY/12466357 </v>
      </c>
    </row>
    <row r="439" spans="1:13" ht="60" x14ac:dyDescent="0.25">
      <c r="A439" s="7" t="s">
        <v>4570</v>
      </c>
      <c r="B439" s="2" t="s">
        <v>2330</v>
      </c>
      <c r="C439" s="4">
        <v>1</v>
      </c>
      <c r="D439" s="5">
        <v>2.35</v>
      </c>
      <c r="E439" s="5">
        <v>5.99</v>
      </c>
      <c r="F439" s="4" t="s">
        <v>2331</v>
      </c>
      <c r="G439" s="2" t="s">
        <v>36</v>
      </c>
      <c r="H439" s="7" t="s">
        <v>149</v>
      </c>
      <c r="I439" s="2" t="s">
        <v>483</v>
      </c>
      <c r="J439" s="2" t="s">
        <v>536</v>
      </c>
      <c r="K439" s="2" t="s">
        <v>304</v>
      </c>
      <c r="L439" s="2" t="s">
        <v>596</v>
      </c>
      <c r="M439" s="8" t="str">
        <f>HYPERLINK("http://slimages.macys.com/is/image/MCY/12466357 ")</f>
        <v xml:space="preserve">http://slimages.macys.com/is/image/MCY/12466357 </v>
      </c>
    </row>
    <row r="440" spans="1:13" ht="60" x14ac:dyDescent="0.25">
      <c r="A440" s="7" t="s">
        <v>12242</v>
      </c>
      <c r="B440" s="2" t="s">
        <v>1324</v>
      </c>
      <c r="C440" s="4">
        <v>1</v>
      </c>
      <c r="D440" s="5">
        <v>2.35</v>
      </c>
      <c r="E440" s="5">
        <v>4.99</v>
      </c>
      <c r="F440" s="4" t="s">
        <v>1325</v>
      </c>
      <c r="G440" s="2" t="s">
        <v>4218</v>
      </c>
      <c r="H440" s="7" t="s">
        <v>228</v>
      </c>
      <c r="I440" s="2" t="s">
        <v>523</v>
      </c>
      <c r="J440" s="2" t="s">
        <v>921</v>
      </c>
      <c r="K440" s="2" t="s">
        <v>304</v>
      </c>
      <c r="L440" s="2" t="s">
        <v>323</v>
      </c>
      <c r="M440" s="8" t="str">
        <f>HYPERLINK("http://slimages.macys.com/is/image/MCY/11722365 ")</f>
        <v xml:space="preserve">http://slimages.macys.com/is/image/MCY/11722365 </v>
      </c>
    </row>
    <row r="441" spans="1:13" ht="60" x14ac:dyDescent="0.25">
      <c r="A441" s="7" t="s">
        <v>12243</v>
      </c>
      <c r="B441" s="2" t="s">
        <v>5755</v>
      </c>
      <c r="C441" s="4">
        <v>1</v>
      </c>
      <c r="D441" s="5">
        <v>2.35</v>
      </c>
      <c r="E441" s="5">
        <v>6.99</v>
      </c>
      <c r="F441" s="4" t="s">
        <v>5756</v>
      </c>
      <c r="G441" s="2" t="s">
        <v>171</v>
      </c>
      <c r="H441" s="7" t="s">
        <v>482</v>
      </c>
      <c r="I441" s="2" t="s">
        <v>483</v>
      </c>
      <c r="J441" s="2" t="s">
        <v>536</v>
      </c>
      <c r="K441" s="2" t="s">
        <v>304</v>
      </c>
      <c r="L441" s="2" t="s">
        <v>75</v>
      </c>
      <c r="M441" s="8" t="str">
        <f>HYPERLINK("http://slimages.macys.com/is/image/MCY/11435855 ")</f>
        <v xml:space="preserve">http://slimages.macys.com/is/image/MCY/11435855 </v>
      </c>
    </row>
    <row r="442" spans="1:13" ht="120" x14ac:dyDescent="0.25">
      <c r="A442" s="7" t="s">
        <v>12244</v>
      </c>
      <c r="B442" s="2" t="s">
        <v>12245</v>
      </c>
      <c r="C442" s="4">
        <v>1</v>
      </c>
      <c r="D442" s="5">
        <v>2.34</v>
      </c>
      <c r="E442" s="5">
        <v>5.99</v>
      </c>
      <c r="F442" s="4" t="s">
        <v>12246</v>
      </c>
      <c r="G442" s="2" t="s">
        <v>41</v>
      </c>
      <c r="H442" s="7" t="s">
        <v>590</v>
      </c>
      <c r="I442" s="2" t="s">
        <v>483</v>
      </c>
      <c r="J442" s="2" t="s">
        <v>536</v>
      </c>
      <c r="K442" s="2" t="s">
        <v>304</v>
      </c>
      <c r="L442" s="2" t="s">
        <v>12247</v>
      </c>
      <c r="M442" s="8" t="str">
        <f>HYPERLINK("http://slimages.macys.com/is/image/MCY/12065011 ")</f>
        <v xml:space="preserve">http://slimages.macys.com/is/image/MCY/12065011 </v>
      </c>
    </row>
    <row r="443" spans="1:13" ht="60" x14ac:dyDescent="0.25">
      <c r="A443" s="7" t="s">
        <v>1358</v>
      </c>
      <c r="B443" s="2" t="s">
        <v>1359</v>
      </c>
      <c r="C443" s="4">
        <v>4</v>
      </c>
      <c r="D443" s="5">
        <v>2.33</v>
      </c>
      <c r="E443" s="5">
        <v>7.99</v>
      </c>
      <c r="F443" s="4">
        <v>10004191800</v>
      </c>
      <c r="G443" s="2" t="s">
        <v>1360</v>
      </c>
      <c r="H443" s="7" t="s">
        <v>531</v>
      </c>
      <c r="I443" s="2" t="s">
        <v>483</v>
      </c>
      <c r="J443" s="2" t="s">
        <v>536</v>
      </c>
      <c r="K443" s="2" t="s">
        <v>304</v>
      </c>
      <c r="L443" s="2" t="s">
        <v>38</v>
      </c>
      <c r="M443" s="8" t="str">
        <f>HYPERLINK("http://slimages.macys.com/is/image/MCY/11520378 ")</f>
        <v xml:space="preserve">http://slimages.macys.com/is/image/MCY/11520378 </v>
      </c>
    </row>
    <row r="444" spans="1:13" ht="60" x14ac:dyDescent="0.25">
      <c r="A444" s="7" t="s">
        <v>5761</v>
      </c>
      <c r="B444" s="2" t="s">
        <v>5762</v>
      </c>
      <c r="C444" s="4">
        <v>1</v>
      </c>
      <c r="D444" s="5">
        <v>2.33</v>
      </c>
      <c r="E444" s="5">
        <v>5.99</v>
      </c>
      <c r="F444" s="4" t="s">
        <v>5763</v>
      </c>
      <c r="G444" s="2" t="s">
        <v>657</v>
      </c>
      <c r="H444" s="7" t="s">
        <v>149</v>
      </c>
      <c r="I444" s="2" t="s">
        <v>483</v>
      </c>
      <c r="J444" s="2" t="s">
        <v>536</v>
      </c>
      <c r="K444" s="2" t="s">
        <v>304</v>
      </c>
      <c r="L444" s="2" t="s">
        <v>119</v>
      </c>
      <c r="M444" s="8" t="str">
        <f>HYPERLINK("http://slimages.macys.com/is/image/MCY/11856987 ")</f>
        <v xml:space="preserve">http://slimages.macys.com/is/image/MCY/11856987 </v>
      </c>
    </row>
    <row r="445" spans="1:13" ht="60" x14ac:dyDescent="0.25">
      <c r="A445" s="7" t="s">
        <v>8018</v>
      </c>
      <c r="B445" s="2" t="s">
        <v>5762</v>
      </c>
      <c r="C445" s="4">
        <v>1</v>
      </c>
      <c r="D445" s="5">
        <v>2.33</v>
      </c>
      <c r="E445" s="5">
        <v>5.99</v>
      </c>
      <c r="F445" s="4" t="s">
        <v>5763</v>
      </c>
      <c r="G445" s="2" t="s">
        <v>657</v>
      </c>
      <c r="H445" s="7" t="s">
        <v>91</v>
      </c>
      <c r="I445" s="2" t="s">
        <v>483</v>
      </c>
      <c r="J445" s="2" t="s">
        <v>536</v>
      </c>
      <c r="K445" s="2" t="s">
        <v>304</v>
      </c>
      <c r="L445" s="2" t="s">
        <v>119</v>
      </c>
      <c r="M445" s="8" t="str">
        <f>HYPERLINK("http://slimages.macys.com/is/image/MCY/11856987 ")</f>
        <v xml:space="preserve">http://slimages.macys.com/is/image/MCY/11856987 </v>
      </c>
    </row>
    <row r="446" spans="1:13" ht="60" x14ac:dyDescent="0.25">
      <c r="A446" s="7" t="s">
        <v>6077</v>
      </c>
      <c r="B446" s="2" t="s">
        <v>5762</v>
      </c>
      <c r="C446" s="4">
        <v>1</v>
      </c>
      <c r="D446" s="5">
        <v>2.33</v>
      </c>
      <c r="E446" s="5">
        <v>5.99</v>
      </c>
      <c r="F446" s="4" t="s">
        <v>5763</v>
      </c>
      <c r="G446" s="2" t="s">
        <v>657</v>
      </c>
      <c r="H446" s="7" t="s">
        <v>442</v>
      </c>
      <c r="I446" s="2" t="s">
        <v>483</v>
      </c>
      <c r="J446" s="2" t="s">
        <v>536</v>
      </c>
      <c r="K446" s="2" t="s">
        <v>304</v>
      </c>
      <c r="L446" s="2" t="s">
        <v>119</v>
      </c>
      <c r="M446" s="8" t="str">
        <f>HYPERLINK("http://slimages.macys.com/is/image/MCY/11856987 ")</f>
        <v xml:space="preserve">http://slimages.macys.com/is/image/MCY/11856987 </v>
      </c>
    </row>
    <row r="447" spans="1:13" ht="60" x14ac:dyDescent="0.25">
      <c r="A447" s="7" t="s">
        <v>2342</v>
      </c>
      <c r="B447" s="2" t="s">
        <v>2343</v>
      </c>
      <c r="C447" s="4">
        <v>3</v>
      </c>
      <c r="D447" s="5">
        <v>2.33</v>
      </c>
      <c r="E447" s="5">
        <v>7.99</v>
      </c>
      <c r="F447" s="4">
        <v>10005049200</v>
      </c>
      <c r="G447" s="2" t="s">
        <v>527</v>
      </c>
      <c r="H447" s="7" t="s">
        <v>531</v>
      </c>
      <c r="I447" s="2" t="s">
        <v>483</v>
      </c>
      <c r="J447" s="2" t="s">
        <v>536</v>
      </c>
      <c r="K447" s="2" t="s">
        <v>304</v>
      </c>
      <c r="L447" s="2" t="s">
        <v>75</v>
      </c>
      <c r="M447" s="8" t="str">
        <f>HYPERLINK("http://slimages.macys.com/is/image/MCY/11520401 ")</f>
        <v xml:space="preserve">http://slimages.macys.com/is/image/MCY/11520401 </v>
      </c>
    </row>
    <row r="448" spans="1:13" ht="60" x14ac:dyDescent="0.25">
      <c r="A448" s="7" t="s">
        <v>4578</v>
      </c>
      <c r="B448" s="2" t="s">
        <v>4579</v>
      </c>
      <c r="C448" s="4">
        <v>1</v>
      </c>
      <c r="D448" s="5">
        <v>2.31</v>
      </c>
      <c r="E448" s="5">
        <v>7.99</v>
      </c>
      <c r="F448" s="4">
        <v>10004192100</v>
      </c>
      <c r="G448" s="2" t="s">
        <v>297</v>
      </c>
      <c r="H448" s="7" t="s">
        <v>531</v>
      </c>
      <c r="I448" s="2" t="s">
        <v>483</v>
      </c>
      <c r="J448" s="2" t="s">
        <v>536</v>
      </c>
      <c r="K448" s="2" t="s">
        <v>304</v>
      </c>
      <c r="L448" s="2" t="s">
        <v>75</v>
      </c>
      <c r="M448" s="8" t="str">
        <f>HYPERLINK("http://slimages.macys.com/is/image/MCY/11519987 ")</f>
        <v xml:space="preserve">http://slimages.macys.com/is/image/MCY/11519987 </v>
      </c>
    </row>
    <row r="449" spans="1:13" ht="60" x14ac:dyDescent="0.25">
      <c r="A449" s="7" t="s">
        <v>5764</v>
      </c>
      <c r="B449" s="2" t="s">
        <v>4579</v>
      </c>
      <c r="C449" s="4">
        <v>2</v>
      </c>
      <c r="D449" s="5">
        <v>2.31</v>
      </c>
      <c r="E449" s="5">
        <v>7.99</v>
      </c>
      <c r="F449" s="4">
        <v>10004192100</v>
      </c>
      <c r="G449" s="2" t="s">
        <v>171</v>
      </c>
      <c r="H449" s="7" t="s">
        <v>531</v>
      </c>
      <c r="I449" s="2" t="s">
        <v>483</v>
      </c>
      <c r="J449" s="2" t="s">
        <v>536</v>
      </c>
      <c r="K449" s="2" t="s">
        <v>304</v>
      </c>
      <c r="L449" s="2" t="s">
        <v>75</v>
      </c>
      <c r="M449" s="8" t="str">
        <f>HYPERLINK("http://slimages.macys.com/is/image/MCY/11519987 ")</f>
        <v xml:space="preserve">http://slimages.macys.com/is/image/MCY/11519987 </v>
      </c>
    </row>
    <row r="450" spans="1:13" ht="60" x14ac:dyDescent="0.25">
      <c r="A450" s="7" t="s">
        <v>4580</v>
      </c>
      <c r="B450" s="2" t="s">
        <v>2350</v>
      </c>
      <c r="C450" s="4">
        <v>1</v>
      </c>
      <c r="D450" s="5">
        <v>2.31</v>
      </c>
      <c r="E450" s="5">
        <v>7.99</v>
      </c>
      <c r="F450" s="4" t="s">
        <v>2351</v>
      </c>
      <c r="G450" s="2" t="s">
        <v>657</v>
      </c>
      <c r="H450" s="7" t="s">
        <v>514</v>
      </c>
      <c r="I450" s="2" t="s">
        <v>483</v>
      </c>
      <c r="J450" s="2" t="s">
        <v>536</v>
      </c>
      <c r="K450" s="2" t="s">
        <v>304</v>
      </c>
      <c r="L450" s="2" t="s">
        <v>38</v>
      </c>
      <c r="M450" s="8" t="str">
        <f>HYPERLINK("http://slimages.macys.com/is/image/MCY/13987607 ")</f>
        <v xml:space="preserve">http://slimages.macys.com/is/image/MCY/13987607 </v>
      </c>
    </row>
    <row r="451" spans="1:13" ht="60" x14ac:dyDescent="0.25">
      <c r="A451" s="7" t="s">
        <v>5095</v>
      </c>
      <c r="B451" s="2" t="s">
        <v>5093</v>
      </c>
      <c r="C451" s="4">
        <v>1</v>
      </c>
      <c r="D451" s="5">
        <v>2.29</v>
      </c>
      <c r="E451" s="5">
        <v>5.99</v>
      </c>
      <c r="F451" s="4" t="s">
        <v>5094</v>
      </c>
      <c r="G451" s="2" t="s">
        <v>28</v>
      </c>
      <c r="H451" s="7" t="s">
        <v>42</v>
      </c>
      <c r="I451" s="2" t="s">
        <v>483</v>
      </c>
      <c r="J451" s="2" t="s">
        <v>536</v>
      </c>
      <c r="K451" s="2" t="s">
        <v>304</v>
      </c>
      <c r="L451" s="2" t="s">
        <v>87</v>
      </c>
      <c r="M451" s="8" t="str">
        <f>HYPERLINK("http://slimages.macys.com/is/image/MCY/12230833 ")</f>
        <v xml:space="preserve">http://slimages.macys.com/is/image/MCY/12230833 </v>
      </c>
    </row>
    <row r="452" spans="1:13" ht="60" x14ac:dyDescent="0.25">
      <c r="A452" s="7" t="s">
        <v>12248</v>
      </c>
      <c r="B452" s="2" t="s">
        <v>5093</v>
      </c>
      <c r="C452" s="4">
        <v>1</v>
      </c>
      <c r="D452" s="5">
        <v>2.29</v>
      </c>
      <c r="E452" s="5">
        <v>5.99</v>
      </c>
      <c r="F452" s="4" t="s">
        <v>5094</v>
      </c>
      <c r="G452" s="2" t="s">
        <v>28</v>
      </c>
      <c r="H452" s="7" t="s">
        <v>442</v>
      </c>
      <c r="I452" s="2" t="s">
        <v>483</v>
      </c>
      <c r="J452" s="2" t="s">
        <v>536</v>
      </c>
      <c r="K452" s="2" t="s">
        <v>304</v>
      </c>
      <c r="L452" s="2" t="s">
        <v>87</v>
      </c>
      <c r="M452" s="8" t="str">
        <f>HYPERLINK("http://slimages.macys.com/is/image/MCY/12230833 ")</f>
        <v xml:space="preserve">http://slimages.macys.com/is/image/MCY/12230833 </v>
      </c>
    </row>
    <row r="453" spans="1:13" ht="60" x14ac:dyDescent="0.25">
      <c r="A453" s="7" t="s">
        <v>12249</v>
      </c>
      <c r="B453" s="2" t="s">
        <v>5090</v>
      </c>
      <c r="C453" s="4">
        <v>1</v>
      </c>
      <c r="D453" s="5">
        <v>2.29</v>
      </c>
      <c r="E453" s="5">
        <v>5.99</v>
      </c>
      <c r="F453" s="4" t="s">
        <v>5091</v>
      </c>
      <c r="G453" s="2" t="s">
        <v>41</v>
      </c>
      <c r="H453" s="7" t="s">
        <v>149</v>
      </c>
      <c r="I453" s="2" t="s">
        <v>483</v>
      </c>
      <c r="J453" s="2" t="s">
        <v>536</v>
      </c>
      <c r="K453" s="2" t="s">
        <v>304</v>
      </c>
      <c r="L453" s="2" t="s">
        <v>100</v>
      </c>
      <c r="M453" s="8" t="str">
        <f>HYPERLINK("http://slimages.macys.com/is/image/MCY/11855990 ")</f>
        <v xml:space="preserve">http://slimages.macys.com/is/image/MCY/11855990 </v>
      </c>
    </row>
    <row r="454" spans="1:13" ht="60" x14ac:dyDescent="0.25">
      <c r="A454" s="7" t="s">
        <v>5092</v>
      </c>
      <c r="B454" s="2" t="s">
        <v>5093</v>
      </c>
      <c r="C454" s="4">
        <v>1</v>
      </c>
      <c r="D454" s="5">
        <v>2.29</v>
      </c>
      <c r="E454" s="5">
        <v>5.99</v>
      </c>
      <c r="F454" s="4" t="s">
        <v>5094</v>
      </c>
      <c r="G454" s="2" t="s">
        <v>28</v>
      </c>
      <c r="H454" s="7" t="s">
        <v>91</v>
      </c>
      <c r="I454" s="2" t="s">
        <v>483</v>
      </c>
      <c r="J454" s="2" t="s">
        <v>536</v>
      </c>
      <c r="K454" s="2" t="s">
        <v>304</v>
      </c>
      <c r="L454" s="2" t="s">
        <v>87</v>
      </c>
      <c r="M454" s="8" t="str">
        <f>HYPERLINK("http://slimages.macys.com/is/image/MCY/12230833 ")</f>
        <v xml:space="preserve">http://slimages.macys.com/is/image/MCY/12230833 </v>
      </c>
    </row>
    <row r="455" spans="1:13" ht="60" x14ac:dyDescent="0.25">
      <c r="A455" s="7" t="s">
        <v>12250</v>
      </c>
      <c r="B455" s="2" t="s">
        <v>631</v>
      </c>
      <c r="C455" s="4">
        <v>1</v>
      </c>
      <c r="D455" s="5">
        <v>2.27</v>
      </c>
      <c r="E455" s="5">
        <v>5.99</v>
      </c>
      <c r="F455" s="4" t="s">
        <v>632</v>
      </c>
      <c r="G455" s="2" t="s">
        <v>28</v>
      </c>
      <c r="H455" s="7" t="s">
        <v>442</v>
      </c>
      <c r="I455" s="2" t="s">
        <v>483</v>
      </c>
      <c r="J455" s="2" t="s">
        <v>536</v>
      </c>
      <c r="K455" s="2" t="s">
        <v>304</v>
      </c>
      <c r="L455" s="2" t="s">
        <v>38</v>
      </c>
      <c r="M455" s="8" t="str">
        <f>HYPERLINK("http://slimages.macys.com/is/image/MCY/11857610 ")</f>
        <v xml:space="preserve">http://slimages.macys.com/is/image/MCY/11857610 </v>
      </c>
    </row>
    <row r="456" spans="1:13" ht="60" x14ac:dyDescent="0.25">
      <c r="A456" s="7" t="s">
        <v>12251</v>
      </c>
      <c r="B456" s="2" t="s">
        <v>631</v>
      </c>
      <c r="C456" s="4">
        <v>1</v>
      </c>
      <c r="D456" s="5">
        <v>2.27</v>
      </c>
      <c r="E456" s="5">
        <v>5.99</v>
      </c>
      <c r="F456" s="4" t="s">
        <v>632</v>
      </c>
      <c r="G456" s="2" t="s">
        <v>28</v>
      </c>
      <c r="H456" s="7" t="s">
        <v>42</v>
      </c>
      <c r="I456" s="2" t="s">
        <v>483</v>
      </c>
      <c r="J456" s="2" t="s">
        <v>536</v>
      </c>
      <c r="K456" s="2" t="s">
        <v>304</v>
      </c>
      <c r="L456" s="2" t="s">
        <v>38</v>
      </c>
      <c r="M456" s="8" t="str">
        <f>HYPERLINK("http://slimages.macys.com/is/image/MCY/11857610 ")</f>
        <v xml:space="preserve">http://slimages.macys.com/is/image/MCY/11857610 </v>
      </c>
    </row>
    <row r="457" spans="1:13" ht="60" x14ac:dyDescent="0.25">
      <c r="A457" s="7" t="s">
        <v>12252</v>
      </c>
      <c r="B457" s="2" t="s">
        <v>631</v>
      </c>
      <c r="C457" s="4">
        <v>1</v>
      </c>
      <c r="D457" s="5">
        <v>2.27</v>
      </c>
      <c r="E457" s="5">
        <v>5.99</v>
      </c>
      <c r="F457" s="4" t="s">
        <v>632</v>
      </c>
      <c r="G457" s="2" t="s">
        <v>28</v>
      </c>
      <c r="H457" s="7" t="s">
        <v>590</v>
      </c>
      <c r="I457" s="2" t="s">
        <v>483</v>
      </c>
      <c r="J457" s="2" t="s">
        <v>536</v>
      </c>
      <c r="K457" s="2" t="s">
        <v>304</v>
      </c>
      <c r="L457" s="2" t="s">
        <v>38</v>
      </c>
      <c r="M457" s="8" t="str">
        <f>HYPERLINK("http://slimages.macys.com/is/image/MCY/11857610 ")</f>
        <v xml:space="preserve">http://slimages.macys.com/is/image/MCY/11857610 </v>
      </c>
    </row>
    <row r="458" spans="1:13" ht="60" x14ac:dyDescent="0.25">
      <c r="A458" s="7" t="s">
        <v>630</v>
      </c>
      <c r="B458" s="2" t="s">
        <v>631</v>
      </c>
      <c r="C458" s="4">
        <v>2</v>
      </c>
      <c r="D458" s="5">
        <v>2.27</v>
      </c>
      <c r="E458" s="5">
        <v>5.99</v>
      </c>
      <c r="F458" s="4" t="s">
        <v>632</v>
      </c>
      <c r="G458" s="2" t="s">
        <v>28</v>
      </c>
      <c r="H458" s="7" t="s">
        <v>91</v>
      </c>
      <c r="I458" s="2" t="s">
        <v>483</v>
      </c>
      <c r="J458" s="2" t="s">
        <v>536</v>
      </c>
      <c r="K458" s="2" t="s">
        <v>304</v>
      </c>
      <c r="L458" s="2" t="s">
        <v>38</v>
      </c>
      <c r="M458" s="8" t="str">
        <f>HYPERLINK("http://slimages.macys.com/is/image/MCY/11857610 ")</f>
        <v xml:space="preserve">http://slimages.macys.com/is/image/MCY/11857610 </v>
      </c>
    </row>
    <row r="459" spans="1:13" ht="60" x14ac:dyDescent="0.25">
      <c r="A459" s="7" t="s">
        <v>10731</v>
      </c>
      <c r="B459" s="2" t="s">
        <v>631</v>
      </c>
      <c r="C459" s="4">
        <v>1</v>
      </c>
      <c r="D459" s="5">
        <v>2.27</v>
      </c>
      <c r="E459" s="5">
        <v>5.99</v>
      </c>
      <c r="F459" s="4" t="s">
        <v>632</v>
      </c>
      <c r="G459" s="2" t="s">
        <v>28</v>
      </c>
      <c r="H459" s="7" t="s">
        <v>149</v>
      </c>
      <c r="I459" s="2" t="s">
        <v>483</v>
      </c>
      <c r="J459" s="2" t="s">
        <v>536</v>
      </c>
      <c r="K459" s="2" t="s">
        <v>304</v>
      </c>
      <c r="L459" s="2" t="s">
        <v>38</v>
      </c>
      <c r="M459" s="8" t="str">
        <f>HYPERLINK("http://slimages.macys.com/is/image/MCY/11857610 ")</f>
        <v xml:space="preserve">http://slimages.macys.com/is/image/MCY/11857610 </v>
      </c>
    </row>
    <row r="460" spans="1:13" ht="60" x14ac:dyDescent="0.25">
      <c r="A460" s="7" t="s">
        <v>12253</v>
      </c>
      <c r="B460" s="2" t="s">
        <v>2370</v>
      </c>
      <c r="C460" s="4">
        <v>2</v>
      </c>
      <c r="D460" s="5">
        <v>2.27</v>
      </c>
      <c r="E460" s="5">
        <v>5.99</v>
      </c>
      <c r="F460" s="4" t="s">
        <v>2371</v>
      </c>
      <c r="G460" s="2" t="s">
        <v>41</v>
      </c>
      <c r="H460" s="7" t="s">
        <v>91</v>
      </c>
      <c r="I460" s="2" t="s">
        <v>483</v>
      </c>
      <c r="J460" s="2" t="s">
        <v>536</v>
      </c>
      <c r="K460" s="2" t="s">
        <v>304</v>
      </c>
      <c r="L460" s="2" t="s">
        <v>38</v>
      </c>
      <c r="M460" s="8" t="str">
        <f>HYPERLINK("http://slimages.macys.com/is/image/MCY/11857322 ")</f>
        <v xml:space="preserve">http://slimages.macys.com/is/image/MCY/11857322 </v>
      </c>
    </row>
    <row r="461" spans="1:13" ht="60" x14ac:dyDescent="0.25">
      <c r="A461" s="7" t="s">
        <v>12254</v>
      </c>
      <c r="B461" s="2" t="s">
        <v>1383</v>
      </c>
      <c r="C461" s="4">
        <v>2</v>
      </c>
      <c r="D461" s="5">
        <v>2.25</v>
      </c>
      <c r="E461" s="5">
        <v>4.99</v>
      </c>
      <c r="F461" s="4" t="s">
        <v>1384</v>
      </c>
      <c r="G461" s="2" t="s">
        <v>653</v>
      </c>
      <c r="H461" s="7" t="s">
        <v>228</v>
      </c>
      <c r="I461" s="2" t="s">
        <v>523</v>
      </c>
      <c r="J461" s="2" t="s">
        <v>921</v>
      </c>
      <c r="K461" s="2" t="s">
        <v>304</v>
      </c>
      <c r="L461" s="2" t="s">
        <v>358</v>
      </c>
      <c r="M461" s="8" t="str">
        <f>HYPERLINK("http://slimages.macys.com/is/image/MCY/9356496 ")</f>
        <v xml:space="preserve">http://slimages.macys.com/is/image/MCY/9356496 </v>
      </c>
    </row>
    <row r="462" spans="1:13" ht="60" x14ac:dyDescent="0.25">
      <c r="A462" s="7" t="s">
        <v>12255</v>
      </c>
      <c r="B462" s="2" t="s">
        <v>1383</v>
      </c>
      <c r="C462" s="4">
        <v>1</v>
      </c>
      <c r="D462" s="5">
        <v>2.25</v>
      </c>
      <c r="E462" s="5">
        <v>4.99</v>
      </c>
      <c r="F462" s="4" t="s">
        <v>1384</v>
      </c>
      <c r="G462" s="2" t="s">
        <v>653</v>
      </c>
      <c r="H462" s="7" t="s">
        <v>159</v>
      </c>
      <c r="I462" s="2" t="s">
        <v>523</v>
      </c>
      <c r="J462" s="2" t="s">
        <v>921</v>
      </c>
      <c r="K462" s="2" t="s">
        <v>304</v>
      </c>
      <c r="L462" s="2" t="s">
        <v>358</v>
      </c>
      <c r="M462" s="8" t="str">
        <f>HYPERLINK("http://slimages.macys.com/is/image/MCY/9356496 ")</f>
        <v xml:space="preserve">http://slimages.macys.com/is/image/MCY/9356496 </v>
      </c>
    </row>
    <row r="463" spans="1:13" ht="84" x14ac:dyDescent="0.25">
      <c r="A463" s="7" t="s">
        <v>8039</v>
      </c>
      <c r="B463" s="2" t="s">
        <v>8040</v>
      </c>
      <c r="C463" s="4">
        <v>2</v>
      </c>
      <c r="D463" s="5">
        <v>2.2400000000000002</v>
      </c>
      <c r="E463" s="5">
        <v>5.99</v>
      </c>
      <c r="F463" s="4" t="s">
        <v>8041</v>
      </c>
      <c r="G463" s="2" t="s">
        <v>2107</v>
      </c>
      <c r="H463" s="7" t="s">
        <v>149</v>
      </c>
      <c r="I463" s="2" t="s">
        <v>483</v>
      </c>
      <c r="J463" s="2" t="s">
        <v>536</v>
      </c>
      <c r="K463" s="2" t="s">
        <v>304</v>
      </c>
      <c r="L463" s="2" t="s">
        <v>5781</v>
      </c>
      <c r="M463" s="8" t="str">
        <f>HYPERLINK("http://slimages.macys.com/is/image/MCY/11436720 ")</f>
        <v xml:space="preserve">http://slimages.macys.com/is/image/MCY/11436720 </v>
      </c>
    </row>
    <row r="464" spans="1:13" ht="60" x14ac:dyDescent="0.25">
      <c r="A464" s="7" t="s">
        <v>12256</v>
      </c>
      <c r="B464" s="2" t="s">
        <v>8036</v>
      </c>
      <c r="C464" s="4">
        <v>2</v>
      </c>
      <c r="D464" s="5">
        <v>2.2400000000000002</v>
      </c>
      <c r="E464" s="5">
        <v>5.99</v>
      </c>
      <c r="F464" s="4" t="s">
        <v>8037</v>
      </c>
      <c r="G464" s="2" t="s">
        <v>1360</v>
      </c>
      <c r="H464" s="7" t="s">
        <v>590</v>
      </c>
      <c r="I464" s="2" t="s">
        <v>483</v>
      </c>
      <c r="J464" s="2" t="s">
        <v>536</v>
      </c>
      <c r="K464" s="2" t="s">
        <v>304</v>
      </c>
      <c r="L464" s="2" t="s">
        <v>119</v>
      </c>
      <c r="M464" s="8" t="str">
        <f>HYPERLINK("http://slimages.macys.com/is/image/MCY/11525807 ")</f>
        <v xml:space="preserve">http://slimages.macys.com/is/image/MCY/11525807 </v>
      </c>
    </row>
    <row r="465" spans="1:13" ht="60" x14ac:dyDescent="0.25">
      <c r="A465" s="7" t="s">
        <v>8035</v>
      </c>
      <c r="B465" s="2" t="s">
        <v>8036</v>
      </c>
      <c r="C465" s="4">
        <v>1</v>
      </c>
      <c r="D465" s="5">
        <v>2.2400000000000002</v>
      </c>
      <c r="E465" s="5">
        <v>5.99</v>
      </c>
      <c r="F465" s="4" t="s">
        <v>8037</v>
      </c>
      <c r="G465" s="2" t="s">
        <v>1360</v>
      </c>
      <c r="H465" s="7" t="s">
        <v>91</v>
      </c>
      <c r="I465" s="2" t="s">
        <v>483</v>
      </c>
      <c r="J465" s="2" t="s">
        <v>536</v>
      </c>
      <c r="K465" s="2" t="s">
        <v>304</v>
      </c>
      <c r="L465" s="2" t="s">
        <v>119</v>
      </c>
      <c r="M465" s="8" t="str">
        <f>HYPERLINK("http://slimages.macys.com/is/image/MCY/11525807 ")</f>
        <v xml:space="preserve">http://slimages.macys.com/is/image/MCY/11525807 </v>
      </c>
    </row>
    <row r="466" spans="1:13" ht="60" x14ac:dyDescent="0.25">
      <c r="A466" s="7" t="s">
        <v>12257</v>
      </c>
      <c r="B466" s="2" t="s">
        <v>12258</v>
      </c>
      <c r="C466" s="4">
        <v>2</v>
      </c>
      <c r="D466" s="5">
        <v>2.23</v>
      </c>
      <c r="E466" s="5">
        <v>5.99</v>
      </c>
      <c r="F466" s="4" t="s">
        <v>12259</v>
      </c>
      <c r="G466" s="2" t="s">
        <v>262</v>
      </c>
      <c r="H466" s="7" t="s">
        <v>442</v>
      </c>
      <c r="I466" s="2" t="s">
        <v>483</v>
      </c>
      <c r="J466" s="2" t="s">
        <v>536</v>
      </c>
      <c r="K466" s="2" t="s">
        <v>304</v>
      </c>
      <c r="L466" s="2" t="s">
        <v>100</v>
      </c>
      <c r="M466" s="8" t="str">
        <f>HYPERLINK("http://slimages.macys.com/is/image/MCY/11384992 ")</f>
        <v xml:space="preserve">http://slimages.macys.com/is/image/MCY/11384992 </v>
      </c>
    </row>
    <row r="467" spans="1:13" ht="60" x14ac:dyDescent="0.25">
      <c r="A467" s="7" t="s">
        <v>12260</v>
      </c>
      <c r="B467" s="2" t="s">
        <v>8050</v>
      </c>
      <c r="C467" s="4">
        <v>3</v>
      </c>
      <c r="D467" s="5">
        <v>2.2200000000000002</v>
      </c>
      <c r="E467" s="5">
        <v>5.99</v>
      </c>
      <c r="F467" s="4" t="s">
        <v>8051</v>
      </c>
      <c r="G467" s="2" t="s">
        <v>28</v>
      </c>
      <c r="H467" s="7" t="s">
        <v>149</v>
      </c>
      <c r="I467" s="2" t="s">
        <v>483</v>
      </c>
      <c r="J467" s="2" t="s">
        <v>536</v>
      </c>
      <c r="K467" s="2" t="s">
        <v>304</v>
      </c>
      <c r="L467" s="2" t="s">
        <v>119</v>
      </c>
      <c r="M467" s="8" t="str">
        <f>HYPERLINK("http://slimages.macys.com/is/image/MCY/11523883 ")</f>
        <v xml:space="preserve">http://slimages.macys.com/is/image/MCY/11523883 </v>
      </c>
    </row>
    <row r="468" spans="1:13" ht="60" x14ac:dyDescent="0.25">
      <c r="A468" s="7" t="s">
        <v>12261</v>
      </c>
      <c r="B468" s="2" t="s">
        <v>8050</v>
      </c>
      <c r="C468" s="4">
        <v>2</v>
      </c>
      <c r="D468" s="5">
        <v>2.2200000000000002</v>
      </c>
      <c r="E468" s="5">
        <v>5.99</v>
      </c>
      <c r="F468" s="4" t="s">
        <v>8051</v>
      </c>
      <c r="G468" s="2" t="s">
        <v>28</v>
      </c>
      <c r="H468" s="7" t="s">
        <v>42</v>
      </c>
      <c r="I468" s="2" t="s">
        <v>483</v>
      </c>
      <c r="J468" s="2" t="s">
        <v>536</v>
      </c>
      <c r="K468" s="2" t="s">
        <v>304</v>
      </c>
      <c r="L468" s="2" t="s">
        <v>119</v>
      </c>
      <c r="M468" s="8" t="str">
        <f>HYPERLINK("http://slimages.macys.com/is/image/MCY/11523883 ")</f>
        <v xml:space="preserve">http://slimages.macys.com/is/image/MCY/11523883 </v>
      </c>
    </row>
    <row r="469" spans="1:13" ht="60" x14ac:dyDescent="0.25">
      <c r="A469" s="7" t="s">
        <v>8044</v>
      </c>
      <c r="B469" s="2" t="s">
        <v>6080</v>
      </c>
      <c r="C469" s="4">
        <v>1</v>
      </c>
      <c r="D469" s="5">
        <v>2.2200000000000002</v>
      </c>
      <c r="E469" s="5">
        <v>5.99</v>
      </c>
      <c r="F469" s="4" t="s">
        <v>6081</v>
      </c>
      <c r="G469" s="2" t="s">
        <v>28</v>
      </c>
      <c r="H469" s="7" t="s">
        <v>149</v>
      </c>
      <c r="I469" s="2" t="s">
        <v>483</v>
      </c>
      <c r="J469" s="2" t="s">
        <v>536</v>
      </c>
      <c r="K469" s="2" t="s">
        <v>304</v>
      </c>
      <c r="L469" s="2" t="s">
        <v>206</v>
      </c>
      <c r="M469" s="8" t="str">
        <f>HYPERLINK("http://slimages.macys.com/is/image/MCY/12644529 ")</f>
        <v xml:space="preserve">http://slimages.macys.com/is/image/MCY/12644529 </v>
      </c>
    </row>
    <row r="470" spans="1:13" ht="60" x14ac:dyDescent="0.25">
      <c r="A470" s="7" t="s">
        <v>12262</v>
      </c>
      <c r="B470" s="2" t="s">
        <v>9251</v>
      </c>
      <c r="C470" s="4">
        <v>1</v>
      </c>
      <c r="D470" s="5">
        <v>2.2200000000000002</v>
      </c>
      <c r="E470" s="5">
        <v>5.99</v>
      </c>
      <c r="F470" s="4" t="s">
        <v>9252</v>
      </c>
      <c r="G470" s="2" t="s">
        <v>1265</v>
      </c>
      <c r="H470" s="7" t="s">
        <v>42</v>
      </c>
      <c r="I470" s="2" t="s">
        <v>483</v>
      </c>
      <c r="J470" s="2" t="s">
        <v>536</v>
      </c>
      <c r="K470" s="2" t="s">
        <v>304</v>
      </c>
      <c r="L470" s="2" t="s">
        <v>206</v>
      </c>
      <c r="M470" s="8" t="str">
        <f>HYPERLINK("http://slimages.macys.com/is/image/MCY/11382122 ")</f>
        <v xml:space="preserve">http://slimages.macys.com/is/image/MCY/11382122 </v>
      </c>
    </row>
    <row r="471" spans="1:13" ht="60" x14ac:dyDescent="0.25">
      <c r="A471" s="7" t="s">
        <v>12263</v>
      </c>
      <c r="B471" s="2" t="s">
        <v>12264</v>
      </c>
      <c r="C471" s="4">
        <v>1</v>
      </c>
      <c r="D471" s="5">
        <v>2.2200000000000002</v>
      </c>
      <c r="E471" s="5">
        <v>5.99</v>
      </c>
      <c r="F471" s="4" t="s">
        <v>12265</v>
      </c>
      <c r="G471" s="2" t="s">
        <v>41</v>
      </c>
      <c r="H471" s="7" t="s">
        <v>149</v>
      </c>
      <c r="I471" s="2" t="s">
        <v>483</v>
      </c>
      <c r="J471" s="2" t="s">
        <v>536</v>
      </c>
      <c r="K471" s="2" t="s">
        <v>304</v>
      </c>
      <c r="L471" s="2" t="s">
        <v>206</v>
      </c>
      <c r="M471" s="8" t="str">
        <f>HYPERLINK("http://slimages.macys.com/is/image/MCY/11385020 ")</f>
        <v xml:space="preserve">http://slimages.macys.com/is/image/MCY/11385020 </v>
      </c>
    </row>
    <row r="472" spans="1:13" ht="60" x14ac:dyDescent="0.25">
      <c r="A472" s="7" t="s">
        <v>7267</v>
      </c>
      <c r="B472" s="2" t="s">
        <v>7268</v>
      </c>
      <c r="C472" s="4">
        <v>2</v>
      </c>
      <c r="D472" s="5">
        <v>2.2200000000000002</v>
      </c>
      <c r="E472" s="5">
        <v>5.99</v>
      </c>
      <c r="F472" s="4" t="s">
        <v>7269</v>
      </c>
      <c r="G472" s="2" t="s">
        <v>129</v>
      </c>
      <c r="H472" s="7" t="s">
        <v>149</v>
      </c>
      <c r="I472" s="2" t="s">
        <v>483</v>
      </c>
      <c r="J472" s="2" t="s">
        <v>536</v>
      </c>
      <c r="K472" s="2" t="s">
        <v>304</v>
      </c>
      <c r="L472" s="2" t="s">
        <v>100</v>
      </c>
      <c r="M472" s="8" t="str">
        <f>HYPERLINK("http://slimages.macys.com/is/image/MCY/11523857 ")</f>
        <v xml:space="preserve">http://slimages.macys.com/is/image/MCY/11523857 </v>
      </c>
    </row>
    <row r="473" spans="1:13" ht="60" x14ac:dyDescent="0.25">
      <c r="A473" s="7" t="s">
        <v>12266</v>
      </c>
      <c r="B473" s="2" t="s">
        <v>7268</v>
      </c>
      <c r="C473" s="4">
        <v>1</v>
      </c>
      <c r="D473" s="5">
        <v>2.2200000000000002</v>
      </c>
      <c r="E473" s="5">
        <v>5.99</v>
      </c>
      <c r="F473" s="4" t="s">
        <v>7269</v>
      </c>
      <c r="G473" s="2" t="s">
        <v>129</v>
      </c>
      <c r="H473" s="7" t="s">
        <v>442</v>
      </c>
      <c r="I473" s="2" t="s">
        <v>483</v>
      </c>
      <c r="J473" s="2" t="s">
        <v>536</v>
      </c>
      <c r="K473" s="2" t="s">
        <v>304</v>
      </c>
      <c r="L473" s="2" t="s">
        <v>100</v>
      </c>
      <c r="M473" s="8" t="str">
        <f>HYPERLINK("http://slimages.macys.com/is/image/MCY/11523857 ")</f>
        <v xml:space="preserve">http://slimages.macys.com/is/image/MCY/11523857 </v>
      </c>
    </row>
    <row r="474" spans="1:13" ht="60" x14ac:dyDescent="0.25">
      <c r="A474" s="7" t="s">
        <v>12267</v>
      </c>
      <c r="B474" s="2" t="s">
        <v>7268</v>
      </c>
      <c r="C474" s="4">
        <v>1</v>
      </c>
      <c r="D474" s="5">
        <v>2.2200000000000002</v>
      </c>
      <c r="E474" s="5">
        <v>5.99</v>
      </c>
      <c r="F474" s="4" t="s">
        <v>7269</v>
      </c>
      <c r="G474" s="2" t="s">
        <v>129</v>
      </c>
      <c r="H474" s="7" t="s">
        <v>590</v>
      </c>
      <c r="I474" s="2" t="s">
        <v>483</v>
      </c>
      <c r="J474" s="2" t="s">
        <v>536</v>
      </c>
      <c r="K474" s="2" t="s">
        <v>304</v>
      </c>
      <c r="L474" s="2" t="s">
        <v>100</v>
      </c>
      <c r="M474" s="8" t="str">
        <f>HYPERLINK("http://slimages.macys.com/is/image/MCY/11523857 ")</f>
        <v xml:space="preserve">http://slimages.macys.com/is/image/MCY/11523857 </v>
      </c>
    </row>
    <row r="475" spans="1:13" ht="60" x14ac:dyDescent="0.25">
      <c r="A475" s="7" t="s">
        <v>2382</v>
      </c>
      <c r="B475" s="2" t="s">
        <v>2383</v>
      </c>
      <c r="C475" s="4">
        <v>5</v>
      </c>
      <c r="D475" s="5">
        <v>2.2200000000000002</v>
      </c>
      <c r="E475" s="5">
        <v>4.99</v>
      </c>
      <c r="F475" s="4">
        <v>10004193500</v>
      </c>
      <c r="G475" s="2" t="s">
        <v>1360</v>
      </c>
      <c r="H475" s="7" t="s">
        <v>531</v>
      </c>
      <c r="I475" s="2" t="s">
        <v>483</v>
      </c>
      <c r="J475" s="2" t="s">
        <v>536</v>
      </c>
      <c r="K475" s="2" t="s">
        <v>304</v>
      </c>
      <c r="L475" s="2" t="s">
        <v>87</v>
      </c>
      <c r="M475" s="8" t="str">
        <f>HYPERLINK("http://slimages.macys.com/is/image/MCY/11520388 ")</f>
        <v xml:space="preserve">http://slimages.macys.com/is/image/MCY/11520388 </v>
      </c>
    </row>
    <row r="476" spans="1:13" ht="60" x14ac:dyDescent="0.25">
      <c r="A476" s="7" t="s">
        <v>12268</v>
      </c>
      <c r="B476" s="2" t="s">
        <v>8050</v>
      </c>
      <c r="C476" s="4">
        <v>2</v>
      </c>
      <c r="D476" s="5">
        <v>2.2200000000000002</v>
      </c>
      <c r="E476" s="5">
        <v>5.99</v>
      </c>
      <c r="F476" s="4" t="s">
        <v>8051</v>
      </c>
      <c r="G476" s="2" t="s">
        <v>28</v>
      </c>
      <c r="H476" s="7" t="s">
        <v>91</v>
      </c>
      <c r="I476" s="2" t="s">
        <v>483</v>
      </c>
      <c r="J476" s="2" t="s">
        <v>536</v>
      </c>
      <c r="K476" s="2" t="s">
        <v>304</v>
      </c>
      <c r="L476" s="2" t="s">
        <v>119</v>
      </c>
      <c r="M476" s="8" t="str">
        <f>HYPERLINK("http://slimages.macys.com/is/image/MCY/11523883 ")</f>
        <v xml:space="preserve">http://slimages.macys.com/is/image/MCY/11523883 </v>
      </c>
    </row>
    <row r="477" spans="1:13" ht="60" x14ac:dyDescent="0.25">
      <c r="A477" s="7" t="s">
        <v>12269</v>
      </c>
      <c r="B477" s="2" t="s">
        <v>12270</v>
      </c>
      <c r="C477" s="4">
        <v>1</v>
      </c>
      <c r="D477" s="5">
        <v>2.2200000000000002</v>
      </c>
      <c r="E477" s="5">
        <v>5.99</v>
      </c>
      <c r="F477" s="4" t="s">
        <v>12271</v>
      </c>
      <c r="G477" s="2" t="s">
        <v>28</v>
      </c>
      <c r="H477" s="7" t="s">
        <v>91</v>
      </c>
      <c r="I477" s="2" t="s">
        <v>483</v>
      </c>
      <c r="J477" s="2" t="s">
        <v>536</v>
      </c>
      <c r="K477" s="2" t="s">
        <v>304</v>
      </c>
      <c r="L477" s="2" t="s">
        <v>87</v>
      </c>
      <c r="M477" s="8" t="str">
        <f>HYPERLINK("http://slimages.macys.com/is/image/MCY/12230833 ")</f>
        <v xml:space="preserve">http://slimages.macys.com/is/image/MCY/12230833 </v>
      </c>
    </row>
    <row r="478" spans="1:13" ht="60" x14ac:dyDescent="0.25">
      <c r="A478" s="7" t="s">
        <v>12272</v>
      </c>
      <c r="B478" s="2" t="s">
        <v>8050</v>
      </c>
      <c r="C478" s="4">
        <v>5</v>
      </c>
      <c r="D478" s="5">
        <v>2.2200000000000002</v>
      </c>
      <c r="E478" s="5">
        <v>5.99</v>
      </c>
      <c r="F478" s="4" t="s">
        <v>8051</v>
      </c>
      <c r="G478" s="2" t="s">
        <v>28</v>
      </c>
      <c r="H478" s="7" t="s">
        <v>590</v>
      </c>
      <c r="I478" s="2" t="s">
        <v>483</v>
      </c>
      <c r="J478" s="2" t="s">
        <v>536</v>
      </c>
      <c r="K478" s="2" t="s">
        <v>304</v>
      </c>
      <c r="L478" s="2" t="s">
        <v>119</v>
      </c>
      <c r="M478" s="8" t="str">
        <f>HYPERLINK("http://slimages.macys.com/is/image/MCY/11523883 ")</f>
        <v xml:space="preserve">http://slimages.macys.com/is/image/MCY/11523883 </v>
      </c>
    </row>
    <row r="479" spans="1:13" ht="60" x14ac:dyDescent="0.25">
      <c r="A479" s="7" t="s">
        <v>12273</v>
      </c>
      <c r="B479" s="2" t="s">
        <v>7268</v>
      </c>
      <c r="C479" s="4">
        <v>1</v>
      </c>
      <c r="D479" s="5">
        <v>2.2200000000000002</v>
      </c>
      <c r="E479" s="5">
        <v>5.99</v>
      </c>
      <c r="F479" s="4" t="s">
        <v>7269</v>
      </c>
      <c r="G479" s="2" t="s">
        <v>129</v>
      </c>
      <c r="H479" s="7" t="s">
        <v>42</v>
      </c>
      <c r="I479" s="2" t="s">
        <v>483</v>
      </c>
      <c r="J479" s="2" t="s">
        <v>536</v>
      </c>
      <c r="K479" s="2" t="s">
        <v>304</v>
      </c>
      <c r="L479" s="2" t="s">
        <v>100</v>
      </c>
      <c r="M479" s="8" t="str">
        <f>HYPERLINK("http://slimages.macys.com/is/image/MCY/11523857 ")</f>
        <v xml:space="preserve">http://slimages.macys.com/is/image/MCY/11523857 </v>
      </c>
    </row>
    <row r="480" spans="1:13" ht="60" x14ac:dyDescent="0.25">
      <c r="A480" s="7" t="s">
        <v>9256</v>
      </c>
      <c r="B480" s="2" t="s">
        <v>1391</v>
      </c>
      <c r="C480" s="4">
        <v>1</v>
      </c>
      <c r="D480" s="5">
        <v>2.21</v>
      </c>
      <c r="E480" s="5">
        <v>5.99</v>
      </c>
      <c r="F480" s="4" t="s">
        <v>1392</v>
      </c>
      <c r="G480" s="2" t="s">
        <v>41</v>
      </c>
      <c r="H480" s="7" t="s">
        <v>442</v>
      </c>
      <c r="I480" s="2" t="s">
        <v>483</v>
      </c>
      <c r="J480" s="2" t="s">
        <v>536</v>
      </c>
      <c r="K480" s="2" t="s">
        <v>304</v>
      </c>
      <c r="L480" s="2" t="s">
        <v>100</v>
      </c>
      <c r="M480" s="8" t="str">
        <f>HYPERLINK("http://slimages.macys.com/is/image/MCY/12466361 ")</f>
        <v xml:space="preserve">http://slimages.macys.com/is/image/MCY/12466361 </v>
      </c>
    </row>
    <row r="481" spans="1:13" ht="60" x14ac:dyDescent="0.25">
      <c r="A481" s="7" t="s">
        <v>12274</v>
      </c>
      <c r="B481" s="2" t="s">
        <v>7281</v>
      </c>
      <c r="C481" s="4">
        <v>1</v>
      </c>
      <c r="D481" s="5">
        <v>2.19</v>
      </c>
      <c r="E481" s="5">
        <v>5.99</v>
      </c>
      <c r="F481" s="4" t="s">
        <v>7282</v>
      </c>
      <c r="G481" s="2" t="s">
        <v>41</v>
      </c>
      <c r="H481" s="7" t="s">
        <v>590</v>
      </c>
      <c r="I481" s="2" t="s">
        <v>483</v>
      </c>
      <c r="J481" s="2" t="s">
        <v>536</v>
      </c>
      <c r="K481" s="2" t="s">
        <v>304</v>
      </c>
      <c r="L481" s="2" t="s">
        <v>100</v>
      </c>
      <c r="M481" s="8" t="str">
        <f>HYPERLINK("http://slimages.macys.com/is/image/MCY/11390143 ")</f>
        <v xml:space="preserve">http://slimages.macys.com/is/image/MCY/11390143 </v>
      </c>
    </row>
    <row r="482" spans="1:13" ht="60" x14ac:dyDescent="0.25">
      <c r="A482" s="7" t="s">
        <v>12275</v>
      </c>
      <c r="B482" s="2" t="s">
        <v>7281</v>
      </c>
      <c r="C482" s="4">
        <v>1</v>
      </c>
      <c r="D482" s="5">
        <v>2.19</v>
      </c>
      <c r="E482" s="5">
        <v>5.99</v>
      </c>
      <c r="F482" s="4" t="s">
        <v>7282</v>
      </c>
      <c r="G482" s="2" t="s">
        <v>41</v>
      </c>
      <c r="H482" s="7" t="s">
        <v>42</v>
      </c>
      <c r="I482" s="2" t="s">
        <v>483</v>
      </c>
      <c r="J482" s="2" t="s">
        <v>536</v>
      </c>
      <c r="K482" s="2" t="s">
        <v>304</v>
      </c>
      <c r="L482" s="2" t="s">
        <v>100</v>
      </c>
      <c r="M482" s="8" t="str">
        <f>HYPERLINK("http://slimages.macys.com/is/image/MCY/11390143 ")</f>
        <v xml:space="preserve">http://slimages.macys.com/is/image/MCY/11390143 </v>
      </c>
    </row>
    <row r="483" spans="1:13" ht="84" x14ac:dyDescent="0.25">
      <c r="A483" s="7" t="s">
        <v>8056</v>
      </c>
      <c r="B483" s="2" t="s">
        <v>8057</v>
      </c>
      <c r="C483" s="4">
        <v>2</v>
      </c>
      <c r="D483" s="5">
        <v>2.1800000000000002</v>
      </c>
      <c r="E483" s="5">
        <v>5.99</v>
      </c>
      <c r="F483" s="4" t="s">
        <v>8058</v>
      </c>
      <c r="G483" s="2" t="s">
        <v>28</v>
      </c>
      <c r="H483" s="7" t="s">
        <v>149</v>
      </c>
      <c r="I483" s="2" t="s">
        <v>483</v>
      </c>
      <c r="J483" s="2" t="s">
        <v>536</v>
      </c>
      <c r="K483" s="2" t="s">
        <v>304</v>
      </c>
      <c r="L483" s="2" t="s">
        <v>5781</v>
      </c>
      <c r="M483" s="8" t="str">
        <f>HYPERLINK("http://slimages.macys.com/is/image/MCY/11436628 ")</f>
        <v xml:space="preserve">http://slimages.macys.com/is/image/MCY/11436628 </v>
      </c>
    </row>
    <row r="484" spans="1:13" ht="84" x14ac:dyDescent="0.25">
      <c r="A484" s="7" t="s">
        <v>12276</v>
      </c>
      <c r="B484" s="2" t="s">
        <v>8057</v>
      </c>
      <c r="C484" s="4">
        <v>2</v>
      </c>
      <c r="D484" s="5">
        <v>2.1800000000000002</v>
      </c>
      <c r="E484" s="5">
        <v>5.99</v>
      </c>
      <c r="F484" s="4" t="s">
        <v>8058</v>
      </c>
      <c r="G484" s="2" t="s">
        <v>28</v>
      </c>
      <c r="H484" s="7" t="s">
        <v>442</v>
      </c>
      <c r="I484" s="2" t="s">
        <v>483</v>
      </c>
      <c r="J484" s="2" t="s">
        <v>536</v>
      </c>
      <c r="K484" s="2" t="s">
        <v>304</v>
      </c>
      <c r="L484" s="2" t="s">
        <v>5781</v>
      </c>
      <c r="M484" s="8" t="str">
        <f>HYPERLINK("http://slimages.macys.com/is/image/MCY/11436628 ")</f>
        <v xml:space="preserve">http://slimages.macys.com/is/image/MCY/11436628 </v>
      </c>
    </row>
    <row r="485" spans="1:13" ht="60" x14ac:dyDescent="0.25">
      <c r="A485" s="7" t="s">
        <v>12277</v>
      </c>
      <c r="B485" s="2" t="s">
        <v>5789</v>
      </c>
      <c r="C485" s="4">
        <v>1</v>
      </c>
      <c r="D485" s="5">
        <v>2.16</v>
      </c>
      <c r="E485" s="5">
        <v>5.99</v>
      </c>
      <c r="F485" s="4" t="s">
        <v>8062</v>
      </c>
      <c r="G485" s="2" t="s">
        <v>1360</v>
      </c>
      <c r="H485" s="7" t="s">
        <v>42</v>
      </c>
      <c r="I485" s="2" t="s">
        <v>483</v>
      </c>
      <c r="J485" s="2" t="s">
        <v>536</v>
      </c>
      <c r="K485" s="2" t="s">
        <v>304</v>
      </c>
      <c r="L485" s="2" t="s">
        <v>206</v>
      </c>
      <c r="M485" s="8" t="str">
        <f>HYPERLINK("http://slimages.macys.com/is/image/MCY/11525797 ")</f>
        <v xml:space="preserve">http://slimages.macys.com/is/image/MCY/11525797 </v>
      </c>
    </row>
    <row r="486" spans="1:13" ht="60" x14ac:dyDescent="0.25">
      <c r="A486" s="7" t="s">
        <v>12278</v>
      </c>
      <c r="B486" s="2" t="s">
        <v>12279</v>
      </c>
      <c r="C486" s="4">
        <v>1</v>
      </c>
      <c r="D486" s="5">
        <v>2.16</v>
      </c>
      <c r="E486" s="5">
        <v>5.99</v>
      </c>
      <c r="F486" s="4" t="s">
        <v>12280</v>
      </c>
      <c r="G486" s="2" t="s">
        <v>171</v>
      </c>
      <c r="H486" s="7" t="s">
        <v>42</v>
      </c>
      <c r="I486" s="2" t="s">
        <v>483</v>
      </c>
      <c r="J486" s="2" t="s">
        <v>536</v>
      </c>
      <c r="K486" s="2"/>
      <c r="L486" s="2"/>
      <c r="M486" s="8" t="str">
        <f>HYPERLINK("http://slimages.macys.com/is/image/MCY/11793351 ")</f>
        <v xml:space="preserve">http://slimages.macys.com/is/image/MCY/11793351 </v>
      </c>
    </row>
    <row r="487" spans="1:13" ht="60" x14ac:dyDescent="0.25">
      <c r="A487" s="7" t="s">
        <v>12281</v>
      </c>
      <c r="B487" s="2" t="s">
        <v>2401</v>
      </c>
      <c r="C487" s="4">
        <v>1</v>
      </c>
      <c r="D487" s="5">
        <v>2.16</v>
      </c>
      <c r="E487" s="5">
        <v>5.99</v>
      </c>
      <c r="F487" s="4" t="s">
        <v>2402</v>
      </c>
      <c r="G487" s="2" t="s">
        <v>874</v>
      </c>
      <c r="H487" s="7" t="s">
        <v>42</v>
      </c>
      <c r="I487" s="2" t="s">
        <v>483</v>
      </c>
      <c r="J487" s="2" t="s">
        <v>536</v>
      </c>
      <c r="K487" s="2" t="s">
        <v>304</v>
      </c>
      <c r="L487" s="2" t="s">
        <v>100</v>
      </c>
      <c r="M487" s="8" t="str">
        <f>HYPERLINK("http://slimages.macys.com/is/image/MCY/11855542 ")</f>
        <v xml:space="preserve">http://slimages.macys.com/is/image/MCY/11855542 </v>
      </c>
    </row>
    <row r="488" spans="1:13" ht="60" x14ac:dyDescent="0.25">
      <c r="A488" s="7" t="s">
        <v>5785</v>
      </c>
      <c r="B488" s="2" t="s">
        <v>5786</v>
      </c>
      <c r="C488" s="4">
        <v>4</v>
      </c>
      <c r="D488" s="5">
        <v>2.16</v>
      </c>
      <c r="E488" s="5">
        <v>5.99</v>
      </c>
      <c r="F488" s="4" t="s">
        <v>5787</v>
      </c>
      <c r="G488" s="2" t="s">
        <v>41</v>
      </c>
      <c r="H488" s="7" t="s">
        <v>91</v>
      </c>
      <c r="I488" s="2" t="s">
        <v>483</v>
      </c>
      <c r="J488" s="2" t="s">
        <v>536</v>
      </c>
      <c r="K488" s="2" t="s">
        <v>304</v>
      </c>
      <c r="L488" s="2" t="s">
        <v>100</v>
      </c>
      <c r="M488" s="8" t="str">
        <f>HYPERLINK("http://slimages.macys.com/is/image/MCY/11856992 ")</f>
        <v xml:space="preserve">http://slimages.macys.com/is/image/MCY/11856992 </v>
      </c>
    </row>
    <row r="489" spans="1:13" ht="60" x14ac:dyDescent="0.25">
      <c r="A489" s="7" t="s">
        <v>12282</v>
      </c>
      <c r="B489" s="2" t="s">
        <v>5786</v>
      </c>
      <c r="C489" s="4">
        <v>5</v>
      </c>
      <c r="D489" s="5">
        <v>2.16</v>
      </c>
      <c r="E489" s="5">
        <v>5.99</v>
      </c>
      <c r="F489" s="4" t="s">
        <v>5787</v>
      </c>
      <c r="G489" s="2" t="s">
        <v>41</v>
      </c>
      <c r="H489" s="7" t="s">
        <v>42</v>
      </c>
      <c r="I489" s="2" t="s">
        <v>483</v>
      </c>
      <c r="J489" s="2" t="s">
        <v>536</v>
      </c>
      <c r="K489" s="2" t="s">
        <v>304</v>
      </c>
      <c r="L489" s="2" t="s">
        <v>100</v>
      </c>
      <c r="M489" s="8" t="str">
        <f>HYPERLINK("http://slimages.macys.com/is/image/MCY/11856992 ")</f>
        <v xml:space="preserve">http://slimages.macys.com/is/image/MCY/11856992 </v>
      </c>
    </row>
    <row r="490" spans="1:13" ht="60" x14ac:dyDescent="0.25">
      <c r="A490" s="7" t="s">
        <v>10321</v>
      </c>
      <c r="B490" s="2" t="s">
        <v>5786</v>
      </c>
      <c r="C490" s="4">
        <v>2</v>
      </c>
      <c r="D490" s="5">
        <v>2.16</v>
      </c>
      <c r="E490" s="5">
        <v>5.99</v>
      </c>
      <c r="F490" s="4" t="s">
        <v>5787</v>
      </c>
      <c r="G490" s="2" t="s">
        <v>41</v>
      </c>
      <c r="H490" s="7" t="s">
        <v>149</v>
      </c>
      <c r="I490" s="2" t="s">
        <v>483</v>
      </c>
      <c r="J490" s="2" t="s">
        <v>536</v>
      </c>
      <c r="K490" s="2" t="s">
        <v>304</v>
      </c>
      <c r="L490" s="2" t="s">
        <v>100</v>
      </c>
      <c r="M490" s="8" t="str">
        <f>HYPERLINK("http://slimages.macys.com/is/image/MCY/11856992 ")</f>
        <v xml:space="preserve">http://slimages.macys.com/is/image/MCY/11856992 </v>
      </c>
    </row>
    <row r="491" spans="1:13" ht="60" x14ac:dyDescent="0.25">
      <c r="A491" s="7" t="s">
        <v>12283</v>
      </c>
      <c r="B491" s="2" t="s">
        <v>5786</v>
      </c>
      <c r="C491" s="4">
        <v>2</v>
      </c>
      <c r="D491" s="5">
        <v>2.16</v>
      </c>
      <c r="E491" s="5">
        <v>5.99</v>
      </c>
      <c r="F491" s="4" t="s">
        <v>5787</v>
      </c>
      <c r="G491" s="2" t="s">
        <v>41</v>
      </c>
      <c r="H491" s="7" t="s">
        <v>590</v>
      </c>
      <c r="I491" s="2" t="s">
        <v>483</v>
      </c>
      <c r="J491" s="2" t="s">
        <v>536</v>
      </c>
      <c r="K491" s="2" t="s">
        <v>304</v>
      </c>
      <c r="L491" s="2" t="s">
        <v>100</v>
      </c>
      <c r="M491" s="8" t="str">
        <f>HYPERLINK("http://slimages.macys.com/is/image/MCY/11856992 ")</f>
        <v xml:space="preserve">http://slimages.macys.com/is/image/MCY/11856992 </v>
      </c>
    </row>
    <row r="492" spans="1:13" ht="60" x14ac:dyDescent="0.25">
      <c r="A492" s="7" t="s">
        <v>12284</v>
      </c>
      <c r="B492" s="2" t="s">
        <v>5786</v>
      </c>
      <c r="C492" s="4">
        <v>3</v>
      </c>
      <c r="D492" s="5">
        <v>2.16</v>
      </c>
      <c r="E492" s="5">
        <v>5.99</v>
      </c>
      <c r="F492" s="4" t="s">
        <v>5787</v>
      </c>
      <c r="G492" s="2" t="s">
        <v>41</v>
      </c>
      <c r="H492" s="7" t="s">
        <v>442</v>
      </c>
      <c r="I492" s="2" t="s">
        <v>483</v>
      </c>
      <c r="J492" s="2" t="s">
        <v>536</v>
      </c>
      <c r="K492" s="2" t="s">
        <v>304</v>
      </c>
      <c r="L492" s="2" t="s">
        <v>100</v>
      </c>
      <c r="M492" s="8" t="str">
        <f>HYPERLINK("http://slimages.macys.com/is/image/MCY/11856992 ")</f>
        <v xml:space="preserve">http://slimages.macys.com/is/image/MCY/11856992 </v>
      </c>
    </row>
    <row r="493" spans="1:13" ht="84" x14ac:dyDescent="0.25">
      <c r="A493" s="7" t="s">
        <v>12285</v>
      </c>
      <c r="B493" s="2" t="s">
        <v>6567</v>
      </c>
      <c r="C493" s="4">
        <v>1</v>
      </c>
      <c r="D493" s="5">
        <v>2.14</v>
      </c>
      <c r="E493" s="5">
        <v>5.99</v>
      </c>
      <c r="F493" s="4" t="s">
        <v>6651</v>
      </c>
      <c r="G493" s="2" t="s">
        <v>171</v>
      </c>
      <c r="H493" s="7" t="s">
        <v>590</v>
      </c>
      <c r="I493" s="2" t="s">
        <v>483</v>
      </c>
      <c r="J493" s="2" t="s">
        <v>536</v>
      </c>
      <c r="K493" s="2" t="s">
        <v>304</v>
      </c>
      <c r="L493" s="2" t="s">
        <v>5781</v>
      </c>
      <c r="M493" s="8" t="str">
        <f>HYPERLINK("http://slimages.macys.com/is/image/MCY/11436699 ")</f>
        <v xml:space="preserve">http://slimages.macys.com/is/image/MCY/11436699 </v>
      </c>
    </row>
    <row r="494" spans="1:13" ht="60" x14ac:dyDescent="0.25">
      <c r="A494" s="7" t="s">
        <v>12286</v>
      </c>
      <c r="B494" s="2" t="s">
        <v>9265</v>
      </c>
      <c r="C494" s="4">
        <v>1</v>
      </c>
      <c r="D494" s="5">
        <v>2.14</v>
      </c>
      <c r="E494" s="5">
        <v>5.99</v>
      </c>
      <c r="F494" s="4" t="s">
        <v>9266</v>
      </c>
      <c r="G494" s="2" t="s">
        <v>200</v>
      </c>
      <c r="H494" s="7" t="s">
        <v>42</v>
      </c>
      <c r="I494" s="2" t="s">
        <v>483</v>
      </c>
      <c r="J494" s="2" t="s">
        <v>536</v>
      </c>
      <c r="K494" s="2"/>
      <c r="L494" s="2"/>
      <c r="M494" s="8" t="str">
        <f>HYPERLINK("http://slimages.macys.com/is/image/MCY/11856972 ")</f>
        <v xml:space="preserve">http://slimages.macys.com/is/image/MCY/11856972 </v>
      </c>
    </row>
    <row r="495" spans="1:13" ht="60" x14ac:dyDescent="0.25">
      <c r="A495" s="7" t="s">
        <v>12287</v>
      </c>
      <c r="B495" s="2" t="s">
        <v>12288</v>
      </c>
      <c r="C495" s="4">
        <v>1</v>
      </c>
      <c r="D495" s="5">
        <v>2.14</v>
      </c>
      <c r="E495" s="5">
        <v>5.99</v>
      </c>
      <c r="F495" s="4" t="s">
        <v>12289</v>
      </c>
      <c r="G495" s="2" t="s">
        <v>200</v>
      </c>
      <c r="H495" s="7" t="s">
        <v>149</v>
      </c>
      <c r="I495" s="2" t="s">
        <v>483</v>
      </c>
      <c r="J495" s="2" t="s">
        <v>536</v>
      </c>
      <c r="K495" s="2" t="s">
        <v>304</v>
      </c>
      <c r="L495" s="2" t="s">
        <v>596</v>
      </c>
      <c r="M495" s="8" t="str">
        <f>HYPERLINK("http://slimages.macys.com/is/image/MCY/11709337 ")</f>
        <v xml:space="preserve">http://slimages.macys.com/is/image/MCY/11709337 </v>
      </c>
    </row>
    <row r="496" spans="1:13" ht="60" x14ac:dyDescent="0.25">
      <c r="A496" s="7" t="s">
        <v>12290</v>
      </c>
      <c r="B496" s="2" t="s">
        <v>12288</v>
      </c>
      <c r="C496" s="4">
        <v>3</v>
      </c>
      <c r="D496" s="5">
        <v>2.14</v>
      </c>
      <c r="E496" s="5">
        <v>5.99</v>
      </c>
      <c r="F496" s="4" t="s">
        <v>12289</v>
      </c>
      <c r="G496" s="2" t="s">
        <v>200</v>
      </c>
      <c r="H496" s="7" t="s">
        <v>42</v>
      </c>
      <c r="I496" s="2" t="s">
        <v>483</v>
      </c>
      <c r="J496" s="2" t="s">
        <v>536</v>
      </c>
      <c r="K496" s="2" t="s">
        <v>304</v>
      </c>
      <c r="L496" s="2" t="s">
        <v>596</v>
      </c>
      <c r="M496" s="8" t="str">
        <f>HYPERLINK("http://slimages.macys.com/is/image/MCY/11709337 ")</f>
        <v xml:space="preserve">http://slimages.macys.com/is/image/MCY/11709337 </v>
      </c>
    </row>
    <row r="497" spans="1:13" ht="60" x14ac:dyDescent="0.25">
      <c r="A497" s="7" t="s">
        <v>12291</v>
      </c>
      <c r="B497" s="2" t="s">
        <v>12288</v>
      </c>
      <c r="C497" s="4">
        <v>1</v>
      </c>
      <c r="D497" s="5">
        <v>2.14</v>
      </c>
      <c r="E497" s="5">
        <v>5.99</v>
      </c>
      <c r="F497" s="4" t="s">
        <v>12289</v>
      </c>
      <c r="G497" s="2" t="s">
        <v>200</v>
      </c>
      <c r="H497" s="7" t="s">
        <v>442</v>
      </c>
      <c r="I497" s="2" t="s">
        <v>483</v>
      </c>
      <c r="J497" s="2" t="s">
        <v>536</v>
      </c>
      <c r="K497" s="2" t="s">
        <v>304</v>
      </c>
      <c r="L497" s="2" t="s">
        <v>596</v>
      </c>
      <c r="M497" s="8" t="str">
        <f>HYPERLINK("http://slimages.macys.com/is/image/MCY/11709337 ")</f>
        <v xml:space="preserve">http://slimages.macys.com/is/image/MCY/11709337 </v>
      </c>
    </row>
    <row r="498" spans="1:13" ht="60" x14ac:dyDescent="0.25">
      <c r="A498" s="7" t="s">
        <v>12292</v>
      </c>
      <c r="B498" s="2" t="s">
        <v>9265</v>
      </c>
      <c r="C498" s="4">
        <v>1</v>
      </c>
      <c r="D498" s="5">
        <v>2.14</v>
      </c>
      <c r="E498" s="5">
        <v>5.99</v>
      </c>
      <c r="F498" s="4" t="s">
        <v>9266</v>
      </c>
      <c r="G498" s="2" t="s">
        <v>200</v>
      </c>
      <c r="H498" s="7" t="s">
        <v>590</v>
      </c>
      <c r="I498" s="2" t="s">
        <v>483</v>
      </c>
      <c r="J498" s="2" t="s">
        <v>536</v>
      </c>
      <c r="K498" s="2"/>
      <c r="L498" s="2"/>
      <c r="M498" s="8" t="str">
        <f>HYPERLINK("http://slimages.macys.com/is/image/MCY/11856972 ")</f>
        <v xml:space="preserve">http://slimages.macys.com/is/image/MCY/11856972 </v>
      </c>
    </row>
    <row r="499" spans="1:13" ht="60" x14ac:dyDescent="0.25">
      <c r="A499" s="7" t="s">
        <v>9264</v>
      </c>
      <c r="B499" s="2" t="s">
        <v>9265</v>
      </c>
      <c r="C499" s="4">
        <v>2</v>
      </c>
      <c r="D499" s="5">
        <v>2.14</v>
      </c>
      <c r="E499" s="5">
        <v>5.99</v>
      </c>
      <c r="F499" s="4" t="s">
        <v>9266</v>
      </c>
      <c r="G499" s="2" t="s">
        <v>200</v>
      </c>
      <c r="H499" s="7" t="s">
        <v>442</v>
      </c>
      <c r="I499" s="2" t="s">
        <v>483</v>
      </c>
      <c r="J499" s="2" t="s">
        <v>536</v>
      </c>
      <c r="K499" s="2"/>
      <c r="L499" s="2"/>
      <c r="M499" s="8" t="str">
        <f>HYPERLINK("http://slimages.macys.com/is/image/MCY/11856972 ")</f>
        <v xml:space="preserve">http://slimages.macys.com/is/image/MCY/11856972 </v>
      </c>
    </row>
    <row r="500" spans="1:13" ht="84" x14ac:dyDescent="0.25">
      <c r="A500" s="7" t="s">
        <v>12293</v>
      </c>
      <c r="B500" s="2" t="s">
        <v>12294</v>
      </c>
      <c r="C500" s="4">
        <v>1</v>
      </c>
      <c r="D500" s="5">
        <v>2.12</v>
      </c>
      <c r="E500" s="5">
        <v>5.99</v>
      </c>
      <c r="F500" s="4" t="s">
        <v>12295</v>
      </c>
      <c r="G500" s="2" t="s">
        <v>41</v>
      </c>
      <c r="H500" s="7" t="s">
        <v>442</v>
      </c>
      <c r="I500" s="2" t="s">
        <v>483</v>
      </c>
      <c r="J500" s="2" t="s">
        <v>536</v>
      </c>
      <c r="K500" s="2" t="s">
        <v>304</v>
      </c>
      <c r="L500" s="2" t="s">
        <v>5781</v>
      </c>
      <c r="M500" s="8" t="str">
        <f>HYPERLINK("http://slimages.macys.com/is/image/MCY/11436594 ")</f>
        <v xml:space="preserve">http://slimages.macys.com/is/image/MCY/11436594 </v>
      </c>
    </row>
    <row r="501" spans="1:13" ht="60" x14ac:dyDescent="0.25">
      <c r="A501" s="7" t="s">
        <v>12296</v>
      </c>
      <c r="B501" s="2" t="s">
        <v>8494</v>
      </c>
      <c r="C501" s="4">
        <v>1</v>
      </c>
      <c r="D501" s="5">
        <v>2.12</v>
      </c>
      <c r="E501" s="5">
        <v>5.99</v>
      </c>
      <c r="F501" s="4" t="s">
        <v>8495</v>
      </c>
      <c r="G501" s="2" t="s">
        <v>28</v>
      </c>
      <c r="H501" s="7" t="s">
        <v>590</v>
      </c>
      <c r="I501" s="2" t="s">
        <v>483</v>
      </c>
      <c r="J501" s="2" t="s">
        <v>536</v>
      </c>
      <c r="K501" s="2" t="s">
        <v>304</v>
      </c>
      <c r="L501" s="2" t="s">
        <v>100</v>
      </c>
      <c r="M501" s="8" t="str">
        <f>HYPERLINK("http://slimages.macys.com/is/image/MCY/11436731 ")</f>
        <v xml:space="preserve">http://slimages.macys.com/is/image/MCY/11436731 </v>
      </c>
    </row>
    <row r="502" spans="1:13" ht="60" x14ac:dyDescent="0.25">
      <c r="A502" s="7" t="s">
        <v>12297</v>
      </c>
      <c r="B502" s="2" t="s">
        <v>8494</v>
      </c>
      <c r="C502" s="4">
        <v>1</v>
      </c>
      <c r="D502" s="5">
        <v>2.12</v>
      </c>
      <c r="E502" s="5">
        <v>5.99</v>
      </c>
      <c r="F502" s="4" t="s">
        <v>8495</v>
      </c>
      <c r="G502" s="2" t="s">
        <v>28</v>
      </c>
      <c r="H502" s="7" t="s">
        <v>91</v>
      </c>
      <c r="I502" s="2" t="s">
        <v>483</v>
      </c>
      <c r="J502" s="2" t="s">
        <v>536</v>
      </c>
      <c r="K502" s="2" t="s">
        <v>304</v>
      </c>
      <c r="L502" s="2" t="s">
        <v>100</v>
      </c>
      <c r="M502" s="8" t="str">
        <f>HYPERLINK("http://slimages.macys.com/is/image/MCY/11436731 ")</f>
        <v xml:space="preserve">http://slimages.macys.com/is/image/MCY/11436731 </v>
      </c>
    </row>
    <row r="503" spans="1:13" ht="60" x14ac:dyDescent="0.25">
      <c r="A503" s="7" t="s">
        <v>12298</v>
      </c>
      <c r="B503" s="2" t="s">
        <v>5792</v>
      </c>
      <c r="C503" s="4">
        <v>1</v>
      </c>
      <c r="D503" s="5">
        <v>2.12</v>
      </c>
      <c r="E503" s="5">
        <v>5.99</v>
      </c>
      <c r="F503" s="4" t="s">
        <v>5793</v>
      </c>
      <c r="G503" s="2" t="s">
        <v>262</v>
      </c>
      <c r="H503" s="7" t="s">
        <v>91</v>
      </c>
      <c r="I503" s="2" t="s">
        <v>483</v>
      </c>
      <c r="J503" s="2" t="s">
        <v>536</v>
      </c>
      <c r="K503" s="2" t="s">
        <v>304</v>
      </c>
      <c r="L503" s="2" t="s">
        <v>206</v>
      </c>
      <c r="M503" s="8" t="str">
        <f>HYPERLINK("http://slimages.macys.com/is/image/MCY/11382941 ")</f>
        <v xml:space="preserve">http://slimages.macys.com/is/image/MCY/11382941 </v>
      </c>
    </row>
    <row r="504" spans="1:13" ht="60" x14ac:dyDescent="0.25">
      <c r="A504" s="7" t="s">
        <v>8070</v>
      </c>
      <c r="B504" s="2" t="s">
        <v>2404</v>
      </c>
      <c r="C504" s="4">
        <v>1</v>
      </c>
      <c r="D504" s="5">
        <v>2.1</v>
      </c>
      <c r="E504" s="5">
        <v>5.99</v>
      </c>
      <c r="F504" s="4" t="s">
        <v>2405</v>
      </c>
      <c r="G504" s="2" t="s">
        <v>41</v>
      </c>
      <c r="H504" s="7" t="s">
        <v>590</v>
      </c>
      <c r="I504" s="2" t="s">
        <v>483</v>
      </c>
      <c r="J504" s="2" t="s">
        <v>536</v>
      </c>
      <c r="K504" s="2" t="s">
        <v>304</v>
      </c>
      <c r="L504" s="2" t="s">
        <v>119</v>
      </c>
      <c r="M504" s="8" t="str">
        <f>HYPERLINK("http://slimages.macys.com/is/image/MCY/11525810 ")</f>
        <v xml:space="preserve">http://slimages.macys.com/is/image/MCY/11525810 </v>
      </c>
    </row>
    <row r="505" spans="1:13" ht="96" x14ac:dyDescent="0.25">
      <c r="A505" s="7" t="s">
        <v>12299</v>
      </c>
      <c r="B505" s="2" t="s">
        <v>8497</v>
      </c>
      <c r="C505" s="4">
        <v>1</v>
      </c>
      <c r="D505" s="5">
        <v>2.06</v>
      </c>
      <c r="E505" s="5">
        <v>5.99</v>
      </c>
      <c r="F505" s="4" t="s">
        <v>8498</v>
      </c>
      <c r="G505" s="2" t="s">
        <v>48</v>
      </c>
      <c r="H505" s="7" t="s">
        <v>442</v>
      </c>
      <c r="I505" s="2" t="s">
        <v>483</v>
      </c>
      <c r="J505" s="2" t="s">
        <v>536</v>
      </c>
      <c r="K505" s="2" t="s">
        <v>304</v>
      </c>
      <c r="L505" s="2" t="s">
        <v>8499</v>
      </c>
      <c r="M505" s="8" t="str">
        <f>HYPERLINK("http://slimages.macys.com/is/image/MCY/11396700 ")</f>
        <v xml:space="preserve">http://slimages.macys.com/is/image/MCY/11396700 </v>
      </c>
    </row>
    <row r="506" spans="1:13" ht="60" x14ac:dyDescent="0.25">
      <c r="A506" s="7" t="s">
        <v>12300</v>
      </c>
      <c r="B506" s="2" t="s">
        <v>8501</v>
      </c>
      <c r="C506" s="4">
        <v>1</v>
      </c>
      <c r="D506" s="5">
        <v>2.06</v>
      </c>
      <c r="E506" s="5">
        <v>5.99</v>
      </c>
      <c r="F506" s="4" t="s">
        <v>8502</v>
      </c>
      <c r="G506" s="2" t="s">
        <v>48</v>
      </c>
      <c r="H506" s="7" t="s">
        <v>590</v>
      </c>
      <c r="I506" s="2" t="s">
        <v>483</v>
      </c>
      <c r="J506" s="2" t="s">
        <v>536</v>
      </c>
      <c r="K506" s="2" t="s">
        <v>304</v>
      </c>
      <c r="L506" s="2" t="s">
        <v>119</v>
      </c>
      <c r="M506" s="8" t="str">
        <f>HYPERLINK("http://slimages.macys.com/is/image/MCY/11523854 ")</f>
        <v xml:space="preserve">http://slimages.macys.com/is/image/MCY/11523854 </v>
      </c>
    </row>
    <row r="507" spans="1:13" ht="60" x14ac:dyDescent="0.25">
      <c r="A507" s="7" t="s">
        <v>2412</v>
      </c>
      <c r="B507" s="2" t="s">
        <v>2413</v>
      </c>
      <c r="C507" s="4">
        <v>1</v>
      </c>
      <c r="D507" s="5">
        <v>1.95</v>
      </c>
      <c r="E507" s="5">
        <v>5.99</v>
      </c>
      <c r="F507" s="4" t="s">
        <v>2414</v>
      </c>
      <c r="G507" s="2" t="s">
        <v>28</v>
      </c>
      <c r="H507" s="7" t="s">
        <v>42</v>
      </c>
      <c r="I507" s="2" t="s">
        <v>483</v>
      </c>
      <c r="J507" s="2" t="s">
        <v>536</v>
      </c>
      <c r="K507" s="2" t="s">
        <v>304</v>
      </c>
      <c r="L507" s="2" t="s">
        <v>206</v>
      </c>
      <c r="M507" s="8" t="str">
        <f>HYPERLINK("http://slimages.macys.com/is/image/MCY/11856946 ")</f>
        <v xml:space="preserve">http://slimages.macys.com/is/image/MCY/11856946 </v>
      </c>
    </row>
    <row r="508" spans="1:13" ht="60" x14ac:dyDescent="0.25">
      <c r="A508" s="7" t="s">
        <v>12301</v>
      </c>
      <c r="B508" s="2" t="s">
        <v>5802</v>
      </c>
      <c r="C508" s="4">
        <v>1</v>
      </c>
      <c r="D508" s="5">
        <v>1.95</v>
      </c>
      <c r="E508" s="5">
        <v>5.99</v>
      </c>
      <c r="F508" s="4" t="s">
        <v>5803</v>
      </c>
      <c r="G508" s="2" t="s">
        <v>657</v>
      </c>
      <c r="H508" s="7" t="s">
        <v>91</v>
      </c>
      <c r="I508" s="2" t="s">
        <v>483</v>
      </c>
      <c r="J508" s="2" t="s">
        <v>536</v>
      </c>
      <c r="K508" s="2" t="s">
        <v>304</v>
      </c>
      <c r="L508" s="2" t="s">
        <v>119</v>
      </c>
      <c r="M508" s="8" t="str">
        <f>HYPERLINK("http://slimages.macys.com/is/image/MCY/11856984 ")</f>
        <v xml:space="preserve">http://slimages.macys.com/is/image/MCY/11856984 </v>
      </c>
    </row>
    <row r="509" spans="1:13" ht="60" x14ac:dyDescent="0.25">
      <c r="A509" s="7" t="s">
        <v>5798</v>
      </c>
      <c r="B509" s="2" t="s">
        <v>5799</v>
      </c>
      <c r="C509" s="4">
        <v>3</v>
      </c>
      <c r="D509" s="5">
        <v>1.95</v>
      </c>
      <c r="E509" s="5">
        <v>5.99</v>
      </c>
      <c r="F509" s="4" t="s">
        <v>5800</v>
      </c>
      <c r="G509" s="2" t="s">
        <v>129</v>
      </c>
      <c r="H509" s="7" t="s">
        <v>42</v>
      </c>
      <c r="I509" s="2" t="s">
        <v>483</v>
      </c>
      <c r="J509" s="2" t="s">
        <v>536</v>
      </c>
      <c r="K509" s="2" t="s">
        <v>304</v>
      </c>
      <c r="L509" s="2" t="s">
        <v>119</v>
      </c>
      <c r="M509" s="8" t="str">
        <f>HYPERLINK("http://slimages.macys.com/is/image/MCY/12776923 ")</f>
        <v xml:space="preserve">http://slimages.macys.com/is/image/MCY/12776923 </v>
      </c>
    </row>
    <row r="510" spans="1:13" ht="60" x14ac:dyDescent="0.25">
      <c r="A510" s="7" t="s">
        <v>9269</v>
      </c>
      <c r="B510" s="2" t="s">
        <v>5799</v>
      </c>
      <c r="C510" s="4">
        <v>4</v>
      </c>
      <c r="D510" s="5">
        <v>1.95</v>
      </c>
      <c r="E510" s="5">
        <v>5.99</v>
      </c>
      <c r="F510" s="4" t="s">
        <v>5800</v>
      </c>
      <c r="G510" s="2" t="s">
        <v>129</v>
      </c>
      <c r="H510" s="7" t="s">
        <v>91</v>
      </c>
      <c r="I510" s="2" t="s">
        <v>483</v>
      </c>
      <c r="J510" s="2" t="s">
        <v>536</v>
      </c>
      <c r="K510" s="2" t="s">
        <v>304</v>
      </c>
      <c r="L510" s="2" t="s">
        <v>119</v>
      </c>
      <c r="M510" s="8" t="str">
        <f>HYPERLINK("http://slimages.macys.com/is/image/MCY/12776923 ")</f>
        <v xml:space="preserve">http://slimages.macys.com/is/image/MCY/12776923 </v>
      </c>
    </row>
    <row r="511" spans="1:13" ht="60" x14ac:dyDescent="0.25">
      <c r="A511" s="7" t="s">
        <v>12302</v>
      </c>
      <c r="B511" s="2" t="s">
        <v>12303</v>
      </c>
      <c r="C511" s="4">
        <v>1</v>
      </c>
      <c r="D511" s="5">
        <v>1.92</v>
      </c>
      <c r="E511" s="5">
        <v>6.99</v>
      </c>
      <c r="F511" s="4" t="s">
        <v>12304</v>
      </c>
      <c r="G511" s="2" t="s">
        <v>41</v>
      </c>
      <c r="H511" s="7" t="s">
        <v>531</v>
      </c>
      <c r="I511" s="2" t="s">
        <v>483</v>
      </c>
      <c r="J511" s="2" t="s">
        <v>536</v>
      </c>
      <c r="K511" s="2" t="s">
        <v>304</v>
      </c>
      <c r="L511" s="2" t="s">
        <v>125</v>
      </c>
      <c r="M511" s="8" t="str">
        <f>HYPERLINK("http://slimages.macys.com/is/image/MCY/10326409 ")</f>
        <v xml:space="preserve">http://slimages.macys.com/is/image/MCY/10326409 </v>
      </c>
    </row>
    <row r="512" spans="1:13" ht="36" x14ac:dyDescent="0.25">
      <c r="A512" s="7" t="s">
        <v>12305</v>
      </c>
      <c r="B512" s="2" t="s">
        <v>2426</v>
      </c>
      <c r="C512" s="4">
        <v>1</v>
      </c>
      <c r="D512" s="5">
        <v>6.4</v>
      </c>
      <c r="E512" s="5">
        <v>14.55</v>
      </c>
      <c r="F512" s="4">
        <v>17890410</v>
      </c>
      <c r="G512" s="2" t="s">
        <v>36</v>
      </c>
      <c r="H512" s="7" t="s">
        <v>438</v>
      </c>
      <c r="I512" s="2" t="s">
        <v>153</v>
      </c>
      <c r="J512" s="2" t="s">
        <v>154</v>
      </c>
      <c r="K512" s="2"/>
      <c r="L512" s="2"/>
      <c r="M512" s="8"/>
    </row>
    <row r="513" spans="1:13" ht="36" x14ac:dyDescent="0.25">
      <c r="A513" s="7" t="s">
        <v>2425</v>
      </c>
      <c r="B513" s="2" t="s">
        <v>2426</v>
      </c>
      <c r="C513" s="4">
        <v>1</v>
      </c>
      <c r="D513" s="5">
        <v>6.4</v>
      </c>
      <c r="E513" s="5">
        <v>14.55</v>
      </c>
      <c r="F513" s="4">
        <v>17890410</v>
      </c>
      <c r="G513" s="2" t="s">
        <v>36</v>
      </c>
      <c r="H513" s="7" t="s">
        <v>42</v>
      </c>
      <c r="I513" s="2" t="s">
        <v>153</v>
      </c>
      <c r="J513" s="2" t="s">
        <v>154</v>
      </c>
      <c r="K513" s="2"/>
      <c r="L513" s="2"/>
      <c r="M513" s="8"/>
    </row>
    <row r="514" spans="1:13" ht="36" x14ac:dyDescent="0.25">
      <c r="A514" s="7" t="s">
        <v>12306</v>
      </c>
      <c r="B514" s="2" t="s">
        <v>12307</v>
      </c>
      <c r="C514" s="4">
        <v>1</v>
      </c>
      <c r="D514" s="5">
        <v>6.4</v>
      </c>
      <c r="E514" s="5">
        <v>14.55</v>
      </c>
      <c r="F514" s="4">
        <v>17889010</v>
      </c>
      <c r="G514" s="2" t="s">
        <v>476</v>
      </c>
      <c r="H514" s="7" t="s">
        <v>438</v>
      </c>
      <c r="I514" s="2" t="s">
        <v>153</v>
      </c>
      <c r="J514" s="2" t="s">
        <v>154</v>
      </c>
      <c r="K514" s="2"/>
      <c r="L514" s="2"/>
      <c r="M514" s="8"/>
    </row>
    <row r="515" spans="1:13" ht="36" x14ac:dyDescent="0.25">
      <c r="A515" s="7" t="s">
        <v>12308</v>
      </c>
      <c r="B515" s="2" t="s">
        <v>6667</v>
      </c>
      <c r="C515" s="4">
        <v>1</v>
      </c>
      <c r="D515" s="5">
        <v>6.4</v>
      </c>
      <c r="E515" s="5">
        <v>14.55</v>
      </c>
      <c r="F515" s="4">
        <v>17890010</v>
      </c>
      <c r="G515" s="2" t="s">
        <v>48</v>
      </c>
      <c r="H515" s="7" t="s">
        <v>91</v>
      </c>
      <c r="I515" s="2" t="s">
        <v>153</v>
      </c>
      <c r="J515" s="2" t="s">
        <v>154</v>
      </c>
      <c r="K515" s="2"/>
      <c r="L515" s="2"/>
      <c r="M515" s="8"/>
    </row>
  </sheetData>
  <pageMargins left="0.5" right="0.5" top="0.25" bottom="0.25" header="0.3" footer="0.3"/>
  <pageSetup scale="65" orientation="landscape" horizontalDpi="0" verticalDpi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28</vt:i4>
      </vt:variant>
    </vt:vector>
  </HeadingPairs>
  <TitlesOfParts>
    <vt:vector size="28" baseType="lpstr">
      <vt:lpstr>12469939</vt:lpstr>
      <vt:lpstr>12469979</vt:lpstr>
      <vt:lpstr>12486748</vt:lpstr>
      <vt:lpstr>12486869</vt:lpstr>
      <vt:lpstr>12488793</vt:lpstr>
      <vt:lpstr>12508450</vt:lpstr>
      <vt:lpstr>12488911</vt:lpstr>
      <vt:lpstr>12407310</vt:lpstr>
      <vt:lpstr>12410531</vt:lpstr>
      <vt:lpstr>12410915</vt:lpstr>
      <vt:lpstr>12413919</vt:lpstr>
      <vt:lpstr>12414060</vt:lpstr>
      <vt:lpstr>12416476</vt:lpstr>
      <vt:lpstr>12429317</vt:lpstr>
      <vt:lpstr>12431680</vt:lpstr>
      <vt:lpstr>12434450</vt:lpstr>
      <vt:lpstr>12436307</vt:lpstr>
      <vt:lpstr>12447001</vt:lpstr>
      <vt:lpstr>12448790</vt:lpstr>
      <vt:lpstr>12449080</vt:lpstr>
      <vt:lpstr>12450553</vt:lpstr>
      <vt:lpstr>12465859</vt:lpstr>
      <vt:lpstr>12488851</vt:lpstr>
      <vt:lpstr>12498408</vt:lpstr>
      <vt:lpstr>12506978</vt:lpstr>
      <vt:lpstr>12512702</vt:lpstr>
      <vt:lpstr>12515344</vt:lpstr>
      <vt:lpstr>12516398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2020-06-01T18:38:25Z</dcterms:created>
  <dcterms:modified xsi:type="dcterms:W3CDTF">2020-06-01T21:29:29Z</dcterms:modified>
</cp:coreProperties>
</file>